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39DB970C-4574-4C06-92F6-FD1B31B9A1AA}" xr6:coauthVersionLast="47" xr6:coauthVersionMax="47" xr10:uidLastSave="{00000000-0000-0000-0000-000000000000}"/>
  <bookViews>
    <workbookView xWindow="-108" yWindow="-108" windowWidth="23256" windowHeight="12456" tabRatio="618" firstSheet="2" activeTab="2"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419" i="3" l="1"/>
  <c r="CH420" i="3"/>
  <c r="CH402" i="3" l="1"/>
  <c r="CF55" i="3"/>
  <c r="CG55" i="3"/>
  <c r="CH55" i="3"/>
  <c r="CH92" i="3"/>
  <c r="I72" i="1" l="1"/>
  <c r="I71" i="1"/>
  <c r="I70" i="1"/>
  <c r="CH238" i="3" l="1"/>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AB445" i="3"/>
  <c r="AA445" i="3"/>
  <c r="X445" i="3"/>
  <c r="CH444" i="3"/>
  <c r="CH453" i="3" s="1"/>
  <c r="CG444" i="3"/>
  <c r="CG453" i="3" s="1"/>
  <c r="CF444" i="3"/>
  <c r="CE444" i="3"/>
  <c r="CD444" i="3"/>
  <c r="CC444" i="3"/>
  <c r="CB444" i="3"/>
  <c r="AD444" i="3"/>
  <c r="AD445" i="3" s="1"/>
  <c r="AC444" i="3"/>
  <c r="AC445" i="3" s="1"/>
  <c r="AB444" i="3"/>
  <c r="AA444" i="3"/>
  <c r="Z444" i="3"/>
  <c r="Z445" i="3" s="1"/>
  <c r="Y444" i="3"/>
  <c r="Y445" i="3" s="1"/>
  <c r="X444" i="3"/>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U5" i="26" s="1"/>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CH192" i="3" s="1"/>
  <c r="DQ192" i="3"/>
  <c r="CG192" i="3" s="1"/>
  <c r="DP192" i="3"/>
  <c r="CF192" i="3" s="1"/>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CH198" i="3" s="1"/>
  <c r="CH199" i="3" s="1"/>
  <c r="DN198" i="3"/>
  <c r="DL198" i="3"/>
  <c r="DR197" i="3"/>
  <c r="CH197" i="3" s="1"/>
  <c r="DN197" i="3"/>
  <c r="DL197" i="3"/>
  <c r="DR196" i="3"/>
  <c r="CH196" i="3" s="1"/>
  <c r="DN196" i="3"/>
  <c r="CD196" i="3" s="1"/>
  <c r="DL196" i="3"/>
  <c r="DR195" i="3"/>
  <c r="CH195" i="3" s="1"/>
  <c r="DN195" i="3"/>
  <c r="DL195" i="3"/>
  <c r="DR194" i="3"/>
  <c r="CH194" i="3" s="1"/>
  <c r="DN194" i="3"/>
  <c r="DR190" i="3"/>
  <c r="CH190" i="3" s="1"/>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H188" i="3"/>
  <c r="CD188" i="3"/>
  <c r="CH187" i="3"/>
  <c r="CD187" i="3"/>
  <c r="CH186" i="3"/>
  <c r="CD186" i="3"/>
  <c r="CH185" i="3"/>
  <c r="CD185" i="3"/>
  <c r="CH184" i="3"/>
  <c r="CD184" i="3"/>
  <c r="CB184" i="3"/>
  <c r="CH206" i="3"/>
  <c r="CH205"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H189"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CH223" i="3" s="1"/>
  <c r="DN223" i="3"/>
  <c r="CD223" i="3" s="1"/>
  <c r="DL223" i="3"/>
  <c r="CB223" i="3" s="1"/>
  <c r="BU223" i="3"/>
  <c r="DR220" i="3"/>
  <c r="CH220" i="3" s="1"/>
  <c r="DN220" i="3"/>
  <c r="CD220" i="3" s="1"/>
  <c r="DL220" i="3"/>
  <c r="CB220" i="3" s="1"/>
  <c r="BU220" i="3"/>
  <c r="DR219" i="3"/>
  <c r="CH219" i="3" s="1"/>
  <c r="DN219" i="3"/>
  <c r="CD219" i="3" s="1"/>
  <c r="DL219" i="3"/>
  <c r="CB219" i="3" s="1"/>
  <c r="BU219" i="3"/>
  <c r="DR222" i="3"/>
  <c r="CH222" i="3" s="1"/>
  <c r="DN222" i="3"/>
  <c r="CD222" i="3" s="1"/>
  <c r="DL222" i="3"/>
  <c r="CB222" i="3" s="1"/>
  <c r="BU222" i="3"/>
  <c r="DR215" i="3"/>
  <c r="CH215" i="3" s="1"/>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CG222" i="3" s="1"/>
  <c r="DQ219" i="3"/>
  <c r="CG219" i="3" s="1"/>
  <c r="DM215" i="3"/>
  <c r="CC215" i="3" s="1"/>
  <c r="DM223" i="3"/>
  <c r="CC223" i="3" s="1"/>
  <c r="DP220" i="3"/>
  <c r="CF220" i="3" s="1"/>
  <c r="DP215" i="3"/>
  <c r="CF215" i="3" s="1"/>
  <c r="DP219" i="3"/>
  <c r="CF219" i="3" s="1"/>
  <c r="DP223" i="3"/>
  <c r="CF223" i="3" s="1"/>
  <c r="DP222" i="3"/>
  <c r="CF222" i="3" s="1"/>
  <c r="DO223" i="3"/>
  <c r="CE223" i="3" s="1"/>
  <c r="DO211" i="3"/>
  <c r="DQ215" i="3" l="1"/>
  <c r="CG215" i="3" s="1"/>
  <c r="DQ220" i="3"/>
  <c r="CG220" i="3" s="1"/>
  <c r="DO215" i="3"/>
  <c r="CE215" i="3" s="1"/>
  <c r="DO222" i="3"/>
  <c r="CE222" i="3" s="1"/>
  <c r="DO219" i="3"/>
  <c r="CE219" i="3" s="1"/>
  <c r="DO220" i="3"/>
  <c r="CE220" i="3" s="1"/>
  <c r="DQ223" i="3"/>
  <c r="CG223" i="3" s="1"/>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CF190" i="3" s="1"/>
  <c r="DP184" i="3"/>
  <c r="CF184" i="3" s="1"/>
  <c r="DP185" i="3"/>
  <c r="CF185" i="3" s="1"/>
  <c r="DP186" i="3"/>
  <c r="CF186" i="3" s="1"/>
  <c r="DP188" i="3"/>
  <c r="CF188" i="3" s="1"/>
  <c r="DP189" i="3"/>
  <c r="DP187" i="3"/>
  <c r="CF187" i="3" s="1"/>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CF195" i="3" s="1"/>
  <c r="DP194" i="3"/>
  <c r="CF194" i="3" s="1"/>
  <c r="CF199" i="3" s="1"/>
  <c r="DP196" i="3"/>
  <c r="CF196" i="3" s="1"/>
  <c r="DP199" i="3"/>
  <c r="DP197" i="3"/>
  <c r="CF197" i="3" s="1"/>
  <c r="DP198" i="3"/>
  <c r="CF198" i="3" s="1"/>
  <c r="DP206" i="3"/>
  <c r="CF206" i="3" s="1"/>
  <c r="DP207" i="3"/>
  <c r="DP204" i="3"/>
  <c r="CF204" i="3" s="1"/>
  <c r="DP205" i="3"/>
  <c r="CF205" i="3" s="1"/>
  <c r="DM205" i="3"/>
  <c r="DM206" i="3"/>
  <c r="DM204" i="3"/>
  <c r="CC204" i="3" s="1"/>
  <c r="DM207" i="3"/>
  <c r="CF189" i="3" l="1"/>
  <c r="DO177" i="3"/>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CG194" i="3" s="1"/>
  <c r="CG199" i="3" s="1"/>
  <c r="DQ195" i="3"/>
  <c r="CG195" i="3" s="1"/>
  <c r="DQ196" i="3"/>
  <c r="CG196" i="3" s="1"/>
  <c r="DQ197" i="3"/>
  <c r="CG197" i="3" s="1"/>
  <c r="DQ198" i="3"/>
  <c r="CG198" i="3" s="1"/>
  <c r="DQ200" i="3"/>
  <c r="DQ199" i="3"/>
  <c r="DO164" i="3"/>
  <c r="DO166" i="3"/>
  <c r="DO165" i="3"/>
  <c r="DO159" i="3"/>
  <c r="CE159" i="3" s="1"/>
  <c r="DO162" i="3"/>
  <c r="CE162" i="3" s="1"/>
  <c r="DO163" i="3"/>
  <c r="DO205" i="3"/>
  <c r="DO207" i="3"/>
  <c r="DO206" i="3"/>
  <c r="DO204" i="3"/>
  <c r="CE204" i="3" s="1"/>
  <c r="DQ207" i="3"/>
  <c r="DQ206" i="3"/>
  <c r="CG206" i="3" s="1"/>
  <c r="DQ205" i="3"/>
  <c r="CG205" i="3" s="1"/>
  <c r="DQ204" i="3"/>
  <c r="CG204" i="3" s="1"/>
  <c r="CH204" i="3" s="1"/>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CG185" i="3" s="1"/>
  <c r="DQ184" i="3"/>
  <c r="CG184" i="3" s="1"/>
  <c r="DQ186" i="3"/>
  <c r="CG186" i="3" s="1"/>
  <c r="DQ189" i="3"/>
  <c r="DQ190" i="3"/>
  <c r="CG190" i="3" s="1"/>
  <c r="DQ187" i="3"/>
  <c r="CG187" i="3" s="1"/>
  <c r="DQ188" i="3"/>
  <c r="CG188" i="3" s="1"/>
  <c r="DQ178" i="3"/>
  <c r="CG178" i="3" s="1"/>
  <c r="DQ179" i="3"/>
  <c r="CG179" i="3" s="1"/>
  <c r="DQ180" i="3"/>
  <c r="CG180" i="3" s="1"/>
  <c r="DQ181" i="3"/>
  <c r="CG181" i="3" s="1"/>
  <c r="DQ175" i="3"/>
  <c r="CG175" i="3" s="1"/>
  <c r="CG189" i="3" l="1"/>
  <c r="CE189" i="3"/>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CF191" i="3"/>
  <c r="CG191" i="3"/>
  <c r="CH191" i="3"/>
  <c r="DL224" i="3"/>
  <c r="CB224" i="3" s="1"/>
  <c r="DM224" i="3"/>
  <c r="CC224" i="3" s="1"/>
  <c r="DN224" i="3"/>
  <c r="CD224" i="3" s="1"/>
  <c r="DO224" i="3"/>
  <c r="CE224" i="3" s="1"/>
  <c r="DP224" i="3"/>
  <c r="CF224" i="3" s="1"/>
  <c r="DQ224" i="3"/>
  <c r="CG224" i="3" s="1"/>
  <c r="DR224" i="3"/>
  <c r="CH224" i="3" s="1"/>
  <c r="CB211" i="3"/>
  <c r="CC211" i="3"/>
  <c r="CD211" i="3"/>
  <c r="CE211" i="3"/>
  <c r="CF211" i="3"/>
  <c r="CG211" i="3"/>
  <c r="CH211" i="3"/>
  <c r="DL213" i="3"/>
  <c r="CB213" i="3" s="1"/>
  <c r="DM213" i="3"/>
  <c r="CC213" i="3" s="1"/>
  <c r="DN213" i="3"/>
  <c r="CD213" i="3" s="1"/>
  <c r="DO213" i="3"/>
  <c r="CE213" i="3" s="1"/>
  <c r="DP213" i="3"/>
  <c r="CF213" i="3" s="1"/>
  <c r="DQ213" i="3"/>
  <c r="CG213" i="3" s="1"/>
  <c r="DR213" i="3"/>
  <c r="CH213" i="3" s="1"/>
  <c r="DL216" i="3"/>
  <c r="CB216" i="3" s="1"/>
  <c r="DM216" i="3"/>
  <c r="CC216" i="3" s="1"/>
  <c r="DN216" i="3"/>
  <c r="CD216" i="3" s="1"/>
  <c r="DO216" i="3"/>
  <c r="CE216" i="3" s="1"/>
  <c r="DP216" i="3"/>
  <c r="CF216" i="3" s="1"/>
  <c r="DQ216" i="3"/>
  <c r="CG216" i="3" s="1"/>
  <c r="DR216" i="3"/>
  <c r="CH216" i="3" s="1"/>
  <c r="DL217" i="3"/>
  <c r="CB217" i="3" s="1"/>
  <c r="DM217" i="3"/>
  <c r="CC217" i="3" s="1"/>
  <c r="DN217" i="3"/>
  <c r="CD217" i="3" s="1"/>
  <c r="DO217" i="3"/>
  <c r="CE217" i="3" s="1"/>
  <c r="DP217" i="3"/>
  <c r="CF217" i="3" s="1"/>
  <c r="DQ217" i="3"/>
  <c r="CG217" i="3" s="1"/>
  <c r="DR217" i="3"/>
  <c r="CH217" i="3" s="1"/>
  <c r="DL212" i="3"/>
  <c r="CB212" i="3" s="1"/>
  <c r="DM212" i="3"/>
  <c r="CC212" i="3" s="1"/>
  <c r="DN212" i="3"/>
  <c r="CD212" i="3" s="1"/>
  <c r="DO212" i="3"/>
  <c r="CE212" i="3" s="1"/>
  <c r="DP212" i="3"/>
  <c r="CF212" i="3" s="1"/>
  <c r="DQ212" i="3"/>
  <c r="CG212" i="3" s="1"/>
  <c r="DR212" i="3"/>
  <c r="CH212" i="3" s="1"/>
  <c r="DL214" i="3"/>
  <c r="CB214" i="3" s="1"/>
  <c r="DM214" i="3"/>
  <c r="CC214" i="3" s="1"/>
  <c r="DN214" i="3"/>
  <c r="CD214" i="3" s="1"/>
  <c r="DO214" i="3"/>
  <c r="CE214" i="3" s="1"/>
  <c r="DP214" i="3"/>
  <c r="CF214" i="3" s="1"/>
  <c r="DQ214" i="3"/>
  <c r="CG214" i="3" s="1"/>
  <c r="DR214" i="3"/>
  <c r="CH214" i="3" s="1"/>
  <c r="DL218" i="3"/>
  <c r="CB218" i="3" s="1"/>
  <c r="DM218" i="3"/>
  <c r="CC218" i="3" s="1"/>
  <c r="DN218" i="3"/>
  <c r="CD218" i="3" s="1"/>
  <c r="DO218" i="3"/>
  <c r="CE218" i="3" s="1"/>
  <c r="DP218" i="3"/>
  <c r="CF218" i="3" s="1"/>
  <c r="DQ218" i="3"/>
  <c r="CG218" i="3" s="1"/>
  <c r="DR218" i="3"/>
  <c r="CH218" i="3" s="1"/>
  <c r="DL221" i="3"/>
  <c r="CB221" i="3" s="1"/>
  <c r="DM221" i="3"/>
  <c r="CC221" i="3" s="1"/>
  <c r="DN221" i="3"/>
  <c r="CD221" i="3" s="1"/>
  <c r="DO221" i="3"/>
  <c r="CE221" i="3" s="1"/>
  <c r="DP221" i="3"/>
  <c r="CF221" i="3" s="1"/>
  <c r="DQ221" i="3"/>
  <c r="CG221" i="3" s="1"/>
  <c r="DR221" i="3"/>
  <c r="CH221" i="3" s="1"/>
  <c r="DL225" i="3"/>
  <c r="CB225" i="3" s="1"/>
  <c r="DR225" i="3"/>
  <c r="CH225"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CF225" i="3" s="1"/>
  <c r="DP234" i="3"/>
  <c r="CF234" i="3" s="1"/>
  <c r="DP228" i="3"/>
  <c r="CF228" i="3" s="1"/>
  <c r="DP230" i="3"/>
  <c r="CF230" i="3" s="1"/>
  <c r="DP229" i="3"/>
  <c r="CF229" i="3" s="1"/>
  <c r="DP231" i="3"/>
  <c r="CF231" i="3" s="1"/>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CG231" i="3" s="1"/>
  <c r="DQ225" i="3"/>
  <c r="CG225" i="3" s="1"/>
  <c r="DQ226" i="3"/>
  <c r="CG226" i="3" s="1"/>
  <c r="DQ227" i="3"/>
  <c r="CG227" i="3" s="1"/>
  <c r="DQ228" i="3"/>
  <c r="CG228" i="3" s="1"/>
  <c r="DO227" i="3"/>
  <c r="CE227" i="3" s="1"/>
  <c r="DQ229" i="3"/>
  <c r="CG229" i="3" s="1"/>
  <c r="DO229" i="3"/>
  <c r="CE229" i="3" s="1"/>
  <c r="DQ230" i="3"/>
  <c r="CG230" i="3" s="1"/>
  <c r="DO231" i="3"/>
  <c r="CE231" i="3" s="1"/>
  <c r="DP227" i="3"/>
  <c r="CF227" i="3" s="1"/>
  <c r="DP226" i="3"/>
  <c r="CF226" i="3" s="1"/>
  <c r="DP232" i="3"/>
  <c r="CF232" i="3" s="1"/>
  <c r="DP233" i="3"/>
  <c r="CF233" i="3" s="1"/>
  <c r="DO226" i="3" l="1"/>
  <c r="CE226" i="3" s="1"/>
  <c r="DO228" i="3"/>
  <c r="CE228" i="3" s="1"/>
  <c r="DQ234" i="3"/>
  <c r="CG234" i="3" s="1"/>
  <c r="DQ232" i="3"/>
  <c r="CG232" i="3" s="1"/>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<sst xmlns="http://schemas.openxmlformats.org/spreadsheetml/2006/main" count="10334" uniqueCount="2096">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</sst>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109375" defaultRowHeight="14.4" x14ac:dyDescent="0.3"/>
  <cols>
    <col min="1" max="1" width="3.88671875" style="14" customWidth="1"/>
    <col min="2" max="3" width="3.109375" style="14" customWidth="1"/>
    <col min="4" max="4" width="4.88671875" style="14" customWidth="1"/>
    <col min="5" max="5" width="77.88671875" style="14" customWidth="1"/>
    <col min="6" max="16384" width="9.109375" style="14"/>
  </cols>
  <sheetData>
    <row r="2" spans="2:7" ht="9.75" customHeight="1" x14ac:dyDescent="0.3">
      <c r="B2" s="1"/>
      <c r="C2" s="1"/>
      <c r="D2" s="1"/>
      <c r="E2" s="1"/>
      <c r="F2" s="1"/>
      <c r="G2" s="1"/>
    </row>
    <row r="3" spans="2:7" ht="21" x14ac:dyDescent="0.4">
      <c r="B3" s="1"/>
      <c r="C3" s="81" t="s">
        <v>0</v>
      </c>
      <c r="D3" s="81"/>
      <c r="E3" s="1"/>
      <c r="F3" s="1"/>
      <c r="G3" s="1"/>
    </row>
    <row r="4" spans="2:7" ht="13.5" customHeight="1" x14ac:dyDescent="0.4">
      <c r="B4" s="1"/>
      <c r="C4" s="1"/>
      <c r="D4" s="81"/>
      <c r="E4" s="1"/>
      <c r="F4" s="1"/>
      <c r="G4" s="1"/>
    </row>
    <row r="5" spans="2:7" x14ac:dyDescent="0.3">
      <c r="B5" s="1"/>
      <c r="C5" s="1"/>
      <c r="D5" s="1" t="s">
        <v>1</v>
      </c>
      <c r="E5" s="1"/>
      <c r="F5" s="1"/>
      <c r="G5" s="1"/>
    </row>
    <row r="6" spans="2:7" x14ac:dyDescent="0.3">
      <c r="B6" s="1"/>
      <c r="C6" s="1"/>
      <c r="D6" s="1"/>
      <c r="E6" s="1" t="s">
        <v>2</v>
      </c>
      <c r="F6" s="1"/>
      <c r="G6" s="1"/>
    </row>
    <row r="7" spans="2:7" x14ac:dyDescent="0.3">
      <c r="B7" s="1"/>
      <c r="C7" s="1"/>
      <c r="D7" s="1"/>
      <c r="E7" s="1" t="s">
        <v>3</v>
      </c>
      <c r="F7" s="1"/>
      <c r="G7" s="1"/>
    </row>
    <row r="8" spans="2:7" x14ac:dyDescent="0.3">
      <c r="B8" s="1"/>
      <c r="C8" s="1"/>
      <c r="D8" s="1"/>
      <c r="E8" s="1" t="s">
        <v>4</v>
      </c>
      <c r="F8" s="1"/>
      <c r="G8" s="1"/>
    </row>
    <row r="9" spans="2:7" x14ac:dyDescent="0.3">
      <c r="B9" s="1"/>
      <c r="C9" s="1"/>
      <c r="D9" s="1"/>
      <c r="E9" s="1" t="s">
        <v>5</v>
      </c>
      <c r="F9" s="1"/>
      <c r="G9" s="1"/>
    </row>
    <row r="10" spans="2:7" x14ac:dyDescent="0.3">
      <c r="B10" s="1"/>
      <c r="C10" s="1"/>
      <c r="D10" s="1"/>
      <c r="E10" s="1"/>
      <c r="F10" s="1"/>
      <c r="G10" s="1"/>
    </row>
    <row r="11" spans="2:7" x14ac:dyDescent="0.3">
      <c r="B11" s="1"/>
      <c r="C11" s="1"/>
      <c r="D11" s="1" t="s">
        <v>6</v>
      </c>
      <c r="E11" s="1"/>
      <c r="F11" s="1"/>
      <c r="G11" s="1"/>
    </row>
    <row r="12" spans="2:7" x14ac:dyDescent="0.3">
      <c r="B12" s="1"/>
      <c r="C12" s="1"/>
      <c r="D12" s="1"/>
      <c r="E12" s="82" t="s">
        <v>7</v>
      </c>
      <c r="F12" s="1"/>
      <c r="G12" s="1"/>
    </row>
    <row r="13" spans="2:7" x14ac:dyDescent="0.3">
      <c r="B13" s="1"/>
      <c r="C13" s="1"/>
      <c r="D13" s="1"/>
      <c r="E13" s="82" t="s">
        <v>8</v>
      </c>
      <c r="F13" s="1"/>
      <c r="G13" s="1"/>
    </row>
    <row r="14" spans="2:7" x14ac:dyDescent="0.3">
      <c r="B14" s="1"/>
      <c r="C14" s="1"/>
      <c r="D14" s="1"/>
      <c r="E14" s="82"/>
      <c r="F14" s="1"/>
      <c r="G14" s="1"/>
    </row>
    <row r="15" spans="2:7" x14ac:dyDescent="0.3">
      <c r="B15" s="1"/>
      <c r="C15" s="1"/>
      <c r="D15" s="1"/>
      <c r="E15" s="1"/>
      <c r="F15" s="1"/>
      <c r="G15" s="1"/>
    </row>
    <row r="16" spans="2:7" x14ac:dyDescent="0.3">
      <c r="B16" s="1"/>
      <c r="C16" s="1"/>
      <c r="D16" s="1" t="s">
        <v>9</v>
      </c>
      <c r="E16" s="1"/>
      <c r="F16" s="1"/>
      <c r="G16" s="1"/>
    </row>
    <row r="17" spans="2:7" ht="156" customHeight="1" x14ac:dyDescent="0.3">
      <c r="B17" s="1"/>
      <c r="C17" s="1"/>
      <c r="D17" s="1"/>
      <c r="E17" s="92" t="s">
        <v>10</v>
      </c>
      <c r="F17" s="1"/>
      <c r="G17" s="1"/>
    </row>
    <row r="18" spans="2:7" x14ac:dyDescent="0.3">
      <c r="B18" s="1"/>
      <c r="C18" s="1"/>
      <c r="D18" s="1"/>
      <c r="E18" s="1"/>
      <c r="F18" s="1"/>
      <c r="G18" s="1"/>
    </row>
    <row r="19" spans="2:7" x14ac:dyDescent="0.3">
      <c r="B19" s="1"/>
      <c r="C19" s="1"/>
      <c r="D19" s="1" t="s">
        <v>11</v>
      </c>
      <c r="E19" s="1"/>
      <c r="F19" s="1"/>
      <c r="G19" s="1"/>
    </row>
    <row r="20" spans="2:7" x14ac:dyDescent="0.3">
      <c r="B20" s="1"/>
      <c r="C20" s="1"/>
      <c r="D20" s="1"/>
      <c r="E20" s="83" t="s">
        <v>12</v>
      </c>
      <c r="F20" s="1"/>
      <c r="G20" s="1"/>
    </row>
    <row r="21" spans="2:7" x14ac:dyDescent="0.3">
      <c r="B21" s="1"/>
      <c r="C21" s="1"/>
      <c r="D21" s="1"/>
      <c r="E21" s="1"/>
      <c r="F21" s="1"/>
      <c r="G21" s="1"/>
    </row>
    <row r="22" spans="2:7" x14ac:dyDescent="0.3">
      <c r="B22" s="1"/>
      <c r="C22" s="1"/>
      <c r="D22" s="1" t="s">
        <v>13</v>
      </c>
      <c r="E22" s="1"/>
      <c r="F22" s="1"/>
      <c r="G22" s="1"/>
    </row>
    <row r="23" spans="2:7" ht="178.5" customHeight="1" x14ac:dyDescent="0.3">
      <c r="B23" s="1"/>
      <c r="C23" s="1"/>
      <c r="D23" s="1"/>
      <c r="E23" s="111"/>
      <c r="F23" s="1"/>
      <c r="G23" s="1"/>
    </row>
    <row r="24" spans="2:7" x14ac:dyDescent="0.3">
      <c r="B24" s="1"/>
      <c r="C24" s="1"/>
      <c r="D24" s="1"/>
      <c r="E24" s="1"/>
      <c r="F24" s="1"/>
      <c r="G24" s="1"/>
    </row>
    <row r="25" spans="2:7" x14ac:dyDescent="0.3">
      <c r="B25" s="1"/>
      <c r="C25" s="1"/>
      <c r="D25" s="1"/>
      <c r="E25" s="1"/>
      <c r="F25" s="1"/>
      <c r="G25" s="1"/>
    </row>
    <row r="26" spans="2:7" x14ac:dyDescent="0.3">
      <c r="B26" s="1"/>
      <c r="C26" s="1"/>
      <c r="D26" s="1"/>
      <c r="E26" s="1"/>
      <c r="F26" s="1"/>
      <c r="G26" s="1"/>
    </row>
    <row r="27" spans="2:7" x14ac:dyDescent="0.3">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109375" defaultRowHeight="14.4" x14ac:dyDescent="0.3"/>
  <cols>
    <col min="1" max="1" width="4.109375" style="1" bestFit="1" customWidth="1"/>
    <col min="2" max="2" width="29.88671875" style="1" customWidth="1"/>
    <col min="3" max="3" width="244.109375" style="1" bestFit="1" customWidth="1"/>
    <col min="4" max="4" width="9.88671875" style="1" bestFit="1" customWidth="1"/>
    <col min="5" max="5" width="31.109375" style="1" bestFit="1" customWidth="1"/>
    <col min="6" max="6" width="57" style="1" customWidth="1"/>
    <col min="7" max="7" width="9.109375" style="1"/>
    <col min="8" max="8" width="11.88671875" style="1" customWidth="1"/>
    <col min="9" max="9" width="19.109375" style="1" bestFit="1" customWidth="1"/>
    <col min="10" max="10" width="11.109375" style="1" bestFit="1" customWidth="1"/>
    <col min="11" max="16384" width="9.109375" style="1"/>
  </cols>
  <sheetData>
    <row r="1" spans="1:10" ht="15" customHeight="1" x14ac:dyDescent="0.3">
      <c r="A1" s="411" t="s">
        <v>14</v>
      </c>
      <c r="B1" s="411"/>
      <c r="C1" s="411"/>
      <c r="D1" s="411"/>
      <c r="E1" s="411"/>
      <c r="F1" s="411"/>
      <c r="H1" s="411" t="s">
        <v>15</v>
      </c>
      <c r="I1" s="411"/>
      <c r="J1" s="411"/>
    </row>
    <row r="2" spans="1:10" x14ac:dyDescent="0.3">
      <c r="A2" s="11"/>
      <c r="B2" s="11"/>
      <c r="C2" s="412"/>
      <c r="D2" s="412"/>
      <c r="E2" s="412"/>
      <c r="F2" s="11"/>
      <c r="H2" s="11" t="s">
        <v>16</v>
      </c>
      <c r="I2" s="11"/>
      <c r="J2" s="84" t="s">
        <v>17</v>
      </c>
    </row>
    <row r="3" spans="1:10" x14ac:dyDescent="0.3">
      <c r="A3" s="12" t="s">
        <v>18</v>
      </c>
      <c r="B3" s="12" t="s">
        <v>19</v>
      </c>
      <c r="C3" s="12" t="s">
        <v>20</v>
      </c>
      <c r="D3" s="12" t="s">
        <v>21</v>
      </c>
      <c r="E3" s="12" t="s">
        <v>22</v>
      </c>
      <c r="F3" s="12" t="s">
        <v>23</v>
      </c>
      <c r="H3" s="12" t="s">
        <v>24</v>
      </c>
      <c r="I3" s="12" t="s">
        <v>25</v>
      </c>
      <c r="J3" s="85" t="s">
        <v>26</v>
      </c>
    </row>
    <row r="4" spans="1:10" ht="13.5" customHeight="1" x14ac:dyDescent="0.3">
      <c r="A4" s="33">
        <v>1</v>
      </c>
      <c r="B4" s="33" t="s">
        <v>27</v>
      </c>
      <c r="C4" s="33" t="s">
        <v>28</v>
      </c>
      <c r="D4" s="108">
        <v>2015</v>
      </c>
      <c r="E4" s="33" t="s">
        <v>29</v>
      </c>
      <c r="F4" s="86" t="s">
        <v>30</v>
      </c>
      <c r="G4" s="1" t="s">
        <v>31</v>
      </c>
      <c r="H4" s="33">
        <v>2010</v>
      </c>
      <c r="I4" s="87">
        <v>0.88715400993612492</v>
      </c>
      <c r="J4" s="79" t="s">
        <v>32</v>
      </c>
    </row>
    <row r="5" spans="1:10" x14ac:dyDescent="0.3">
      <c r="A5" s="14">
        <v>2</v>
      </c>
      <c r="B5" s="14" t="s">
        <v>33</v>
      </c>
      <c r="C5" s="14" t="s">
        <v>34</v>
      </c>
      <c r="D5" s="109">
        <v>2020</v>
      </c>
      <c r="E5" s="14" t="s">
        <v>29</v>
      </c>
      <c r="F5" s="88" t="s">
        <v>35</v>
      </c>
      <c r="G5" s="1" t="s">
        <v>31</v>
      </c>
      <c r="H5" s="14">
        <v>2011</v>
      </c>
      <c r="I5" s="89">
        <v>0.90684882895670693</v>
      </c>
      <c r="J5" s="80" t="s">
        <v>32</v>
      </c>
    </row>
    <row r="6" spans="1:10" ht="13.5" customHeight="1" x14ac:dyDescent="0.3">
      <c r="A6" s="33">
        <v>3</v>
      </c>
      <c r="B6" s="33" t="s">
        <v>36</v>
      </c>
      <c r="C6" s="33" t="s">
        <v>37</v>
      </c>
      <c r="D6" s="108">
        <v>2019</v>
      </c>
      <c r="E6" s="86" t="s">
        <v>38</v>
      </c>
      <c r="F6" s="90" t="s">
        <v>29</v>
      </c>
      <c r="G6" s="1" t="s">
        <v>31</v>
      </c>
      <c r="H6" s="33">
        <v>2012</v>
      </c>
      <c r="I6" s="87">
        <v>0.93186657203690559</v>
      </c>
      <c r="J6" s="79" t="s">
        <v>32</v>
      </c>
    </row>
    <row r="7" spans="1:10" x14ac:dyDescent="0.3">
      <c r="A7" s="14">
        <v>4</v>
      </c>
      <c r="B7" s="14" t="s">
        <v>36</v>
      </c>
      <c r="C7" s="14" t="s">
        <v>39</v>
      </c>
      <c r="D7" s="109">
        <v>2019</v>
      </c>
      <c r="E7" s="88" t="s">
        <v>40</v>
      </c>
      <c r="F7" s="51" t="s">
        <v>29</v>
      </c>
      <c r="G7" s="1" t="s">
        <v>31</v>
      </c>
      <c r="H7" s="14">
        <v>2013</v>
      </c>
      <c r="I7" s="89">
        <v>0.95253726046841747</v>
      </c>
      <c r="J7" s="80" t="s">
        <v>32</v>
      </c>
    </row>
    <row r="8" spans="1:10" ht="13.5" customHeight="1" x14ac:dyDescent="0.3">
      <c r="A8" s="33">
        <v>5</v>
      </c>
      <c r="B8" s="33" t="s">
        <v>36</v>
      </c>
      <c r="C8" s="33" t="s">
        <v>39</v>
      </c>
      <c r="D8" s="108">
        <v>2019</v>
      </c>
      <c r="E8" s="33" t="s">
        <v>41</v>
      </c>
      <c r="F8" s="90" t="s">
        <v>29</v>
      </c>
      <c r="G8" s="1" t="s">
        <v>31</v>
      </c>
      <c r="H8" s="33">
        <v>2014</v>
      </c>
      <c r="I8" s="87">
        <v>0.96061036195883609</v>
      </c>
      <c r="J8" s="79" t="s">
        <v>32</v>
      </c>
    </row>
    <row r="9" spans="1:10" x14ac:dyDescent="0.3">
      <c r="A9" s="14">
        <v>6</v>
      </c>
      <c r="B9" s="14" t="s">
        <v>36</v>
      </c>
      <c r="C9" s="14" t="s">
        <v>39</v>
      </c>
      <c r="D9" s="109">
        <v>2019</v>
      </c>
      <c r="E9" s="14" t="s">
        <v>42</v>
      </c>
      <c r="F9" s="14" t="s">
        <v>29</v>
      </c>
      <c r="G9" s="1" t="s">
        <v>31</v>
      </c>
      <c r="H9" s="14">
        <v>2015</v>
      </c>
      <c r="I9" s="89">
        <v>0.95892476933995741</v>
      </c>
      <c r="J9" s="80" t="s">
        <v>32</v>
      </c>
    </row>
    <row r="10" spans="1:10" ht="13.5" customHeight="1" x14ac:dyDescent="0.3">
      <c r="A10" s="33">
        <v>7</v>
      </c>
      <c r="B10" s="33" t="s">
        <v>43</v>
      </c>
      <c r="C10" s="33" t="s">
        <v>44</v>
      </c>
      <c r="D10" s="108">
        <v>2015</v>
      </c>
      <c r="E10" s="33" t="s">
        <v>29</v>
      </c>
      <c r="F10" s="86" t="s">
        <v>45</v>
      </c>
      <c r="G10" s="1" t="s">
        <v>31</v>
      </c>
      <c r="H10" s="33">
        <v>2016</v>
      </c>
      <c r="I10" s="87">
        <v>0.96132008516678491</v>
      </c>
      <c r="J10" s="79" t="s">
        <v>32</v>
      </c>
    </row>
    <row r="11" spans="1:10" x14ac:dyDescent="0.3">
      <c r="A11" s="14">
        <v>8</v>
      </c>
      <c r="B11" s="14" t="s">
        <v>46</v>
      </c>
      <c r="C11" s="14" t="s">
        <v>47</v>
      </c>
      <c r="D11" s="109">
        <v>2020</v>
      </c>
      <c r="E11" s="88" t="s">
        <v>48</v>
      </c>
      <c r="F11" s="51" t="s">
        <v>29</v>
      </c>
      <c r="G11" s="1" t="s">
        <v>31</v>
      </c>
      <c r="H11" s="14">
        <v>2017</v>
      </c>
      <c r="I11" s="89">
        <v>0.97187721788502479</v>
      </c>
      <c r="J11" s="80" t="s">
        <v>32</v>
      </c>
    </row>
    <row r="12" spans="1:10" ht="13.5" customHeight="1" x14ac:dyDescent="0.3">
      <c r="A12" s="33">
        <v>9</v>
      </c>
      <c r="B12" s="33" t="s">
        <v>49</v>
      </c>
      <c r="C12" s="33" t="s">
        <v>50</v>
      </c>
      <c r="D12" s="108">
        <v>2015</v>
      </c>
      <c r="E12" s="33" t="s">
        <v>29</v>
      </c>
      <c r="F12" s="86" t="s">
        <v>51</v>
      </c>
      <c r="G12" s="1" t="s">
        <v>31</v>
      </c>
      <c r="H12" s="33">
        <v>2018</v>
      </c>
      <c r="I12" s="87">
        <v>0.98500709723207958</v>
      </c>
      <c r="J12" s="79" t="s">
        <v>32</v>
      </c>
    </row>
    <row r="13" spans="1:10" x14ac:dyDescent="0.3">
      <c r="A13" s="14">
        <v>10</v>
      </c>
      <c r="B13" s="14" t="s">
        <v>52</v>
      </c>
      <c r="C13" s="14" t="s">
        <v>53</v>
      </c>
      <c r="D13" s="109">
        <v>2016</v>
      </c>
      <c r="E13" s="14" t="s">
        <v>29</v>
      </c>
      <c r="F13" s="88" t="s">
        <v>52</v>
      </c>
      <c r="G13" s="1" t="s">
        <v>31</v>
      </c>
      <c r="H13" s="14">
        <v>2019</v>
      </c>
      <c r="I13" s="89">
        <v>1</v>
      </c>
      <c r="J13" s="80" t="s">
        <v>32</v>
      </c>
    </row>
    <row r="14" spans="1:10" ht="13.35" customHeight="1" x14ac:dyDescent="0.3">
      <c r="A14" s="33">
        <v>11</v>
      </c>
      <c r="B14" s="33" t="s">
        <v>54</v>
      </c>
      <c r="C14" s="95" t="s">
        <v>55</v>
      </c>
      <c r="D14" s="108">
        <v>2019</v>
      </c>
      <c r="E14" s="86" t="s">
        <v>56</v>
      </c>
      <c r="F14" s="86" t="s">
        <v>57</v>
      </c>
      <c r="G14" s="1" t="s">
        <v>31</v>
      </c>
    </row>
    <row r="15" spans="1:10" ht="13.5" customHeight="1" x14ac:dyDescent="0.3">
      <c r="A15" s="14">
        <v>12</v>
      </c>
      <c r="B15" s="14" t="s">
        <v>58</v>
      </c>
      <c r="C15" s="100" t="s">
        <v>59</v>
      </c>
      <c r="D15" s="109">
        <v>2019</v>
      </c>
      <c r="E15" s="88" t="s">
        <v>56</v>
      </c>
      <c r="F15" s="88" t="s">
        <v>57</v>
      </c>
      <c r="G15" s="1" t="s">
        <v>31</v>
      </c>
    </row>
    <row r="16" spans="1:10" ht="13.5" customHeight="1" x14ac:dyDescent="0.3">
      <c r="A16" s="33">
        <v>13</v>
      </c>
      <c r="B16" s="33" t="s">
        <v>60</v>
      </c>
      <c r="C16" s="33" t="s">
        <v>61</v>
      </c>
      <c r="D16" s="108">
        <v>2019</v>
      </c>
      <c r="E16" s="33"/>
      <c r="F16" s="86" t="s">
        <v>62</v>
      </c>
      <c r="G16" s="1" t="s">
        <v>31</v>
      </c>
    </row>
    <row r="17" spans="1:7" ht="13.5" customHeight="1" x14ac:dyDescent="0.3">
      <c r="A17" s="14">
        <v>14</v>
      </c>
      <c r="B17" s="14" t="s">
        <v>63</v>
      </c>
      <c r="C17" s="14" t="s">
        <v>64</v>
      </c>
      <c r="D17" s="109">
        <v>2019</v>
      </c>
      <c r="E17" s="14"/>
      <c r="F17" s="88" t="s">
        <v>65</v>
      </c>
      <c r="G17" s="1" t="s">
        <v>31</v>
      </c>
    </row>
    <row r="18" spans="1:7" ht="13.5" customHeight="1" x14ac:dyDescent="0.3">
      <c r="A18" s="33">
        <v>15</v>
      </c>
      <c r="B18" s="33" t="s">
        <v>54</v>
      </c>
      <c r="C18" s="33" t="s">
        <v>66</v>
      </c>
      <c r="D18" s="108">
        <v>2019</v>
      </c>
      <c r="E18" s="86" t="s">
        <v>56</v>
      </c>
      <c r="F18" s="86" t="s">
        <v>57</v>
      </c>
      <c r="G18" s="1" t="s">
        <v>31</v>
      </c>
    </row>
    <row r="19" spans="1:7" ht="13.5" customHeight="1" x14ac:dyDescent="0.3">
      <c r="A19" s="14">
        <v>16</v>
      </c>
      <c r="B19" s="14" t="s">
        <v>67</v>
      </c>
      <c r="C19" s="14" t="s">
        <v>68</v>
      </c>
      <c r="D19" s="109">
        <v>2018</v>
      </c>
      <c r="E19" s="14" t="s">
        <v>29</v>
      </c>
      <c r="F19" s="88" t="s">
        <v>69</v>
      </c>
      <c r="G19" s="1" t="s">
        <v>31</v>
      </c>
    </row>
    <row r="20" spans="1:7" ht="13.5" customHeight="1" x14ac:dyDescent="0.3">
      <c r="A20" s="33">
        <v>17</v>
      </c>
      <c r="B20" s="33" t="s">
        <v>70</v>
      </c>
      <c r="C20" s="33" t="s">
        <v>71</v>
      </c>
      <c r="D20" s="108">
        <v>2019</v>
      </c>
      <c r="E20" s="86" t="s">
        <v>56</v>
      </c>
      <c r="F20" s="86" t="s">
        <v>72</v>
      </c>
      <c r="G20" s="1" t="s">
        <v>31</v>
      </c>
    </row>
    <row r="21" spans="1:7" ht="13.5" customHeight="1" x14ac:dyDescent="0.3">
      <c r="A21" s="14">
        <v>18</v>
      </c>
      <c r="B21" s="14" t="s">
        <v>73</v>
      </c>
      <c r="C21" s="14" t="s">
        <v>74</v>
      </c>
      <c r="D21" s="109">
        <v>2019</v>
      </c>
      <c r="E21" s="88" t="s">
        <v>75</v>
      </c>
      <c r="F21" s="88" t="s">
        <v>73</v>
      </c>
      <c r="G21" s="1" t="s">
        <v>31</v>
      </c>
    </row>
    <row r="22" spans="1:7" ht="13.5" customHeight="1" x14ac:dyDescent="0.3">
      <c r="A22" s="33">
        <v>19</v>
      </c>
      <c r="B22" s="33" t="s">
        <v>76</v>
      </c>
      <c r="C22" s="33" t="s">
        <v>77</v>
      </c>
      <c r="D22" s="108">
        <v>2016</v>
      </c>
      <c r="E22" s="86"/>
      <c r="F22" s="86" t="s">
        <v>78</v>
      </c>
      <c r="G22" s="1" t="s">
        <v>31</v>
      </c>
    </row>
    <row r="23" spans="1:7" ht="13.5" customHeight="1" x14ac:dyDescent="0.3">
      <c r="A23" s="14">
        <v>20</v>
      </c>
      <c r="B23" s="14" t="s">
        <v>79</v>
      </c>
      <c r="C23" s="14" t="s">
        <v>80</v>
      </c>
      <c r="D23" s="109">
        <v>2019</v>
      </c>
      <c r="E23" s="88" t="s">
        <v>81</v>
      </c>
      <c r="F23" s="88"/>
      <c r="G23" s="1" t="s">
        <v>31</v>
      </c>
    </row>
    <row r="24" spans="1:7" ht="13.5" customHeight="1" x14ac:dyDescent="0.3">
      <c r="A24" s="33">
        <v>21</v>
      </c>
      <c r="B24" s="33" t="s">
        <v>82</v>
      </c>
      <c r="C24" s="33" t="s">
        <v>83</v>
      </c>
      <c r="D24" s="108">
        <v>2015</v>
      </c>
      <c r="E24" s="86" t="s">
        <v>84</v>
      </c>
      <c r="F24" s="86" t="s">
        <v>85</v>
      </c>
      <c r="G24" s="1" t="s">
        <v>31</v>
      </c>
    </row>
    <row r="25" spans="1:7" ht="13.5" customHeight="1" x14ac:dyDescent="0.3">
      <c r="A25" s="14">
        <v>22</v>
      </c>
      <c r="B25" s="14" t="s">
        <v>86</v>
      </c>
      <c r="C25" s="14" t="s">
        <v>87</v>
      </c>
      <c r="D25" s="109">
        <v>2019</v>
      </c>
      <c r="E25" s="88"/>
      <c r="F25" s="88" t="s">
        <v>88</v>
      </c>
      <c r="G25" s="1" t="s">
        <v>31</v>
      </c>
    </row>
    <row r="26" spans="1:7" ht="13.5" customHeight="1" x14ac:dyDescent="0.3">
      <c r="A26" s="33">
        <v>23</v>
      </c>
      <c r="B26" s="33" t="s">
        <v>89</v>
      </c>
      <c r="C26" s="33" t="s">
        <v>90</v>
      </c>
      <c r="D26" s="108" t="s">
        <v>91</v>
      </c>
      <c r="E26" s="86" t="s">
        <v>92</v>
      </c>
      <c r="F26" s="86" t="s">
        <v>93</v>
      </c>
      <c r="G26" s="1" t="s">
        <v>31</v>
      </c>
    </row>
    <row r="27" spans="1:7" ht="13.5" customHeight="1" x14ac:dyDescent="0.3">
      <c r="A27" s="14">
        <v>24</v>
      </c>
      <c r="B27" s="14" t="s">
        <v>94</v>
      </c>
      <c r="C27" s="14" t="s">
        <v>95</v>
      </c>
      <c r="D27" s="109" t="s">
        <v>96</v>
      </c>
      <c r="E27" s="88" t="s">
        <v>97</v>
      </c>
      <c r="F27" s="88" t="s">
        <v>98</v>
      </c>
      <c r="G27" s="1" t="s">
        <v>31</v>
      </c>
    </row>
    <row r="28" spans="1:7" ht="13.5" customHeight="1" x14ac:dyDescent="0.3">
      <c r="A28" s="33">
        <v>25</v>
      </c>
      <c r="B28" s="33" t="s">
        <v>99</v>
      </c>
      <c r="C28" s="33" t="s">
        <v>100</v>
      </c>
      <c r="D28" s="108">
        <v>2019</v>
      </c>
      <c r="E28" s="86"/>
      <c r="F28" s="86" t="s">
        <v>101</v>
      </c>
      <c r="G28" s="1" t="s">
        <v>31</v>
      </c>
    </row>
    <row r="29" spans="1:7" ht="13.5" customHeight="1" x14ac:dyDescent="0.3">
      <c r="A29" s="14">
        <v>26</v>
      </c>
      <c r="B29" s="14" t="s">
        <v>102</v>
      </c>
      <c r="C29" s="14" t="s">
        <v>103</v>
      </c>
      <c r="D29" s="109">
        <v>2019</v>
      </c>
      <c r="E29" s="88" t="s">
        <v>97</v>
      </c>
      <c r="F29" s="88" t="s">
        <v>104</v>
      </c>
      <c r="G29" s="1" t="s">
        <v>31</v>
      </c>
    </row>
    <row r="30" spans="1:7" ht="13.5" customHeight="1" x14ac:dyDescent="0.3">
      <c r="A30" s="33">
        <v>27</v>
      </c>
      <c r="B30" s="33" t="s">
        <v>105</v>
      </c>
      <c r="C30" s="33" t="s">
        <v>106</v>
      </c>
      <c r="D30" s="108">
        <v>2009</v>
      </c>
      <c r="E30" s="86"/>
      <c r="F30" s="86" t="s">
        <v>104</v>
      </c>
      <c r="G30" s="1" t="s">
        <v>31</v>
      </c>
    </row>
    <row r="31" spans="1:7" ht="13.5" customHeight="1" x14ac:dyDescent="0.3">
      <c r="A31" s="14">
        <v>28</v>
      </c>
      <c r="B31" s="14" t="s">
        <v>107</v>
      </c>
      <c r="C31" s="14" t="s">
        <v>108</v>
      </c>
      <c r="D31" s="109">
        <v>2019</v>
      </c>
      <c r="E31" s="88" t="s">
        <v>109</v>
      </c>
      <c r="F31" s="88"/>
      <c r="G31" s="1" t="s">
        <v>31</v>
      </c>
    </row>
    <row r="32" spans="1:7" ht="13.5" customHeight="1" x14ac:dyDescent="0.3">
      <c r="A32" s="33">
        <v>29</v>
      </c>
      <c r="B32" s="33" t="s">
        <v>110</v>
      </c>
      <c r="C32" s="33" t="s">
        <v>111</v>
      </c>
      <c r="D32" s="108">
        <v>2012</v>
      </c>
      <c r="E32" s="86"/>
      <c r="F32" s="86" t="s">
        <v>112</v>
      </c>
      <c r="G32" s="1" t="s">
        <v>31</v>
      </c>
    </row>
    <row r="33" spans="1:7" ht="13.5" customHeight="1" x14ac:dyDescent="0.3">
      <c r="A33" s="14">
        <v>30</v>
      </c>
      <c r="B33" s="14" t="s">
        <v>113</v>
      </c>
      <c r="C33" s="14" t="s">
        <v>114</v>
      </c>
      <c r="D33" s="109">
        <v>2017</v>
      </c>
      <c r="E33" s="88" t="s">
        <v>115</v>
      </c>
      <c r="F33" s="88" t="s">
        <v>104</v>
      </c>
      <c r="G33" s="1" t="s">
        <v>31</v>
      </c>
    </row>
    <row r="34" spans="1:7" ht="13.5" customHeight="1" x14ac:dyDescent="0.3">
      <c r="A34" s="33">
        <v>31</v>
      </c>
      <c r="B34" s="33" t="s">
        <v>116</v>
      </c>
      <c r="C34" s="33" t="s">
        <v>117</v>
      </c>
      <c r="D34" s="108">
        <v>2018</v>
      </c>
      <c r="E34" s="86"/>
      <c r="F34" s="86" t="s">
        <v>104</v>
      </c>
      <c r="G34" s="1" t="s">
        <v>31</v>
      </c>
    </row>
    <row r="35" spans="1:7" ht="13.5" customHeight="1" x14ac:dyDescent="0.3">
      <c r="A35" s="14">
        <v>32</v>
      </c>
      <c r="B35" s="14" t="s">
        <v>118</v>
      </c>
      <c r="C35" s="14" t="s">
        <v>119</v>
      </c>
      <c r="D35" s="109">
        <v>2017</v>
      </c>
      <c r="E35" s="88"/>
      <c r="F35" s="88" t="s">
        <v>104</v>
      </c>
      <c r="G35" s="1" t="s">
        <v>31</v>
      </c>
    </row>
    <row r="36" spans="1:7" ht="13.5" customHeight="1" x14ac:dyDescent="0.3">
      <c r="A36" s="33">
        <v>33</v>
      </c>
      <c r="B36" s="33" t="s">
        <v>120</v>
      </c>
      <c r="C36" s="33" t="s">
        <v>121</v>
      </c>
      <c r="D36" s="108">
        <v>2020</v>
      </c>
      <c r="E36" s="86" t="s">
        <v>122</v>
      </c>
      <c r="F36" s="86" t="s">
        <v>104</v>
      </c>
      <c r="G36" s="1" t="s">
        <v>31</v>
      </c>
    </row>
    <row r="37" spans="1:7" ht="13.5" customHeight="1" x14ac:dyDescent="0.3">
      <c r="A37" s="14">
        <v>34</v>
      </c>
      <c r="B37" s="14" t="s">
        <v>123</v>
      </c>
      <c r="C37" s="14" t="s">
        <v>124</v>
      </c>
      <c r="D37" s="109">
        <v>2020</v>
      </c>
      <c r="E37" s="88"/>
      <c r="F37" s="88" t="s">
        <v>104</v>
      </c>
      <c r="G37" s="1" t="s">
        <v>31</v>
      </c>
    </row>
    <row r="38" spans="1:7" ht="13.5" customHeight="1" x14ac:dyDescent="0.3">
      <c r="A38" s="33">
        <v>35</v>
      </c>
      <c r="B38" s="33" t="s">
        <v>125</v>
      </c>
      <c r="C38" s="33" t="s">
        <v>126</v>
      </c>
      <c r="D38" s="108">
        <v>2017</v>
      </c>
      <c r="E38" s="86" t="s">
        <v>122</v>
      </c>
      <c r="F38" s="86"/>
    </row>
    <row r="39" spans="1:7" ht="13.5" customHeight="1" x14ac:dyDescent="0.3">
      <c r="A39" s="14">
        <v>36</v>
      </c>
      <c r="B39" s="14" t="s">
        <v>127</v>
      </c>
      <c r="C39" s="14" t="s">
        <v>128</v>
      </c>
      <c r="D39" s="109">
        <v>2019</v>
      </c>
      <c r="E39" s="88" t="s">
        <v>122</v>
      </c>
      <c r="F39" s="88"/>
    </row>
    <row r="40" spans="1:7" ht="13.5" customHeight="1" x14ac:dyDescent="0.3">
      <c r="A40" s="33">
        <v>37</v>
      </c>
      <c r="B40" s="33" t="s">
        <v>129</v>
      </c>
      <c r="C40" s="33" t="s">
        <v>130</v>
      </c>
      <c r="D40" s="108">
        <v>2019</v>
      </c>
      <c r="E40" s="86"/>
      <c r="F40" s="86" t="s">
        <v>131</v>
      </c>
    </row>
    <row r="41" spans="1:7" ht="13.5" customHeight="1" x14ac:dyDescent="0.3">
      <c r="A41" s="14">
        <v>38</v>
      </c>
      <c r="B41" s="14" t="s">
        <v>132</v>
      </c>
      <c r="C41" s="14" t="s">
        <v>133</v>
      </c>
      <c r="D41" s="109">
        <v>2019</v>
      </c>
      <c r="E41" s="88"/>
      <c r="F41" s="88" t="s">
        <v>104</v>
      </c>
    </row>
    <row r="42" spans="1:7" ht="13.5" customHeight="1" x14ac:dyDescent="0.3">
      <c r="A42" s="33">
        <v>39</v>
      </c>
      <c r="B42" s="33" t="s">
        <v>134</v>
      </c>
      <c r="C42" s="33" t="s">
        <v>135</v>
      </c>
      <c r="D42" s="108">
        <v>2019</v>
      </c>
      <c r="E42" s="86"/>
      <c r="F42" s="86" t="s">
        <v>104</v>
      </c>
    </row>
    <row r="43" spans="1:7" ht="13.5" customHeight="1" x14ac:dyDescent="0.3">
      <c r="A43" s="14">
        <v>40</v>
      </c>
      <c r="B43" s="14" t="s">
        <v>136</v>
      </c>
      <c r="C43" s="14" t="s">
        <v>137</v>
      </c>
      <c r="D43" s="109">
        <v>2014</v>
      </c>
      <c r="E43" s="88"/>
      <c r="F43" s="88" t="s">
        <v>104</v>
      </c>
    </row>
    <row r="44" spans="1:7" ht="13.5" customHeight="1" x14ac:dyDescent="0.3">
      <c r="A44" s="33">
        <v>41</v>
      </c>
      <c r="B44" s="33" t="s">
        <v>36</v>
      </c>
      <c r="C44" s="33" t="s">
        <v>138</v>
      </c>
      <c r="D44" s="108">
        <v>2018</v>
      </c>
      <c r="E44" s="86" t="s">
        <v>122</v>
      </c>
      <c r="F44" s="86"/>
    </row>
    <row r="45" spans="1:7" ht="13.5" customHeight="1" x14ac:dyDescent="0.3">
      <c r="A45" s="14">
        <v>42</v>
      </c>
      <c r="B45" s="14" t="s">
        <v>36</v>
      </c>
      <c r="C45" s="14" t="s">
        <v>139</v>
      </c>
      <c r="D45" s="109">
        <v>2018</v>
      </c>
      <c r="E45" s="88" t="s">
        <v>122</v>
      </c>
      <c r="F45" s="88"/>
    </row>
    <row r="46" spans="1:7" ht="13.5" customHeight="1" x14ac:dyDescent="0.3">
      <c r="A46" s="33">
        <v>43</v>
      </c>
      <c r="B46" s="33" t="s">
        <v>140</v>
      </c>
      <c r="C46" s="33" t="s">
        <v>141</v>
      </c>
      <c r="D46" s="108">
        <v>2017</v>
      </c>
      <c r="E46" s="86"/>
      <c r="F46" s="86" t="s">
        <v>104</v>
      </c>
    </row>
    <row r="47" spans="1:7" ht="13.5" customHeight="1" x14ac:dyDescent="0.3">
      <c r="A47" s="14">
        <v>44</v>
      </c>
      <c r="B47" s="14" t="s">
        <v>142</v>
      </c>
      <c r="C47" s="14" t="s">
        <v>143</v>
      </c>
      <c r="D47" s="109">
        <v>2020</v>
      </c>
      <c r="E47" s="88" t="s">
        <v>122</v>
      </c>
      <c r="F47" s="88" t="s">
        <v>104</v>
      </c>
    </row>
    <row r="48" spans="1:7" ht="13.5" customHeight="1" x14ac:dyDescent="0.3">
      <c r="A48" s="33">
        <v>45</v>
      </c>
      <c r="B48" s="33" t="s">
        <v>144</v>
      </c>
      <c r="C48" s="33" t="s">
        <v>145</v>
      </c>
      <c r="D48" s="108">
        <v>2020</v>
      </c>
      <c r="E48" s="86" t="s">
        <v>122</v>
      </c>
      <c r="F48" s="86"/>
    </row>
    <row r="49" spans="1:6" ht="13.5" customHeight="1" x14ac:dyDescent="0.3">
      <c r="A49" s="14">
        <v>46</v>
      </c>
      <c r="B49" s="14" t="s">
        <v>36</v>
      </c>
      <c r="C49" s="14" t="s">
        <v>146</v>
      </c>
      <c r="D49" s="109">
        <v>2019</v>
      </c>
      <c r="E49" s="88" t="s">
        <v>122</v>
      </c>
      <c r="F49" s="88"/>
    </row>
    <row r="50" spans="1:6" ht="13.5" customHeight="1" x14ac:dyDescent="0.3">
      <c r="A50" s="33">
        <v>47</v>
      </c>
      <c r="B50" s="33" t="s">
        <v>36</v>
      </c>
      <c r="C50" s="33" t="s">
        <v>147</v>
      </c>
      <c r="D50" s="108">
        <v>2019</v>
      </c>
      <c r="E50" s="86" t="s">
        <v>122</v>
      </c>
      <c r="F50" s="86"/>
    </row>
    <row r="51" spans="1:6" ht="13.5" customHeight="1" x14ac:dyDescent="0.3">
      <c r="A51" s="14">
        <v>48</v>
      </c>
      <c r="B51" s="14" t="s">
        <v>36</v>
      </c>
      <c r="C51" s="14" t="s">
        <v>148</v>
      </c>
      <c r="D51" s="109">
        <v>2018</v>
      </c>
      <c r="E51" s="88" t="s">
        <v>122</v>
      </c>
      <c r="F51" s="88"/>
    </row>
    <row r="52" spans="1:6" ht="13.5" customHeight="1" x14ac:dyDescent="0.3">
      <c r="A52" s="33">
        <v>49</v>
      </c>
      <c r="B52" s="33" t="s">
        <v>149</v>
      </c>
      <c r="C52" s="33" t="s">
        <v>150</v>
      </c>
      <c r="D52" s="108">
        <v>2021</v>
      </c>
      <c r="E52" s="86" t="s">
        <v>122</v>
      </c>
      <c r="F52" s="86"/>
    </row>
    <row r="53" spans="1:6" ht="13.5" customHeight="1" x14ac:dyDescent="0.3">
      <c r="A53" s="14">
        <v>50</v>
      </c>
      <c r="B53" s="14" t="s">
        <v>151</v>
      </c>
      <c r="C53" s="14" t="s">
        <v>152</v>
      </c>
      <c r="D53" s="109">
        <v>2020</v>
      </c>
      <c r="E53" s="88"/>
      <c r="F53" s="88" t="s">
        <v>104</v>
      </c>
    </row>
    <row r="54" spans="1:6" ht="13.5" customHeight="1" x14ac:dyDescent="0.3">
      <c r="A54" s="33">
        <v>51</v>
      </c>
      <c r="B54" s="33" t="s">
        <v>153</v>
      </c>
      <c r="C54" s="33" t="s">
        <v>154</v>
      </c>
      <c r="D54" s="108">
        <v>2019</v>
      </c>
      <c r="E54" s="86" t="s">
        <v>122</v>
      </c>
      <c r="F54" s="86" t="s">
        <v>104</v>
      </c>
    </row>
    <row r="55" spans="1:6" ht="13.5" customHeight="1" x14ac:dyDescent="0.3">
      <c r="A55" s="14">
        <v>52</v>
      </c>
      <c r="B55" s="14" t="s">
        <v>155</v>
      </c>
      <c r="C55" s="14" t="s">
        <v>156</v>
      </c>
      <c r="D55" s="109">
        <v>2019</v>
      </c>
      <c r="E55" s="88" t="s">
        <v>122</v>
      </c>
      <c r="F55" s="88" t="s">
        <v>104</v>
      </c>
    </row>
    <row r="56" spans="1:6" ht="13.5" customHeight="1" x14ac:dyDescent="0.3">
      <c r="A56" s="33">
        <v>53</v>
      </c>
      <c r="B56" s="33" t="s">
        <v>157</v>
      </c>
      <c r="C56" s="33" t="s">
        <v>158</v>
      </c>
      <c r="D56" s="108">
        <v>2019</v>
      </c>
      <c r="E56" s="86" t="s">
        <v>122</v>
      </c>
      <c r="F56" s="86" t="s">
        <v>104</v>
      </c>
    </row>
    <row r="57" spans="1:6" ht="13.5" customHeight="1" x14ac:dyDescent="0.3">
      <c r="A57" s="14">
        <v>54</v>
      </c>
      <c r="B57" s="14" t="s">
        <v>159</v>
      </c>
      <c r="C57" s="14" t="s">
        <v>160</v>
      </c>
      <c r="D57" s="109">
        <v>2019</v>
      </c>
      <c r="E57" s="88" t="s">
        <v>122</v>
      </c>
      <c r="F57" s="88" t="s">
        <v>104</v>
      </c>
    </row>
    <row r="58" spans="1:6" ht="13.35" customHeight="1" x14ac:dyDescent="0.3">
      <c r="A58" s="33">
        <v>55</v>
      </c>
      <c r="B58" s="33" t="s">
        <v>161</v>
      </c>
      <c r="C58" s="33" t="s">
        <v>162</v>
      </c>
      <c r="D58" s="108">
        <v>2020</v>
      </c>
      <c r="E58" s="86" t="s">
        <v>122</v>
      </c>
      <c r="F58" s="86" t="s">
        <v>104</v>
      </c>
    </row>
    <row r="59" spans="1:6" ht="13.5" customHeight="1" x14ac:dyDescent="0.3">
      <c r="A59" s="14">
        <v>56</v>
      </c>
      <c r="B59" s="14" t="s">
        <v>163</v>
      </c>
      <c r="C59" s="14" t="s">
        <v>164</v>
      </c>
      <c r="D59" s="109">
        <v>2021</v>
      </c>
      <c r="E59" s="88" t="s">
        <v>122</v>
      </c>
      <c r="F59" s="88" t="s">
        <v>104</v>
      </c>
    </row>
    <row r="60" spans="1:6" ht="13.5" customHeight="1" x14ac:dyDescent="0.3">
      <c r="A60" s="33">
        <v>57</v>
      </c>
      <c r="B60" s="33" t="s">
        <v>165</v>
      </c>
      <c r="C60" s="33" t="s">
        <v>166</v>
      </c>
      <c r="D60" s="108">
        <v>2020</v>
      </c>
      <c r="E60" s="86" t="s">
        <v>122</v>
      </c>
      <c r="F60" s="86" t="s">
        <v>104</v>
      </c>
    </row>
    <row r="61" spans="1:6" ht="13.5" customHeight="1" x14ac:dyDescent="0.3">
      <c r="A61" s="14">
        <v>58</v>
      </c>
      <c r="B61" s="14" t="s">
        <v>167</v>
      </c>
      <c r="C61" s="14" t="s">
        <v>168</v>
      </c>
      <c r="D61" s="109">
        <v>2019</v>
      </c>
      <c r="E61" s="88" t="s">
        <v>122</v>
      </c>
      <c r="F61" s="88" t="s">
        <v>104</v>
      </c>
    </row>
    <row r="62" spans="1:6" ht="13.5" customHeight="1" x14ac:dyDescent="0.3">
      <c r="A62" s="33">
        <v>59</v>
      </c>
      <c r="B62" s="33" t="s">
        <v>169</v>
      </c>
      <c r="C62" s="33" t="s">
        <v>170</v>
      </c>
      <c r="D62" s="108">
        <v>2019</v>
      </c>
      <c r="E62" s="86" t="s">
        <v>122</v>
      </c>
      <c r="F62" s="86" t="s">
        <v>104</v>
      </c>
    </row>
    <row r="63" spans="1:6" ht="13.5" customHeight="1" x14ac:dyDescent="0.3">
      <c r="A63" s="14">
        <v>60</v>
      </c>
      <c r="B63" s="14" t="s">
        <v>36</v>
      </c>
      <c r="C63" s="14" t="s">
        <v>171</v>
      </c>
      <c r="D63" s="109">
        <v>2019</v>
      </c>
      <c r="E63" s="88" t="s">
        <v>122</v>
      </c>
      <c r="F63" s="88"/>
    </row>
    <row r="64" spans="1:6" ht="13.5" customHeight="1" x14ac:dyDescent="0.3">
      <c r="A64" s="33">
        <v>61</v>
      </c>
      <c r="B64" s="33" t="s">
        <v>36</v>
      </c>
      <c r="C64" s="33" t="s">
        <v>172</v>
      </c>
      <c r="D64" s="108">
        <v>2019</v>
      </c>
      <c r="E64" s="86" t="s">
        <v>122</v>
      </c>
      <c r="F64" s="86"/>
    </row>
    <row r="65" spans="1:6" ht="13.5" customHeight="1" x14ac:dyDescent="0.3">
      <c r="A65" s="14">
        <v>62</v>
      </c>
      <c r="B65" s="14" t="s">
        <v>36</v>
      </c>
      <c r="C65" s="14" t="s">
        <v>173</v>
      </c>
      <c r="D65" s="109">
        <v>2019</v>
      </c>
      <c r="E65" s="88" t="s">
        <v>122</v>
      </c>
      <c r="F65" s="88"/>
    </row>
    <row r="66" spans="1:6" ht="13.5" customHeight="1" x14ac:dyDescent="0.3">
      <c r="A66" s="33">
        <v>63</v>
      </c>
      <c r="B66" s="33" t="s">
        <v>174</v>
      </c>
      <c r="C66" s="33" t="s">
        <v>175</v>
      </c>
      <c r="D66" s="108">
        <v>2013</v>
      </c>
      <c r="E66" s="86"/>
      <c r="F66" s="86" t="s">
        <v>104</v>
      </c>
    </row>
    <row r="67" spans="1:6" ht="13.5" customHeight="1" x14ac:dyDescent="0.3">
      <c r="A67" s="14">
        <v>64</v>
      </c>
      <c r="B67" s="14" t="s">
        <v>36</v>
      </c>
      <c r="C67" s="14" t="s">
        <v>176</v>
      </c>
      <c r="D67" s="109">
        <v>2021</v>
      </c>
      <c r="E67" s="88" t="s">
        <v>122</v>
      </c>
      <c r="F67" s="88"/>
    </row>
    <row r="68" spans="1:6" ht="13.5" customHeight="1" x14ac:dyDescent="0.3">
      <c r="A68" s="33">
        <v>65</v>
      </c>
      <c r="B68" s="33" t="s">
        <v>36</v>
      </c>
      <c r="C68" s="33" t="s">
        <v>177</v>
      </c>
      <c r="D68" s="108">
        <v>2019</v>
      </c>
      <c r="E68" s="86" t="s">
        <v>122</v>
      </c>
      <c r="F68" s="86"/>
    </row>
    <row r="69" spans="1:6" ht="13.5" customHeight="1" x14ac:dyDescent="0.3">
      <c r="A69" s="14">
        <v>66</v>
      </c>
      <c r="B69" s="14" t="s">
        <v>178</v>
      </c>
      <c r="C69" s="14" t="s">
        <v>179</v>
      </c>
      <c r="D69" s="109">
        <v>2020</v>
      </c>
      <c r="E69" s="88"/>
      <c r="F69"/>
    </row>
    <row r="70" spans="1:6" ht="13.5" customHeight="1" x14ac:dyDescent="0.3">
      <c r="A70" s="33">
        <v>67</v>
      </c>
      <c r="B70" s="33" t="s">
        <v>180</v>
      </c>
      <c r="C70" s="33" t="s">
        <v>181</v>
      </c>
      <c r="D70" s="108">
        <v>2020</v>
      </c>
      <c r="E70" s="86"/>
      <c r="F70" s="86" t="s">
        <v>104</v>
      </c>
    </row>
    <row r="71" spans="1:6" ht="13.5" customHeight="1" x14ac:dyDescent="0.3">
      <c r="A71" s="14">
        <v>68</v>
      </c>
      <c r="B71" s="14" t="s">
        <v>182</v>
      </c>
      <c r="C71" s="14" t="s">
        <v>183</v>
      </c>
      <c r="D71" s="109">
        <v>2021</v>
      </c>
      <c r="E71" s="88"/>
      <c r="F71" s="88" t="s">
        <v>104</v>
      </c>
    </row>
    <row r="72" spans="1:6" ht="13.5" customHeight="1" x14ac:dyDescent="0.3">
      <c r="A72" s="33">
        <v>69</v>
      </c>
      <c r="B72" s="33" t="s">
        <v>36</v>
      </c>
      <c r="C72" s="33" t="s">
        <v>184</v>
      </c>
      <c r="D72" s="108">
        <v>2018</v>
      </c>
      <c r="E72" s="86" t="s">
        <v>122</v>
      </c>
      <c r="F72" s="86"/>
    </row>
    <row r="73" spans="1:6" ht="13.5" customHeight="1" x14ac:dyDescent="0.3">
      <c r="A73" s="14">
        <v>70</v>
      </c>
      <c r="B73" s="14" t="s">
        <v>36</v>
      </c>
      <c r="C73" s="14" t="s">
        <v>185</v>
      </c>
      <c r="D73" s="109">
        <v>2019</v>
      </c>
      <c r="E73" s="88" t="s">
        <v>122</v>
      </c>
      <c r="F73" s="88"/>
    </row>
    <row r="74" spans="1:6" ht="13.5" customHeight="1" x14ac:dyDescent="0.3">
      <c r="A74" s="33">
        <v>71</v>
      </c>
      <c r="B74" s="33" t="s">
        <v>36</v>
      </c>
      <c r="C74" s="33" t="s">
        <v>186</v>
      </c>
      <c r="D74" s="108">
        <v>2020</v>
      </c>
      <c r="E74" s="86" t="s">
        <v>122</v>
      </c>
      <c r="F74" s="86"/>
    </row>
    <row r="75" spans="1:6" ht="13.5" customHeight="1" x14ac:dyDescent="0.3">
      <c r="A75" s="14">
        <v>72</v>
      </c>
      <c r="B75" s="14" t="s">
        <v>36</v>
      </c>
      <c r="C75" s="14" t="s">
        <v>187</v>
      </c>
      <c r="D75" s="109">
        <v>2020</v>
      </c>
      <c r="E75" s="88" t="s">
        <v>122</v>
      </c>
      <c r="F75" s="88"/>
    </row>
    <row r="76" spans="1:6" ht="13.5" customHeight="1" x14ac:dyDescent="0.3">
      <c r="A76" s="33">
        <v>73</v>
      </c>
      <c r="B76" s="33" t="s">
        <v>188</v>
      </c>
      <c r="C76" s="33" t="s">
        <v>189</v>
      </c>
      <c r="D76" s="108">
        <v>2015</v>
      </c>
      <c r="E76" s="86" t="s">
        <v>122</v>
      </c>
      <c r="F76" s="86" t="s">
        <v>104</v>
      </c>
    </row>
    <row r="77" spans="1:6" ht="13.5" customHeight="1" x14ac:dyDescent="0.3">
      <c r="A77" s="14">
        <v>74</v>
      </c>
      <c r="B77" s="14" t="s">
        <v>190</v>
      </c>
      <c r="C77" s="14" t="s">
        <v>191</v>
      </c>
      <c r="D77" s="109">
        <v>2019</v>
      </c>
      <c r="E77" s="88"/>
      <c r="F77" s="88" t="s">
        <v>104</v>
      </c>
    </row>
    <row r="78" spans="1:6" ht="13.5" customHeight="1" x14ac:dyDescent="0.3">
      <c r="A78" s="33">
        <v>75</v>
      </c>
      <c r="B78" s="33" t="s">
        <v>36</v>
      </c>
      <c r="C78" s="95" t="s">
        <v>192</v>
      </c>
      <c r="D78" s="108">
        <v>2018</v>
      </c>
      <c r="E78" s="86" t="s">
        <v>122</v>
      </c>
      <c r="F78" s="86"/>
    </row>
    <row r="79" spans="1:6" ht="13.5" customHeight="1" x14ac:dyDescent="0.3">
      <c r="A79" s="14">
        <v>76</v>
      </c>
      <c r="B79" s="14" t="s">
        <v>36</v>
      </c>
      <c r="C79" s="100" t="s">
        <v>193</v>
      </c>
      <c r="D79" s="109">
        <v>2020</v>
      </c>
      <c r="E79" s="88" t="s">
        <v>122</v>
      </c>
      <c r="F79" s="88"/>
    </row>
    <row r="80" spans="1:6" ht="13.5" customHeight="1" x14ac:dyDescent="0.3">
      <c r="A80" s="33">
        <v>77</v>
      </c>
      <c r="B80" s="33" t="s">
        <v>36</v>
      </c>
      <c r="C80" s="95" t="s">
        <v>194</v>
      </c>
      <c r="D80" s="108">
        <v>2019</v>
      </c>
      <c r="E80" s="86" t="s">
        <v>122</v>
      </c>
      <c r="F80" s="86"/>
    </row>
    <row r="81" spans="1:6" ht="13.5" customHeight="1" x14ac:dyDescent="0.3">
      <c r="A81" s="14">
        <v>78</v>
      </c>
      <c r="B81" s="14" t="s">
        <v>36</v>
      </c>
      <c r="C81" s="14" t="s">
        <v>195</v>
      </c>
      <c r="D81" s="109">
        <v>2019</v>
      </c>
      <c r="E81" s="88" t="s">
        <v>122</v>
      </c>
      <c r="F81" s="88"/>
    </row>
    <row r="82" spans="1:6" ht="13.5" customHeight="1" x14ac:dyDescent="0.3">
      <c r="A82" s="33">
        <v>79</v>
      </c>
      <c r="B82" s="33" t="s">
        <v>36</v>
      </c>
      <c r="C82" s="33" t="s">
        <v>196</v>
      </c>
      <c r="D82" s="108">
        <v>2021</v>
      </c>
      <c r="E82" s="86" t="s">
        <v>122</v>
      </c>
      <c r="F82" s="86"/>
    </row>
    <row r="83" spans="1:6" ht="13.5" customHeight="1" x14ac:dyDescent="0.3">
      <c r="A83" s="14">
        <v>80</v>
      </c>
      <c r="B83" s="14" t="s">
        <v>36</v>
      </c>
      <c r="C83" s="100" t="s">
        <v>197</v>
      </c>
      <c r="D83" s="109">
        <v>2018</v>
      </c>
      <c r="E83" s="88" t="s">
        <v>122</v>
      </c>
      <c r="F83" s="88"/>
    </row>
    <row r="84" spans="1:6" ht="13.5" customHeight="1" x14ac:dyDescent="0.3">
      <c r="A84" s="33">
        <v>81</v>
      </c>
      <c r="B84" s="33" t="s">
        <v>36</v>
      </c>
      <c r="C84" s="33" t="s">
        <v>198</v>
      </c>
      <c r="D84" s="108">
        <v>2020</v>
      </c>
      <c r="E84" s="86" t="s">
        <v>122</v>
      </c>
      <c r="F84" s="86"/>
    </row>
    <row r="85" spans="1:6" ht="13.5" customHeight="1" x14ac:dyDescent="0.3">
      <c r="A85" s="14">
        <v>82</v>
      </c>
      <c r="B85" s="14" t="s">
        <v>36</v>
      </c>
      <c r="C85" s="14" t="s">
        <v>199</v>
      </c>
      <c r="D85" s="109">
        <v>2020</v>
      </c>
      <c r="E85" s="88" t="s">
        <v>122</v>
      </c>
      <c r="F85" s="88"/>
    </row>
    <row r="86" spans="1:6" ht="13.5" customHeight="1" x14ac:dyDescent="0.3">
      <c r="A86" s="33">
        <v>83</v>
      </c>
      <c r="B86" s="33" t="s">
        <v>200</v>
      </c>
      <c r="C86" s="33" t="s">
        <v>201</v>
      </c>
      <c r="D86" s="108">
        <v>2021</v>
      </c>
      <c r="E86" s="86" t="s">
        <v>122</v>
      </c>
      <c r="F86" s="86"/>
    </row>
    <row r="87" spans="1:6" ht="13.5" customHeight="1" x14ac:dyDescent="0.3">
      <c r="A87" s="14">
        <v>84</v>
      </c>
      <c r="B87" s="14" t="s">
        <v>200</v>
      </c>
      <c r="C87" s="14" t="s">
        <v>202</v>
      </c>
      <c r="D87" s="109">
        <v>2020</v>
      </c>
      <c r="E87" s="88"/>
      <c r="F87" s="88"/>
    </row>
    <row r="88" spans="1:6" ht="13.5" customHeight="1" x14ac:dyDescent="0.3">
      <c r="A88" s="33">
        <v>85</v>
      </c>
      <c r="B88" s="33" t="s">
        <v>203</v>
      </c>
      <c r="C88" s="33" t="s">
        <v>204</v>
      </c>
      <c r="D88" s="108">
        <v>2021</v>
      </c>
      <c r="E88" s="86"/>
      <c r="F88" s="86" t="s">
        <v>104</v>
      </c>
    </row>
    <row r="89" spans="1:6" ht="13.5" customHeight="1" x14ac:dyDescent="0.3">
      <c r="A89" s="14">
        <v>86</v>
      </c>
      <c r="B89" s="14" t="s">
        <v>205</v>
      </c>
      <c r="C89" s="14" t="s">
        <v>206</v>
      </c>
      <c r="D89" s="109">
        <v>2021</v>
      </c>
      <c r="E89" s="88"/>
      <c r="F89" s="88" t="s">
        <v>104</v>
      </c>
    </row>
    <row r="90" spans="1:6" ht="13.5" customHeight="1" x14ac:dyDescent="0.3">
      <c r="A90" s="33">
        <v>87</v>
      </c>
      <c r="B90" s="33" t="s">
        <v>207</v>
      </c>
      <c r="C90" s="33" t="s">
        <v>208</v>
      </c>
      <c r="D90" s="108">
        <v>2022</v>
      </c>
      <c r="E90" s="86"/>
      <c r="F90" s="86" t="s">
        <v>104</v>
      </c>
    </row>
    <row r="91" spans="1:6" ht="13.5" customHeight="1" x14ac:dyDescent="0.3">
      <c r="A91" s="14">
        <v>88</v>
      </c>
      <c r="B91" s="14" t="s">
        <v>209</v>
      </c>
      <c r="C91" s="14" t="s">
        <v>210</v>
      </c>
      <c r="D91" s="109">
        <v>2021</v>
      </c>
      <c r="E91" s="88"/>
      <c r="F91" s="88" t="s">
        <v>104</v>
      </c>
    </row>
    <row r="92" spans="1:6" ht="13.5" customHeight="1" x14ac:dyDescent="0.3">
      <c r="A92" s="33">
        <v>89</v>
      </c>
      <c r="B92" s="33" t="s">
        <v>211</v>
      </c>
      <c r="C92" s="33" t="s">
        <v>212</v>
      </c>
      <c r="D92" s="108">
        <v>2022</v>
      </c>
      <c r="E92" s="86"/>
      <c r="F92" s="86" t="s">
        <v>104</v>
      </c>
    </row>
    <row r="93" spans="1:6" ht="13.5" customHeight="1" x14ac:dyDescent="0.3">
      <c r="A93" s="14">
        <v>90</v>
      </c>
      <c r="B93" s="14" t="s">
        <v>213</v>
      </c>
      <c r="C93" s="14" t="s">
        <v>214</v>
      </c>
      <c r="D93" s="109">
        <v>2021</v>
      </c>
      <c r="E93" s="88"/>
      <c r="F93" s="88" t="s">
        <v>104</v>
      </c>
    </row>
    <row r="94" spans="1:6" ht="13.5" customHeight="1" x14ac:dyDescent="0.3">
      <c r="A94" s="33">
        <v>91</v>
      </c>
      <c r="B94" s="33" t="s">
        <v>215</v>
      </c>
      <c r="C94" s="33" t="s">
        <v>216</v>
      </c>
      <c r="D94" s="108">
        <v>2018</v>
      </c>
      <c r="E94" s="86"/>
      <c r="F94" s="86" t="s">
        <v>104</v>
      </c>
    </row>
    <row r="95" spans="1:6" ht="13.5" customHeight="1" x14ac:dyDescent="0.3">
      <c r="A95" s="14">
        <v>92</v>
      </c>
      <c r="B95" s="14" t="s">
        <v>217</v>
      </c>
      <c r="C95" s="14" t="s">
        <v>218</v>
      </c>
      <c r="D95" s="109">
        <v>2019</v>
      </c>
      <c r="E95" s="88"/>
      <c r="F95" s="88" t="s">
        <v>104</v>
      </c>
    </row>
    <row r="96" spans="1:6" ht="13.5" customHeight="1" x14ac:dyDescent="0.3">
      <c r="A96" s="33">
        <v>93</v>
      </c>
      <c r="B96" s="33" t="s">
        <v>219</v>
      </c>
      <c r="C96" s="33" t="s">
        <v>220</v>
      </c>
      <c r="D96" s="108">
        <v>2016</v>
      </c>
      <c r="E96" s="86"/>
      <c r="F96" s="86" t="s">
        <v>104</v>
      </c>
    </row>
    <row r="97" spans="1:6" ht="13.5" customHeight="1" x14ac:dyDescent="0.3">
      <c r="A97" s="14">
        <v>94</v>
      </c>
      <c r="B97" s="14" t="s">
        <v>221</v>
      </c>
      <c r="C97" s="14" t="s">
        <v>222</v>
      </c>
      <c r="D97" s="109">
        <v>2018</v>
      </c>
      <c r="E97" s="88"/>
      <c r="F97" s="88" t="s">
        <v>104</v>
      </c>
    </row>
    <row r="98" spans="1:6" ht="13.5" customHeight="1" x14ac:dyDescent="0.3">
      <c r="A98" s="14">
        <v>95</v>
      </c>
      <c r="B98" s="14" t="s">
        <v>223</v>
      </c>
      <c r="C98" s="14" t="s">
        <v>224</v>
      </c>
      <c r="D98" s="109">
        <v>2024</v>
      </c>
      <c r="E98" s="88"/>
      <c r="F98" s="88"/>
    </row>
    <row r="99" spans="1:6" ht="13.5" customHeight="1" x14ac:dyDescent="0.3">
      <c r="A99" s="14">
        <v>96</v>
      </c>
      <c r="B99" s="14" t="s">
        <v>225</v>
      </c>
      <c r="C99" s="14" t="s">
        <v>226</v>
      </c>
      <c r="D99" s="109">
        <v>2024</v>
      </c>
      <c r="E99" s="88"/>
      <c r="F99" s="286" t="s">
        <v>104</v>
      </c>
    </row>
    <row r="100" spans="1:6" ht="13.5" customHeight="1" x14ac:dyDescent="0.3">
      <c r="A100" s="33">
        <v>97</v>
      </c>
      <c r="B100" s="33" t="s">
        <v>227</v>
      </c>
      <c r="C100" s="33" t="s">
        <v>226</v>
      </c>
      <c r="D100" s="108">
        <v>2018</v>
      </c>
      <c r="E100" s="86"/>
      <c r="F100" s="287" t="s">
        <v>104</v>
      </c>
    </row>
    <row r="101" spans="1:6" ht="13.5" customHeight="1" x14ac:dyDescent="0.3">
      <c r="A101" s="14">
        <v>98</v>
      </c>
      <c r="B101" s="14" t="s">
        <v>228</v>
      </c>
      <c r="C101" s="14" t="s">
        <v>229</v>
      </c>
      <c r="D101" s="109">
        <v>2017</v>
      </c>
      <c r="E101" s="88"/>
      <c r="F101" s="285" t="s">
        <v>104</v>
      </c>
    </row>
    <row r="102" spans="1:6" ht="13.5" customHeight="1" x14ac:dyDescent="0.3">
      <c r="A102" s="33">
        <v>99</v>
      </c>
      <c r="B102" s="33" t="s">
        <v>230</v>
      </c>
      <c r="C102" s="33" t="s">
        <v>229</v>
      </c>
      <c r="D102" s="108">
        <v>2021</v>
      </c>
      <c r="E102" s="86"/>
      <c r="F102" s="285" t="s">
        <v>104</v>
      </c>
    </row>
    <row r="103" spans="1:6" ht="13.5" customHeight="1" x14ac:dyDescent="0.3">
      <c r="A103" s="14">
        <v>100</v>
      </c>
      <c r="B103" s="14" t="s">
        <v>231</v>
      </c>
      <c r="C103" s="14" t="s">
        <v>226</v>
      </c>
      <c r="D103" s="109">
        <v>2022</v>
      </c>
      <c r="E103" s="88"/>
      <c r="F103" s="285" t="s">
        <v>104</v>
      </c>
    </row>
    <row r="104" spans="1:6" ht="13.5" customHeight="1" x14ac:dyDescent="0.3">
      <c r="A104" s="33">
        <v>101</v>
      </c>
      <c r="B104" s="33" t="s">
        <v>232</v>
      </c>
      <c r="C104" s="33" t="s">
        <v>233</v>
      </c>
      <c r="D104" s="108">
        <v>2025</v>
      </c>
      <c r="E104" s="86"/>
      <c r="F104" s="287"/>
    </row>
    <row r="105" spans="1:6" ht="13.5" customHeight="1" x14ac:dyDescent="0.3">
      <c r="A105" s="14">
        <v>102</v>
      </c>
      <c r="B105" s="14" t="s">
        <v>234</v>
      </c>
      <c r="C105" s="14" t="s">
        <v>235</v>
      </c>
      <c r="D105" s="109">
        <v>2024</v>
      </c>
      <c r="E105" s="88"/>
      <c r="F105" s="285" t="s">
        <v>236</v>
      </c>
    </row>
    <row r="106" spans="1:6" ht="13.5" customHeight="1" x14ac:dyDescent="0.3">
      <c r="A106" s="33">
        <v>103</v>
      </c>
      <c r="B106" s="33" t="s">
        <v>237</v>
      </c>
      <c r="C106" s="33" t="s">
        <v>238</v>
      </c>
      <c r="D106" s="108" t="s">
        <v>239</v>
      </c>
      <c r="E106" s="86"/>
      <c r="F106" s="287"/>
    </row>
    <row r="107" spans="1:6" ht="13.5" customHeight="1" x14ac:dyDescent="0.3">
      <c r="A107" s="14">
        <v>104</v>
      </c>
      <c r="B107" s="14" t="s">
        <v>240</v>
      </c>
      <c r="C107" s="14" t="s">
        <v>241</v>
      </c>
      <c r="D107" s="109">
        <v>2023</v>
      </c>
      <c r="E107" s="88"/>
      <c r="F107" s="285" t="s">
        <v>242</v>
      </c>
    </row>
    <row r="108" spans="1:6" ht="13.5" customHeight="1" x14ac:dyDescent="0.3">
      <c r="A108" s="33">
        <v>105</v>
      </c>
      <c r="B108" s="33" t="s">
        <v>243</v>
      </c>
      <c r="C108" s="33" t="s">
        <v>244</v>
      </c>
      <c r="D108" s="108"/>
      <c r="E108" s="86"/>
      <c r="F108" s="287"/>
    </row>
    <row r="109" spans="1:6" ht="13.5" customHeight="1" x14ac:dyDescent="0.3">
      <c r="A109" s="14">
        <v>106</v>
      </c>
      <c r="B109" s="14" t="s">
        <v>245</v>
      </c>
      <c r="C109" s="14" t="s">
        <v>246</v>
      </c>
      <c r="D109" s="109"/>
      <c r="E109" s="88" t="s">
        <v>247</v>
      </c>
      <c r="F109" s="285" t="s">
        <v>248</v>
      </c>
    </row>
    <row r="110" spans="1:6" ht="13.5" customHeight="1" x14ac:dyDescent="0.3">
      <c r="A110" s="33">
        <v>107</v>
      </c>
      <c r="B110" s="33" t="s">
        <v>36</v>
      </c>
      <c r="C110" s="33" t="s">
        <v>249</v>
      </c>
      <c r="D110" s="108">
        <v>2021</v>
      </c>
      <c r="E110" s="86" t="s">
        <v>250</v>
      </c>
      <c r="F110" s="287"/>
    </row>
    <row r="111" spans="1:6" ht="13.5" customHeight="1" x14ac:dyDescent="0.3">
      <c r="A111" s="14">
        <v>108</v>
      </c>
      <c r="B111" s="14" t="s">
        <v>251</v>
      </c>
      <c r="C111" s="14" t="s">
        <v>252</v>
      </c>
      <c r="D111" s="109">
        <v>2020</v>
      </c>
      <c r="E111" s="88"/>
      <c r="F111" s="286" t="s">
        <v>253</v>
      </c>
    </row>
    <row r="112" spans="1:6" ht="13.5" customHeight="1" x14ac:dyDescent="0.3">
      <c r="A112" s="33">
        <v>109</v>
      </c>
      <c r="B112" s="33" t="s">
        <v>254</v>
      </c>
      <c r="C112" s="33" t="s">
        <v>255</v>
      </c>
      <c r="D112" s="108">
        <v>2023</v>
      </c>
      <c r="E112" s="86"/>
      <c r="F112" s="285" t="s">
        <v>256</v>
      </c>
    </row>
    <row r="113" spans="1:7" ht="13.5" customHeight="1" x14ac:dyDescent="0.3">
      <c r="A113" s="33">
        <v>110</v>
      </c>
      <c r="B113" s="33" t="s">
        <v>257</v>
      </c>
      <c r="C113" s="33" t="s">
        <v>258</v>
      </c>
      <c r="D113" s="108">
        <v>2020</v>
      </c>
      <c r="E113" s="86"/>
      <c r="F113" s="287" t="s">
        <v>259</v>
      </c>
    </row>
    <row r="114" spans="1:7" ht="13.5" customHeight="1" x14ac:dyDescent="0.3">
      <c r="A114" s="33">
        <v>111</v>
      </c>
      <c r="B114" s="33" t="s">
        <v>260</v>
      </c>
      <c r="C114" s="33" t="s">
        <v>261</v>
      </c>
      <c r="D114" s="108">
        <v>2022</v>
      </c>
      <c r="E114" s="86"/>
      <c r="F114" s="287" t="s">
        <v>262</v>
      </c>
    </row>
    <row r="115" spans="1:7" ht="13.5" customHeight="1" x14ac:dyDescent="0.3">
      <c r="A115" s="33">
        <v>112</v>
      </c>
      <c r="B115" s="33" t="s">
        <v>263</v>
      </c>
      <c r="C115" s="366" t="s">
        <v>264</v>
      </c>
      <c r="D115" s="108">
        <v>2024</v>
      </c>
      <c r="E115" s="287"/>
      <c r="F115" s="1" t="s">
        <v>265</v>
      </c>
    </row>
    <row r="116" spans="1:7" ht="13.5" customHeight="1" x14ac:dyDescent="0.3">
      <c r="A116" s="33">
        <v>113</v>
      </c>
      <c r="B116" s="33" t="s">
        <v>266</v>
      </c>
      <c r="C116" s="33" t="s">
        <v>267</v>
      </c>
      <c r="D116" s="108">
        <v>2023</v>
      </c>
      <c r="E116" s="86"/>
      <c r="F116" s="287" t="s">
        <v>268</v>
      </c>
    </row>
    <row r="117" spans="1:7" ht="13.5" customHeight="1" x14ac:dyDescent="0.3">
      <c r="A117" s="33">
        <v>114</v>
      </c>
      <c r="B117" s="33" t="s">
        <v>269</v>
      </c>
      <c r="C117" s="33" t="s">
        <v>270</v>
      </c>
      <c r="D117" s="108">
        <v>2024</v>
      </c>
      <c r="E117" s="86"/>
      <c r="F117" s="287" t="s">
        <v>271</v>
      </c>
    </row>
    <row r="118" spans="1:7" ht="13.5" customHeight="1" x14ac:dyDescent="0.3">
      <c r="A118" s="33">
        <v>115</v>
      </c>
      <c r="B118" s="33" t="s">
        <v>272</v>
      </c>
      <c r="C118" s="33" t="s">
        <v>273</v>
      </c>
      <c r="D118" s="108">
        <v>2023</v>
      </c>
      <c r="E118" s="86"/>
      <c r="F118" s="287"/>
    </row>
    <row r="119" spans="1:7" ht="13.5" customHeight="1" x14ac:dyDescent="0.3">
      <c r="A119" s="33">
        <v>116</v>
      </c>
      <c r="B119" s="33" t="s">
        <v>274</v>
      </c>
      <c r="C119" s="366" t="s">
        <v>275</v>
      </c>
      <c r="D119" s="86">
        <v>2020</v>
      </c>
      <c r="E119" s="287"/>
      <c r="F119" s="1" t="s">
        <v>276</v>
      </c>
    </row>
    <row r="120" spans="1:7" ht="13.5" customHeight="1" x14ac:dyDescent="0.3">
      <c r="A120" s="33">
        <v>117</v>
      </c>
      <c r="B120" s="33" t="s">
        <v>277</v>
      </c>
      <c r="C120" s="366"/>
      <c r="D120" s="86"/>
      <c r="E120" s="287"/>
      <c r="F120" s="1" t="s">
        <v>278</v>
      </c>
    </row>
    <row r="121" spans="1:7" ht="13.5" customHeight="1" x14ac:dyDescent="0.3">
      <c r="A121" s="33"/>
      <c r="B121" s="33"/>
      <c r="C121" s="366"/>
      <c r="D121" s="86"/>
      <c r="E121" s="287"/>
    </row>
    <row r="122" spans="1:7" ht="13.5" customHeight="1" x14ac:dyDescent="0.3">
      <c r="A122" s="33"/>
      <c r="B122" s="33"/>
      <c r="C122" s="366"/>
      <c r="D122" s="86"/>
      <c r="E122" s="287"/>
    </row>
    <row r="123" spans="1:7" ht="13.5" customHeight="1" x14ac:dyDescent="0.3">
      <c r="A123" s="33"/>
      <c r="B123" s="33"/>
      <c r="C123" s="366"/>
      <c r="D123" s="86"/>
      <c r="E123" s="287"/>
    </row>
    <row r="124" spans="1:7" ht="13.5" customHeight="1" x14ac:dyDescent="0.3">
      <c r="A124" s="33"/>
      <c r="B124" s="33"/>
      <c r="C124" s="366"/>
      <c r="D124" s="86"/>
      <c r="E124" s="287"/>
    </row>
    <row r="125" spans="1:7" ht="13.5" customHeight="1" x14ac:dyDescent="0.3">
      <c r="A125" s="33"/>
      <c r="B125" s="33"/>
      <c r="C125" s="366"/>
      <c r="D125" s="86"/>
      <c r="E125" s="287"/>
    </row>
    <row r="126" spans="1:7" ht="13.5" customHeight="1" x14ac:dyDescent="0.3">
      <c r="A126" s="33" t="s">
        <v>279</v>
      </c>
      <c r="B126" s="33" t="s">
        <v>280</v>
      </c>
      <c r="C126" s="33" t="s">
        <v>281</v>
      </c>
      <c r="D126" s="108" t="s">
        <v>29</v>
      </c>
      <c r="E126" s="86"/>
      <c r="F126" s="86"/>
    </row>
    <row r="127" spans="1:7" ht="13.5" customHeight="1" x14ac:dyDescent="0.3">
      <c r="A127" s="14" t="s">
        <v>282</v>
      </c>
      <c r="B127" s="14" t="s">
        <v>283</v>
      </c>
      <c r="C127" s="14" t="s">
        <v>284</v>
      </c>
      <c r="D127" s="109">
        <v>2022</v>
      </c>
      <c r="E127" s="88"/>
      <c r="F127" s="88"/>
    </row>
    <row r="128" spans="1:7" ht="13.5" customHeight="1" x14ac:dyDescent="0.3">
      <c r="A128" s="33" t="s">
        <v>285</v>
      </c>
      <c r="B128" s="33" t="s">
        <v>286</v>
      </c>
      <c r="C128" s="33" t="s">
        <v>287</v>
      </c>
      <c r="D128" s="108" t="s">
        <v>29</v>
      </c>
      <c r="E128" s="86" t="s">
        <v>29</v>
      </c>
      <c r="F128" s="86" t="s">
        <v>29</v>
      </c>
      <c r="G128" s="1" t="s">
        <v>31</v>
      </c>
    </row>
    <row r="129" spans="1:7" x14ac:dyDescent="0.3">
      <c r="A129" s="14"/>
      <c r="B129" s="14"/>
      <c r="C129" s="14"/>
      <c r="D129" s="109"/>
      <c r="E129" s="88"/>
      <c r="F129" s="88"/>
      <c r="G129" s="1" t="s">
        <v>31</v>
      </c>
    </row>
    <row r="130" spans="1:7" ht="13.5" customHeight="1" x14ac:dyDescent="0.3">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abSelected="1" topLeftCell="A108" zoomScale="70" zoomScaleNormal="70" workbookViewId="0">
      <selection activeCell="L114" sqref="L114:L120"/>
    </sheetView>
  </sheetViews>
  <sheetFormatPr defaultColWidth="8.88671875" defaultRowHeight="14.4" x14ac:dyDescent="0.3"/>
  <cols>
    <col min="1" max="1" width="46" style="1" customWidth="1"/>
    <col min="2" max="2" width="14.44140625" style="1" customWidth="1"/>
    <col min="3" max="3" width="11" style="1" customWidth="1"/>
    <col min="4" max="4" width="11.109375" style="1" customWidth="1"/>
    <col min="5" max="5" width="10.88671875" style="1" customWidth="1"/>
    <col min="6" max="6" width="11.44140625" style="1" customWidth="1"/>
    <col min="7" max="7" width="12" style="1" customWidth="1"/>
    <col min="8" max="8" width="11.5546875" style="1" customWidth="1"/>
    <col min="9" max="9" width="13" style="1" customWidth="1"/>
    <col min="10" max="10" width="11.109375" style="1" customWidth="1"/>
    <col min="11" max="11" width="9.88671875" style="1" customWidth="1"/>
    <col min="12" max="12" width="13" style="1" bestFit="1" customWidth="1"/>
    <col min="13" max="13" width="7.109375" style="1" bestFit="1" customWidth="1"/>
    <col min="14" max="14" width="5.44140625" style="1" customWidth="1"/>
    <col min="15" max="15" width="9" style="1" customWidth="1"/>
    <col min="16" max="16" width="17.88671875" style="1" bestFit="1" customWidth="1"/>
    <col min="17" max="17" width="17" style="1" customWidth="1"/>
    <col min="18" max="18" width="12.88671875" style="1" bestFit="1" customWidth="1"/>
    <col min="19" max="19" width="10.44140625" style="1" bestFit="1" customWidth="1"/>
    <col min="20" max="16384" width="8.88671875" style="1"/>
  </cols>
  <sheetData>
    <row r="1" spans="1:85" ht="15" customHeight="1" x14ac:dyDescent="0.3">
      <c r="A1" s="68" t="s">
        <v>288</v>
      </c>
      <c r="B1" s="31"/>
      <c r="C1" s="31"/>
      <c r="D1" s="31"/>
      <c r="E1" s="31"/>
      <c r="F1" s="31"/>
      <c r="G1" s="31"/>
      <c r="H1" s="31"/>
      <c r="I1" s="31"/>
      <c r="J1" s="31"/>
      <c r="K1" s="31"/>
      <c r="L1" s="31"/>
      <c r="M1" s="31"/>
      <c r="N1" s="31"/>
      <c r="O1" s="31"/>
      <c r="P1" s="31"/>
      <c r="Q1" s="31"/>
      <c r="R1" s="31"/>
    </row>
    <row r="2" spans="1:85" x14ac:dyDescent="0.3">
      <c r="A2" s="11"/>
      <c r="B2" s="11"/>
      <c r="C2" s="412" t="s">
        <v>289</v>
      </c>
      <c r="D2" s="412"/>
      <c r="E2" s="412"/>
      <c r="F2" s="412"/>
      <c r="G2" s="412"/>
      <c r="H2" s="412"/>
      <c r="I2" s="412"/>
      <c r="J2" s="84" t="s">
        <v>17</v>
      </c>
      <c r="K2" s="84"/>
      <c r="L2" s="84"/>
      <c r="M2" s="84"/>
      <c r="N2" s="84"/>
      <c r="O2" s="84"/>
      <c r="P2" s="84"/>
      <c r="Q2" s="84"/>
      <c r="R2" s="84"/>
      <c r="T2" s="221"/>
    </row>
    <row r="3" spans="1:85" x14ac:dyDescent="0.3">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
      <c r="A74" s="212" t="s">
        <v>2019</v>
      </c>
      <c r="B74" s="212" t="s">
        <v>2020</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2021</v>
      </c>
      <c r="S74" s="83"/>
    </row>
    <row r="75" spans="1:35" x14ac:dyDescent="0.3">
      <c r="A75" s="212" t="s">
        <v>2022</v>
      </c>
      <c r="B75" s="212" t="s">
        <v>2023</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
      <c r="A76" s="212" t="s">
        <v>2024</v>
      </c>
      <c r="B76" s="212" t="s">
        <v>2025</v>
      </c>
      <c r="C76" s="212">
        <v>0</v>
      </c>
      <c r="D76" s="212">
        <v>0</v>
      </c>
      <c r="E76" s="212">
        <v>0</v>
      </c>
      <c r="F76" s="212">
        <v>0</v>
      </c>
      <c r="G76" s="212">
        <v>0</v>
      </c>
      <c r="H76" s="212">
        <v>0</v>
      </c>
      <c r="I76" s="212">
        <v>0</v>
      </c>
      <c r="J76" s="14"/>
      <c r="K76" s="33" t="s">
        <v>318</v>
      </c>
      <c r="L76" s="33" t="s">
        <v>418</v>
      </c>
      <c r="M76" s="212" t="s">
        <v>320</v>
      </c>
      <c r="N76" s="33">
        <v>0</v>
      </c>
      <c r="O76" s="212" t="s">
        <v>1992</v>
      </c>
      <c r="P76" s="41" t="s">
        <v>29</v>
      </c>
      <c r="Q76" s="41" t="s">
        <v>29</v>
      </c>
      <c r="R76" s="79"/>
      <c r="S76" s="83">
        <v>1</v>
      </c>
    </row>
    <row r="77" spans="1:35" x14ac:dyDescent="0.3">
      <c r="A77" s="1" t="s">
        <v>2026</v>
      </c>
      <c r="B77" s="49" t="s">
        <v>2027</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
      <c r="A78" s="1" t="s">
        <v>2028</v>
      </c>
      <c r="B78" s="49" t="s">
        <v>2029</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
      <c r="A79" s="1" t="s">
        <v>2030</v>
      </c>
      <c r="B79" s="49" t="s">
        <v>2031</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
      <c r="A80" s="212" t="s">
        <v>2032</v>
      </c>
      <c r="B80" s="357" t="s">
        <v>2033</v>
      </c>
      <c r="C80" s="1">
        <v>0</v>
      </c>
      <c r="D80" s="1">
        <v>0</v>
      </c>
      <c r="E80" s="1">
        <v>0</v>
      </c>
      <c r="F80" s="1">
        <v>0</v>
      </c>
      <c r="G80" s="1">
        <v>0</v>
      </c>
      <c r="H80" s="1">
        <v>0</v>
      </c>
      <c r="I80" s="1">
        <v>0</v>
      </c>
      <c r="J80" s="14"/>
      <c r="K80" s="33" t="s">
        <v>318</v>
      </c>
      <c r="L80" s="33" t="s">
        <v>418</v>
      </c>
      <c r="M80" s="212" t="s">
        <v>320</v>
      </c>
      <c r="N80" s="33">
        <v>0</v>
      </c>
      <c r="O80" s="212" t="s">
        <v>1992</v>
      </c>
      <c r="P80" s="41" t="s">
        <v>29</v>
      </c>
      <c r="Q80" s="41" t="s">
        <v>29</v>
      </c>
      <c r="R80" s="79"/>
      <c r="S80" s="83">
        <v>1</v>
      </c>
    </row>
    <row r="81" spans="1:35" x14ac:dyDescent="0.3">
      <c r="A81" s="212" t="s">
        <v>2034</v>
      </c>
      <c r="B81" s="357" t="s">
        <v>2035</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
      <c r="A84" s="212" t="s">
        <v>2036</v>
      </c>
      <c r="B84" s="357" t="s">
        <v>2023</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
      <c r="A85" s="212" t="s">
        <v>2037</v>
      </c>
      <c r="B85" s="357" t="s">
        <v>2038</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
      <c r="A86" s="212" t="s">
        <v>2039</v>
      </c>
      <c r="B86" s="357" t="s">
        <v>368</v>
      </c>
      <c r="C86" s="1">
        <v>0</v>
      </c>
      <c r="D86" s="1">
        <v>0</v>
      </c>
      <c r="E86" s="1">
        <v>0</v>
      </c>
      <c r="F86" s="1">
        <v>0</v>
      </c>
      <c r="G86" s="1">
        <v>0</v>
      </c>
      <c r="H86" s="1">
        <v>0</v>
      </c>
      <c r="I86" s="1">
        <v>0</v>
      </c>
      <c r="K86" s="33" t="s">
        <v>318</v>
      </c>
      <c r="L86" s="33" t="s">
        <v>418</v>
      </c>
      <c r="M86" s="212" t="s">
        <v>320</v>
      </c>
      <c r="N86" s="33">
        <v>0</v>
      </c>
      <c r="O86" s="212" t="s">
        <v>1992</v>
      </c>
      <c r="P86" s="41" t="s">
        <v>29</v>
      </c>
      <c r="Q86" s="41" t="s">
        <v>29</v>
      </c>
      <c r="R86" s="79"/>
      <c r="S86" s="83">
        <v>1</v>
      </c>
    </row>
    <row r="87" spans="1:35" x14ac:dyDescent="0.3">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1992</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 customHeight="1" x14ac:dyDescent="0.3">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
      <c r="A115" s="33" t="s">
        <v>470</v>
      </c>
      <c r="B115" s="33" t="s">
        <v>317</v>
      </c>
      <c r="C115" s="370">
        <v>0</v>
      </c>
      <c r="D115" s="370">
        <v>0</v>
      </c>
      <c r="E115" s="370">
        <v>0</v>
      </c>
      <c r="F115" s="370">
        <v>0</v>
      </c>
      <c r="G115" s="370">
        <v>0</v>
      </c>
      <c r="H115" s="370">
        <v>0</v>
      </c>
      <c r="I115" s="370">
        <v>0</v>
      </c>
      <c r="J115" s="370"/>
      <c r="K115" s="33" t="s">
        <v>318</v>
      </c>
      <c r="L115" s="14"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
      <c r="A117" s="33" t="s">
        <v>473</v>
      </c>
      <c r="B117" s="33" t="s">
        <v>317</v>
      </c>
      <c r="C117" s="370">
        <v>0</v>
      </c>
      <c r="D117" s="370">
        <v>0</v>
      </c>
      <c r="E117" s="370">
        <v>0</v>
      </c>
      <c r="F117" s="370">
        <v>0</v>
      </c>
      <c r="G117" s="370">
        <v>0</v>
      </c>
      <c r="H117" s="370">
        <v>0</v>
      </c>
      <c r="I117" s="370">
        <v>0</v>
      </c>
      <c r="J117" s="370"/>
      <c r="K117" s="33" t="s">
        <v>318</v>
      </c>
      <c r="L117" s="14"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
      <c r="A119" s="33" t="s">
        <v>475</v>
      </c>
      <c r="B119" s="33" t="s">
        <v>317</v>
      </c>
      <c r="C119" s="370">
        <v>0</v>
      </c>
      <c r="D119" s="370">
        <v>0</v>
      </c>
      <c r="E119" s="370">
        <v>0</v>
      </c>
      <c r="F119" s="370">
        <v>0</v>
      </c>
      <c r="G119" s="370">
        <v>0</v>
      </c>
      <c r="H119" s="370">
        <v>0</v>
      </c>
      <c r="I119" s="370">
        <v>0</v>
      </c>
      <c r="J119" s="370"/>
      <c r="K119" s="33" t="s">
        <v>318</v>
      </c>
      <c r="L119" s="14"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
      <c r="A120" s="14" t="s">
        <v>476</v>
      </c>
      <c r="B120" s="14" t="s">
        <v>317</v>
      </c>
      <c r="C120" s="373">
        <v>0</v>
      </c>
      <c r="D120" s="373">
        <v>0</v>
      </c>
      <c r="E120" s="373">
        <v>0</v>
      </c>
      <c r="F120" s="373">
        <v>0</v>
      </c>
      <c r="G120" s="373">
        <v>0</v>
      </c>
      <c r="H120" s="373">
        <v>0</v>
      </c>
      <c r="I120" s="373">
        <v>0</v>
      </c>
      <c r="J120" s="373"/>
      <c r="K120" s="14" t="s">
        <v>318</v>
      </c>
      <c r="L120" s="14"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zoomScale="70" zoomScaleNormal="70" workbookViewId="0">
      <pane xSplit="8" ySplit="6" topLeftCell="BV401" activePane="bottomRight" state="frozen"/>
      <selection pane="topRight" activeCell="I1" sqref="I1"/>
      <selection pane="bottomLeft" activeCell="A7" sqref="A7"/>
      <selection pane="bottomRight" activeCell="CH420" sqref="CH420"/>
    </sheetView>
  </sheetViews>
  <sheetFormatPr defaultColWidth="18.109375" defaultRowHeight="14.4" x14ac:dyDescent="0.3"/>
  <cols>
    <col min="1" max="1" width="10.88671875" style="1" customWidth="1"/>
    <col min="2" max="2" width="14.5546875" style="1" customWidth="1"/>
    <col min="3" max="3" width="10.88671875" style="1" customWidth="1"/>
    <col min="4" max="4" width="13.5546875" style="1" customWidth="1"/>
    <col min="5" max="5" width="14.5546875" style="1" customWidth="1"/>
    <col min="6" max="6" width="40.5546875" style="1" customWidth="1"/>
    <col min="7" max="7" width="50" style="49" customWidth="1"/>
    <col min="8" max="8" width="20" style="49" bestFit="1" customWidth="1"/>
    <col min="9" max="15" width="16.44140625" style="1" bestFit="1" customWidth="1"/>
    <col min="16" max="16" width="16.88671875" style="1" bestFit="1" customWidth="1"/>
    <col min="17" max="18" width="15" style="1" bestFit="1" customWidth="1"/>
    <col min="19" max="19" width="15" style="1" customWidth="1"/>
    <col min="20" max="23" width="15" style="1" bestFit="1" customWidth="1"/>
    <col min="24" max="26" width="12.5546875" style="1" bestFit="1" customWidth="1"/>
    <col min="27" max="30" width="12.44140625" style="1" customWidth="1"/>
    <col min="31" max="31" width="6.88671875" style="1" customWidth="1"/>
    <col min="32" max="32" width="10.109375" style="1" customWidth="1"/>
    <col min="33" max="33" width="10.5546875" style="1" customWidth="1"/>
    <col min="34" max="34" width="12.5546875" style="1" bestFit="1" customWidth="1"/>
    <col min="35" max="35" width="16.109375" style="1" bestFit="1" customWidth="1"/>
    <col min="36" max="36" width="17.88671875" style="1" bestFit="1" customWidth="1"/>
    <col min="37" max="37" width="29.109375" style="1" customWidth="1"/>
    <col min="38" max="38" width="19.44140625" style="1" customWidth="1"/>
    <col min="39" max="39" width="23.44140625" style="1" bestFit="1" customWidth="1"/>
    <col min="40" max="40" width="16.88671875" style="1" bestFit="1" customWidth="1"/>
    <col min="41" max="41" width="13.109375" style="1" bestFit="1" customWidth="1"/>
    <col min="42" max="49" width="19.44140625" style="1" customWidth="1"/>
    <col min="50" max="50" width="17" style="1" customWidth="1"/>
    <col min="51" max="51" width="17.109375" style="1" bestFit="1" customWidth="1"/>
    <col min="52" max="52" width="21.109375" style="1" bestFit="1" customWidth="1"/>
    <col min="53" max="53" width="16.109375" style="1" bestFit="1" customWidth="1"/>
    <col min="54" max="55" width="20" style="1" bestFit="1" customWidth="1"/>
    <col min="56" max="56" width="14.88671875" style="1" bestFit="1" customWidth="1"/>
    <col min="57" max="57" width="14.88671875" style="1" customWidth="1"/>
    <col min="58" max="59" width="19.88671875" style="1" customWidth="1"/>
    <col min="60" max="60" width="26.44140625" style="1" bestFit="1" customWidth="1"/>
    <col min="61" max="63" width="14.88671875" style="1" customWidth="1"/>
    <col min="64" max="64" width="11.109375" style="1" customWidth="1"/>
    <col min="65" max="65" width="13" style="1" bestFit="1" customWidth="1"/>
    <col min="66" max="66" width="11.109375" style="1" customWidth="1"/>
    <col min="67" max="72" width="10.5546875" style="1" bestFit="1" customWidth="1"/>
    <col min="73" max="100" width="12" style="1" bestFit="1" customWidth="1"/>
    <col min="101" max="102" width="11.88671875" style="49" customWidth="1"/>
    <col min="103" max="103" width="14.109375" style="49" bestFit="1" customWidth="1"/>
    <col min="104" max="104" width="13" style="49" bestFit="1" customWidth="1"/>
    <col min="105" max="106" width="13.109375" style="49" bestFit="1" customWidth="1"/>
    <col min="107" max="109" width="11.88671875" style="49" customWidth="1"/>
    <col min="110" max="110" width="14.109375" style="49" bestFit="1" customWidth="1"/>
    <col min="111" max="111" width="13" style="49" bestFit="1" customWidth="1"/>
    <col min="112" max="113" width="13.109375" style="49" bestFit="1" customWidth="1"/>
    <col min="114" max="114" width="11.88671875" style="49" customWidth="1"/>
    <col min="115" max="115" width="21.109375" style="1" bestFit="1" customWidth="1"/>
    <col min="116" max="116" width="13.5546875" style="49" customWidth="1"/>
    <col min="117" max="117" width="13.5546875" style="49" bestFit="1" customWidth="1"/>
    <col min="118" max="118" width="14.109375" style="49" bestFit="1" customWidth="1"/>
    <col min="119" max="119" width="13" style="49" bestFit="1" customWidth="1"/>
    <col min="120" max="121" width="13.109375" style="49" bestFit="1" customWidth="1"/>
    <col min="122" max="122" width="11.88671875" style="49" customWidth="1"/>
    <col min="123" max="16384" width="18.109375" style="1"/>
  </cols>
  <sheetData>
    <row r="1" spans="1:147" x14ac:dyDescent="0.3">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
      <c r="A2" s="424" t="s">
        <v>556</v>
      </c>
      <c r="B2" s="424"/>
      <c r="C2" s="424"/>
      <c r="D2" s="424"/>
      <c r="E2" s="424"/>
      <c r="F2" s="424"/>
      <c r="G2" s="424"/>
      <c r="H2" s="110"/>
      <c r="I2" s="422" t="s">
        <v>557</v>
      </c>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c r="AI2" s="427" t="s">
        <v>558</v>
      </c>
      <c r="AJ2" s="427"/>
      <c r="AK2" s="427"/>
      <c r="AL2" s="427"/>
      <c r="AM2" s="416" t="s">
        <v>559</v>
      </c>
      <c r="AN2" s="416"/>
      <c r="AO2" s="416"/>
      <c r="AP2" s="416"/>
      <c r="AQ2" s="416"/>
      <c r="AR2" s="416"/>
      <c r="AS2" s="428" t="s">
        <v>560</v>
      </c>
      <c r="AT2" s="428"/>
      <c r="AU2" s="428"/>
      <c r="AV2" s="426" t="s">
        <v>561</v>
      </c>
      <c r="AW2" s="426"/>
      <c r="AX2" s="426"/>
      <c r="AY2" s="421" t="s">
        <v>562</v>
      </c>
      <c r="AZ2" s="421"/>
      <c r="BA2" s="421"/>
      <c r="BB2" s="421"/>
      <c r="BC2" s="421"/>
      <c r="BD2" s="421"/>
      <c r="BE2" s="421"/>
      <c r="BF2" s="421"/>
      <c r="BG2" s="421"/>
      <c r="BH2" s="425" t="s">
        <v>563</v>
      </c>
      <c r="BI2" s="425"/>
      <c r="BJ2" s="425"/>
      <c r="BK2" s="425"/>
      <c r="BL2" s="414"/>
      <c r="BM2" s="414"/>
      <c r="BN2" s="414"/>
      <c r="BO2" s="422" t="s">
        <v>564</v>
      </c>
      <c r="BP2" s="422"/>
      <c r="BQ2" s="422"/>
      <c r="BR2" s="422"/>
      <c r="BS2" s="422"/>
      <c r="BT2" s="422"/>
      <c r="BU2" s="421" t="s">
        <v>565</v>
      </c>
      <c r="BV2" s="421"/>
      <c r="BW2" s="421"/>
      <c r="BX2" s="421"/>
      <c r="BY2" s="421"/>
      <c r="BZ2" s="421"/>
      <c r="CA2" s="421"/>
      <c r="CB2" s="423" t="s">
        <v>566</v>
      </c>
      <c r="CC2" s="423"/>
      <c r="CD2" s="423"/>
      <c r="CE2" s="423"/>
      <c r="CF2" s="423"/>
      <c r="CG2" s="423"/>
      <c r="CH2" s="423"/>
      <c r="CI2" s="416" t="s">
        <v>567</v>
      </c>
      <c r="CJ2" s="416"/>
      <c r="CK2" s="416"/>
      <c r="CL2" s="416"/>
      <c r="CM2" s="416"/>
      <c r="CN2" s="416"/>
      <c r="CO2" s="416"/>
      <c r="CP2" s="414" t="s">
        <v>568</v>
      </c>
      <c r="CQ2" s="414"/>
      <c r="CR2" s="414"/>
      <c r="CS2" s="414"/>
      <c r="CT2" s="414"/>
      <c r="CU2" s="414"/>
      <c r="CV2" s="414"/>
      <c r="CW2" s="417" t="s">
        <v>569</v>
      </c>
      <c r="CX2" s="417"/>
      <c r="CY2" s="417"/>
      <c r="CZ2" s="417"/>
      <c r="DA2" s="417"/>
      <c r="DB2" s="417"/>
      <c r="DC2" s="417"/>
      <c r="DD2" s="419" t="s">
        <v>570</v>
      </c>
      <c r="DE2" s="419"/>
      <c r="DF2" s="419"/>
      <c r="DG2" s="419"/>
      <c r="DH2" s="419"/>
      <c r="DI2" s="419"/>
      <c r="DJ2" s="419"/>
      <c r="DK2" s="77" t="s">
        <v>17</v>
      </c>
      <c r="DL2" s="424" t="s">
        <v>571</v>
      </c>
      <c r="DM2" s="424"/>
      <c r="DN2" s="424"/>
      <c r="DO2" s="424"/>
      <c r="DP2" s="424"/>
      <c r="DQ2" s="424"/>
      <c r="DR2" s="424"/>
    </row>
    <row r="3" spans="1:147" ht="57.6" x14ac:dyDescent="0.3">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18" t="s">
        <v>619</v>
      </c>
      <c r="CX3" s="418"/>
      <c r="CY3" s="418"/>
      <c r="CZ3" s="418"/>
      <c r="DA3" s="418"/>
      <c r="DB3" s="418"/>
      <c r="DC3" s="418"/>
      <c r="DD3" s="420" t="s">
        <v>620</v>
      </c>
      <c r="DE3" s="420"/>
      <c r="DF3" s="420"/>
      <c r="DG3" s="420"/>
      <c r="DH3" s="420"/>
      <c r="DI3" s="420"/>
      <c r="DJ3" s="420"/>
      <c r="DK3" s="78"/>
      <c r="DL3" s="413" t="s">
        <v>621</v>
      </c>
      <c r="DM3" s="413"/>
      <c r="DN3" s="413"/>
      <c r="DO3" s="413"/>
      <c r="DP3" s="413"/>
      <c r="DQ3" s="413"/>
      <c r="DR3" s="413"/>
    </row>
    <row r="4" spans="1:147" ht="30" customHeight="1" x14ac:dyDescent="0.3">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5"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8.8" x14ac:dyDescent="0.3">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5"/>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7">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4"/>
      <c r="CJ138" s="174"/>
      <c r="CK138" s="174"/>
      <c r="CL138" s="174"/>
      <c r="CM138" s="174"/>
      <c r="CN138" s="174"/>
      <c r="CO138" s="174"/>
      <c r="CP138" s="175"/>
      <c r="CQ138" s="175"/>
      <c r="CR138" s="175"/>
      <c r="CS138" s="175"/>
      <c r="CT138" s="175"/>
      <c r="CU138" s="175"/>
      <c r="CV138" s="175"/>
      <c r="CW138" s="166"/>
      <c r="CX138" s="167"/>
      <c r="CY138" s="167"/>
      <c r="CZ138" s="167"/>
      <c r="DA138" s="167"/>
      <c r="DB138" s="167"/>
      <c r="DC138" s="167"/>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7">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5"/>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6"/>
      <c r="CJ139" s="176"/>
      <c r="CK139" s="176"/>
      <c r="CL139" s="176"/>
      <c r="CM139" s="176"/>
      <c r="CN139" s="176"/>
      <c r="CO139" s="176"/>
      <c r="CP139" s="177"/>
      <c r="CQ139" s="177"/>
      <c r="CR139" s="177"/>
      <c r="CS139" s="177"/>
      <c r="CT139" s="177"/>
      <c r="CU139" s="177"/>
      <c r="CV139" s="177"/>
      <c r="CW139" s="168"/>
      <c r="CX139" s="169"/>
      <c r="CY139" s="169"/>
      <c r="CZ139" s="169"/>
      <c r="DA139" s="169"/>
      <c r="DB139" s="169"/>
      <c r="DC139" s="169"/>
      <c r="DD139" s="173"/>
      <c r="DE139" s="173"/>
      <c r="DF139" s="173"/>
      <c r="DG139" s="173"/>
      <c r="DH139" s="173"/>
      <c r="DI139" s="173"/>
      <c r="DJ139" s="173"/>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7">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4"/>
      <c r="CJ140" s="174"/>
      <c r="CK140" s="174"/>
      <c r="CL140" s="174"/>
      <c r="CM140" s="174"/>
      <c r="CN140" s="174"/>
      <c r="CO140" s="174"/>
      <c r="CP140" s="175"/>
      <c r="CQ140" s="175"/>
      <c r="CR140" s="175"/>
      <c r="CS140" s="175"/>
      <c r="CT140" s="175"/>
      <c r="CU140" s="175"/>
      <c r="CV140" s="175"/>
      <c r="CW140" s="166"/>
      <c r="CX140" s="167"/>
      <c r="CY140" s="167"/>
      <c r="CZ140" s="167"/>
      <c r="DA140" s="167"/>
      <c r="DB140" s="167"/>
      <c r="DC140" s="167"/>
      <c r="DD140" s="172"/>
      <c r="DE140" s="172"/>
      <c r="DF140" s="172"/>
      <c r="DG140" s="172"/>
      <c r="DH140" s="172"/>
      <c r="DI140" s="172"/>
      <c r="DJ140" s="172"/>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7">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5"/>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6"/>
      <c r="CJ141" s="176"/>
      <c r="CK141" s="176"/>
      <c r="CL141" s="176"/>
      <c r="CM141" s="176"/>
      <c r="CN141" s="176"/>
      <c r="CO141" s="176"/>
      <c r="CP141" s="177"/>
      <c r="CQ141" s="177"/>
      <c r="CR141" s="177"/>
      <c r="CS141" s="177"/>
      <c r="CT141" s="177"/>
      <c r="CU141" s="177"/>
      <c r="CV141" s="177"/>
      <c r="CW141" s="168"/>
      <c r="CX141" s="169"/>
      <c r="CY141" s="169"/>
      <c r="CZ141" s="169"/>
      <c r="DA141" s="169"/>
      <c r="DB141" s="169"/>
      <c r="DC141" s="169"/>
      <c r="DD141" s="173"/>
      <c r="DE141" s="173"/>
      <c r="DF141" s="173"/>
      <c r="DG141" s="173"/>
      <c r="DH141" s="173"/>
      <c r="DI141" s="173"/>
      <c r="DJ141" s="173"/>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7">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4"/>
      <c r="CJ142" s="174"/>
      <c r="CK142" s="174"/>
      <c r="CL142" s="174"/>
      <c r="CM142" s="174"/>
      <c r="CN142" s="174"/>
      <c r="CO142" s="174"/>
      <c r="CP142" s="175"/>
      <c r="CQ142" s="175"/>
      <c r="CR142" s="175"/>
      <c r="CS142" s="175"/>
      <c r="CT142" s="175"/>
      <c r="CU142" s="175"/>
      <c r="CV142" s="175"/>
      <c r="CW142" s="166"/>
      <c r="CX142" s="167"/>
      <c r="CY142" s="167"/>
      <c r="CZ142" s="167"/>
      <c r="DA142" s="167"/>
      <c r="DB142" s="167"/>
      <c r="DC142" s="167"/>
      <c r="DD142" s="172"/>
      <c r="DE142" s="172"/>
      <c r="DF142" s="172"/>
      <c r="DG142" s="172"/>
      <c r="DH142" s="172"/>
      <c r="DI142" s="172"/>
      <c r="DJ142" s="172"/>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7">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5"/>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6"/>
      <c r="CJ143" s="176"/>
      <c r="CK143" s="176"/>
      <c r="CL143" s="176"/>
      <c r="CM143" s="176"/>
      <c r="CN143" s="176"/>
      <c r="CO143" s="176"/>
      <c r="CP143" s="177"/>
      <c r="CQ143" s="177"/>
      <c r="CR143" s="177"/>
      <c r="CS143" s="177"/>
      <c r="CT143" s="177"/>
      <c r="CU143" s="177"/>
      <c r="CV143" s="177"/>
      <c r="CW143" s="168"/>
      <c r="CX143" s="169"/>
      <c r="CY143" s="169"/>
      <c r="CZ143" s="169"/>
      <c r="DA143" s="169"/>
      <c r="DB143" s="169"/>
      <c r="DC143" s="169"/>
      <c r="DD143" s="173"/>
      <c r="DE143" s="173"/>
      <c r="DF143" s="173"/>
      <c r="DG143" s="173"/>
      <c r="DH143" s="173"/>
      <c r="DI143" s="173"/>
      <c r="DJ143" s="173"/>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7">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97">
        <v>500</v>
      </c>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7">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4"/>
      <c r="CJ145" s="174"/>
      <c r="CK145" s="174"/>
      <c r="CL145" s="174"/>
      <c r="CM145" s="174"/>
      <c r="CN145" s="174"/>
      <c r="CO145" s="174"/>
      <c r="CP145" s="175"/>
      <c r="CQ145" s="175"/>
      <c r="CR145" s="175"/>
      <c r="CS145" s="175"/>
      <c r="CT145" s="175"/>
      <c r="CU145" s="175"/>
      <c r="CV145" s="175"/>
      <c r="CW145" s="166"/>
      <c r="CX145" s="167"/>
      <c r="CY145" s="167"/>
      <c r="CZ145" s="167"/>
      <c r="DA145" s="167"/>
      <c r="DB145" s="167"/>
      <c r="DC145" s="167"/>
      <c r="DD145" s="172"/>
      <c r="DE145" s="172"/>
      <c r="DF145" s="172"/>
      <c r="DG145" s="172"/>
      <c r="DH145" s="172"/>
      <c r="DI145" s="172"/>
      <c r="DJ145" s="172"/>
      <c r="DK145" s="80" t="s">
        <v>1012</v>
      </c>
      <c r="DL145" s="129"/>
      <c r="DM145" s="129"/>
      <c r="DN145" s="129"/>
      <c r="DO145" s="129"/>
      <c r="DP145" s="129"/>
      <c r="DQ145" s="129"/>
      <c r="DR145" s="129"/>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7">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6"/>
      <c r="CJ146" s="176"/>
      <c r="CK146" s="176"/>
      <c r="CL146" s="176"/>
      <c r="CM146" s="176"/>
      <c r="CN146" s="176"/>
      <c r="CO146" s="176"/>
      <c r="CP146" s="177"/>
      <c r="CQ146" s="177"/>
      <c r="CR146" s="177"/>
      <c r="CS146" s="177"/>
      <c r="CT146" s="177"/>
      <c r="CU146" s="177"/>
      <c r="CV146" s="177"/>
      <c r="CW146" s="168"/>
      <c r="CX146" s="169"/>
      <c r="CY146" s="169"/>
      <c r="CZ146" s="169"/>
      <c r="DA146" s="169"/>
      <c r="DB146" s="169"/>
      <c r="DC146" s="169"/>
      <c r="DD146" s="173"/>
      <c r="DE146" s="173"/>
      <c r="DF146" s="173"/>
      <c r="DG146" s="173"/>
      <c r="DH146" s="173"/>
      <c r="DI146" s="173"/>
      <c r="DJ146" s="173"/>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7">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4"/>
      <c r="CJ147" s="174"/>
      <c r="CK147" s="174"/>
      <c r="CL147" s="174"/>
      <c r="CM147" s="174"/>
      <c r="CN147" s="174"/>
      <c r="CO147" s="174"/>
      <c r="CP147" s="175"/>
      <c r="CQ147" s="175"/>
      <c r="CR147" s="175"/>
      <c r="CS147" s="175"/>
      <c r="CT147" s="175"/>
      <c r="CU147" s="175"/>
      <c r="CV147" s="175"/>
      <c r="CW147" s="166"/>
      <c r="CX147" s="167"/>
      <c r="CY147" s="167"/>
      <c r="CZ147" s="167"/>
      <c r="DA147" s="167"/>
      <c r="DB147" s="167"/>
      <c r="DC147" s="167"/>
      <c r="DD147" s="172"/>
      <c r="DE147" s="172"/>
      <c r="DF147" s="172"/>
      <c r="DG147" s="172"/>
      <c r="DH147" s="172"/>
      <c r="DI147" s="172"/>
      <c r="DJ147" s="172"/>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7">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7">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6"/>
      <c r="CJ148" s="176"/>
      <c r="CK148" s="176"/>
      <c r="CL148" s="176"/>
      <c r="CM148" s="176"/>
      <c r="CN148" s="176"/>
      <c r="CO148" s="176"/>
      <c r="CP148" s="177"/>
      <c r="CQ148" s="177"/>
      <c r="CR148" s="177"/>
      <c r="CS148" s="177"/>
      <c r="CT148" s="177"/>
      <c r="CU148" s="177"/>
      <c r="CV148" s="177"/>
      <c r="CW148" s="168"/>
      <c r="CX148" s="169"/>
      <c r="CY148" s="169"/>
      <c r="CZ148" s="169"/>
      <c r="DA148" s="169"/>
      <c r="DB148" s="169"/>
      <c r="DC148" s="169"/>
      <c r="DD148" s="173"/>
      <c r="DE148" s="173"/>
      <c r="DF148" s="173"/>
      <c r="DG148" s="173"/>
      <c r="DH148" s="173"/>
      <c r="DI148" s="173"/>
      <c r="DJ148" s="173"/>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7">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5"/>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4"/>
      <c r="CJ151" s="174"/>
      <c r="CK151" s="174"/>
      <c r="CL151" s="174"/>
      <c r="CM151" s="174"/>
      <c r="CN151" s="174"/>
      <c r="CO151" s="174"/>
      <c r="CP151" s="175"/>
      <c r="CQ151" s="175"/>
      <c r="CR151" s="175"/>
      <c r="CS151" s="175"/>
      <c r="CT151" s="175"/>
      <c r="CU151" s="175"/>
      <c r="CV151" s="175"/>
      <c r="CW151" s="166"/>
      <c r="CX151" s="167"/>
      <c r="CY151" s="167"/>
      <c r="CZ151" s="167"/>
      <c r="DA151" s="167"/>
      <c r="DB151" s="167"/>
      <c r="DC151" s="167"/>
      <c r="DD151" s="172"/>
      <c r="DE151" s="172"/>
      <c r="DF151" s="172"/>
      <c r="DG151" s="172"/>
      <c r="DH151" s="172"/>
      <c r="DI151" s="172"/>
      <c r="DJ151" s="172"/>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7">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5"/>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6"/>
      <c r="CJ152" s="176"/>
      <c r="CK152" s="176"/>
      <c r="CL152" s="176"/>
      <c r="CM152" s="176"/>
      <c r="CN152" s="176"/>
      <c r="CO152" s="176"/>
      <c r="CP152" s="177"/>
      <c r="CQ152" s="177"/>
      <c r="CR152" s="177"/>
      <c r="CS152" s="177"/>
      <c r="CT152" s="177"/>
      <c r="CU152" s="177"/>
      <c r="CV152" s="177"/>
      <c r="CW152" s="168"/>
      <c r="CX152" s="169"/>
      <c r="CY152" s="169"/>
      <c r="CZ152" s="169"/>
      <c r="DA152" s="169"/>
      <c r="DB152" s="169"/>
      <c r="DC152" s="169"/>
      <c r="DD152" s="173"/>
      <c r="DE152" s="173"/>
      <c r="DF152" s="173"/>
      <c r="DG152" s="173"/>
      <c r="DH152" s="173"/>
      <c r="DI152" s="173"/>
      <c r="DJ152" s="173"/>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7">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5"/>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4"/>
      <c r="CJ153" s="174"/>
      <c r="CK153" s="174"/>
      <c r="CL153" s="174"/>
      <c r="CM153" s="174"/>
      <c r="CN153" s="174"/>
      <c r="CO153" s="174"/>
      <c r="CP153" s="175"/>
      <c r="CQ153" s="175"/>
      <c r="CR153" s="175"/>
      <c r="CS153" s="175"/>
      <c r="CT153" s="175"/>
      <c r="CU153" s="175"/>
      <c r="CV153" s="175"/>
      <c r="CW153" s="166"/>
      <c r="CX153" s="167"/>
      <c r="CY153" s="167"/>
      <c r="CZ153" s="167"/>
      <c r="DA153" s="167"/>
      <c r="DB153" s="167"/>
      <c r="DC153" s="167"/>
      <c r="DD153" s="172"/>
      <c r="DE153" s="172"/>
      <c r="DF153" s="172"/>
      <c r="DG153" s="172"/>
      <c r="DH153" s="172"/>
      <c r="DI153" s="172"/>
      <c r="DJ153" s="172"/>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7">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225" si="155">DQ154</f>
        <v>10.02</v>
      </c>
      <c r="CH154" s="99">
        <f>DR154</f>
        <v>9.98</v>
      </c>
      <c r="CI154" s="176"/>
      <c r="CJ154" s="176"/>
      <c r="CK154" s="176"/>
      <c r="CL154" s="176"/>
      <c r="CM154" s="176"/>
      <c r="CN154" s="176"/>
      <c r="CO154" s="176"/>
      <c r="CP154" s="177"/>
      <c r="CQ154" s="177"/>
      <c r="CR154" s="177"/>
      <c r="CS154" s="177"/>
      <c r="CT154" s="177"/>
      <c r="CU154" s="177"/>
      <c r="CV154" s="177"/>
      <c r="CW154" s="168"/>
      <c r="CX154" s="169"/>
      <c r="CY154" s="169"/>
      <c r="CZ154" s="169"/>
      <c r="DA154" s="169"/>
      <c r="DB154" s="169"/>
      <c r="DC154" s="169"/>
      <c r="DD154" s="173"/>
      <c r="DE154" s="173"/>
      <c r="DF154" s="173"/>
      <c r="DG154" s="173"/>
      <c r="DH154" s="173"/>
      <c r="DI154" s="173"/>
      <c r="DJ154" s="173"/>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7">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4"/>
      <c r="CJ155" s="174"/>
      <c r="CK155" s="174"/>
      <c r="CL155" s="174"/>
      <c r="CM155" s="174"/>
      <c r="CN155" s="174"/>
      <c r="CO155" s="174"/>
      <c r="CP155" s="175"/>
      <c r="CQ155" s="175"/>
      <c r="CR155" s="175"/>
      <c r="CS155" s="175"/>
      <c r="CT155" s="175"/>
      <c r="CU155" s="175"/>
      <c r="CV155" s="175"/>
      <c r="CW155" s="166"/>
      <c r="CX155" s="167"/>
      <c r="CY155" s="167"/>
      <c r="CZ155" s="167"/>
      <c r="DA155" s="167"/>
      <c r="DB155" s="167"/>
      <c r="DC155" s="167"/>
      <c r="DD155" s="172"/>
      <c r="DE155" s="172"/>
      <c r="DF155" s="172"/>
      <c r="DG155" s="172"/>
      <c r="DH155" s="172"/>
      <c r="DI155" s="172"/>
      <c r="DJ155" s="172"/>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7">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5"/>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6"/>
      <c r="CJ156" s="176"/>
      <c r="CK156" s="176"/>
      <c r="CL156" s="176"/>
      <c r="CM156" s="176"/>
      <c r="CN156" s="176"/>
      <c r="CO156" s="176"/>
      <c r="CP156" s="177"/>
      <c r="CQ156" s="177"/>
      <c r="CR156" s="177"/>
      <c r="CS156" s="177"/>
      <c r="CT156" s="177"/>
      <c r="CU156" s="177"/>
      <c r="CV156" s="177"/>
      <c r="CW156" s="168"/>
      <c r="CX156" s="169"/>
      <c r="CY156" s="169"/>
      <c r="CZ156" s="169"/>
      <c r="DA156" s="169"/>
      <c r="DB156" s="169"/>
      <c r="DC156" s="169"/>
      <c r="DD156" s="173"/>
      <c r="DE156" s="173"/>
      <c r="DF156" s="173"/>
      <c r="DG156" s="173"/>
      <c r="DH156" s="173"/>
      <c r="DI156" s="173"/>
      <c r="DJ156" s="173"/>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7">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5"/>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4"/>
      <c r="CJ157" s="174"/>
      <c r="CK157" s="174"/>
      <c r="CL157" s="174"/>
      <c r="CM157" s="174"/>
      <c r="CN157" s="174"/>
      <c r="CO157" s="174"/>
      <c r="CP157" s="175"/>
      <c r="CQ157" s="175"/>
      <c r="CR157" s="175"/>
      <c r="CS157" s="175"/>
      <c r="CT157" s="175"/>
      <c r="CU157" s="175"/>
      <c r="CV157" s="175"/>
      <c r="CW157" s="166"/>
      <c r="CX157" s="167"/>
      <c r="CY157" s="167"/>
      <c r="CZ157" s="167"/>
      <c r="DA157" s="167"/>
      <c r="DB157" s="167"/>
      <c r="DC157" s="167"/>
      <c r="DD157" s="172"/>
      <c r="DE157" s="172"/>
      <c r="DF157" s="172"/>
      <c r="DG157" s="172"/>
      <c r="DH157" s="172"/>
      <c r="DI157" s="172"/>
      <c r="DJ157" s="172"/>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7">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5"/>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6"/>
      <c r="CJ158" s="176"/>
      <c r="CK158" s="176"/>
      <c r="CL158" s="176"/>
      <c r="CM158" s="176"/>
      <c r="CN158" s="176"/>
      <c r="CO158" s="176"/>
      <c r="CP158" s="177"/>
      <c r="CQ158" s="177"/>
      <c r="CR158" s="177"/>
      <c r="CS158" s="177"/>
      <c r="CT158" s="177"/>
      <c r="CU158" s="177"/>
      <c r="CV158" s="177"/>
      <c r="CW158" s="168"/>
      <c r="CX158" s="169"/>
      <c r="CY158" s="169"/>
      <c r="CZ158" s="169"/>
      <c r="DA158" s="169"/>
      <c r="DB158" s="169"/>
      <c r="DC158" s="169"/>
      <c r="DD158" s="173"/>
      <c r="DE158" s="173"/>
      <c r="DF158" s="173"/>
      <c r="DG158" s="173"/>
      <c r="DH158" s="173"/>
      <c r="DI158" s="173"/>
      <c r="DJ158" s="173"/>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7">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7">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4"/>
      <c r="CJ159" s="174"/>
      <c r="CK159" s="174"/>
      <c r="CL159" s="174"/>
      <c r="CM159" s="174"/>
      <c r="CN159" s="174"/>
      <c r="CO159" s="174"/>
      <c r="CP159" s="175"/>
      <c r="CQ159" s="175"/>
      <c r="CR159" s="175"/>
      <c r="CS159" s="175"/>
      <c r="CT159" s="175"/>
      <c r="CU159" s="175"/>
      <c r="CV159" s="175"/>
      <c r="CW159" s="166"/>
      <c r="CX159" s="167"/>
      <c r="CY159" s="167"/>
      <c r="CZ159" s="167"/>
      <c r="DA159" s="167"/>
      <c r="DB159" s="167"/>
      <c r="DC159" s="167"/>
      <c r="DD159" s="172"/>
      <c r="DE159" s="172"/>
      <c r="DF159" s="172"/>
      <c r="DG159" s="172"/>
      <c r="DH159" s="172"/>
      <c r="DI159" s="172"/>
      <c r="DJ159" s="172"/>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7">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5"/>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6"/>
      <c r="CJ162" s="176"/>
      <c r="CK162" s="176"/>
      <c r="CL162" s="176"/>
      <c r="CM162" s="176"/>
      <c r="CN162" s="176"/>
      <c r="CO162" s="176"/>
      <c r="CP162" s="177"/>
      <c r="CQ162" s="177"/>
      <c r="CR162" s="177"/>
      <c r="CS162" s="177"/>
      <c r="CT162" s="177"/>
      <c r="CU162" s="177"/>
      <c r="CV162" s="177"/>
      <c r="CW162" s="168"/>
      <c r="CX162" s="169"/>
      <c r="CY162" s="169"/>
      <c r="CZ162" s="169"/>
      <c r="DA162" s="169"/>
      <c r="DB162" s="169"/>
      <c r="DC162" s="169"/>
      <c r="DD162" s="173"/>
      <c r="DE162" s="173"/>
      <c r="DF162" s="173"/>
      <c r="DG162" s="173"/>
      <c r="DH162" s="173"/>
      <c r="DI162" s="173"/>
      <c r="DJ162" s="173"/>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7">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5"/>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4"/>
      <c r="CJ163" s="174"/>
      <c r="CK163" s="174"/>
      <c r="CL163" s="174"/>
      <c r="CM163" s="174"/>
      <c r="CN163" s="174"/>
      <c r="CO163" s="174"/>
      <c r="CP163" s="175"/>
      <c r="CQ163" s="175"/>
      <c r="CR163" s="175"/>
      <c r="CS163" s="175"/>
      <c r="CT163" s="175"/>
      <c r="CU163" s="175"/>
      <c r="CV163" s="175"/>
      <c r="CW163" s="166"/>
      <c r="CX163" s="167"/>
      <c r="CY163" s="167"/>
      <c r="CZ163" s="167"/>
      <c r="DA163" s="167"/>
      <c r="DB163" s="167"/>
      <c r="DC163" s="167"/>
      <c r="DD163" s="172"/>
      <c r="DE163" s="172"/>
      <c r="DF163" s="172"/>
      <c r="DG163" s="172"/>
      <c r="DH163" s="172"/>
      <c r="DI163" s="172"/>
      <c r="DJ163" s="172"/>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7">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5"/>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6"/>
      <c r="CJ164" s="176"/>
      <c r="CK164" s="176"/>
      <c r="CL164" s="176"/>
      <c r="CM164" s="176"/>
      <c r="CN164" s="176"/>
      <c r="CO164" s="176"/>
      <c r="CP164" s="177"/>
      <c r="CQ164" s="177"/>
      <c r="CR164" s="177"/>
      <c r="CS164" s="177"/>
      <c r="CT164" s="177"/>
      <c r="CU164" s="177"/>
      <c r="CV164" s="177"/>
      <c r="CW164" s="168"/>
      <c r="CX164" s="169"/>
      <c r="CY164" s="169"/>
      <c r="CZ164" s="169"/>
      <c r="DA164" s="169"/>
      <c r="DB164" s="169"/>
      <c r="DC164" s="169"/>
      <c r="DD164" s="173"/>
      <c r="DE164" s="173"/>
      <c r="DF164" s="173"/>
      <c r="DG164" s="173"/>
      <c r="DH164" s="173"/>
      <c r="DI164" s="173"/>
      <c r="DJ164" s="173"/>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7">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5"/>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4"/>
      <c r="CJ165" s="174"/>
      <c r="CK165" s="174"/>
      <c r="CL165" s="174"/>
      <c r="CM165" s="174"/>
      <c r="CN165" s="174"/>
      <c r="CO165" s="174"/>
      <c r="CP165" s="175"/>
      <c r="CQ165" s="175"/>
      <c r="CR165" s="175"/>
      <c r="CS165" s="175"/>
      <c r="CT165" s="175"/>
      <c r="CU165" s="175"/>
      <c r="CV165" s="175"/>
      <c r="CW165" s="166"/>
      <c r="CX165" s="167"/>
      <c r="CY165" s="167"/>
      <c r="CZ165" s="167"/>
      <c r="DA165" s="167"/>
      <c r="DB165" s="167"/>
      <c r="DC165" s="167"/>
      <c r="DD165" s="172"/>
      <c r="DE165" s="172"/>
      <c r="DF165" s="172"/>
      <c r="DG165" s="172"/>
      <c r="DH165" s="172"/>
      <c r="DI165" s="172"/>
      <c r="DJ165" s="172"/>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7">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5"/>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6"/>
      <c r="CJ166" s="176"/>
      <c r="CK166" s="176"/>
      <c r="CL166" s="176"/>
      <c r="CM166" s="176"/>
      <c r="CN166" s="176"/>
      <c r="CO166" s="176"/>
      <c r="CP166" s="177"/>
      <c r="CQ166" s="177"/>
      <c r="CR166" s="177"/>
      <c r="CS166" s="177"/>
      <c r="CT166" s="177"/>
      <c r="CU166" s="177"/>
      <c r="CV166" s="177"/>
      <c r="CW166" s="168"/>
      <c r="CX166" s="169"/>
      <c r="CY166" s="169"/>
      <c r="CZ166" s="169"/>
      <c r="DA166" s="169"/>
      <c r="DB166" s="169"/>
      <c r="DC166" s="169"/>
      <c r="DD166" s="173"/>
      <c r="DE166" s="173"/>
      <c r="DF166" s="173"/>
      <c r="DG166" s="173"/>
      <c r="DH166" s="173"/>
      <c r="DI166" s="173"/>
      <c r="DJ166" s="173"/>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7">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4"/>
      <c r="CJ167" s="174"/>
      <c r="CK167" s="174"/>
      <c r="CL167" s="174"/>
      <c r="CM167" s="174"/>
      <c r="CN167" s="174"/>
      <c r="CO167" s="174"/>
      <c r="CP167" s="175"/>
      <c r="CQ167" s="175"/>
      <c r="CR167" s="175"/>
      <c r="CS167" s="175"/>
      <c r="CT167" s="175"/>
      <c r="CU167" s="175"/>
      <c r="CV167" s="175"/>
      <c r="CW167" s="166"/>
      <c r="CX167" s="167"/>
      <c r="CY167" s="167"/>
      <c r="CZ167" s="167"/>
      <c r="DA167" s="167"/>
      <c r="DB167" s="167"/>
      <c r="DC167" s="167"/>
      <c r="DD167" s="172"/>
      <c r="DE167" s="172"/>
      <c r="DF167" s="172"/>
      <c r="DG167" s="172"/>
      <c r="DH167" s="172"/>
      <c r="DI167" s="172"/>
      <c r="DJ167" s="172"/>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7">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5"/>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6"/>
      <c r="CJ170" s="176"/>
      <c r="CK170" s="176"/>
      <c r="CL170" s="176"/>
      <c r="CM170" s="176"/>
      <c r="CN170" s="176"/>
      <c r="CO170" s="176"/>
      <c r="CP170" s="177"/>
      <c r="CQ170" s="177"/>
      <c r="CR170" s="177"/>
      <c r="CS170" s="177"/>
      <c r="CT170" s="177"/>
      <c r="CU170" s="177"/>
      <c r="CV170" s="177"/>
      <c r="CW170" s="168"/>
      <c r="CX170" s="169"/>
      <c r="CY170" s="169"/>
      <c r="CZ170" s="169"/>
      <c r="DA170" s="169"/>
      <c r="DB170" s="169"/>
      <c r="DC170" s="169"/>
      <c r="DD170" s="173"/>
      <c r="DE170" s="173"/>
      <c r="DF170" s="173"/>
      <c r="DG170" s="173"/>
      <c r="DH170" s="173"/>
      <c r="DI170" s="173"/>
      <c r="DJ170" s="173"/>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7">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4"/>
      <c r="CJ171" s="174"/>
      <c r="CK171" s="174"/>
      <c r="CL171" s="174"/>
      <c r="CM171" s="174"/>
      <c r="CN171" s="174"/>
      <c r="CO171" s="174"/>
      <c r="CP171" s="175"/>
      <c r="CQ171" s="175"/>
      <c r="CR171" s="175"/>
      <c r="CS171" s="175"/>
      <c r="CT171" s="175"/>
      <c r="CU171" s="175"/>
      <c r="CV171" s="175"/>
      <c r="CW171" s="166"/>
      <c r="CX171" s="167"/>
      <c r="CY171" s="167"/>
      <c r="CZ171" s="167"/>
      <c r="DA171" s="167"/>
      <c r="DB171" s="167"/>
      <c r="DC171" s="167"/>
      <c r="DD171" s="172"/>
      <c r="DE171" s="172"/>
      <c r="DF171" s="172"/>
      <c r="DG171" s="172"/>
      <c r="DH171" s="172"/>
      <c r="DI171" s="172"/>
      <c r="DJ171" s="172"/>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7">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6"/>
      <c r="CJ172" s="176"/>
      <c r="CK172" s="176"/>
      <c r="CL172" s="176"/>
      <c r="CM172" s="176"/>
      <c r="CN172" s="176"/>
      <c r="CO172" s="176"/>
      <c r="CP172" s="177"/>
      <c r="CQ172" s="177"/>
      <c r="CR172" s="177"/>
      <c r="CS172" s="177"/>
      <c r="CT172" s="177"/>
      <c r="CU172" s="177"/>
      <c r="CV172" s="177"/>
      <c r="CW172" s="168"/>
      <c r="CX172" s="169"/>
      <c r="CY172" s="169"/>
      <c r="CZ172" s="169"/>
      <c r="DA172" s="169"/>
      <c r="DB172" s="169"/>
      <c r="DC172" s="169"/>
      <c r="DD172" s="173"/>
      <c r="DE172" s="173"/>
      <c r="DF172" s="173"/>
      <c r="DG172" s="173"/>
      <c r="DH172" s="173"/>
      <c r="DI172" s="173"/>
      <c r="DJ172" s="173"/>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7">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4"/>
      <c r="CJ173" s="174"/>
      <c r="CK173" s="174"/>
      <c r="CL173" s="174"/>
      <c r="CM173" s="174"/>
      <c r="CN173" s="174"/>
      <c r="CO173" s="174"/>
      <c r="CP173" s="175"/>
      <c r="CQ173" s="175"/>
      <c r="CR173" s="175"/>
      <c r="CS173" s="175"/>
      <c r="CT173" s="175"/>
      <c r="CU173" s="175"/>
      <c r="CV173" s="175"/>
      <c r="CW173" s="166"/>
      <c r="CX173" s="167"/>
      <c r="CY173" s="167"/>
      <c r="CZ173" s="167"/>
      <c r="DA173" s="167"/>
      <c r="DB173" s="167"/>
      <c r="DC173" s="167"/>
      <c r="DD173" s="172"/>
      <c r="DE173" s="172"/>
      <c r="DF173" s="172"/>
      <c r="DG173" s="172"/>
      <c r="DH173" s="172"/>
      <c r="DI173" s="172"/>
      <c r="DJ173" s="172"/>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7">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6">
        <v>1</v>
      </c>
      <c r="CC174" s="99">
        <v>5</v>
      </c>
      <c r="CD174" s="99">
        <v>10</v>
      </c>
      <c r="CE174" s="99">
        <v>50</v>
      </c>
      <c r="CF174" s="99">
        <v>150</v>
      </c>
      <c r="CG174" s="99">
        <f t="shared" si="155"/>
        <v>143.63999999999999</v>
      </c>
      <c r="CH174" s="99">
        <f t="shared" si="155"/>
        <v>143</v>
      </c>
      <c r="CI174" s="176"/>
      <c r="CJ174" s="176"/>
      <c r="CK174" s="176"/>
      <c r="CL174" s="176"/>
      <c r="CM174" s="176"/>
      <c r="CN174" s="176"/>
      <c r="CO174" s="176"/>
      <c r="CP174" s="177"/>
      <c r="CQ174" s="177"/>
      <c r="CR174" s="177"/>
      <c r="CS174" s="177"/>
      <c r="CT174" s="177"/>
      <c r="CU174" s="177"/>
      <c r="CV174" s="177"/>
      <c r="CW174" s="168"/>
      <c r="CX174" s="169"/>
      <c r="CY174" s="169"/>
      <c r="CZ174" s="169"/>
      <c r="DA174" s="169"/>
      <c r="DB174" s="169"/>
      <c r="DC174" s="169"/>
      <c r="DD174" s="173"/>
      <c r="DE174" s="173"/>
      <c r="DF174" s="173"/>
      <c r="DG174" s="173"/>
      <c r="DH174" s="173"/>
      <c r="DI174" s="173"/>
      <c r="DJ174" s="173"/>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7">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4"/>
      <c r="CJ177" s="174"/>
      <c r="CK177" s="174"/>
      <c r="CL177" s="174"/>
      <c r="CM177" s="174"/>
      <c r="CN177" s="174"/>
      <c r="CO177" s="174"/>
      <c r="CP177" s="175"/>
      <c r="CQ177" s="175"/>
      <c r="CR177" s="175"/>
      <c r="CS177" s="175"/>
      <c r="CT177" s="175"/>
      <c r="CU177" s="175"/>
      <c r="CV177" s="175"/>
      <c r="CW177" s="166"/>
      <c r="CX177" s="167"/>
      <c r="CY177" s="167"/>
      <c r="CZ177" s="167"/>
      <c r="DA177" s="167"/>
      <c r="DB177" s="167"/>
      <c r="DC177" s="167"/>
      <c r="DD177" s="172"/>
      <c r="DE177" s="172"/>
      <c r="DF177" s="172"/>
      <c r="DG177" s="172"/>
      <c r="DH177" s="172"/>
      <c r="DI177" s="172"/>
      <c r="DJ177" s="172"/>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7">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6"/>
      <c r="CJ178" s="176"/>
      <c r="CK178" s="176"/>
      <c r="CL178" s="176"/>
      <c r="CM178" s="176"/>
      <c r="CN178" s="176"/>
      <c r="CO178" s="176"/>
      <c r="CP178" s="177"/>
      <c r="CQ178" s="177"/>
      <c r="CR178" s="177"/>
      <c r="CS178" s="177"/>
      <c r="CT178" s="177"/>
      <c r="CU178" s="177"/>
      <c r="CV178" s="177"/>
      <c r="CW178" s="168"/>
      <c r="CX178" s="169"/>
      <c r="CY178" s="169"/>
      <c r="CZ178" s="169"/>
      <c r="DA178" s="169"/>
      <c r="DB178" s="169"/>
      <c r="DC178" s="169"/>
      <c r="DD178" s="173"/>
      <c r="DE178" s="173"/>
      <c r="DF178" s="173"/>
      <c r="DG178" s="173"/>
      <c r="DH178" s="173"/>
      <c r="DI178" s="173"/>
      <c r="DJ178" s="173"/>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7">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4"/>
      <c r="CJ179" s="174"/>
      <c r="CK179" s="174"/>
      <c r="CL179" s="174"/>
      <c r="CM179" s="174"/>
      <c r="CN179" s="174"/>
      <c r="CO179" s="174"/>
      <c r="CP179" s="175"/>
      <c r="CQ179" s="175"/>
      <c r="CR179" s="175"/>
      <c r="CS179" s="175"/>
      <c r="CT179" s="175"/>
      <c r="CU179" s="175"/>
      <c r="CV179" s="175"/>
      <c r="CW179" s="166"/>
      <c r="CX179" s="167"/>
      <c r="CY179" s="167"/>
      <c r="CZ179" s="167"/>
      <c r="DA179" s="167"/>
      <c r="DB179" s="167"/>
      <c r="DC179" s="167"/>
      <c r="DD179" s="172"/>
      <c r="DE179" s="172"/>
      <c r="DF179" s="172"/>
      <c r="DG179" s="172"/>
      <c r="DH179" s="172"/>
      <c r="DI179" s="172"/>
      <c r="DJ179" s="172"/>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7">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6"/>
      <c r="CJ180" s="176"/>
      <c r="CK180" s="176"/>
      <c r="CL180" s="176"/>
      <c r="CM180" s="176"/>
      <c r="CN180" s="176"/>
      <c r="CO180" s="176"/>
      <c r="CP180" s="177"/>
      <c r="CQ180" s="177"/>
      <c r="CR180" s="177"/>
      <c r="CS180" s="177"/>
      <c r="CT180" s="177"/>
      <c r="CU180" s="177"/>
      <c r="CV180" s="177"/>
      <c r="CW180" s="168"/>
      <c r="CX180" s="169"/>
      <c r="CY180" s="169"/>
      <c r="CZ180" s="169"/>
      <c r="DA180" s="169"/>
      <c r="DB180" s="169"/>
      <c r="DC180" s="169"/>
      <c r="DD180" s="173"/>
      <c r="DE180" s="173"/>
      <c r="DF180" s="173"/>
      <c r="DG180" s="173"/>
      <c r="DH180" s="173"/>
      <c r="DI180" s="173"/>
      <c r="DJ180" s="173"/>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7">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4"/>
      <c r="CJ181" s="174"/>
      <c r="CK181" s="174"/>
      <c r="CL181" s="174"/>
      <c r="CM181" s="174"/>
      <c r="CN181" s="174"/>
      <c r="CO181" s="174"/>
      <c r="CP181" s="175"/>
      <c r="CQ181" s="175"/>
      <c r="CR181" s="175"/>
      <c r="CS181" s="175"/>
      <c r="CT181" s="175"/>
      <c r="CU181" s="175"/>
      <c r="CV181" s="175"/>
      <c r="CW181" s="166"/>
      <c r="CX181" s="167"/>
      <c r="CY181" s="167"/>
      <c r="CZ181" s="167"/>
      <c r="DA181" s="167"/>
      <c r="DB181" s="167"/>
      <c r="DC181" s="167"/>
      <c r="DD181" s="172"/>
      <c r="DE181" s="172"/>
      <c r="DF181" s="172"/>
      <c r="DG181" s="172"/>
      <c r="DH181" s="172"/>
      <c r="DI181" s="172"/>
      <c r="DJ181" s="172"/>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7">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6"/>
      <c r="CJ182" s="176"/>
      <c r="CK182" s="176"/>
      <c r="CL182" s="176"/>
      <c r="CM182" s="176"/>
      <c r="CN182" s="176"/>
      <c r="CO182" s="176"/>
      <c r="CP182" s="177"/>
      <c r="CQ182" s="177"/>
      <c r="CR182" s="177"/>
      <c r="CS182" s="177"/>
      <c r="CT182" s="177"/>
      <c r="CU182" s="177"/>
      <c r="CV182" s="177"/>
      <c r="CW182" s="168"/>
      <c r="CX182" s="169"/>
      <c r="CY182" s="169"/>
      <c r="CZ182" s="169"/>
      <c r="DA182" s="169"/>
      <c r="DB182" s="169"/>
      <c r="DC182" s="169"/>
      <c r="DD182" s="173"/>
      <c r="DE182" s="173"/>
      <c r="DF182" s="173"/>
      <c r="DG182" s="173"/>
      <c r="DH182" s="173"/>
      <c r="DI182" s="173"/>
      <c r="DJ182" s="173"/>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7">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3" si="199">DM183</f>
        <v>730.9</v>
      </c>
      <c r="CD183" s="97">
        <f t="shared" si="199"/>
        <v>747.24</v>
      </c>
      <c r="CE183" s="97">
        <f t="shared" si="199"/>
        <v>756</v>
      </c>
      <c r="CF183" s="97">
        <f t="shared" si="199"/>
        <v>759.43</v>
      </c>
      <c r="CG183" s="97">
        <f t="shared" si="199"/>
        <v>758.59</v>
      </c>
      <c r="CH183" s="97">
        <f t="shared" si="155"/>
        <v>755.24</v>
      </c>
      <c r="CI183" s="174"/>
      <c r="CJ183" s="174"/>
      <c r="CK183" s="174"/>
      <c r="CL183" s="174"/>
      <c r="CM183" s="174"/>
      <c r="CN183" s="174"/>
      <c r="CO183" s="174"/>
      <c r="CP183" s="175"/>
      <c r="CQ183" s="175"/>
      <c r="CR183" s="175"/>
      <c r="CS183" s="175"/>
      <c r="CT183" s="175"/>
      <c r="CU183" s="175"/>
      <c r="CV183" s="175"/>
      <c r="CW183" s="166"/>
      <c r="CX183" s="167"/>
      <c r="CY183" s="167"/>
      <c r="CZ183" s="167"/>
      <c r="DA183" s="167"/>
      <c r="DB183" s="167"/>
      <c r="DC183" s="167"/>
      <c r="DD183" s="172"/>
      <c r="DE183" s="172"/>
      <c r="DF183" s="172"/>
      <c r="DG183" s="172"/>
      <c r="DH183" s="172"/>
      <c r="DI183" s="172"/>
      <c r="DJ183" s="172"/>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7">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H184" si="201">DM184</f>
        <v>291.20999999999998</v>
      </c>
      <c r="CD184" s="99">
        <f t="shared" si="201"/>
        <v>297.71999999999997</v>
      </c>
      <c r="CE184" s="99">
        <f t="shared" si="201"/>
        <v>301.20999999999998</v>
      </c>
      <c r="CF184" s="99">
        <f t="shared" si="201"/>
        <v>302.57</v>
      </c>
      <c r="CG184" s="99">
        <f t="shared" si="201"/>
        <v>302.24</v>
      </c>
      <c r="CH184" s="99">
        <f t="shared" si="201"/>
        <v>300.90999999999997</v>
      </c>
      <c r="CI184" s="176"/>
      <c r="CJ184" s="176"/>
      <c r="CK184" s="176"/>
      <c r="CL184" s="176"/>
      <c r="CM184" s="176"/>
      <c r="CN184" s="176"/>
      <c r="CO184" s="176"/>
      <c r="CP184" s="177"/>
      <c r="CQ184" s="177"/>
      <c r="CR184" s="177"/>
      <c r="CS184" s="177"/>
      <c r="CT184" s="177"/>
      <c r="CU184" s="177"/>
      <c r="CV184" s="177"/>
      <c r="CW184" s="168"/>
      <c r="CX184" s="169"/>
      <c r="CY184" s="169"/>
      <c r="CZ184" s="169"/>
      <c r="DA184" s="169"/>
      <c r="DB184" s="169"/>
      <c r="DC184" s="169"/>
      <c r="DD184" s="173"/>
      <c r="DE184" s="173"/>
      <c r="DF184" s="173"/>
      <c r="DG184" s="173"/>
      <c r="DH184" s="173"/>
      <c r="DI184" s="173"/>
      <c r="DJ184" s="173"/>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7">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2">DN185</f>
        <v>297.71999999999997</v>
      </c>
      <c r="CE185" s="97">
        <f t="shared" si="202"/>
        <v>301.20999999999998</v>
      </c>
      <c r="CF185" s="97">
        <f t="shared" si="202"/>
        <v>302.57</v>
      </c>
      <c r="CG185" s="97">
        <f t="shared" si="202"/>
        <v>302.24</v>
      </c>
      <c r="CH185" s="97">
        <f t="shared" si="202"/>
        <v>300.90999999999997</v>
      </c>
      <c r="CI185" s="174"/>
      <c r="CJ185" s="174"/>
      <c r="CK185" s="174"/>
      <c r="CL185" s="174"/>
      <c r="CM185" s="174"/>
      <c r="CN185" s="174"/>
      <c r="CO185" s="174"/>
      <c r="CP185" s="175"/>
      <c r="CQ185" s="175"/>
      <c r="CR185" s="175"/>
      <c r="CS185" s="175"/>
      <c r="CT185" s="175"/>
      <c r="CU185" s="175"/>
      <c r="CV185" s="175"/>
      <c r="CW185" s="166"/>
      <c r="CX185" s="167"/>
      <c r="CY185" s="167"/>
      <c r="CZ185" s="167"/>
      <c r="DA185" s="167"/>
      <c r="DB185" s="167"/>
      <c r="DC185" s="167"/>
      <c r="DD185" s="172"/>
      <c r="DE185" s="172"/>
      <c r="DF185" s="172"/>
      <c r="DG185" s="172"/>
      <c r="DH185" s="172"/>
      <c r="DI185" s="172"/>
      <c r="DJ185" s="172"/>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7">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2"/>
        <v>297.71999999999997</v>
      </c>
      <c r="CE186" s="99">
        <f t="shared" si="202"/>
        <v>301.20999999999998</v>
      </c>
      <c r="CF186" s="99">
        <f t="shared" si="202"/>
        <v>302.57</v>
      </c>
      <c r="CG186" s="99">
        <f t="shared" si="202"/>
        <v>302.24</v>
      </c>
      <c r="CH186" s="99">
        <f t="shared" si="202"/>
        <v>300.90999999999997</v>
      </c>
      <c r="CI186" s="176"/>
      <c r="CJ186" s="176"/>
      <c r="CK186" s="176"/>
      <c r="CL186" s="176"/>
      <c r="CM186" s="176"/>
      <c r="CN186" s="176"/>
      <c r="CO186" s="176"/>
      <c r="CP186" s="177"/>
      <c r="CQ186" s="177"/>
      <c r="CR186" s="177"/>
      <c r="CS186" s="177"/>
      <c r="CT186" s="177"/>
      <c r="CU186" s="177"/>
      <c r="CV186" s="177"/>
      <c r="CW186" s="168"/>
      <c r="CX186" s="169"/>
      <c r="CY186" s="169"/>
      <c r="CZ186" s="169"/>
      <c r="DA186" s="169"/>
      <c r="DB186" s="169"/>
      <c r="DC186" s="169"/>
      <c r="DD186" s="173"/>
      <c r="DE186" s="173"/>
      <c r="DF186" s="173"/>
      <c r="DG186" s="173"/>
      <c r="DH186" s="173"/>
      <c r="DI186" s="173"/>
      <c r="DJ186" s="173"/>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7">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2"/>
        <v>297.71999999999997</v>
      </c>
      <c r="CE187" s="97">
        <f t="shared" si="202"/>
        <v>301.20999999999998</v>
      </c>
      <c r="CF187" s="97">
        <f t="shared" si="202"/>
        <v>302.57</v>
      </c>
      <c r="CG187" s="97">
        <f t="shared" si="202"/>
        <v>302.24</v>
      </c>
      <c r="CH187" s="97">
        <f t="shared" si="202"/>
        <v>300.90999999999997</v>
      </c>
      <c r="CI187" s="174"/>
      <c r="CJ187" s="174"/>
      <c r="CK187" s="174"/>
      <c r="CL187" s="174"/>
      <c r="CM187" s="174"/>
      <c r="CN187" s="174"/>
      <c r="CO187" s="174"/>
      <c r="CP187" s="175"/>
      <c r="CQ187" s="175"/>
      <c r="CR187" s="175"/>
      <c r="CS187" s="175"/>
      <c r="CT187" s="175"/>
      <c r="CU187" s="175"/>
      <c r="CV187" s="175"/>
      <c r="CW187" s="166"/>
      <c r="CX187" s="167"/>
      <c r="CY187" s="167"/>
      <c r="CZ187" s="167"/>
      <c r="DA187" s="167"/>
      <c r="DB187" s="167"/>
      <c r="DC187" s="167"/>
      <c r="DD187" s="172"/>
      <c r="DE187" s="172"/>
      <c r="DF187" s="172"/>
      <c r="DG187" s="172"/>
      <c r="DH187" s="172"/>
      <c r="DI187" s="172"/>
      <c r="DJ187" s="172"/>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7">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2"/>
        <v>297.71999999999997</v>
      </c>
      <c r="CE188" s="99">
        <f t="shared" si="202"/>
        <v>301.20999999999998</v>
      </c>
      <c r="CF188" s="99">
        <f t="shared" si="202"/>
        <v>302.57</v>
      </c>
      <c r="CG188" s="99">
        <f t="shared" si="202"/>
        <v>302.24</v>
      </c>
      <c r="CH188" s="99">
        <f t="shared" si="202"/>
        <v>300.90999999999997</v>
      </c>
      <c r="CI188" s="176"/>
      <c r="CJ188" s="176"/>
      <c r="CK188" s="176"/>
      <c r="CL188" s="176"/>
      <c r="CM188" s="176"/>
      <c r="CN188" s="176"/>
      <c r="CO188" s="176"/>
      <c r="CP188" s="177"/>
      <c r="CQ188" s="177"/>
      <c r="CR188" s="177"/>
      <c r="CS188" s="177"/>
      <c r="CT188" s="177"/>
      <c r="CU188" s="177"/>
      <c r="CV188" s="177"/>
      <c r="CW188" s="168"/>
      <c r="CX188" s="169"/>
      <c r="CY188" s="169"/>
      <c r="CZ188" s="169"/>
      <c r="DA188" s="169"/>
      <c r="DB188" s="169"/>
      <c r="DC188" s="169"/>
      <c r="DD188" s="173"/>
      <c r="DE188" s="173"/>
      <c r="DF188" s="173"/>
      <c r="DG188" s="173"/>
      <c r="DH188" s="173"/>
      <c r="DI188" s="173"/>
      <c r="DJ188" s="173"/>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7">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0.5*CF184</f>
        <v>151.285</v>
      </c>
      <c r="CG189" s="97">
        <f>0.6*CG184</f>
        <v>181.34399999999999</v>
      </c>
      <c r="CH189" s="97">
        <f>0.7*CH184</f>
        <v>210.63699999999997</v>
      </c>
      <c r="CI189" s="174"/>
      <c r="CJ189" s="174"/>
      <c r="CK189" s="174"/>
      <c r="CL189" s="174"/>
      <c r="CM189" s="174"/>
      <c r="CN189" s="174"/>
      <c r="CO189" s="174"/>
      <c r="CP189" s="175"/>
      <c r="CQ189" s="175"/>
      <c r="CR189" s="175"/>
      <c r="CS189" s="175"/>
      <c r="CT189" s="175"/>
      <c r="CU189" s="175"/>
      <c r="CV189" s="175"/>
      <c r="CW189" s="166"/>
      <c r="CX189" s="167"/>
      <c r="CY189" s="167"/>
      <c r="CZ189" s="167"/>
      <c r="DA189" s="167"/>
      <c r="DB189" s="167"/>
      <c r="DC189" s="167"/>
      <c r="DD189" s="172"/>
      <c r="DE189" s="172"/>
      <c r="DF189" s="172"/>
      <c r="DG189" s="172"/>
      <c r="DH189" s="172"/>
      <c r="DI189" s="172"/>
      <c r="DJ189" s="172"/>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7">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3">DO190</f>
        <v>301.20999999999998</v>
      </c>
      <c r="CF190" s="99">
        <f t="shared" ref="CF190" si="204">DP190</f>
        <v>302.57</v>
      </c>
      <c r="CG190" s="99">
        <f t="shared" ref="CG190" si="205">DQ190</f>
        <v>302.24</v>
      </c>
      <c r="CH190" s="99">
        <f t="shared" ref="CH190" si="206">DR190</f>
        <v>300.90999999999997</v>
      </c>
      <c r="CI190" s="176"/>
      <c r="CJ190" s="176"/>
      <c r="CK190" s="176"/>
      <c r="CL190" s="176"/>
      <c r="CM190" s="176"/>
      <c r="CN190" s="176"/>
      <c r="CO190" s="176"/>
      <c r="CP190" s="177"/>
      <c r="CQ190" s="177"/>
      <c r="CR190" s="177"/>
      <c r="CS190" s="177"/>
      <c r="CT190" s="177"/>
      <c r="CU190" s="177"/>
      <c r="CV190" s="177"/>
      <c r="CW190" s="168"/>
      <c r="CX190" s="169"/>
      <c r="CY190" s="169"/>
      <c r="CZ190" s="169"/>
      <c r="DA190" s="169"/>
      <c r="DB190" s="169"/>
      <c r="DC190" s="169"/>
      <c r="DD190" s="173"/>
      <c r="DE190" s="173"/>
      <c r="DF190" s="173"/>
      <c r="DG190" s="173"/>
      <c r="DH190" s="173"/>
      <c r="DI190" s="173"/>
      <c r="DJ190" s="173"/>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H191" si="207">DL191</f>
        <v>0.4</v>
      </c>
      <c r="CC191" s="97">
        <f t="shared" si="207"/>
        <v>0.42</v>
      </c>
      <c r="CD191" s="97">
        <f t="shared" si="207"/>
        <v>0.43</v>
      </c>
      <c r="CE191" s="97">
        <f t="shared" si="207"/>
        <v>0.44</v>
      </c>
      <c r="CF191" s="97">
        <f t="shared" si="207"/>
        <v>0.44</v>
      </c>
      <c r="CG191" s="97">
        <f t="shared" si="207"/>
        <v>0.44</v>
      </c>
      <c r="CH191" s="97">
        <f t="shared" si="207"/>
        <v>0.44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7">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8">IF(BL192=1,BN192,0)</f>
        <v>0</v>
      </c>
      <c r="BV192" s="27"/>
      <c r="BW192" s="27"/>
      <c r="BX192" s="27"/>
      <c r="BY192" s="27"/>
      <c r="BZ192" s="27"/>
      <c r="CA192" s="27"/>
      <c r="CB192" s="97"/>
      <c r="CC192" s="97"/>
      <c r="CD192" s="97">
        <f>0.1*DN192</f>
        <v>4.3000000000000003E-2</v>
      </c>
      <c r="CE192" s="97">
        <f>0.2*DO192</f>
        <v>8.8000000000000009E-2</v>
      </c>
      <c r="CF192" s="97">
        <f>0.5*DP192</f>
        <v>0.22</v>
      </c>
      <c r="CG192" s="97">
        <f>0.6*DQ192</f>
        <v>0.26400000000000001</v>
      </c>
      <c r="CH192" s="97">
        <f>0.8*DR192</f>
        <v>0.35200000000000004</v>
      </c>
      <c r="CI192" s="174"/>
      <c r="CJ192" s="174"/>
      <c r="CK192" s="174"/>
      <c r="CL192" s="174"/>
      <c r="CM192" s="174"/>
      <c r="CN192" s="174"/>
      <c r="CO192" s="174"/>
      <c r="CP192" s="175"/>
      <c r="CQ192" s="175"/>
      <c r="CR192" s="175"/>
      <c r="CS192" s="175"/>
      <c r="CT192" s="175"/>
      <c r="CU192" s="175"/>
      <c r="CV192" s="175"/>
      <c r="CW192" s="166"/>
      <c r="CX192" s="167"/>
      <c r="CY192" s="167"/>
      <c r="CZ192" s="167"/>
      <c r="DA192" s="167"/>
      <c r="DB192" s="167"/>
      <c r="DC192" s="167"/>
      <c r="DD192" s="172"/>
      <c r="DE192" s="172"/>
      <c r="DF192" s="172"/>
      <c r="DG192" s="172"/>
      <c r="DH192" s="172"/>
      <c r="DI192" s="172"/>
      <c r="DJ192" s="172"/>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9"/>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
      <c r="A193" s="5" t="s">
        <v>1140</v>
      </c>
      <c r="B193" s="5" t="s">
        <v>734</v>
      </c>
      <c r="C193" s="5" t="s">
        <v>655</v>
      </c>
      <c r="D193" s="5" t="s">
        <v>1031</v>
      </c>
      <c r="E193" s="5" t="s">
        <v>1135</v>
      </c>
      <c r="F193" s="328" t="s">
        <v>499</v>
      </c>
      <c r="G193" s="47" t="s">
        <v>1141</v>
      </c>
      <c r="H193" s="47" t="s">
        <v>659</v>
      </c>
      <c r="I193" s="330">
        <v>0</v>
      </c>
      <c r="J193" s="330">
        <v>0</v>
      </c>
      <c r="K193" s="330">
        <v>0</v>
      </c>
      <c r="L193" s="330">
        <v>0</v>
      </c>
      <c r="M193" s="330">
        <v>0</v>
      </c>
      <c r="N193" s="330">
        <v>0</v>
      </c>
      <c r="O193" s="330">
        <v>0</v>
      </c>
      <c r="P193" s="331"/>
      <c r="Q193" s="330">
        <v>0</v>
      </c>
      <c r="R193" s="330">
        <v>0</v>
      </c>
      <c r="S193" s="330">
        <v>0</v>
      </c>
      <c r="T193" s="330">
        <v>0</v>
      </c>
      <c r="U193" s="330">
        <v>0</v>
      </c>
      <c r="V193" s="330">
        <v>0</v>
      </c>
      <c r="W193" s="330">
        <v>0</v>
      </c>
      <c r="X193" s="330">
        <v>0</v>
      </c>
      <c r="Y193" s="330">
        <v>0</v>
      </c>
      <c r="Z193" s="330">
        <v>0</v>
      </c>
      <c r="AA193" s="330">
        <v>0</v>
      </c>
      <c r="AB193" s="330">
        <v>0</v>
      </c>
      <c r="AC193" s="330">
        <v>0</v>
      </c>
      <c r="AD193" s="330">
        <v>0</v>
      </c>
      <c r="AE193" s="187">
        <v>0.08</v>
      </c>
      <c r="AF193" s="331">
        <v>0</v>
      </c>
      <c r="AG193" s="331">
        <v>30</v>
      </c>
      <c r="AH193" s="331">
        <v>30</v>
      </c>
      <c r="AI193" s="332">
        <v>1</v>
      </c>
      <c r="AJ193" s="332" t="s">
        <v>660</v>
      </c>
      <c r="AK193" s="332" t="s">
        <v>745</v>
      </c>
      <c r="AL193" s="332"/>
      <c r="AM193" s="333"/>
      <c r="AN193" s="333"/>
      <c r="AO193" s="333"/>
      <c r="AP193" s="333"/>
      <c r="AQ193" s="333"/>
      <c r="AR193" s="333"/>
      <c r="AS193" s="334"/>
      <c r="AT193" s="334"/>
      <c r="AU193" s="334"/>
      <c r="AV193" s="335"/>
      <c r="AW193" s="335"/>
      <c r="AX193" s="335"/>
      <c r="AY193" s="336" t="s">
        <v>662</v>
      </c>
      <c r="AZ193" s="336"/>
      <c r="BA193" s="337"/>
      <c r="BB193" s="338"/>
      <c r="BC193" s="338"/>
      <c r="BD193" s="338"/>
      <c r="BE193" s="338"/>
      <c r="BF193" s="338"/>
      <c r="BG193" s="338"/>
      <c r="BH193" s="339"/>
      <c r="BI193" s="339"/>
      <c r="BJ193" s="339"/>
      <c r="BK193" s="339"/>
      <c r="BL193" s="340"/>
      <c r="BM193" s="341"/>
      <c r="BN193" s="342">
        <v>0</v>
      </c>
      <c r="BO193" s="331"/>
      <c r="BP193" s="331"/>
      <c r="BQ193" s="331"/>
      <c r="BR193" s="331"/>
      <c r="BS193" s="331"/>
      <c r="BT193" s="331"/>
      <c r="BU193" s="336">
        <v>0</v>
      </c>
      <c r="BV193" s="336"/>
      <c r="BW193" s="336"/>
      <c r="BX193" s="336"/>
      <c r="BY193" s="336"/>
      <c r="BZ193" s="336"/>
      <c r="CA193" s="336"/>
      <c r="CB193" s="343">
        <v>1000</v>
      </c>
      <c r="CC193" s="343">
        <v>1000</v>
      </c>
      <c r="CD193" s="343">
        <v>1000</v>
      </c>
      <c r="CE193" s="343">
        <v>1000</v>
      </c>
      <c r="CF193" s="343">
        <v>1000</v>
      </c>
      <c r="CG193" s="343">
        <v>1000</v>
      </c>
      <c r="CH193" s="343">
        <v>1000</v>
      </c>
      <c r="CI193" s="336"/>
      <c r="CJ193" s="336"/>
      <c r="CK193" s="336"/>
      <c r="CL193" s="336"/>
      <c r="CM193" s="336"/>
      <c r="CN193" s="336"/>
      <c r="CO193" s="336"/>
      <c r="CP193" s="344"/>
      <c r="CQ193" s="344"/>
      <c r="CR193" s="344"/>
      <c r="CS193" s="344"/>
      <c r="CT193" s="344"/>
      <c r="CU193" s="344"/>
      <c r="CV193" s="344"/>
      <c r="CW193" s="345"/>
      <c r="CX193" s="346"/>
      <c r="CY193" s="346"/>
      <c r="CZ193" s="346"/>
      <c r="DA193" s="346"/>
      <c r="DB193" s="346"/>
      <c r="DC193" s="346"/>
      <c r="DD193" s="346"/>
      <c r="DE193" s="346"/>
      <c r="DF193" s="346"/>
      <c r="DG193" s="346"/>
      <c r="DH193" s="346"/>
      <c r="DI193" s="346"/>
      <c r="DJ193" s="346"/>
      <c r="DK193" s="290" t="s">
        <v>452</v>
      </c>
      <c r="DL193" s="345">
        <v>0</v>
      </c>
      <c r="DM193" s="345">
        <v>0</v>
      </c>
      <c r="DN193" s="345">
        <v>0</v>
      </c>
      <c r="DO193" s="345">
        <v>0</v>
      </c>
      <c r="DP193" s="345">
        <v>0</v>
      </c>
      <c r="DQ193" s="345">
        <v>0</v>
      </c>
      <c r="DR193" s="345">
        <v>0</v>
      </c>
      <c r="DS193" s="347"/>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70">
        <v>0</v>
      </c>
      <c r="Q194" s="254">
        <f>0.2*I194</f>
        <v>1.8780000000000001</v>
      </c>
      <c r="R194" s="254">
        <f t="shared" ref="R194:W201" si="209">0.2*J194</f>
        <v>2.0780000000000003</v>
      </c>
      <c r="S194" s="254">
        <f t="shared" si="209"/>
        <v>2.278</v>
      </c>
      <c r="T194" s="254">
        <f t="shared" si="209"/>
        <v>2.4780000000000002</v>
      </c>
      <c r="U194" s="254">
        <f t="shared" si="209"/>
        <v>2.6780000000000004</v>
      </c>
      <c r="V194" s="254">
        <f t="shared" si="209"/>
        <v>2.8780000000000001</v>
      </c>
      <c r="W194" s="254">
        <f t="shared" si="209"/>
        <v>3.0780000000000003</v>
      </c>
      <c r="X194" s="102">
        <v>0</v>
      </c>
      <c r="Y194" s="102">
        <v>0</v>
      </c>
      <c r="Z194" s="102">
        <v>0</v>
      </c>
      <c r="AA194" s="102">
        <v>0</v>
      </c>
      <c r="AB194" s="102">
        <v>0</v>
      </c>
      <c r="AC194" s="102">
        <v>0</v>
      </c>
      <c r="AD194" s="102">
        <v>0</v>
      </c>
      <c r="AE194" s="187">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10">IF(BL194=1,BN194,0)</f>
        <v>0</v>
      </c>
      <c r="BV194" s="28"/>
      <c r="BW194" s="28"/>
      <c r="BX194" s="28"/>
      <c r="BY194" s="28"/>
      <c r="BZ194" s="28"/>
      <c r="CA194" s="28"/>
      <c r="CB194" s="99">
        <f t="shared" ref="CB194:CF198" si="211">DL194</f>
        <v>567.02</v>
      </c>
      <c r="CC194" s="99">
        <f t="shared" si="211"/>
        <v>567.02</v>
      </c>
      <c r="CD194" s="99">
        <f t="shared" si="211"/>
        <v>567.02</v>
      </c>
      <c r="CE194" s="99">
        <f t="shared" si="211"/>
        <v>567.02</v>
      </c>
      <c r="CF194" s="390">
        <f>DP194*0.6</f>
        <v>340.21199999999999</v>
      </c>
      <c r="CG194" s="390">
        <f>DQ194*0.5</f>
        <v>283.51</v>
      </c>
      <c r="CH194" s="390">
        <f>DR194*0.01</f>
        <v>5.6702000000000004</v>
      </c>
      <c r="CI194" s="176"/>
      <c r="CJ194" s="176"/>
      <c r="CK194" s="176"/>
      <c r="CL194" s="176"/>
      <c r="CM194" s="176"/>
      <c r="CN194" s="176"/>
      <c r="CO194" s="176"/>
      <c r="CP194" s="177"/>
      <c r="CQ194" s="177"/>
      <c r="CR194" s="177"/>
      <c r="CS194" s="177"/>
      <c r="CT194" s="177"/>
      <c r="CU194" s="177"/>
      <c r="CV194" s="177"/>
      <c r="CW194" s="168"/>
      <c r="CX194" s="169"/>
      <c r="CY194" s="169"/>
      <c r="CZ194" s="169"/>
      <c r="DA194" s="169"/>
      <c r="DB194" s="169"/>
      <c r="DC194" s="169"/>
      <c r="DD194" s="173"/>
      <c r="DE194" s="173"/>
      <c r="DF194" s="173"/>
      <c r="DG194" s="173"/>
      <c r="DH194" s="173"/>
      <c r="DI194" s="173"/>
      <c r="DJ194" s="173"/>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
      <c r="A195" s="5" t="s">
        <v>1146</v>
      </c>
      <c r="B195" s="5" t="s">
        <v>1143</v>
      </c>
      <c r="C195" s="5" t="s">
        <v>655</v>
      </c>
      <c r="D195" s="5" t="s">
        <v>1031</v>
      </c>
      <c r="E195" s="5" t="s">
        <v>1144</v>
      </c>
      <c r="F195" s="5" t="s">
        <v>392</v>
      </c>
      <c r="G195" s="47" t="s">
        <v>1147</v>
      </c>
      <c r="H195" s="47" t="s">
        <v>1120</v>
      </c>
      <c r="I195" s="101">
        <f>I194*1.05</f>
        <v>9.8595000000000006</v>
      </c>
      <c r="J195" s="101">
        <f t="shared" ref="J195:O195" si="212">J194*1.05</f>
        <v>10.909500000000001</v>
      </c>
      <c r="K195" s="101">
        <f t="shared" si="212"/>
        <v>11.9595</v>
      </c>
      <c r="L195" s="101">
        <f t="shared" si="212"/>
        <v>13.009500000000001</v>
      </c>
      <c r="M195" s="101">
        <f t="shared" si="212"/>
        <v>14.059500000000002</v>
      </c>
      <c r="N195" s="101">
        <f t="shared" si="212"/>
        <v>15.109500000000001</v>
      </c>
      <c r="O195" s="101">
        <f t="shared" si="212"/>
        <v>16.159500000000001</v>
      </c>
      <c r="P195" s="270">
        <v>0</v>
      </c>
      <c r="Q195" s="254">
        <f t="shared" ref="Q195:Q201" si="213">0.2*I195</f>
        <v>1.9719000000000002</v>
      </c>
      <c r="R195" s="254">
        <f t="shared" si="209"/>
        <v>2.1819000000000002</v>
      </c>
      <c r="S195" s="254">
        <f t="shared" si="209"/>
        <v>2.3919000000000001</v>
      </c>
      <c r="T195" s="254">
        <f t="shared" si="209"/>
        <v>2.6019000000000005</v>
      </c>
      <c r="U195" s="254">
        <f t="shared" si="209"/>
        <v>2.8119000000000005</v>
      </c>
      <c r="V195" s="254">
        <f t="shared" si="209"/>
        <v>3.0219000000000005</v>
      </c>
      <c r="W195" s="254">
        <f t="shared" si="209"/>
        <v>3.2319000000000004</v>
      </c>
      <c r="X195" s="101">
        <v>0</v>
      </c>
      <c r="Y195" s="101">
        <v>0</v>
      </c>
      <c r="Z195" s="101">
        <v>0</v>
      </c>
      <c r="AA195" s="101">
        <v>0</v>
      </c>
      <c r="AB195" s="101">
        <v>0</v>
      </c>
      <c r="AC195" s="101">
        <v>0</v>
      </c>
      <c r="AD195" s="101">
        <v>0</v>
      </c>
      <c r="AE195" s="187">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10"/>
        <v>0</v>
      </c>
      <c r="BV195" s="27"/>
      <c r="BW195" s="27"/>
      <c r="BX195" s="27"/>
      <c r="BY195" s="27"/>
      <c r="BZ195" s="27"/>
      <c r="CA195" s="27"/>
      <c r="CB195" s="97"/>
      <c r="CC195" s="186">
        <f t="shared" si="211"/>
        <v>567.02</v>
      </c>
      <c r="CD195" s="97">
        <f t="shared" si="211"/>
        <v>567.02</v>
      </c>
      <c r="CE195" s="97">
        <f t="shared" si="211"/>
        <v>567.02</v>
      </c>
      <c r="CF195" s="97">
        <f t="shared" si="211"/>
        <v>567.02</v>
      </c>
      <c r="CG195" s="97">
        <f t="shared" si="155"/>
        <v>567.02</v>
      </c>
      <c r="CH195" s="97">
        <f t="shared" si="155"/>
        <v>567.02</v>
      </c>
      <c r="CI195" s="174"/>
      <c r="CJ195" s="174"/>
      <c r="CK195" s="174"/>
      <c r="CL195" s="174"/>
      <c r="CM195" s="174"/>
      <c r="CN195" s="174"/>
      <c r="CO195" s="174"/>
      <c r="CP195" s="175"/>
      <c r="CQ195" s="175"/>
      <c r="CR195" s="175"/>
      <c r="CS195" s="175"/>
      <c r="CT195" s="175"/>
      <c r="CU195" s="175"/>
      <c r="CV195" s="175"/>
      <c r="CW195" s="166"/>
      <c r="CX195" s="167"/>
      <c r="CY195" s="167"/>
      <c r="CZ195" s="167"/>
      <c r="DA195" s="167"/>
      <c r="DB195" s="167"/>
      <c r="DC195" s="167"/>
      <c r="DD195" s="172"/>
      <c r="DE195" s="172"/>
      <c r="DF195" s="172"/>
      <c r="DG195" s="172"/>
      <c r="DH195" s="172"/>
      <c r="DI195" s="172"/>
      <c r="DJ195" s="172"/>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70">
        <v>0</v>
      </c>
      <c r="Q196" s="254">
        <f t="shared" si="213"/>
        <v>2.3559999999999999</v>
      </c>
      <c r="R196" s="254">
        <f t="shared" si="209"/>
        <v>2.556</v>
      </c>
      <c r="S196" s="254">
        <f t="shared" si="209"/>
        <v>2.7560000000000002</v>
      </c>
      <c r="T196" s="254">
        <f t="shared" si="209"/>
        <v>2.956</v>
      </c>
      <c r="U196" s="254">
        <f t="shared" si="209"/>
        <v>3.1560000000000001</v>
      </c>
      <c r="V196" s="254">
        <f t="shared" si="209"/>
        <v>3.3560000000000003</v>
      </c>
      <c r="W196" s="254">
        <f t="shared" si="209"/>
        <v>3.5560000000000005</v>
      </c>
      <c r="X196" s="102">
        <v>0</v>
      </c>
      <c r="Y196" s="102">
        <v>0</v>
      </c>
      <c r="Z196" s="102">
        <v>0</v>
      </c>
      <c r="AA196" s="102">
        <v>0</v>
      </c>
      <c r="AB196" s="102">
        <v>0</v>
      </c>
      <c r="AC196" s="102">
        <v>0</v>
      </c>
      <c r="AD196" s="102">
        <v>0</v>
      </c>
      <c r="AE196" s="187">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10"/>
        <v>0</v>
      </c>
      <c r="BV196" s="28"/>
      <c r="BW196" s="28"/>
      <c r="BX196" s="28"/>
      <c r="BY196" s="28"/>
      <c r="BZ196" s="28"/>
      <c r="CA196" s="28"/>
      <c r="CB196" s="99"/>
      <c r="CC196" s="186">
        <f t="shared" si="211"/>
        <v>567.02</v>
      </c>
      <c r="CD196" s="186">
        <f t="shared" ref="CD196" si="214">DN196</f>
        <v>567.02</v>
      </c>
      <c r="CE196" s="186">
        <f t="shared" ref="CE196" si="215">DO196</f>
        <v>567.02</v>
      </c>
      <c r="CF196" s="186">
        <f t="shared" ref="CF196" si="216">DP196</f>
        <v>567.02</v>
      </c>
      <c r="CG196" s="186">
        <f t="shared" si="155"/>
        <v>567.02</v>
      </c>
      <c r="CH196" s="390">
        <f>DR196*0.01</f>
        <v>5.6702000000000004</v>
      </c>
      <c r="CI196" s="176"/>
      <c r="CJ196" s="176"/>
      <c r="CK196" s="176"/>
      <c r="CL196" s="176"/>
      <c r="CM196" s="176"/>
      <c r="CN196" s="176"/>
      <c r="CO196" s="176"/>
      <c r="CP196" s="177"/>
      <c r="CQ196" s="177"/>
      <c r="CR196" s="177"/>
      <c r="CS196" s="177"/>
      <c r="CT196" s="177"/>
      <c r="CU196" s="177"/>
      <c r="CV196" s="177"/>
      <c r="CW196" s="168"/>
      <c r="CX196" s="169"/>
      <c r="CY196" s="169"/>
      <c r="CZ196" s="169"/>
      <c r="DA196" s="169"/>
      <c r="DB196" s="169"/>
      <c r="DC196" s="169"/>
      <c r="DD196" s="173"/>
      <c r="DE196" s="173"/>
      <c r="DF196" s="173"/>
      <c r="DG196" s="173"/>
      <c r="DH196" s="173"/>
      <c r="DI196" s="173"/>
      <c r="DJ196" s="173"/>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
      <c r="A197" s="5" t="s">
        <v>1150</v>
      </c>
      <c r="B197" s="5" t="s">
        <v>1143</v>
      </c>
      <c r="C197" s="5" t="s">
        <v>655</v>
      </c>
      <c r="D197" s="5" t="s">
        <v>1031</v>
      </c>
      <c r="E197" s="5" t="s">
        <v>1144</v>
      </c>
      <c r="F197" s="5" t="s">
        <v>392</v>
      </c>
      <c r="G197" s="47" t="s">
        <v>1151</v>
      </c>
      <c r="H197" s="47" t="s">
        <v>1120</v>
      </c>
      <c r="I197" s="101">
        <f>I196*1.05</f>
        <v>12.369</v>
      </c>
      <c r="J197" s="101">
        <f t="shared" ref="J197:O197" si="217">J196*1.05</f>
        <v>13.419</v>
      </c>
      <c r="K197" s="101">
        <f t="shared" si="217"/>
        <v>14.468999999999999</v>
      </c>
      <c r="L197" s="101">
        <f t="shared" si="217"/>
        <v>15.519</v>
      </c>
      <c r="M197" s="101">
        <f t="shared" si="217"/>
        <v>16.568999999999999</v>
      </c>
      <c r="N197" s="101">
        <f t="shared" si="217"/>
        <v>17.619000000000003</v>
      </c>
      <c r="O197" s="101">
        <f t="shared" si="217"/>
        <v>18.669</v>
      </c>
      <c r="P197" s="270">
        <v>0</v>
      </c>
      <c r="Q197" s="254">
        <f t="shared" si="213"/>
        <v>2.4738000000000002</v>
      </c>
      <c r="R197" s="254">
        <f t="shared" si="209"/>
        <v>2.6838000000000002</v>
      </c>
      <c r="S197" s="254">
        <f t="shared" si="209"/>
        <v>2.8938000000000001</v>
      </c>
      <c r="T197" s="254">
        <f t="shared" si="209"/>
        <v>3.1038000000000001</v>
      </c>
      <c r="U197" s="254">
        <f t="shared" si="209"/>
        <v>3.3138000000000001</v>
      </c>
      <c r="V197" s="254">
        <f t="shared" si="209"/>
        <v>3.5238000000000009</v>
      </c>
      <c r="W197" s="254">
        <f t="shared" si="209"/>
        <v>3.7338000000000005</v>
      </c>
      <c r="X197" s="101">
        <v>0</v>
      </c>
      <c r="Y197" s="101">
        <v>0</v>
      </c>
      <c r="Z197" s="101">
        <v>0</v>
      </c>
      <c r="AA197" s="101">
        <v>0</v>
      </c>
      <c r="AB197" s="101">
        <v>0</v>
      </c>
      <c r="AC197" s="101">
        <v>0</v>
      </c>
      <c r="AD197" s="101">
        <v>0</v>
      </c>
      <c r="AE197" s="187">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10"/>
        <v>0</v>
      </c>
      <c r="BV197" s="27"/>
      <c r="BW197" s="27"/>
      <c r="BX197" s="27"/>
      <c r="BY197" s="27"/>
      <c r="BZ197" s="27"/>
      <c r="CA197" s="27"/>
      <c r="CB197" s="97"/>
      <c r="CC197" s="186">
        <f t="shared" si="211"/>
        <v>567.02</v>
      </c>
      <c r="CD197" s="97">
        <f t="shared" si="211"/>
        <v>567.02</v>
      </c>
      <c r="CE197" s="97">
        <f t="shared" si="211"/>
        <v>567.02</v>
      </c>
      <c r="CF197" s="97">
        <f t="shared" si="211"/>
        <v>567.02</v>
      </c>
      <c r="CG197" s="97">
        <f t="shared" si="155"/>
        <v>567.02</v>
      </c>
      <c r="CH197" s="97">
        <f t="shared" si="155"/>
        <v>567.02</v>
      </c>
      <c r="CI197" s="174"/>
      <c r="CJ197" s="174"/>
      <c r="CK197" s="174"/>
      <c r="CL197" s="174"/>
      <c r="CM197" s="174"/>
      <c r="CN197" s="174"/>
      <c r="CO197" s="174"/>
      <c r="CP197" s="175"/>
      <c r="CQ197" s="175"/>
      <c r="CR197" s="175"/>
      <c r="CS197" s="175"/>
      <c r="CT197" s="175"/>
      <c r="CU197" s="175"/>
      <c r="CV197" s="175"/>
      <c r="CW197" s="166"/>
      <c r="CX197" s="167"/>
      <c r="CY197" s="167"/>
      <c r="CZ197" s="167"/>
      <c r="DA197" s="167"/>
      <c r="DB197" s="167"/>
      <c r="DC197" s="167"/>
      <c r="DD197" s="172"/>
      <c r="DE197" s="172"/>
      <c r="DF197" s="172"/>
      <c r="DG197" s="172"/>
      <c r="DH197" s="172"/>
      <c r="DI197" s="172"/>
      <c r="DJ197" s="172"/>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
      <c r="A198" s="6" t="s">
        <v>1152</v>
      </c>
      <c r="B198" s="6" t="s">
        <v>1143</v>
      </c>
      <c r="C198" s="6" t="s">
        <v>655</v>
      </c>
      <c r="D198" s="6" t="s">
        <v>1031</v>
      </c>
      <c r="E198" s="6" t="s">
        <v>1144</v>
      </c>
      <c r="F198" s="6" t="s">
        <v>392</v>
      </c>
      <c r="G198" s="48" t="s">
        <v>1153</v>
      </c>
      <c r="H198" s="48" t="s">
        <v>1120</v>
      </c>
      <c r="I198" s="102">
        <f>I196*1.01</f>
        <v>11.8978</v>
      </c>
      <c r="J198" s="102">
        <f t="shared" ref="J198:O198" si="218">J196*1.01</f>
        <v>12.9078</v>
      </c>
      <c r="K198" s="102">
        <f t="shared" si="218"/>
        <v>13.9178</v>
      </c>
      <c r="L198" s="102">
        <f t="shared" si="218"/>
        <v>14.9278</v>
      </c>
      <c r="M198" s="102">
        <f t="shared" si="218"/>
        <v>15.937799999999999</v>
      </c>
      <c r="N198" s="102">
        <f t="shared" si="218"/>
        <v>16.947800000000001</v>
      </c>
      <c r="O198" s="102">
        <f t="shared" si="218"/>
        <v>17.957800000000002</v>
      </c>
      <c r="P198" s="270">
        <v>0</v>
      </c>
      <c r="Q198" s="254">
        <f t="shared" si="213"/>
        <v>2.3795600000000001</v>
      </c>
      <c r="R198" s="254">
        <f t="shared" si="209"/>
        <v>2.5815600000000001</v>
      </c>
      <c r="S198" s="254">
        <f t="shared" si="209"/>
        <v>2.78356</v>
      </c>
      <c r="T198" s="254">
        <f t="shared" si="209"/>
        <v>2.98556</v>
      </c>
      <c r="U198" s="254">
        <f t="shared" si="209"/>
        <v>3.1875599999999999</v>
      </c>
      <c r="V198" s="254">
        <f t="shared" si="209"/>
        <v>3.3895600000000004</v>
      </c>
      <c r="W198" s="254">
        <f t="shared" si="209"/>
        <v>3.5915600000000008</v>
      </c>
      <c r="X198" s="102">
        <v>0</v>
      </c>
      <c r="Y198" s="102">
        <v>0</v>
      </c>
      <c r="Z198" s="102">
        <v>0</v>
      </c>
      <c r="AA198" s="102">
        <v>0</v>
      </c>
      <c r="AB198" s="102">
        <v>0</v>
      </c>
      <c r="AC198" s="102">
        <v>0</v>
      </c>
      <c r="AD198" s="102">
        <v>0</v>
      </c>
      <c r="AE198" s="187">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10"/>
        <v>0</v>
      </c>
      <c r="BV198" s="28"/>
      <c r="BW198" s="28"/>
      <c r="BX198" s="28"/>
      <c r="BY198" s="28"/>
      <c r="BZ198" s="28"/>
      <c r="CA198" s="28"/>
      <c r="CB198" s="99"/>
      <c r="CC198" s="186">
        <f t="shared" si="211"/>
        <v>567.02</v>
      </c>
      <c r="CD198" s="99">
        <f t="shared" si="211"/>
        <v>567.02</v>
      </c>
      <c r="CE198" s="99">
        <f t="shared" si="211"/>
        <v>567.02</v>
      </c>
      <c r="CF198" s="99">
        <f t="shared" si="211"/>
        <v>567.02</v>
      </c>
      <c r="CG198" s="99">
        <f t="shared" si="155"/>
        <v>567.02</v>
      </c>
      <c r="CH198" s="99">
        <f t="shared" si="155"/>
        <v>567.02</v>
      </c>
      <c r="CI198" s="176"/>
      <c r="CJ198" s="176"/>
      <c r="CK198" s="176"/>
      <c r="CL198" s="176"/>
      <c r="CM198" s="176"/>
      <c r="CN198" s="176"/>
      <c r="CO198" s="176"/>
      <c r="CP198" s="177"/>
      <c r="CQ198" s="177"/>
      <c r="CR198" s="177"/>
      <c r="CS198" s="177"/>
      <c r="CT198" s="177"/>
      <c r="CU198" s="177"/>
      <c r="CV198" s="177"/>
      <c r="CW198" s="168"/>
      <c r="CX198" s="169"/>
      <c r="CY198" s="169"/>
      <c r="CZ198" s="169"/>
      <c r="DA198" s="169"/>
      <c r="DB198" s="169"/>
      <c r="DC198" s="169"/>
      <c r="DD198" s="173"/>
      <c r="DE198" s="173"/>
      <c r="DF198" s="173"/>
      <c r="DG198" s="173"/>
      <c r="DH198" s="173"/>
      <c r="DI198" s="173"/>
      <c r="DJ198" s="173"/>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70">
        <v>0</v>
      </c>
      <c r="Q199" s="254">
        <f t="shared" si="213"/>
        <v>2.8580000000000001</v>
      </c>
      <c r="R199" s="254">
        <f t="shared" si="209"/>
        <v>2.8580000000000001</v>
      </c>
      <c r="S199" s="254">
        <f t="shared" si="209"/>
        <v>2.8580000000000001</v>
      </c>
      <c r="T199" s="254">
        <f t="shared" si="209"/>
        <v>2.8580000000000001</v>
      </c>
      <c r="U199" s="254">
        <f t="shared" si="209"/>
        <v>2.8580000000000001</v>
      </c>
      <c r="V199" s="254">
        <f t="shared" si="209"/>
        <v>2.8580000000000001</v>
      </c>
      <c r="W199" s="254">
        <f t="shared" si="209"/>
        <v>2.8580000000000001</v>
      </c>
      <c r="X199" s="101">
        <v>0</v>
      </c>
      <c r="Y199" s="101">
        <v>0</v>
      </c>
      <c r="Z199" s="101">
        <v>0</v>
      </c>
      <c r="AA199" s="101">
        <v>0</v>
      </c>
      <c r="AB199" s="101">
        <v>0</v>
      </c>
      <c r="AC199" s="101">
        <v>0</v>
      </c>
      <c r="AD199" s="101">
        <v>0</v>
      </c>
      <c r="AE199" s="187">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10"/>
        <v>0</v>
      </c>
      <c r="BV199" s="27"/>
      <c r="BW199" s="27"/>
      <c r="BX199" s="27"/>
      <c r="BY199" s="27"/>
      <c r="BZ199" s="27"/>
      <c r="CA199" s="27"/>
      <c r="CB199" s="97">
        <v>30</v>
      </c>
      <c r="CC199" s="97">
        <v>150</v>
      </c>
      <c r="CD199" s="97">
        <f>0.2*CD194</f>
        <v>113.404</v>
      </c>
      <c r="CE199" s="97">
        <f>0.3*CE194</f>
        <v>170.10599999999999</v>
      </c>
      <c r="CF199" s="390">
        <f>0.4*CF194</f>
        <v>136.0848</v>
      </c>
      <c r="CG199" s="390">
        <f>0.5*CG194</f>
        <v>141.755</v>
      </c>
      <c r="CH199" s="390">
        <f>CH198*0.03</f>
        <v>17.0106</v>
      </c>
      <c r="CI199" s="174">
        <f>CB199*AI199*0.9</f>
        <v>5.2380000000000004</v>
      </c>
      <c r="CJ199" s="174"/>
      <c r="CK199" s="174"/>
      <c r="CL199" s="174"/>
      <c r="CM199" s="174"/>
      <c r="CN199" s="174"/>
      <c r="CO199" s="174"/>
      <c r="CP199" s="175"/>
      <c r="CQ199" s="175"/>
      <c r="CR199" s="175"/>
      <c r="CS199" s="175"/>
      <c r="CT199" s="175"/>
      <c r="CU199" s="175"/>
      <c r="CV199" s="175"/>
      <c r="CW199" s="166"/>
      <c r="CX199" s="167"/>
      <c r="CY199" s="167"/>
      <c r="CZ199" s="167"/>
      <c r="DA199" s="167"/>
      <c r="DB199" s="167"/>
      <c r="DC199" s="167"/>
      <c r="DD199" s="172"/>
      <c r="DE199" s="172"/>
      <c r="DF199" s="172"/>
      <c r="DG199" s="172"/>
      <c r="DH199" s="172"/>
      <c r="DI199" s="172"/>
      <c r="DJ199" s="172"/>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
      <c r="A200" s="6" t="s">
        <v>1156</v>
      </c>
      <c r="B200" s="6" t="s">
        <v>1143</v>
      </c>
      <c r="C200" s="6" t="s">
        <v>655</v>
      </c>
      <c r="D200" s="6" t="s">
        <v>1031</v>
      </c>
      <c r="E200" s="6" t="s">
        <v>1144</v>
      </c>
      <c r="F200" s="6" t="s">
        <v>392</v>
      </c>
      <c r="G200" s="48" t="s">
        <v>1157</v>
      </c>
      <c r="H200" s="48" t="s">
        <v>1120</v>
      </c>
      <c r="I200" s="102">
        <f>I201*1.05</f>
        <v>27.552</v>
      </c>
      <c r="J200" s="102">
        <f t="shared" ref="J200:O200" si="219">J201*1.05</f>
        <v>28.602</v>
      </c>
      <c r="K200" s="102">
        <f t="shared" si="219"/>
        <v>29.652000000000001</v>
      </c>
      <c r="L200" s="102">
        <f t="shared" si="219"/>
        <v>30.701999999999998</v>
      </c>
      <c r="M200" s="102">
        <f t="shared" si="219"/>
        <v>31.751999999999999</v>
      </c>
      <c r="N200" s="102">
        <f t="shared" si="219"/>
        <v>32.802</v>
      </c>
      <c r="O200" s="102">
        <f t="shared" si="219"/>
        <v>33.852000000000004</v>
      </c>
      <c r="P200" s="270">
        <v>0</v>
      </c>
      <c r="Q200" s="254">
        <f t="shared" si="213"/>
        <v>5.5104000000000006</v>
      </c>
      <c r="R200" s="254">
        <f t="shared" si="209"/>
        <v>5.7204000000000006</v>
      </c>
      <c r="S200" s="254">
        <f t="shared" si="209"/>
        <v>5.9304000000000006</v>
      </c>
      <c r="T200" s="254">
        <f t="shared" si="209"/>
        <v>6.1403999999999996</v>
      </c>
      <c r="U200" s="254">
        <f t="shared" si="209"/>
        <v>6.3504000000000005</v>
      </c>
      <c r="V200" s="254">
        <f t="shared" si="209"/>
        <v>6.5604000000000005</v>
      </c>
      <c r="W200" s="254">
        <f t="shared" si="209"/>
        <v>6.7704000000000013</v>
      </c>
      <c r="X200" s="102">
        <v>0</v>
      </c>
      <c r="Y200" s="102">
        <v>0</v>
      </c>
      <c r="Z200" s="102">
        <v>0</v>
      </c>
      <c r="AA200" s="102">
        <v>0</v>
      </c>
      <c r="AB200" s="102">
        <v>0</v>
      </c>
      <c r="AC200" s="102">
        <v>0</v>
      </c>
      <c r="AD200" s="102">
        <v>0</v>
      </c>
      <c r="AE200" s="187">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10"/>
        <v>0</v>
      </c>
      <c r="BV200" s="28"/>
      <c r="BW200" s="28"/>
      <c r="BX200" s="28"/>
      <c r="BY200" s="28"/>
      <c r="BZ200" s="28"/>
      <c r="CA200" s="28"/>
      <c r="CB200" s="99"/>
      <c r="CC200" s="99"/>
      <c r="CD200" s="99">
        <v>100</v>
      </c>
      <c r="CE200" s="99">
        <v>200</v>
      </c>
      <c r="CF200" s="99">
        <v>400</v>
      </c>
      <c r="CG200" s="99">
        <v>800</v>
      </c>
      <c r="CH200" s="99">
        <v>1000</v>
      </c>
      <c r="CI200" s="176"/>
      <c r="CJ200" s="176"/>
      <c r="CK200" s="176"/>
      <c r="CL200" s="176"/>
      <c r="CM200" s="176"/>
      <c r="CN200" s="176"/>
      <c r="CO200" s="176"/>
      <c r="CP200" s="177"/>
      <c r="CQ200" s="177"/>
      <c r="CR200" s="177"/>
      <c r="CS200" s="177"/>
      <c r="CT200" s="177"/>
      <c r="CU200" s="177"/>
      <c r="CV200" s="177"/>
      <c r="CW200" s="168"/>
      <c r="CX200" s="169"/>
      <c r="CY200" s="169"/>
      <c r="CZ200" s="169"/>
      <c r="DA200" s="169"/>
      <c r="DB200" s="169"/>
      <c r="DC200" s="169"/>
      <c r="DD200" s="173"/>
      <c r="DE200" s="173"/>
      <c r="DF200" s="173"/>
      <c r="DG200" s="173"/>
      <c r="DH200" s="173"/>
      <c r="DI200" s="173"/>
      <c r="DJ200" s="173"/>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x14ac:dyDescent="0.3">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70">
        <v>0</v>
      </c>
      <c r="Q201" s="254">
        <f t="shared" si="213"/>
        <v>5.2480000000000002</v>
      </c>
      <c r="R201" s="254">
        <f t="shared" si="209"/>
        <v>5.4480000000000004</v>
      </c>
      <c r="S201" s="254">
        <f t="shared" si="209"/>
        <v>5.6479999999999997</v>
      </c>
      <c r="T201" s="254">
        <f t="shared" si="209"/>
        <v>5.8479999999999999</v>
      </c>
      <c r="U201" s="254">
        <f t="shared" si="209"/>
        <v>6.048</v>
      </c>
      <c r="V201" s="254">
        <f t="shared" si="209"/>
        <v>6.2480000000000002</v>
      </c>
      <c r="W201" s="254">
        <f t="shared" si="209"/>
        <v>6.4480000000000004</v>
      </c>
      <c r="X201" s="101">
        <v>0</v>
      </c>
      <c r="Y201" s="101">
        <v>0</v>
      </c>
      <c r="Z201" s="101">
        <v>0</v>
      </c>
      <c r="AA201" s="101">
        <v>0</v>
      </c>
      <c r="AB201" s="101">
        <v>0</v>
      </c>
      <c r="AC201" s="101">
        <v>0</v>
      </c>
      <c r="AD201" s="101">
        <v>0</v>
      </c>
      <c r="AE201" s="187">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20">IF(BL201=1,BN201,0)</f>
        <v>0</v>
      </c>
      <c r="BV201" s="27"/>
      <c r="BW201" s="27"/>
      <c r="BX201" s="27"/>
      <c r="BY201" s="27"/>
      <c r="BZ201" s="27"/>
      <c r="CA201" s="27"/>
      <c r="CB201" s="97"/>
      <c r="CC201" s="97"/>
      <c r="CD201" s="97">
        <v>100</v>
      </c>
      <c r="CE201" s="97">
        <v>200</v>
      </c>
      <c r="CF201" s="97">
        <v>400</v>
      </c>
      <c r="CG201" s="97">
        <v>800</v>
      </c>
      <c r="CH201" s="97">
        <v>1000</v>
      </c>
      <c r="CI201" s="174"/>
      <c r="CJ201" s="174"/>
      <c r="CK201" s="174"/>
      <c r="CL201" s="174"/>
      <c r="CM201" s="174"/>
      <c r="CN201" s="174"/>
      <c r="CO201" s="174"/>
      <c r="CP201" s="175"/>
      <c r="CQ201" s="175"/>
      <c r="CR201" s="175"/>
      <c r="CS201" s="175"/>
      <c r="CT201" s="175"/>
      <c r="CU201" s="175"/>
      <c r="CV201" s="175"/>
      <c r="CW201" s="166"/>
      <c r="CX201" s="167"/>
      <c r="CY201" s="167"/>
      <c r="CZ201" s="167"/>
      <c r="DA201" s="167"/>
      <c r="DB201" s="167"/>
      <c r="DC201" s="167"/>
      <c r="DD201" s="172"/>
      <c r="DE201" s="172"/>
      <c r="DF201" s="172"/>
      <c r="DG201" s="172"/>
      <c r="DH201" s="172"/>
      <c r="DI201" s="172"/>
      <c r="DJ201" s="172"/>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9"/>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row>
    <row r="202" spans="1:244" s="348" customFormat="1" x14ac:dyDescent="0.3">
      <c r="A202" s="328" t="s">
        <v>1160</v>
      </c>
      <c r="B202" s="328" t="s">
        <v>1143</v>
      </c>
      <c r="C202" s="328" t="s">
        <v>655</v>
      </c>
      <c r="D202" s="328" t="s">
        <v>1031</v>
      </c>
      <c r="E202" s="328" t="s">
        <v>1144</v>
      </c>
      <c r="F202" s="328" t="s">
        <v>499</v>
      </c>
      <c r="G202" s="329" t="s">
        <v>1161</v>
      </c>
      <c r="H202" s="329" t="s">
        <v>659</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8" customFormat="1" x14ac:dyDescent="0.3">
      <c r="A203" s="328" t="s">
        <v>1162</v>
      </c>
      <c r="B203" s="328" t="s">
        <v>1143</v>
      </c>
      <c r="C203" s="328" t="s">
        <v>655</v>
      </c>
      <c r="D203" s="328" t="s">
        <v>1031</v>
      </c>
      <c r="E203" s="328" t="s">
        <v>1144</v>
      </c>
      <c r="F203" s="328" t="s">
        <v>547</v>
      </c>
      <c r="G203" s="329" t="s">
        <v>1163</v>
      </c>
      <c r="H203" s="329" t="s">
        <v>1164</v>
      </c>
      <c r="I203" s="330">
        <v>0</v>
      </c>
      <c r="J203" s="330">
        <v>0</v>
      </c>
      <c r="K203" s="330">
        <v>0</v>
      </c>
      <c r="L203" s="330">
        <v>0</v>
      </c>
      <c r="M203" s="330">
        <v>0</v>
      </c>
      <c r="N203" s="330">
        <v>0</v>
      </c>
      <c r="O203" s="330">
        <v>0</v>
      </c>
      <c r="P203" s="331"/>
      <c r="Q203" s="330">
        <v>0</v>
      </c>
      <c r="R203" s="330">
        <v>0</v>
      </c>
      <c r="S203" s="330">
        <v>0</v>
      </c>
      <c r="T203" s="330">
        <v>0</v>
      </c>
      <c r="U203" s="330">
        <v>0</v>
      </c>
      <c r="V203" s="330">
        <v>0</v>
      </c>
      <c r="W203" s="330">
        <v>0</v>
      </c>
      <c r="X203" s="330">
        <v>0</v>
      </c>
      <c r="Y203" s="330">
        <v>0</v>
      </c>
      <c r="Z203" s="330">
        <v>0</v>
      </c>
      <c r="AA203" s="330">
        <v>0</v>
      </c>
      <c r="AB203" s="330">
        <v>0</v>
      </c>
      <c r="AC203" s="330">
        <v>0</v>
      </c>
      <c r="AD203" s="330">
        <v>0</v>
      </c>
      <c r="AE203" s="187">
        <v>0.08</v>
      </c>
      <c r="AF203" s="331">
        <v>0</v>
      </c>
      <c r="AG203" s="331">
        <v>30</v>
      </c>
      <c r="AH203" s="331">
        <v>30</v>
      </c>
      <c r="AI203" s="332">
        <v>1</v>
      </c>
      <c r="AJ203" s="332" t="s">
        <v>660</v>
      </c>
      <c r="AK203" s="332" t="s">
        <v>745</v>
      </c>
      <c r="AL203" s="332"/>
      <c r="AM203" s="333"/>
      <c r="AN203" s="333"/>
      <c r="AO203" s="333"/>
      <c r="AP203" s="333"/>
      <c r="AQ203" s="333"/>
      <c r="AR203" s="333"/>
      <c r="AS203" s="334"/>
      <c r="AT203" s="334"/>
      <c r="AU203" s="334"/>
      <c r="AV203" s="335"/>
      <c r="AW203" s="335"/>
      <c r="AX203" s="335"/>
      <c r="AY203" s="336" t="s">
        <v>662</v>
      </c>
      <c r="AZ203" s="336"/>
      <c r="BA203" s="337"/>
      <c r="BB203" s="338"/>
      <c r="BC203" s="338"/>
      <c r="BD203" s="338"/>
      <c r="BE203" s="338"/>
      <c r="BF203" s="338"/>
      <c r="BG203" s="338"/>
      <c r="BH203" s="339"/>
      <c r="BI203" s="339"/>
      <c r="BJ203" s="339"/>
      <c r="BK203" s="339"/>
      <c r="BL203" s="340"/>
      <c r="BM203" s="341"/>
      <c r="BN203" s="342">
        <v>0</v>
      </c>
      <c r="BO203" s="331"/>
      <c r="BP203" s="331"/>
      <c r="BQ203" s="331"/>
      <c r="BR203" s="331"/>
      <c r="BS203" s="331"/>
      <c r="BT203" s="331"/>
      <c r="BU203" s="336">
        <v>0</v>
      </c>
      <c r="BV203" s="336"/>
      <c r="BW203" s="336"/>
      <c r="BX203" s="336"/>
      <c r="BY203" s="336"/>
      <c r="BZ203" s="336"/>
      <c r="CA203" s="336"/>
      <c r="CB203" s="343">
        <v>0</v>
      </c>
      <c r="CC203" s="343">
        <v>0</v>
      </c>
      <c r="CD203" s="343"/>
      <c r="CE203" s="343"/>
      <c r="CF203" s="343"/>
      <c r="CG203" s="343"/>
      <c r="CH203" s="343"/>
      <c r="CI203" s="336"/>
      <c r="CJ203" s="336"/>
      <c r="CK203" s="336"/>
      <c r="CL203" s="336"/>
      <c r="CM203" s="336"/>
      <c r="CN203" s="336"/>
      <c r="CO203" s="336"/>
      <c r="CP203" s="344">
        <v>0</v>
      </c>
      <c r="CQ203" s="344">
        <v>0</v>
      </c>
      <c r="CR203" s="344">
        <v>0</v>
      </c>
      <c r="CS203" s="344">
        <v>0</v>
      </c>
      <c r="CT203" s="344">
        <v>0</v>
      </c>
      <c r="CU203" s="344">
        <v>0</v>
      </c>
      <c r="CV203" s="344">
        <v>0</v>
      </c>
      <c r="CW203" s="345"/>
      <c r="CX203" s="346"/>
      <c r="CY203" s="346"/>
      <c r="CZ203" s="346"/>
      <c r="DA203" s="346"/>
      <c r="DB203" s="346"/>
      <c r="DC203" s="346"/>
      <c r="DD203" s="346"/>
      <c r="DE203" s="346"/>
      <c r="DF203" s="346"/>
      <c r="DG203" s="346"/>
      <c r="DH203" s="346"/>
      <c r="DI203" s="346"/>
      <c r="DJ203" s="346"/>
      <c r="DK203" s="290" t="s">
        <v>452</v>
      </c>
      <c r="DL203" s="345">
        <v>0</v>
      </c>
      <c r="DM203" s="345">
        <v>0</v>
      </c>
      <c r="DN203" s="345">
        <v>0</v>
      </c>
      <c r="DO203" s="345">
        <v>0</v>
      </c>
      <c r="DP203" s="345">
        <v>0</v>
      </c>
      <c r="DQ203" s="345">
        <v>0</v>
      </c>
      <c r="DR203" s="345">
        <v>0</v>
      </c>
      <c r="DS203" s="347"/>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7">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1">IF(BL204=1,BN204,0)</f>
        <v>0</v>
      </c>
      <c r="BV204" s="28"/>
      <c r="BW204" s="28"/>
      <c r="BX204" s="28"/>
      <c r="BY204" s="28"/>
      <c r="BZ204" s="28"/>
      <c r="CA204" s="28"/>
      <c r="CB204" s="99">
        <f t="shared" ref="CB204" si="222">DL204</f>
        <v>1006.95</v>
      </c>
      <c r="CC204" s="99">
        <f t="shared" ref="CC204:CE204" si="223">DM204</f>
        <v>1006.95</v>
      </c>
      <c r="CD204" s="99">
        <f t="shared" si="223"/>
        <v>1006.95</v>
      </c>
      <c r="CE204" s="99">
        <f t="shared" si="223"/>
        <v>1006.95</v>
      </c>
      <c r="CF204" s="390">
        <f>DP204*0.5</f>
        <v>503.47500000000002</v>
      </c>
      <c r="CG204" s="390">
        <f>DQ204*0.375</f>
        <v>377.60625000000005</v>
      </c>
      <c r="CH204" s="390">
        <f>CG204*0.05</f>
        <v>18.880312500000002</v>
      </c>
      <c r="CI204" s="176"/>
      <c r="CJ204" s="176"/>
      <c r="CK204" s="176"/>
      <c r="CL204" s="176"/>
      <c r="CM204" s="176"/>
      <c r="CN204" s="176"/>
      <c r="CO204" s="176"/>
      <c r="CP204" s="177"/>
      <c r="CQ204" s="177"/>
      <c r="CR204" s="177"/>
      <c r="CS204" s="177"/>
      <c r="CT204" s="177"/>
      <c r="CU204" s="177"/>
      <c r="CV204" s="177"/>
      <c r="CW204" s="168"/>
      <c r="CX204" s="169"/>
      <c r="CY204" s="169"/>
      <c r="CZ204" s="169"/>
      <c r="DA204" s="169"/>
      <c r="DB204" s="169"/>
      <c r="DC204" s="169"/>
      <c r="DD204" s="173"/>
      <c r="DE204" s="173"/>
      <c r="DF204" s="173"/>
      <c r="DG204" s="173"/>
      <c r="DH204" s="173"/>
      <c r="DI204" s="173"/>
      <c r="DJ204" s="173"/>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
      <c r="A205" s="5" t="s">
        <v>1168</v>
      </c>
      <c r="B205" s="5" t="s">
        <v>1143</v>
      </c>
      <c r="C205" s="5" t="s">
        <v>655</v>
      </c>
      <c r="D205" s="5" t="s">
        <v>1031</v>
      </c>
      <c r="E205" s="5" t="s">
        <v>1144</v>
      </c>
      <c r="F205" s="5" t="s">
        <v>391</v>
      </c>
      <c r="G205" s="47" t="s">
        <v>1169</v>
      </c>
      <c r="H205" s="47" t="s">
        <v>1167</v>
      </c>
      <c r="I205" s="101">
        <f>I204*1.05</f>
        <v>68.764499999999998</v>
      </c>
      <c r="J205" s="101">
        <f t="shared" ref="J205:O205" si="224">J204*1.05</f>
        <v>69.814499999999995</v>
      </c>
      <c r="K205" s="101">
        <f t="shared" si="224"/>
        <v>70.864499999999992</v>
      </c>
      <c r="L205" s="101">
        <f t="shared" si="224"/>
        <v>71.914500000000004</v>
      </c>
      <c r="M205" s="101">
        <f t="shared" si="224"/>
        <v>72.964500000000001</v>
      </c>
      <c r="N205" s="101">
        <f t="shared" si="224"/>
        <v>74.014499999999998</v>
      </c>
      <c r="O205" s="101">
        <f t="shared" si="224"/>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7">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1"/>
        <v>0</v>
      </c>
      <c r="BV205" s="27"/>
      <c r="BW205" s="27"/>
      <c r="BX205" s="27"/>
      <c r="BY205" s="27"/>
      <c r="BZ205" s="27"/>
      <c r="CA205" s="27"/>
      <c r="CB205" s="97"/>
      <c r="CC205" s="97">
        <v>50</v>
      </c>
      <c r="CD205" s="97">
        <v>200</v>
      </c>
      <c r="CE205" s="97">
        <v>250</v>
      </c>
      <c r="CF205" s="97">
        <f t="shared" ref="CF205:CH206" si="225">DP205</f>
        <v>1006.95</v>
      </c>
      <c r="CG205" s="97">
        <f t="shared" si="225"/>
        <v>1006.95</v>
      </c>
      <c r="CH205" s="97">
        <f t="shared" si="225"/>
        <v>1006.95</v>
      </c>
      <c r="CI205" s="174"/>
      <c r="CJ205" s="174"/>
      <c r="CK205" s="174"/>
      <c r="CL205" s="174"/>
      <c r="CM205" s="174"/>
      <c r="CN205" s="174"/>
      <c r="CO205" s="174"/>
      <c r="CP205" s="175"/>
      <c r="CQ205" s="175"/>
      <c r="CR205" s="175"/>
      <c r="CS205" s="175"/>
      <c r="CT205" s="175"/>
      <c r="CU205" s="175"/>
      <c r="CV205" s="175"/>
      <c r="CW205" s="166"/>
      <c r="CX205" s="167"/>
      <c r="CY205" s="167"/>
      <c r="CZ205" s="167"/>
      <c r="DA205" s="167"/>
      <c r="DB205" s="167"/>
      <c r="DC205" s="167"/>
      <c r="DD205" s="172"/>
      <c r="DE205" s="172"/>
      <c r="DF205" s="172"/>
      <c r="DG205" s="172"/>
      <c r="DH205" s="172"/>
      <c r="DI205" s="172"/>
      <c r="DJ205" s="172"/>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
      <c r="A206" s="6" t="s">
        <v>1170</v>
      </c>
      <c r="B206" s="6" t="s">
        <v>1143</v>
      </c>
      <c r="C206" s="6" t="s">
        <v>655</v>
      </c>
      <c r="D206" s="6" t="s">
        <v>1031</v>
      </c>
      <c r="E206" s="6" t="s">
        <v>1144</v>
      </c>
      <c r="F206" s="6" t="s">
        <v>391</v>
      </c>
      <c r="G206" s="48" t="s">
        <v>1171</v>
      </c>
      <c r="H206" s="48" t="s">
        <v>1167</v>
      </c>
      <c r="I206" s="102">
        <f>I204*1.01</f>
        <v>66.144899999999993</v>
      </c>
      <c r="J206" s="102">
        <f t="shared" ref="J206:O206" si="226">J204*1.01</f>
        <v>67.154899999999998</v>
      </c>
      <c r="K206" s="102">
        <f t="shared" si="226"/>
        <v>68.164899999999989</v>
      </c>
      <c r="L206" s="102">
        <f t="shared" si="226"/>
        <v>69.174899999999994</v>
      </c>
      <c r="M206" s="102">
        <f t="shared" si="226"/>
        <v>70.184899999999999</v>
      </c>
      <c r="N206" s="102">
        <f t="shared" si="226"/>
        <v>71.19489999999999</v>
      </c>
      <c r="O206" s="102">
        <f t="shared" si="226"/>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7">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1"/>
        <v>0</v>
      </c>
      <c r="BV206" s="28"/>
      <c r="BW206" s="28"/>
      <c r="BX206" s="28"/>
      <c r="BY206" s="28"/>
      <c r="BZ206" s="28"/>
      <c r="CA206" s="28"/>
      <c r="CB206" s="99"/>
      <c r="CC206" s="99">
        <v>50</v>
      </c>
      <c r="CD206" s="99">
        <v>200</v>
      </c>
      <c r="CE206" s="99">
        <v>250</v>
      </c>
      <c r="CF206" s="99">
        <f t="shared" si="225"/>
        <v>1006.95</v>
      </c>
      <c r="CG206" s="99">
        <f t="shared" si="225"/>
        <v>1006.95</v>
      </c>
      <c r="CH206" s="99">
        <f t="shared" si="225"/>
        <v>1006.95</v>
      </c>
      <c r="CI206" s="176"/>
      <c r="CJ206" s="176"/>
      <c r="CK206" s="176"/>
      <c r="CL206" s="176"/>
      <c r="CM206" s="176"/>
      <c r="CN206" s="176"/>
      <c r="CO206" s="176"/>
      <c r="CP206" s="177"/>
      <c r="CQ206" s="177"/>
      <c r="CR206" s="177"/>
      <c r="CS206" s="177"/>
      <c r="CT206" s="177"/>
      <c r="CU206" s="177"/>
      <c r="CV206" s="177"/>
      <c r="CW206" s="168"/>
      <c r="CX206" s="169"/>
      <c r="CY206" s="169"/>
      <c r="CZ206" s="169"/>
      <c r="DA206" s="169"/>
      <c r="DB206" s="169"/>
      <c r="DC206" s="169"/>
      <c r="DD206" s="173"/>
      <c r="DE206" s="173"/>
      <c r="DF206" s="173"/>
      <c r="DG206" s="173"/>
      <c r="DH206" s="173"/>
      <c r="DI206" s="173"/>
      <c r="DJ206" s="173"/>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x14ac:dyDescent="0.3">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7">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1"/>
        <v>0</v>
      </c>
      <c r="BV207" s="27"/>
      <c r="BW207" s="27"/>
      <c r="BX207" s="27"/>
      <c r="BY207" s="27"/>
      <c r="BZ207" s="27"/>
      <c r="CA207" s="27"/>
      <c r="CB207" s="186">
        <v>0</v>
      </c>
      <c r="CC207" s="186">
        <v>0</v>
      </c>
      <c r="CD207" s="186">
        <v>0</v>
      </c>
      <c r="CE207" s="186">
        <v>0</v>
      </c>
      <c r="CF207" s="186">
        <v>0</v>
      </c>
      <c r="CG207" s="186">
        <v>0</v>
      </c>
      <c r="CH207" s="186">
        <v>0</v>
      </c>
      <c r="CI207" s="174"/>
      <c r="CJ207" s="174"/>
      <c r="CK207" s="174"/>
      <c r="CL207" s="174"/>
      <c r="CM207" s="174"/>
      <c r="CN207" s="174"/>
      <c r="CO207" s="174"/>
      <c r="CP207" s="175"/>
      <c r="CQ207" s="175"/>
      <c r="CR207" s="175"/>
      <c r="CS207" s="175"/>
      <c r="CT207" s="175"/>
      <c r="CU207" s="175"/>
      <c r="CV207" s="175"/>
      <c r="CW207" s="166"/>
      <c r="CX207" s="167"/>
      <c r="CY207" s="167"/>
      <c r="CZ207" s="167"/>
      <c r="DA207" s="167"/>
      <c r="DB207" s="167"/>
      <c r="DC207" s="167"/>
      <c r="DD207" s="172"/>
      <c r="DE207" s="172"/>
      <c r="DF207" s="172"/>
      <c r="DG207" s="172"/>
      <c r="DH207" s="172"/>
      <c r="DI207" s="172"/>
      <c r="DJ207" s="172"/>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9"/>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row>
    <row r="208" spans="1:244" s="311" customFormat="1" x14ac:dyDescent="0.3">
      <c r="A208" s="291" t="s">
        <v>1174</v>
      </c>
      <c r="B208" s="291" t="s">
        <v>1143</v>
      </c>
      <c r="C208" s="291" t="s">
        <v>655</v>
      </c>
      <c r="D208" s="291" t="s">
        <v>1031</v>
      </c>
      <c r="E208" s="291" t="s">
        <v>1144</v>
      </c>
      <c r="F208" s="291" t="s">
        <v>391</v>
      </c>
      <c r="G208" s="292" t="s">
        <v>1175</v>
      </c>
      <c r="H208" s="292" t="s">
        <v>1167</v>
      </c>
      <c r="I208" s="293">
        <v>65.489999999999995</v>
      </c>
      <c r="J208" s="293">
        <v>65.489999999999995</v>
      </c>
      <c r="K208" s="293">
        <v>65.489999999999995</v>
      </c>
      <c r="L208" s="293">
        <v>65.489999999999995</v>
      </c>
      <c r="M208" s="293">
        <v>65.489999999999995</v>
      </c>
      <c r="N208" s="293">
        <v>65.489999999999995</v>
      </c>
      <c r="O208" s="293">
        <v>65.489999999999995</v>
      </c>
      <c r="P208" s="294">
        <v>0</v>
      </c>
      <c r="Q208" s="293">
        <v>1.28</v>
      </c>
      <c r="R208" s="293">
        <v>1.28</v>
      </c>
      <c r="S208" s="293">
        <v>1.28</v>
      </c>
      <c r="T208" s="293">
        <v>1.28</v>
      </c>
      <c r="U208" s="293">
        <v>1.28</v>
      </c>
      <c r="V208" s="293">
        <v>1.28</v>
      </c>
      <c r="W208" s="293">
        <v>1.28</v>
      </c>
      <c r="X208" s="293">
        <v>0</v>
      </c>
      <c r="Y208" s="293">
        <v>0</v>
      </c>
      <c r="Z208" s="293">
        <v>0</v>
      </c>
      <c r="AA208" s="293">
        <v>0</v>
      </c>
      <c r="AB208" s="293">
        <v>0</v>
      </c>
      <c r="AC208" s="293">
        <v>0</v>
      </c>
      <c r="AD208" s="293">
        <v>0</v>
      </c>
      <c r="AE208" s="187">
        <v>0.08</v>
      </c>
      <c r="AF208" s="294">
        <v>0</v>
      </c>
      <c r="AG208" s="294">
        <v>30</v>
      </c>
      <c r="AH208" s="294">
        <v>30</v>
      </c>
      <c r="AI208" s="295">
        <v>0.57599999999999996</v>
      </c>
      <c r="AJ208" s="295" t="s">
        <v>660</v>
      </c>
      <c r="AK208" s="295" t="s">
        <v>745</v>
      </c>
      <c r="AL208" s="295"/>
      <c r="AM208" s="296"/>
      <c r="AN208" s="296"/>
      <c r="AO208" s="296"/>
      <c r="AP208" s="296"/>
      <c r="AQ208" s="296"/>
      <c r="AR208" s="296"/>
      <c r="AS208" s="297"/>
      <c r="AT208" s="297"/>
      <c r="AU208" s="297"/>
      <c r="AV208" s="298"/>
      <c r="AW208" s="298"/>
      <c r="AX208" s="298"/>
      <c r="AY208" s="299" t="s">
        <v>662</v>
      </c>
      <c r="AZ208" s="299"/>
      <c r="BA208" s="299"/>
      <c r="BB208" s="299"/>
      <c r="BC208" s="299"/>
      <c r="BD208" s="299"/>
      <c r="BE208" s="299"/>
      <c r="BF208" s="299"/>
      <c r="BG208" s="299"/>
      <c r="BH208" s="318"/>
      <c r="BI208" s="318"/>
      <c r="BJ208" s="318"/>
      <c r="BK208" s="318"/>
      <c r="BL208" s="302"/>
      <c r="BM208" s="303"/>
      <c r="BN208" s="304">
        <v>0</v>
      </c>
      <c r="BO208" s="294"/>
      <c r="BP208" s="294"/>
      <c r="BQ208" s="294"/>
      <c r="BR208" s="294"/>
      <c r="BS208" s="294"/>
      <c r="BT208" s="294"/>
      <c r="BU208" s="299">
        <f t="shared" ref="BU208:BU210" si="227">IF(BL208=1,BN208,0)</f>
        <v>0</v>
      </c>
      <c r="BV208" s="299"/>
      <c r="BW208" s="299"/>
      <c r="BX208" s="299"/>
      <c r="BY208" s="299"/>
      <c r="BZ208" s="299"/>
      <c r="CA208" s="299"/>
      <c r="CB208" s="305"/>
      <c r="CC208" s="99"/>
      <c r="CD208" s="99"/>
      <c r="CE208" s="99"/>
      <c r="CF208" s="99"/>
      <c r="CG208" s="99"/>
      <c r="CH208" s="99"/>
      <c r="CI208" s="299"/>
      <c r="CJ208" s="299"/>
      <c r="CK208" s="299"/>
      <c r="CL208" s="299"/>
      <c r="CM208" s="299"/>
      <c r="CN208" s="299"/>
      <c r="CO208" s="299"/>
      <c r="CP208" s="306"/>
      <c r="CQ208" s="306"/>
      <c r="CR208" s="306"/>
      <c r="CS208" s="306"/>
      <c r="CT208" s="306"/>
      <c r="CU208" s="306"/>
      <c r="CV208" s="306"/>
      <c r="CW208" s="307"/>
      <c r="CX208" s="308"/>
      <c r="CY208" s="308"/>
      <c r="CZ208" s="308"/>
      <c r="DA208" s="308"/>
      <c r="DB208" s="308"/>
      <c r="DC208" s="308"/>
      <c r="DD208" s="308"/>
      <c r="DE208" s="308"/>
      <c r="DF208" s="308"/>
      <c r="DG208" s="308"/>
      <c r="DH208" s="308"/>
      <c r="DI208" s="308"/>
      <c r="DJ208" s="308"/>
      <c r="DK208" s="309" t="s">
        <v>452</v>
      </c>
      <c r="DL208" s="307">
        <f>ROUNDUP(VLOOKUP($F208,Activities!$A$9:$I$180,3,FALSE)/$AI208,2)</f>
        <v>1006.95</v>
      </c>
      <c r="DM208" s="307">
        <f>ROUNDUP(VLOOKUP($F208,Activities!$A$9:$I$180,4,FALSE)/$AI208,2)</f>
        <v>1006.95</v>
      </c>
      <c r="DN208" s="307">
        <f>ROUNDUP(VLOOKUP($F208,Activities!$A$9:$I$180,5,FALSE)/$AI208,2)</f>
        <v>1006.95</v>
      </c>
      <c r="DO208" s="307">
        <f>ROUNDUP(VLOOKUP($F208,Activities!$A$9:$I$180,6,FALSE)/$AI208,2)</f>
        <v>1006.95</v>
      </c>
      <c r="DP208" s="307">
        <f>ROUNDUP(VLOOKUP($F208,Activities!$A$9:$I$180,7,FALSE)/$AI208,2)</f>
        <v>1006.95</v>
      </c>
      <c r="DQ208" s="307">
        <f>ROUNDUP(VLOOKUP($F208,Activities!$A$9:$I$180,8,FALSE)/$AI208,2)</f>
        <v>1006.95</v>
      </c>
      <c r="DR208" s="307">
        <f>ROUNDUP(VLOOKUP($F208,Activities!$A$9:$I$180,9,FALSE)/$AI208,2)</f>
        <v>1006.95</v>
      </c>
      <c r="DS208" s="310"/>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
      <c r="A209" s="328" t="s">
        <v>1176</v>
      </c>
      <c r="B209" s="328" t="s">
        <v>1143</v>
      </c>
      <c r="C209" s="328" t="s">
        <v>655</v>
      </c>
      <c r="D209" s="328" t="s">
        <v>1031</v>
      </c>
      <c r="E209" s="328" t="s">
        <v>1144</v>
      </c>
      <c r="F209" s="328" t="s">
        <v>499</v>
      </c>
      <c r="G209" s="329" t="s">
        <v>1177</v>
      </c>
      <c r="H209" s="329" t="s">
        <v>659</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7"/>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8" customFormat="1" x14ac:dyDescent="0.3">
      <c r="A210" s="328" t="s">
        <v>1178</v>
      </c>
      <c r="B210" s="328" t="s">
        <v>1143</v>
      </c>
      <c r="C210" s="328" t="s">
        <v>655</v>
      </c>
      <c r="D210" s="328" t="s">
        <v>1031</v>
      </c>
      <c r="E210" s="328" t="s">
        <v>1144</v>
      </c>
      <c r="F210" s="328" t="s">
        <v>547</v>
      </c>
      <c r="G210" s="329" t="s">
        <v>1179</v>
      </c>
      <c r="H210" s="329" t="s">
        <v>1164</v>
      </c>
      <c r="I210" s="330">
        <v>0</v>
      </c>
      <c r="J210" s="330">
        <v>0</v>
      </c>
      <c r="K210" s="330">
        <v>0</v>
      </c>
      <c r="L210" s="330">
        <v>0</v>
      </c>
      <c r="M210" s="330">
        <v>0</v>
      </c>
      <c r="N210" s="330">
        <v>0</v>
      </c>
      <c r="O210" s="330">
        <v>0</v>
      </c>
      <c r="P210" s="331"/>
      <c r="Q210" s="330">
        <v>0</v>
      </c>
      <c r="R210" s="330">
        <v>0</v>
      </c>
      <c r="S210" s="330">
        <v>0</v>
      </c>
      <c r="T210" s="330">
        <v>0</v>
      </c>
      <c r="U210" s="330">
        <v>0</v>
      </c>
      <c r="V210" s="330">
        <v>0</v>
      </c>
      <c r="W210" s="330">
        <v>0</v>
      </c>
      <c r="X210" s="330">
        <v>0</v>
      </c>
      <c r="Y210" s="330">
        <v>0</v>
      </c>
      <c r="Z210" s="330">
        <v>0</v>
      </c>
      <c r="AA210" s="330">
        <v>0</v>
      </c>
      <c r="AB210" s="330">
        <v>0</v>
      </c>
      <c r="AC210" s="330">
        <v>0</v>
      </c>
      <c r="AD210" s="330">
        <v>0</v>
      </c>
      <c r="AE210" s="187">
        <v>0.08</v>
      </c>
      <c r="AF210" s="331">
        <v>0</v>
      </c>
      <c r="AG210" s="331">
        <v>30</v>
      </c>
      <c r="AH210" s="331">
        <v>30</v>
      </c>
      <c r="AI210" s="332">
        <v>1</v>
      </c>
      <c r="AJ210" s="332" t="s">
        <v>660</v>
      </c>
      <c r="AK210" s="332" t="s">
        <v>745</v>
      </c>
      <c r="AL210" s="332"/>
      <c r="AM210" s="333"/>
      <c r="AN210" s="333"/>
      <c r="AO210" s="333"/>
      <c r="AP210" s="333"/>
      <c r="AQ210" s="333"/>
      <c r="AR210" s="333"/>
      <c r="AS210" s="334"/>
      <c r="AT210" s="334"/>
      <c r="AU210" s="334"/>
      <c r="AV210" s="335"/>
      <c r="AW210" s="335"/>
      <c r="AX210" s="335"/>
      <c r="AY210" s="336" t="s">
        <v>662</v>
      </c>
      <c r="AZ210" s="336"/>
      <c r="BA210" s="349"/>
      <c r="BB210" s="336"/>
      <c r="BC210" s="336"/>
      <c r="BD210" s="336"/>
      <c r="BE210" s="336"/>
      <c r="BF210" s="336"/>
      <c r="BG210" s="336"/>
      <c r="BH210" s="350"/>
      <c r="BI210" s="350"/>
      <c r="BJ210" s="350"/>
      <c r="BK210" s="350"/>
      <c r="BL210" s="340"/>
      <c r="BM210" s="341"/>
      <c r="BN210" s="342">
        <v>0</v>
      </c>
      <c r="BO210" s="331"/>
      <c r="BP210" s="331"/>
      <c r="BQ210" s="331"/>
      <c r="BR210" s="331"/>
      <c r="BS210" s="331"/>
      <c r="BT210" s="331"/>
      <c r="BU210" s="336">
        <f t="shared" si="227"/>
        <v>0</v>
      </c>
      <c r="BV210" s="336"/>
      <c r="BW210" s="336"/>
      <c r="BX210" s="336"/>
      <c r="BY210" s="336"/>
      <c r="BZ210" s="336"/>
      <c r="CA210" s="336"/>
      <c r="CB210" s="343">
        <v>0</v>
      </c>
      <c r="CC210" s="343">
        <v>0</v>
      </c>
      <c r="CD210" s="343"/>
      <c r="CE210" s="343"/>
      <c r="CF210" s="343"/>
      <c r="CG210" s="343"/>
      <c r="CH210" s="343"/>
      <c r="CI210" s="336"/>
      <c r="CJ210" s="336"/>
      <c r="CK210" s="336"/>
      <c r="CL210" s="336"/>
      <c r="CM210" s="336"/>
      <c r="CN210" s="336"/>
      <c r="CO210" s="336"/>
      <c r="CP210" s="344"/>
      <c r="CQ210" s="344"/>
      <c r="CR210" s="344"/>
      <c r="CS210" s="344"/>
      <c r="CT210" s="344"/>
      <c r="CU210" s="344"/>
      <c r="CV210" s="344"/>
      <c r="CW210" s="345"/>
      <c r="CX210" s="346"/>
      <c r="CY210" s="346"/>
      <c r="CZ210" s="346"/>
      <c r="DA210" s="346"/>
      <c r="DB210" s="346"/>
      <c r="DC210" s="346"/>
      <c r="DD210" s="346"/>
      <c r="DE210" s="346"/>
      <c r="DF210" s="346"/>
      <c r="DG210" s="346"/>
      <c r="DH210" s="346"/>
      <c r="DI210" s="346"/>
      <c r="DJ210" s="346"/>
      <c r="DK210" s="290" t="s">
        <v>452</v>
      </c>
      <c r="DL210" s="307">
        <f>ROUNDUP(VLOOKUP($F210,Activities!$A$9:$I$180,3,FALSE)/$AI210,2)</f>
        <v>0</v>
      </c>
      <c r="DM210" s="307">
        <f>ROUNDUP(VLOOKUP($F210,Activities!$A$9:$I$180,4,FALSE)/$AI210,2)</f>
        <v>0</v>
      </c>
      <c r="DN210" s="307">
        <f>ROUNDUP(VLOOKUP($F210,Activities!$A$9:$I$180,5,FALSE)/$AI210,2)</f>
        <v>0</v>
      </c>
      <c r="DO210" s="307">
        <f>ROUNDUP(VLOOKUP($F210,Activities!$A$9:$I$180,6,FALSE)/$AI210,2)</f>
        <v>0</v>
      </c>
      <c r="DP210" s="307">
        <f>ROUNDUP(VLOOKUP($F210,Activities!$A$9:$I$180,7,FALSE)/$AI210,2)</f>
        <v>0</v>
      </c>
      <c r="DQ210" s="307">
        <f>ROUNDUP(VLOOKUP($F210,Activities!$A$9:$I$180,8,FALSE)/$AI210,2)</f>
        <v>0</v>
      </c>
      <c r="DR210" s="307">
        <f>ROUNDUP(VLOOKUP($F210,Activities!$A$9:$I$180,9,FALSE)/$AI210,2)</f>
        <v>0</v>
      </c>
      <c r="DS210" s="347"/>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7">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1"/>
        <v>0</v>
      </c>
      <c r="BV211" s="28"/>
      <c r="BW211" s="28"/>
      <c r="BX211" s="28"/>
      <c r="BY211" s="28"/>
      <c r="BZ211" s="28"/>
      <c r="CA211" s="28"/>
      <c r="CB211" s="99">
        <f t="shared" ref="CB211:CB224" si="228">DL211</f>
        <v>0.4</v>
      </c>
      <c r="CC211" s="99">
        <f t="shared" ref="CC211:CC224" si="229">DM211</f>
        <v>0.35</v>
      </c>
      <c r="CD211" s="99">
        <f t="shared" ref="CD211:CD224" si="230">DN211</f>
        <v>0.3</v>
      </c>
      <c r="CE211" s="99">
        <f t="shared" ref="CE211:CE224" si="231">DO211</f>
        <v>0.3</v>
      </c>
      <c r="CF211" s="99">
        <f t="shared" ref="CF211:CF224" si="232">DP211</f>
        <v>0.3</v>
      </c>
      <c r="CG211" s="99">
        <f t="shared" ref="CG211:CG224" si="233">DQ211</f>
        <v>0.3</v>
      </c>
      <c r="CH211" s="99">
        <f t="shared" ref="CH211:CH224" si="234">DR211</f>
        <v>0.31</v>
      </c>
      <c r="CI211" s="176"/>
      <c r="CJ211" s="176"/>
      <c r="CK211" s="176"/>
      <c r="CL211" s="176"/>
      <c r="CM211" s="176"/>
      <c r="CN211" s="176"/>
      <c r="CO211" s="176"/>
      <c r="CP211" s="177"/>
      <c r="CQ211" s="177"/>
      <c r="CR211" s="177"/>
      <c r="CS211" s="177"/>
      <c r="CT211" s="177"/>
      <c r="CU211" s="177"/>
      <c r="CV211" s="177"/>
      <c r="CW211" s="168"/>
      <c r="CX211" s="169"/>
      <c r="CY211" s="169"/>
      <c r="CZ211" s="169"/>
      <c r="DA211" s="169"/>
      <c r="DB211" s="169"/>
      <c r="DC211" s="169"/>
      <c r="DD211" s="173"/>
      <c r="DE211" s="173"/>
      <c r="DF211" s="173"/>
      <c r="DG211" s="173"/>
      <c r="DH211" s="173"/>
      <c r="DI211" s="173"/>
      <c r="DJ211" s="173"/>
      <c r="DK211" s="80" t="s">
        <v>663</v>
      </c>
      <c r="DL211" s="307">
        <f>ROUNDUP(VLOOKUP($F211,Activities!$A$9:$I$180,3,FALSE)/$AI211,2)</f>
        <v>0.4</v>
      </c>
      <c r="DM211" s="307">
        <f>ROUNDUP(VLOOKUP($F211,Activities!$A$9:$I$180,4,FALSE)/$AI211,2)</f>
        <v>0.35</v>
      </c>
      <c r="DN211" s="307">
        <f>ROUNDUP(VLOOKUP($F211,Activities!$A$9:$I$180,5,FALSE)/$AI211,2)</f>
        <v>0.3</v>
      </c>
      <c r="DO211" s="307">
        <f>ROUNDUP(VLOOKUP($F211,Activities!$A$9:$I$180,6,FALSE)/$AI211,2)</f>
        <v>0.3</v>
      </c>
      <c r="DP211" s="307">
        <f>ROUNDUP(VLOOKUP($F211,Activities!$A$9:$I$180,7,FALSE)/$AI211,2)</f>
        <v>0.3</v>
      </c>
      <c r="DQ211" s="307">
        <f>ROUNDUP(VLOOKUP($F211,Activities!$A$9:$I$180,8,FALSE)/$AI211,2)</f>
        <v>0.3</v>
      </c>
      <c r="DR211" s="307">
        <f>ROUNDUP(VLOOKUP($F211,Activities!$A$9:$I$180,9,FALSE)/$AI211,2)</f>
        <v>0.31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7">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1"/>
        <v>0</v>
      </c>
      <c r="BV212" s="27"/>
      <c r="BW212" s="27"/>
      <c r="BX212" s="27"/>
      <c r="BY212" s="27"/>
      <c r="BZ212" s="27"/>
      <c r="CA212" s="27"/>
      <c r="CB212" s="97">
        <f t="shared" si="228"/>
        <v>0.3</v>
      </c>
      <c r="CC212" s="97">
        <f t="shared" si="229"/>
        <v>0.34</v>
      </c>
      <c r="CD212" s="97">
        <f t="shared" si="230"/>
        <v>0.38800000000000001</v>
      </c>
      <c r="CE212" s="97">
        <f t="shared" si="231"/>
        <v>0.37</v>
      </c>
      <c r="CF212" s="97">
        <f t="shared" si="232"/>
        <v>0.35</v>
      </c>
      <c r="CG212" s="97">
        <f t="shared" si="233"/>
        <v>0.34</v>
      </c>
      <c r="CH212" s="97">
        <f t="shared" si="234"/>
        <v>0.32100000000000001</v>
      </c>
      <c r="CI212" s="174"/>
      <c r="CJ212" s="174"/>
      <c r="CK212" s="174"/>
      <c r="CL212" s="174"/>
      <c r="CM212" s="174"/>
      <c r="CN212" s="174"/>
      <c r="CO212" s="174"/>
      <c r="CP212" s="175"/>
      <c r="CQ212" s="175"/>
      <c r="CR212" s="175"/>
      <c r="CS212" s="175"/>
      <c r="CT212" s="175"/>
      <c r="CU212" s="175"/>
      <c r="CV212" s="175"/>
      <c r="CW212" s="166"/>
      <c r="CX212" s="167"/>
      <c r="CY212" s="167"/>
      <c r="CZ212" s="167"/>
      <c r="DA212" s="167"/>
      <c r="DB212" s="167"/>
      <c r="DC212" s="167"/>
      <c r="DD212" s="172"/>
      <c r="DE212" s="172"/>
      <c r="DF212" s="172"/>
      <c r="DG212" s="172"/>
      <c r="DH212" s="172"/>
      <c r="DI212" s="172"/>
      <c r="DJ212" s="172"/>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7">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1"/>
        <v>0</v>
      </c>
      <c r="BV213" s="28"/>
      <c r="BW213" s="28"/>
      <c r="BX213" s="28"/>
      <c r="BY213" s="28"/>
      <c r="BZ213" s="28"/>
      <c r="CA213" s="28"/>
      <c r="CB213" s="99">
        <f t="shared" si="228"/>
        <v>0.3</v>
      </c>
      <c r="CC213" s="99">
        <f t="shared" si="229"/>
        <v>0.26</v>
      </c>
      <c r="CD213" s="99">
        <f t="shared" si="230"/>
        <v>0.21299999999999999</v>
      </c>
      <c r="CE213" s="99">
        <f t="shared" si="231"/>
        <v>0.2</v>
      </c>
      <c r="CF213" s="99">
        <f t="shared" si="232"/>
        <v>0.19</v>
      </c>
      <c r="CG213" s="99">
        <f t="shared" si="233"/>
        <v>0.18</v>
      </c>
      <c r="CH213" s="99">
        <f t="shared" si="234"/>
        <v>0.16600000000000001</v>
      </c>
      <c r="CI213" s="176"/>
      <c r="CJ213" s="176"/>
      <c r="CK213" s="176"/>
      <c r="CL213" s="176"/>
      <c r="CM213" s="176"/>
      <c r="CN213" s="176"/>
      <c r="CO213" s="176"/>
      <c r="CP213" s="177"/>
      <c r="CQ213" s="177"/>
      <c r="CR213" s="177"/>
      <c r="CS213" s="177"/>
      <c r="CT213" s="177"/>
      <c r="CU213" s="177"/>
      <c r="CV213" s="177"/>
      <c r="CW213" s="168"/>
      <c r="CX213" s="169"/>
      <c r="CY213" s="169"/>
      <c r="CZ213" s="169"/>
      <c r="DA213" s="169"/>
      <c r="DB213" s="169"/>
      <c r="DC213" s="169"/>
      <c r="DD213" s="173"/>
      <c r="DE213" s="173"/>
      <c r="DF213" s="173"/>
      <c r="DG213" s="173"/>
      <c r="DH213" s="173"/>
      <c r="DI213" s="173"/>
      <c r="DJ213" s="173"/>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7">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1"/>
        <v>0</v>
      </c>
      <c r="BV214" s="27"/>
      <c r="BW214" s="27"/>
      <c r="BX214" s="27"/>
      <c r="BY214" s="27"/>
      <c r="BZ214" s="27"/>
      <c r="CA214" s="27"/>
      <c r="CB214" s="97">
        <f t="shared" si="228"/>
        <v>12.6</v>
      </c>
      <c r="CC214" s="97">
        <f t="shared" si="229"/>
        <v>10.24</v>
      </c>
      <c r="CD214" s="97">
        <f t="shared" si="230"/>
        <v>7.87</v>
      </c>
      <c r="CE214" s="97">
        <f t="shared" si="231"/>
        <v>7.43</v>
      </c>
      <c r="CF214" s="97">
        <f t="shared" si="232"/>
        <v>6.99</v>
      </c>
      <c r="CG214" s="97">
        <f t="shared" si="233"/>
        <v>6.55</v>
      </c>
      <c r="CH214" s="97">
        <f t="shared" si="234"/>
        <v>6.11</v>
      </c>
      <c r="CI214" s="174"/>
      <c r="CJ214" s="174"/>
      <c r="CK214" s="174"/>
      <c r="CL214" s="174"/>
      <c r="CM214" s="174"/>
      <c r="CN214" s="174"/>
      <c r="CO214" s="174"/>
      <c r="CP214" s="175"/>
      <c r="CQ214" s="175"/>
      <c r="CR214" s="175"/>
      <c r="CS214" s="175"/>
      <c r="CT214" s="175"/>
      <c r="CU214" s="175"/>
      <c r="CV214" s="175"/>
      <c r="CW214" s="166"/>
      <c r="CX214" s="167"/>
      <c r="CY214" s="167"/>
      <c r="CZ214" s="167"/>
      <c r="DA214" s="167"/>
      <c r="DB214" s="167"/>
      <c r="DC214" s="167"/>
      <c r="DD214" s="172"/>
      <c r="DE214" s="172"/>
      <c r="DF214" s="172"/>
      <c r="DG214" s="172"/>
      <c r="DH214" s="172"/>
      <c r="DI214" s="172"/>
      <c r="DJ214" s="172"/>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7">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1"/>
        <v>0</v>
      </c>
      <c r="BV215" s="28"/>
      <c r="BW215" s="28"/>
      <c r="BX215" s="28"/>
      <c r="BY215" s="28"/>
      <c r="BZ215" s="28"/>
      <c r="CA215" s="28"/>
      <c r="CB215" s="99">
        <f t="shared" si="228"/>
        <v>4.5</v>
      </c>
      <c r="CC215" s="99">
        <f t="shared" si="229"/>
        <v>4.03</v>
      </c>
      <c r="CD215" s="99">
        <f t="shared" si="230"/>
        <v>3.56</v>
      </c>
      <c r="CE215" s="99">
        <f t="shared" si="231"/>
        <v>3.32</v>
      </c>
      <c r="CF215" s="99">
        <f t="shared" si="232"/>
        <v>3.07</v>
      </c>
      <c r="CG215" s="99">
        <f t="shared" si="233"/>
        <v>2.83</v>
      </c>
      <c r="CH215" s="99">
        <f t="shared" si="234"/>
        <v>2.58</v>
      </c>
      <c r="CI215" s="176"/>
      <c r="CJ215" s="176"/>
      <c r="CK215" s="176"/>
      <c r="CL215" s="176"/>
      <c r="CM215" s="176"/>
      <c r="CN215" s="176"/>
      <c r="CO215" s="176"/>
      <c r="CP215" s="177"/>
      <c r="CQ215" s="177"/>
      <c r="CR215" s="177"/>
      <c r="CS215" s="177"/>
      <c r="CT215" s="177"/>
      <c r="CU215" s="177"/>
      <c r="CV215" s="177"/>
      <c r="CW215" s="168"/>
      <c r="CX215" s="169"/>
      <c r="CY215" s="169"/>
      <c r="CZ215" s="169"/>
      <c r="DA215" s="169"/>
      <c r="DB215" s="169"/>
      <c r="DC215" s="169"/>
      <c r="DD215" s="173"/>
      <c r="DE215" s="173"/>
      <c r="DF215" s="173"/>
      <c r="DG215" s="173"/>
      <c r="DH215" s="173"/>
      <c r="DI215" s="173"/>
      <c r="DJ215" s="173"/>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7">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1"/>
        <v>0</v>
      </c>
      <c r="BV216" s="27"/>
      <c r="BW216" s="27"/>
      <c r="BX216" s="27"/>
      <c r="BY216" s="27"/>
      <c r="BZ216" s="27"/>
      <c r="CA216" s="27"/>
      <c r="CB216" s="97">
        <f t="shared" si="228"/>
        <v>0.9</v>
      </c>
      <c r="CC216" s="97">
        <f t="shared" si="229"/>
        <v>0.85</v>
      </c>
      <c r="CD216" s="97">
        <f t="shared" si="230"/>
        <v>0.80200000000000005</v>
      </c>
      <c r="CE216" s="97">
        <f t="shared" si="231"/>
        <v>0.75</v>
      </c>
      <c r="CF216" s="97">
        <f t="shared" si="232"/>
        <v>0.7</v>
      </c>
      <c r="CG216" s="97">
        <f t="shared" si="233"/>
        <v>0.65</v>
      </c>
      <c r="CH216" s="97">
        <f t="shared" si="234"/>
        <v>0.60199999999999998</v>
      </c>
      <c r="CI216" s="174"/>
      <c r="CJ216" s="174"/>
      <c r="CK216" s="174"/>
      <c r="CL216" s="174"/>
      <c r="CM216" s="174"/>
      <c r="CN216" s="174"/>
      <c r="CO216" s="174"/>
      <c r="CP216" s="175"/>
      <c r="CQ216" s="175"/>
      <c r="CR216" s="175"/>
      <c r="CS216" s="175"/>
      <c r="CT216" s="175"/>
      <c r="CU216" s="175"/>
      <c r="CV216" s="175"/>
      <c r="CW216" s="166"/>
      <c r="CX216" s="167"/>
      <c r="CY216" s="167"/>
      <c r="CZ216" s="167"/>
      <c r="DA216" s="167"/>
      <c r="DB216" s="167"/>
      <c r="DC216" s="167"/>
      <c r="DD216" s="172"/>
      <c r="DE216" s="172"/>
      <c r="DF216" s="172"/>
      <c r="DG216" s="172"/>
      <c r="DH216" s="172"/>
      <c r="DI216" s="172"/>
      <c r="DJ216" s="172"/>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7">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1"/>
        <v>0</v>
      </c>
      <c r="BV217" s="28"/>
      <c r="BW217" s="28"/>
      <c r="BX217" s="28"/>
      <c r="BY217" s="28"/>
      <c r="BZ217" s="28"/>
      <c r="CA217" s="28"/>
      <c r="CB217" s="99">
        <f t="shared" si="228"/>
        <v>0.9</v>
      </c>
      <c r="CC217" s="99">
        <f t="shared" si="229"/>
        <v>0.78</v>
      </c>
      <c r="CD217" s="99">
        <f t="shared" si="230"/>
        <v>0.66900000000000004</v>
      </c>
      <c r="CE217" s="99">
        <f t="shared" si="231"/>
        <v>0.67</v>
      </c>
      <c r="CF217" s="99">
        <f t="shared" si="232"/>
        <v>0.68</v>
      </c>
      <c r="CG217" s="99">
        <f t="shared" si="233"/>
        <v>0.69</v>
      </c>
      <c r="CH217" s="99">
        <f t="shared" si="234"/>
        <v>0.69599999999999995</v>
      </c>
      <c r="CI217" s="176"/>
      <c r="CJ217" s="176"/>
      <c r="CK217" s="176"/>
      <c r="CL217" s="176"/>
      <c r="CM217" s="176"/>
      <c r="CN217" s="176"/>
      <c r="CO217" s="176"/>
      <c r="CP217" s="177"/>
      <c r="CQ217" s="177"/>
      <c r="CR217" s="177"/>
      <c r="CS217" s="177"/>
      <c r="CT217" s="177"/>
      <c r="CU217" s="177"/>
      <c r="CV217" s="177"/>
      <c r="CW217" s="168"/>
      <c r="CX217" s="169"/>
      <c r="CY217" s="169"/>
      <c r="CZ217" s="169"/>
      <c r="DA217" s="169"/>
      <c r="DB217" s="169"/>
      <c r="DC217" s="169"/>
      <c r="DD217" s="173"/>
      <c r="DE217" s="173"/>
      <c r="DF217" s="173"/>
      <c r="DG217" s="173"/>
      <c r="DH217" s="173"/>
      <c r="DI217" s="173"/>
      <c r="DJ217" s="173"/>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7">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1"/>
        <v>0</v>
      </c>
      <c r="BV218" s="27"/>
      <c r="BW218" s="27"/>
      <c r="BX218" s="27"/>
      <c r="BY218" s="27"/>
      <c r="BZ218" s="27"/>
      <c r="CA218" s="27"/>
      <c r="CB218" s="97">
        <f t="shared" si="228"/>
        <v>2.6</v>
      </c>
      <c r="CC218" s="97">
        <f t="shared" si="229"/>
        <v>2.62</v>
      </c>
      <c r="CD218" s="97">
        <f t="shared" si="230"/>
        <v>2.64</v>
      </c>
      <c r="CE218" s="97">
        <f t="shared" si="231"/>
        <v>2.3199999999999998</v>
      </c>
      <c r="CF218" s="97">
        <f t="shared" si="232"/>
        <v>2</v>
      </c>
      <c r="CG218" s="97">
        <f t="shared" si="233"/>
        <v>1.68</v>
      </c>
      <c r="CH218" s="97">
        <f t="shared" si="234"/>
        <v>1.35</v>
      </c>
      <c r="CI218" s="174"/>
      <c r="CJ218" s="174"/>
      <c r="CK218" s="174"/>
      <c r="CL218" s="174"/>
      <c r="CM218" s="174"/>
      <c r="CN218" s="174"/>
      <c r="CO218" s="174"/>
      <c r="CP218" s="175"/>
      <c r="CQ218" s="175"/>
      <c r="CR218" s="175"/>
      <c r="CS218" s="175"/>
      <c r="CT218" s="175"/>
      <c r="CU218" s="175"/>
      <c r="CV218" s="175"/>
      <c r="CW218" s="166"/>
      <c r="CX218" s="167"/>
      <c r="CY218" s="167"/>
      <c r="CZ218" s="167"/>
      <c r="DA218" s="167"/>
      <c r="DB218" s="167"/>
      <c r="DC218" s="167"/>
      <c r="DD218" s="172"/>
      <c r="DE218" s="172"/>
      <c r="DF218" s="172"/>
      <c r="DG218" s="172"/>
      <c r="DH218" s="172"/>
      <c r="DI218" s="172"/>
      <c r="DJ218" s="172"/>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7">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1"/>
        <v>0</v>
      </c>
      <c r="BV219" s="28"/>
      <c r="BW219" s="28"/>
      <c r="BX219" s="28"/>
      <c r="BY219" s="28"/>
      <c r="BZ219" s="28"/>
      <c r="CA219" s="28"/>
      <c r="CB219" s="99">
        <f t="shared" si="228"/>
        <v>1</v>
      </c>
      <c r="CC219" s="99">
        <f t="shared" si="229"/>
        <v>0.69</v>
      </c>
      <c r="CD219" s="99">
        <f t="shared" si="230"/>
        <v>0.38100000000000001</v>
      </c>
      <c r="CE219" s="99">
        <f t="shared" si="231"/>
        <v>0.38</v>
      </c>
      <c r="CF219" s="99">
        <f t="shared" si="232"/>
        <v>0.37</v>
      </c>
      <c r="CG219" s="99">
        <f t="shared" si="233"/>
        <v>0.36</v>
      </c>
      <c r="CH219" s="99">
        <f t="shared" si="234"/>
        <v>0.35899999999999999</v>
      </c>
      <c r="CI219" s="176"/>
      <c r="CJ219" s="176"/>
      <c r="CK219" s="176"/>
      <c r="CL219" s="176"/>
      <c r="CM219" s="176"/>
      <c r="CN219" s="176"/>
      <c r="CO219" s="176"/>
      <c r="CP219" s="177"/>
      <c r="CQ219" s="177"/>
      <c r="CR219" s="177"/>
      <c r="CS219" s="177"/>
      <c r="CT219" s="177"/>
      <c r="CU219" s="177"/>
      <c r="CV219" s="177"/>
      <c r="CW219" s="168"/>
      <c r="CX219" s="169"/>
      <c r="CY219" s="169"/>
      <c r="CZ219" s="169"/>
      <c r="DA219" s="169"/>
      <c r="DB219" s="169"/>
      <c r="DC219" s="169"/>
      <c r="DD219" s="173"/>
      <c r="DE219" s="173"/>
      <c r="DF219" s="173"/>
      <c r="DG219" s="173"/>
      <c r="DH219" s="173"/>
      <c r="DI219" s="173"/>
      <c r="DJ219" s="173"/>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7">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1"/>
        <v>0</v>
      </c>
      <c r="BV220" s="27"/>
      <c r="BW220" s="27"/>
      <c r="BX220" s="27"/>
      <c r="BY220" s="27"/>
      <c r="BZ220" s="27"/>
      <c r="CA220" s="27"/>
      <c r="CB220" s="97">
        <f t="shared" si="228"/>
        <v>1.5</v>
      </c>
      <c r="CC220" s="97">
        <f t="shared" si="229"/>
        <v>1.1299999999999999</v>
      </c>
      <c r="CD220" s="97">
        <f t="shared" si="230"/>
        <v>0.76700000000000002</v>
      </c>
      <c r="CE220" s="97">
        <f t="shared" si="231"/>
        <v>0.71</v>
      </c>
      <c r="CF220" s="97">
        <f t="shared" si="232"/>
        <v>0.65</v>
      </c>
      <c r="CG220" s="97">
        <f t="shared" si="233"/>
        <v>0.6</v>
      </c>
      <c r="CH220" s="97">
        <f t="shared" si="234"/>
        <v>0.54100000000000004</v>
      </c>
      <c r="CI220" s="174"/>
      <c r="CJ220" s="174"/>
      <c r="CK220" s="174"/>
      <c r="CL220" s="174"/>
      <c r="CM220" s="174"/>
      <c r="CN220" s="174"/>
      <c r="CO220" s="174"/>
      <c r="CP220" s="175"/>
      <c r="CQ220" s="175"/>
      <c r="CR220" s="175"/>
      <c r="CS220" s="175"/>
      <c r="CT220" s="175"/>
      <c r="CU220" s="175"/>
      <c r="CV220" s="175"/>
      <c r="CW220" s="166"/>
      <c r="CX220" s="167"/>
      <c r="CY220" s="167"/>
      <c r="CZ220" s="167"/>
      <c r="DA220" s="167"/>
      <c r="DB220" s="167"/>
      <c r="DC220" s="167"/>
      <c r="DD220" s="172"/>
      <c r="DE220" s="172"/>
      <c r="DF220" s="172"/>
      <c r="DG220" s="172"/>
      <c r="DH220" s="172"/>
      <c r="DI220" s="172"/>
      <c r="DJ220" s="172"/>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7">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1"/>
        <v>0</v>
      </c>
      <c r="BV221" s="28"/>
      <c r="BW221" s="28"/>
      <c r="BX221" s="28"/>
      <c r="BY221" s="28"/>
      <c r="BZ221" s="28"/>
      <c r="CA221" s="28"/>
      <c r="CB221" s="99">
        <f t="shared" si="228"/>
        <v>0.08</v>
      </c>
      <c r="CC221" s="99">
        <f t="shared" si="229"/>
        <v>7.0000000000000007E-2</v>
      </c>
      <c r="CD221" s="99">
        <f t="shared" si="230"/>
        <v>0.06</v>
      </c>
      <c r="CE221" s="99">
        <f t="shared" si="231"/>
        <v>0.05</v>
      </c>
      <c r="CF221" s="99">
        <f t="shared" si="232"/>
        <v>0.04</v>
      </c>
      <c r="CG221" s="99">
        <f t="shared" si="233"/>
        <v>0.03</v>
      </c>
      <c r="CH221" s="99">
        <f t="shared" si="234"/>
        <v>1.0999999999999999E-2</v>
      </c>
      <c r="CI221" s="176"/>
      <c r="CJ221" s="176"/>
      <c r="CK221" s="176"/>
      <c r="CL221" s="176"/>
      <c r="CM221" s="176"/>
      <c r="CN221" s="176"/>
      <c r="CO221" s="176"/>
      <c r="CP221" s="177"/>
      <c r="CQ221" s="177"/>
      <c r="CR221" s="177"/>
      <c r="CS221" s="177"/>
      <c r="CT221" s="177"/>
      <c r="CU221" s="177"/>
      <c r="CV221" s="177"/>
      <c r="CW221" s="168"/>
      <c r="CX221" s="169"/>
      <c r="CY221" s="169"/>
      <c r="CZ221" s="169"/>
      <c r="DA221" s="169"/>
      <c r="DB221" s="169"/>
      <c r="DC221" s="169"/>
      <c r="DD221" s="173"/>
      <c r="DE221" s="173"/>
      <c r="DF221" s="173"/>
      <c r="DG221" s="173"/>
      <c r="DH221" s="173"/>
      <c r="DI221" s="173"/>
      <c r="DJ221" s="173"/>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7">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5">IF(BL222=1,BN222,0)</f>
        <v>0</v>
      </c>
      <c r="BV222" s="27"/>
      <c r="BW222" s="27"/>
      <c r="BX222" s="27"/>
      <c r="BY222" s="27"/>
      <c r="BZ222" s="27"/>
      <c r="CA222" s="27"/>
      <c r="CB222" s="97">
        <f t="shared" si="228"/>
        <v>1.1000000000000001</v>
      </c>
      <c r="CC222" s="97">
        <f t="shared" si="229"/>
        <v>0.64</v>
      </c>
      <c r="CD222" s="97">
        <f t="shared" si="230"/>
        <v>0.17499999999999999</v>
      </c>
      <c r="CE222" s="97">
        <f t="shared" si="231"/>
        <v>0.15</v>
      </c>
      <c r="CF222" s="97">
        <f t="shared" si="232"/>
        <v>0.13</v>
      </c>
      <c r="CG222" s="97">
        <f t="shared" si="233"/>
        <v>0.11</v>
      </c>
      <c r="CH222" s="97">
        <f t="shared" si="234"/>
        <v>8.4000000000000005E-2</v>
      </c>
      <c r="CI222" s="174"/>
      <c r="CJ222" s="174"/>
      <c r="CK222" s="174"/>
      <c r="CL222" s="174"/>
      <c r="CM222" s="174"/>
      <c r="CN222" s="174"/>
      <c r="CO222" s="174"/>
      <c r="CP222" s="175"/>
      <c r="CQ222" s="175"/>
      <c r="CR222" s="175"/>
      <c r="CS222" s="175"/>
      <c r="CT222" s="175"/>
      <c r="CU222" s="175"/>
      <c r="CV222" s="175"/>
      <c r="CW222" s="166"/>
      <c r="CX222" s="167"/>
      <c r="CY222" s="167"/>
      <c r="CZ222" s="167"/>
      <c r="DA222" s="167"/>
      <c r="DB222" s="167"/>
      <c r="DC222" s="167"/>
      <c r="DD222" s="172"/>
      <c r="DE222" s="172"/>
      <c r="DF222" s="172"/>
      <c r="DG222" s="172"/>
      <c r="DH222" s="172"/>
      <c r="DI222" s="172"/>
      <c r="DJ222" s="172"/>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7">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6">IF(BL223=1,BN223,0)</f>
        <v>0</v>
      </c>
      <c r="BV223" s="28"/>
      <c r="BW223" s="28"/>
      <c r="BX223" s="28"/>
      <c r="BY223" s="28"/>
      <c r="BZ223" s="28"/>
      <c r="CA223" s="28"/>
      <c r="CB223" s="99">
        <f t="shared" si="228"/>
        <v>0.4</v>
      </c>
      <c r="CC223" s="99">
        <f t="shared" si="229"/>
        <v>0.26</v>
      </c>
      <c r="CD223" s="99">
        <f t="shared" si="230"/>
        <v>0.11</v>
      </c>
      <c r="CE223" s="99">
        <f t="shared" si="231"/>
        <v>0.09</v>
      </c>
      <c r="CF223" s="99">
        <f t="shared" si="232"/>
        <v>0.06</v>
      </c>
      <c r="CG223" s="99">
        <f t="shared" si="233"/>
        <v>0.03</v>
      </c>
      <c r="CH223" s="99">
        <f t="shared" si="234"/>
        <v>0</v>
      </c>
      <c r="CI223" s="176"/>
      <c r="CJ223" s="176"/>
      <c r="CK223" s="176"/>
      <c r="CL223" s="176"/>
      <c r="CM223" s="176"/>
      <c r="CN223" s="176"/>
      <c r="CO223" s="176"/>
      <c r="CP223" s="177"/>
      <c r="CQ223" s="177"/>
      <c r="CR223" s="177"/>
      <c r="CS223" s="177"/>
      <c r="CT223" s="177"/>
      <c r="CU223" s="177"/>
      <c r="CV223" s="177"/>
      <c r="CW223" s="168"/>
      <c r="CX223" s="169"/>
      <c r="CY223" s="169"/>
      <c r="CZ223" s="169"/>
      <c r="DA223" s="169"/>
      <c r="DB223" s="169"/>
      <c r="DC223" s="169"/>
      <c r="DD223" s="173"/>
      <c r="DE223" s="173"/>
      <c r="DF223" s="173"/>
      <c r="DG223" s="173"/>
      <c r="DH223" s="173"/>
      <c r="DI223" s="173"/>
      <c r="DJ223" s="173"/>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7">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8"/>
        <v>2.5</v>
      </c>
      <c r="CC224" s="97">
        <f t="shared" si="229"/>
        <v>3.08</v>
      </c>
      <c r="CD224" s="97">
        <f t="shared" si="230"/>
        <v>3.66</v>
      </c>
      <c r="CE224" s="97">
        <f t="shared" si="231"/>
        <v>3.41</v>
      </c>
      <c r="CF224" s="97">
        <f t="shared" si="232"/>
        <v>3.16</v>
      </c>
      <c r="CG224" s="97">
        <f t="shared" si="233"/>
        <v>2.91</v>
      </c>
      <c r="CH224" s="97">
        <f t="shared" si="234"/>
        <v>2.66</v>
      </c>
      <c r="CI224" s="174"/>
      <c r="CJ224" s="174"/>
      <c r="CK224" s="174"/>
      <c r="CL224" s="174"/>
      <c r="CM224" s="174"/>
      <c r="CN224" s="174"/>
      <c r="CO224" s="174"/>
      <c r="CP224" s="175"/>
      <c r="CQ224" s="175"/>
      <c r="CR224" s="175"/>
      <c r="CS224" s="175"/>
      <c r="CT224" s="175"/>
      <c r="CU224" s="175"/>
      <c r="CV224" s="175"/>
      <c r="CW224" s="166"/>
      <c r="CX224" s="167"/>
      <c r="CY224" s="167"/>
      <c r="CZ224" s="167"/>
      <c r="DA224" s="167"/>
      <c r="DB224" s="167"/>
      <c r="DC224" s="167"/>
      <c r="DD224" s="172"/>
      <c r="DE224" s="172"/>
      <c r="DF224" s="172"/>
      <c r="DG224" s="172"/>
      <c r="DH224" s="172"/>
      <c r="DI224" s="172"/>
      <c r="DJ224" s="172"/>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7">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10"/>
        <v>0</v>
      </c>
      <c r="BV225" s="28"/>
      <c r="BW225" s="28"/>
      <c r="BX225" s="28"/>
      <c r="BY225" s="28"/>
      <c r="BZ225" s="28"/>
      <c r="CA225" s="28"/>
      <c r="CB225" s="99">
        <f t="shared" ref="CB225:CH232" si="237">DL225</f>
        <v>1198</v>
      </c>
      <c r="CC225" s="99">
        <f t="shared" ref="CC225:CF226" si="238">DM225</f>
        <v>1198</v>
      </c>
      <c r="CD225" s="99">
        <f t="shared" si="238"/>
        <v>1198</v>
      </c>
      <c r="CE225" s="99">
        <f t="shared" si="238"/>
        <v>898.5</v>
      </c>
      <c r="CF225" s="99">
        <f t="shared" si="238"/>
        <v>599</v>
      </c>
      <c r="CG225" s="99">
        <f t="shared" si="155"/>
        <v>299.5</v>
      </c>
      <c r="CH225" s="99">
        <f t="shared" si="155"/>
        <v>0</v>
      </c>
      <c r="CI225" s="176"/>
      <c r="CJ225" s="176"/>
      <c r="CK225" s="176"/>
      <c r="CL225" s="176"/>
      <c r="CM225" s="176"/>
      <c r="CN225" s="176"/>
      <c r="CO225" s="176"/>
      <c r="CP225" s="177"/>
      <c r="CQ225" s="177"/>
      <c r="CR225" s="177"/>
      <c r="CS225" s="177"/>
      <c r="CT225" s="177"/>
      <c r="CU225" s="177"/>
      <c r="CV225" s="177"/>
      <c r="CW225" s="168"/>
      <c r="CX225" s="169"/>
      <c r="CY225" s="169"/>
      <c r="CZ225" s="169"/>
      <c r="DA225" s="169"/>
      <c r="DB225" s="169"/>
      <c r="DC225" s="169"/>
      <c r="DD225" s="173"/>
      <c r="DE225" s="173"/>
      <c r="DF225" s="173"/>
      <c r="DG225" s="173"/>
      <c r="DH225" s="173"/>
      <c r="DI225" s="173"/>
      <c r="DJ225" s="173"/>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7">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9">IF(BL226=1,BN226,0)</f>
        <v>0</v>
      </c>
      <c r="BV226" s="27"/>
      <c r="BW226" s="27"/>
      <c r="BX226" s="27"/>
      <c r="BY226" s="27"/>
      <c r="BZ226" s="27"/>
      <c r="CA226" s="27"/>
      <c r="CB226" s="97">
        <f t="shared" si="237"/>
        <v>556</v>
      </c>
      <c r="CC226" s="97">
        <f t="shared" si="237"/>
        <v>556</v>
      </c>
      <c r="CD226" s="97">
        <f t="shared" si="238"/>
        <v>556</v>
      </c>
      <c r="CE226" s="97">
        <f t="shared" si="238"/>
        <v>451.75</v>
      </c>
      <c r="CF226" s="390">
        <f>DP226*0.6</f>
        <v>208.5</v>
      </c>
      <c r="CG226" s="390">
        <f>DQ226*0.5</f>
        <v>121.625</v>
      </c>
      <c r="CH226" s="390">
        <f>DR226*0.05</f>
        <v>6.95</v>
      </c>
      <c r="CI226" s="174"/>
      <c r="CJ226" s="174"/>
      <c r="CK226" s="174"/>
      <c r="CL226" s="174"/>
      <c r="CM226" s="174"/>
      <c r="CN226" s="174"/>
      <c r="CO226" s="174"/>
      <c r="CP226" s="175"/>
      <c r="CQ226" s="175"/>
      <c r="CR226" s="175"/>
      <c r="CS226" s="175"/>
      <c r="CT226" s="175"/>
      <c r="CU226" s="175"/>
      <c r="CV226" s="175"/>
      <c r="CW226" s="166"/>
      <c r="CX226" s="167"/>
      <c r="CY226" s="167"/>
      <c r="CZ226" s="167"/>
      <c r="DA226" s="167"/>
      <c r="DB226" s="167"/>
      <c r="DC226" s="167"/>
      <c r="DD226" s="172"/>
      <c r="DE226" s="172"/>
      <c r="DF226" s="172"/>
      <c r="DG226" s="172"/>
      <c r="DH226" s="172"/>
      <c r="DI226" s="172"/>
      <c r="DJ226" s="172"/>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7">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40">IF(BL227=1,BN227,0)</f>
        <v>0</v>
      </c>
      <c r="BV227" s="28"/>
      <c r="BW227" s="28"/>
      <c r="BX227" s="28"/>
      <c r="BY227" s="28"/>
      <c r="BZ227" s="28"/>
      <c r="CA227" s="28"/>
      <c r="CB227" s="99">
        <f t="shared" si="237"/>
        <v>556</v>
      </c>
      <c r="CC227" s="99">
        <f t="shared" si="237"/>
        <v>556</v>
      </c>
      <c r="CD227" s="99">
        <f t="shared" si="237"/>
        <v>556</v>
      </c>
      <c r="CE227" s="99">
        <f t="shared" si="237"/>
        <v>451.75</v>
      </c>
      <c r="CF227" s="99">
        <f t="shared" si="237"/>
        <v>347.5</v>
      </c>
      <c r="CG227" s="99">
        <f t="shared" si="237"/>
        <v>243.25</v>
      </c>
      <c r="CH227" s="99">
        <f t="shared" si="237"/>
        <v>139</v>
      </c>
      <c r="CI227" s="176"/>
      <c r="CJ227" s="176"/>
      <c r="CK227" s="176"/>
      <c r="CL227" s="176"/>
      <c r="CM227" s="176"/>
      <c r="CN227" s="176"/>
      <c r="CO227" s="176"/>
      <c r="CP227" s="177"/>
      <c r="CQ227" s="177"/>
      <c r="CR227" s="177"/>
      <c r="CS227" s="177"/>
      <c r="CT227" s="177"/>
      <c r="CU227" s="177"/>
      <c r="CV227" s="177"/>
      <c r="CW227" s="168"/>
      <c r="CX227" s="169"/>
      <c r="CY227" s="169"/>
      <c r="CZ227" s="169"/>
      <c r="DA227" s="169"/>
      <c r="DB227" s="169"/>
      <c r="DC227" s="169"/>
      <c r="DD227" s="173"/>
      <c r="DE227" s="173"/>
      <c r="DF227" s="173"/>
      <c r="DG227" s="173"/>
      <c r="DH227" s="173"/>
      <c r="DI227" s="173"/>
      <c r="DJ227" s="173"/>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7">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41">IF(BL228=1,BN228,0)</f>
        <v>0</v>
      </c>
      <c r="BV228" s="27"/>
      <c r="BW228" s="27"/>
      <c r="BX228" s="27"/>
      <c r="BY228" s="27"/>
      <c r="BZ228" s="27"/>
      <c r="CA228" s="27"/>
      <c r="CB228" s="97">
        <f t="shared" ref="CB228:CH235" si="242">DL228</f>
        <v>556</v>
      </c>
      <c r="CC228" s="97">
        <f t="shared" si="242"/>
        <v>556</v>
      </c>
      <c r="CD228" s="97">
        <f t="shared" si="237"/>
        <v>556</v>
      </c>
      <c r="CE228" s="97">
        <f t="shared" si="237"/>
        <v>451.75</v>
      </c>
      <c r="CF228" s="97">
        <f t="shared" si="237"/>
        <v>347.5</v>
      </c>
      <c r="CG228" s="97">
        <f t="shared" si="237"/>
        <v>243.25</v>
      </c>
      <c r="CH228" s="97">
        <f t="shared" si="237"/>
        <v>139</v>
      </c>
      <c r="CI228" s="174"/>
      <c r="CJ228" s="174"/>
      <c r="CK228" s="174"/>
      <c r="CL228" s="174"/>
      <c r="CM228" s="174"/>
      <c r="CN228" s="174"/>
      <c r="CO228" s="174"/>
      <c r="CP228" s="175"/>
      <c r="CQ228" s="175"/>
      <c r="CR228" s="175"/>
      <c r="CS228" s="175"/>
      <c r="CT228" s="175"/>
      <c r="CU228" s="175"/>
      <c r="CV228" s="175"/>
      <c r="CW228" s="166"/>
      <c r="CX228" s="167"/>
      <c r="CY228" s="167"/>
      <c r="CZ228" s="167"/>
      <c r="DA228" s="167"/>
      <c r="DB228" s="167"/>
      <c r="DC228" s="167"/>
      <c r="DD228" s="172"/>
      <c r="DE228" s="172"/>
      <c r="DF228" s="172"/>
      <c r="DG228" s="172"/>
      <c r="DH228" s="172"/>
      <c r="DI228" s="172"/>
      <c r="DJ228" s="172"/>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7">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41"/>
        <v>0</v>
      </c>
      <c r="BV229" s="28"/>
      <c r="BW229" s="28"/>
      <c r="BX229" s="28"/>
      <c r="BY229" s="28"/>
      <c r="BZ229" s="28"/>
      <c r="CA229" s="28"/>
      <c r="CB229" s="99">
        <f t="shared" si="242"/>
        <v>846</v>
      </c>
      <c r="CC229" s="99">
        <f t="shared" si="242"/>
        <v>846</v>
      </c>
      <c r="CD229" s="99">
        <f t="shared" si="237"/>
        <v>846</v>
      </c>
      <c r="CE229" s="99">
        <f t="shared" si="237"/>
        <v>687.38</v>
      </c>
      <c r="CF229" s="390">
        <f>DP229*0.6</f>
        <v>317.25</v>
      </c>
      <c r="CG229" s="390">
        <f>DQ229*0.5</f>
        <v>185.065</v>
      </c>
      <c r="CH229" s="390">
        <f>DR229*0.05</f>
        <v>10.575000000000001</v>
      </c>
      <c r="CI229" s="176"/>
      <c r="CJ229" s="176"/>
      <c r="CK229" s="176"/>
      <c r="CL229" s="176"/>
      <c r="CM229" s="176"/>
      <c r="CN229" s="176"/>
      <c r="CO229" s="176"/>
      <c r="CP229" s="177"/>
      <c r="CQ229" s="177"/>
      <c r="CR229" s="177"/>
      <c r="CS229" s="177"/>
      <c r="CT229" s="177"/>
      <c r="CU229" s="177"/>
      <c r="CV229" s="177"/>
      <c r="CW229" s="168"/>
      <c r="CX229" s="169"/>
      <c r="CY229" s="169"/>
      <c r="CZ229" s="169"/>
      <c r="DA229" s="169"/>
      <c r="DB229" s="169"/>
      <c r="DC229" s="169"/>
      <c r="DD229" s="173"/>
      <c r="DE229" s="173"/>
      <c r="DF229" s="173"/>
      <c r="DG229" s="173"/>
      <c r="DH229" s="173"/>
      <c r="DI229" s="173"/>
      <c r="DJ229" s="173"/>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7">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41"/>
        <v>0</v>
      </c>
      <c r="BV230" s="27"/>
      <c r="BW230" s="27"/>
      <c r="BX230" s="27"/>
      <c r="BY230" s="27"/>
      <c r="BZ230" s="27"/>
      <c r="CA230" s="27"/>
      <c r="CB230" s="97">
        <f t="shared" si="242"/>
        <v>846</v>
      </c>
      <c r="CC230" s="97">
        <f t="shared" si="242"/>
        <v>846</v>
      </c>
      <c r="CD230" s="97">
        <f t="shared" si="237"/>
        <v>846</v>
      </c>
      <c r="CE230" s="97">
        <f t="shared" si="237"/>
        <v>687.38</v>
      </c>
      <c r="CF230" s="97">
        <f t="shared" si="237"/>
        <v>528.75</v>
      </c>
      <c r="CG230" s="97">
        <f t="shared" si="237"/>
        <v>370.13</v>
      </c>
      <c r="CH230" s="97">
        <f t="shared" si="237"/>
        <v>211.5</v>
      </c>
      <c r="CI230" s="174"/>
      <c r="CJ230" s="174"/>
      <c r="CK230" s="174"/>
      <c r="CL230" s="174"/>
      <c r="CM230" s="174"/>
      <c r="CN230" s="174"/>
      <c r="CO230" s="174"/>
      <c r="CP230" s="175"/>
      <c r="CQ230" s="175"/>
      <c r="CR230" s="175"/>
      <c r="CS230" s="175"/>
      <c r="CT230" s="175"/>
      <c r="CU230" s="175"/>
      <c r="CV230" s="175"/>
      <c r="CW230" s="166"/>
      <c r="CX230" s="167"/>
      <c r="CY230" s="167"/>
      <c r="CZ230" s="167"/>
      <c r="DA230" s="167"/>
      <c r="DB230" s="167"/>
      <c r="DC230" s="167"/>
      <c r="DD230" s="172"/>
      <c r="DE230" s="172"/>
      <c r="DF230" s="172"/>
      <c r="DG230" s="172"/>
      <c r="DH230" s="172"/>
      <c r="DI230" s="172"/>
      <c r="DJ230" s="172"/>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7">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43">IF(BL231=1,BN231,0)</f>
        <v>0</v>
      </c>
      <c r="BV231" s="28"/>
      <c r="BW231" s="28"/>
      <c r="BX231" s="28"/>
      <c r="BY231" s="28"/>
      <c r="BZ231" s="28"/>
      <c r="CA231" s="28"/>
      <c r="CB231" s="99">
        <f t="shared" si="242"/>
        <v>846</v>
      </c>
      <c r="CC231" s="99">
        <f t="shared" si="242"/>
        <v>846</v>
      </c>
      <c r="CD231" s="99">
        <f t="shared" si="237"/>
        <v>846</v>
      </c>
      <c r="CE231" s="99">
        <f t="shared" si="237"/>
        <v>687.38</v>
      </c>
      <c r="CF231" s="99">
        <f t="shared" si="237"/>
        <v>528.75</v>
      </c>
      <c r="CG231" s="99">
        <f t="shared" si="237"/>
        <v>370.13</v>
      </c>
      <c r="CH231" s="99">
        <f t="shared" si="237"/>
        <v>211.5</v>
      </c>
      <c r="CI231" s="176"/>
      <c r="CJ231" s="176"/>
      <c r="CK231" s="176"/>
      <c r="CL231" s="176"/>
      <c r="CM231" s="176"/>
      <c r="CN231" s="176"/>
      <c r="CO231" s="176"/>
      <c r="CP231" s="177"/>
      <c r="CQ231" s="177"/>
      <c r="CR231" s="177"/>
      <c r="CS231" s="177"/>
      <c r="CT231" s="177"/>
      <c r="CU231" s="177"/>
      <c r="CV231" s="177"/>
      <c r="CW231" s="168"/>
      <c r="CX231" s="169"/>
      <c r="CY231" s="169"/>
      <c r="CZ231" s="169"/>
      <c r="DA231" s="169"/>
      <c r="DB231" s="169"/>
      <c r="DC231" s="169"/>
      <c r="DD231" s="173"/>
      <c r="DE231" s="173"/>
      <c r="DF231" s="173"/>
      <c r="DG231" s="173"/>
      <c r="DH231" s="173"/>
      <c r="DI231" s="173"/>
      <c r="DJ231" s="173"/>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7">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43"/>
        <v>0</v>
      </c>
      <c r="BV232" s="27"/>
      <c r="BW232" s="27"/>
      <c r="BX232" s="27"/>
      <c r="BY232" s="27"/>
      <c r="BZ232" s="27"/>
      <c r="CA232" s="27"/>
      <c r="CB232" s="97">
        <f t="shared" si="242"/>
        <v>353</v>
      </c>
      <c r="CC232" s="97">
        <f t="shared" si="242"/>
        <v>353</v>
      </c>
      <c r="CD232" s="97">
        <f t="shared" si="237"/>
        <v>353</v>
      </c>
      <c r="CE232" s="97">
        <f t="shared" si="237"/>
        <v>286.82</v>
      </c>
      <c r="CF232" s="390">
        <f>DP232*0.6</f>
        <v>132.37799999999999</v>
      </c>
      <c r="CG232" s="390">
        <f>DQ232*0.5</f>
        <v>77.22</v>
      </c>
      <c r="CH232" s="390">
        <f>DR232*0.05</f>
        <v>4.4125000000000005</v>
      </c>
      <c r="CI232" s="174"/>
      <c r="CJ232" s="174"/>
      <c r="CK232" s="174"/>
      <c r="CL232" s="174"/>
      <c r="CM232" s="174"/>
      <c r="CN232" s="174"/>
      <c r="CO232" s="174"/>
      <c r="CP232" s="175"/>
      <c r="CQ232" s="175"/>
      <c r="CR232" s="175"/>
      <c r="CS232" s="175"/>
      <c r="CT232" s="175"/>
      <c r="CU232" s="175"/>
      <c r="CV232" s="175"/>
      <c r="CW232" s="166"/>
      <c r="CX232" s="167"/>
      <c r="CY232" s="167"/>
      <c r="CZ232" s="167"/>
      <c r="DA232" s="167"/>
      <c r="DB232" s="167"/>
      <c r="DC232" s="167"/>
      <c r="DD232" s="172"/>
      <c r="DE232" s="172"/>
      <c r="DF232" s="172"/>
      <c r="DG232" s="172"/>
      <c r="DH232" s="172"/>
      <c r="DI232" s="172"/>
      <c r="DJ232" s="172"/>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7">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43"/>
        <v>0</v>
      </c>
      <c r="BV233" s="28"/>
      <c r="BW233" s="28"/>
      <c r="BX233" s="28"/>
      <c r="BY233" s="28"/>
      <c r="BZ233" s="28"/>
      <c r="CA233" s="28"/>
      <c r="CB233" s="99">
        <f t="shared" si="242"/>
        <v>353</v>
      </c>
      <c r="CC233" s="99">
        <f t="shared" si="242"/>
        <v>353</v>
      </c>
      <c r="CD233" s="99">
        <f t="shared" si="242"/>
        <v>353</v>
      </c>
      <c r="CE233" s="99">
        <f t="shared" si="242"/>
        <v>286.82</v>
      </c>
      <c r="CF233" s="99">
        <f t="shared" si="242"/>
        <v>220.63</v>
      </c>
      <c r="CG233" s="99">
        <f t="shared" si="242"/>
        <v>154.44</v>
      </c>
      <c r="CH233" s="99">
        <f t="shared" si="242"/>
        <v>88.25</v>
      </c>
      <c r="CI233" s="176"/>
      <c r="CJ233" s="176"/>
      <c r="CK233" s="176"/>
      <c r="CL233" s="176"/>
      <c r="CM233" s="176"/>
      <c r="CN233" s="176"/>
      <c r="CO233" s="176"/>
      <c r="CP233" s="177"/>
      <c r="CQ233" s="177"/>
      <c r="CR233" s="177"/>
      <c r="CS233" s="177"/>
      <c r="CT233" s="177"/>
      <c r="CU233" s="177"/>
      <c r="CV233" s="177"/>
      <c r="CW233" s="168"/>
      <c r="CX233" s="169"/>
      <c r="CY233" s="169"/>
      <c r="CZ233" s="169"/>
      <c r="DA233" s="169"/>
      <c r="DB233" s="169"/>
      <c r="DC233" s="169"/>
      <c r="DD233" s="173"/>
      <c r="DE233" s="173"/>
      <c r="DF233" s="173"/>
      <c r="DG233" s="173"/>
      <c r="DH233" s="173"/>
      <c r="DI233" s="173"/>
      <c r="DJ233" s="173"/>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7">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43"/>
        <v>0</v>
      </c>
      <c r="BV234" s="27"/>
      <c r="BW234" s="27"/>
      <c r="BX234" s="27"/>
      <c r="BY234" s="27"/>
      <c r="BZ234" s="27"/>
      <c r="CA234" s="27"/>
      <c r="CB234" s="97">
        <f t="shared" si="242"/>
        <v>353</v>
      </c>
      <c r="CC234" s="97">
        <f t="shared" si="242"/>
        <v>353</v>
      </c>
      <c r="CD234" s="97">
        <f t="shared" si="242"/>
        <v>353</v>
      </c>
      <c r="CE234" s="97">
        <f t="shared" si="242"/>
        <v>286.82</v>
      </c>
      <c r="CF234" s="97">
        <f t="shared" si="242"/>
        <v>220.63</v>
      </c>
      <c r="CG234" s="97">
        <f t="shared" si="242"/>
        <v>154.44</v>
      </c>
      <c r="CH234" s="97">
        <f t="shared" si="242"/>
        <v>88.25</v>
      </c>
      <c r="CI234" s="174"/>
      <c r="CJ234" s="174"/>
      <c r="CK234" s="174"/>
      <c r="CL234" s="174"/>
      <c r="CM234" s="174"/>
      <c r="CN234" s="174"/>
      <c r="CO234" s="174"/>
      <c r="CP234" s="175"/>
      <c r="CQ234" s="175"/>
      <c r="CR234" s="175"/>
      <c r="CS234" s="175"/>
      <c r="CT234" s="175"/>
      <c r="CU234" s="175"/>
      <c r="CV234" s="175"/>
      <c r="CW234" s="166"/>
      <c r="CX234" s="167"/>
      <c r="CY234" s="167"/>
      <c r="CZ234" s="167"/>
      <c r="DA234" s="167"/>
      <c r="DB234" s="167"/>
      <c r="DC234" s="167"/>
      <c r="DD234" s="172"/>
      <c r="DE234" s="172"/>
      <c r="DF234" s="172"/>
      <c r="DG234" s="172"/>
      <c r="DH234" s="172"/>
      <c r="DI234" s="172"/>
      <c r="DJ234" s="172"/>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7">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4">CB235</f>
        <v>4260</v>
      </c>
      <c r="BV235" s="28">
        <f t="shared" si="244"/>
        <v>4560</v>
      </c>
      <c r="BW235" s="28">
        <f t="shared" si="244"/>
        <v>4860</v>
      </c>
      <c r="BX235" s="28">
        <f t="shared" si="244"/>
        <v>5163.75</v>
      </c>
      <c r="BY235" s="28">
        <f t="shared" si="244"/>
        <v>5467.5</v>
      </c>
      <c r="BZ235" s="28">
        <f t="shared" si="244"/>
        <v>5771.25</v>
      </c>
      <c r="CA235" s="28">
        <f t="shared" si="244"/>
        <v>6075</v>
      </c>
      <c r="CB235" s="99">
        <f>DL235</f>
        <v>4260</v>
      </c>
      <c r="CC235" s="99">
        <f t="shared" si="242"/>
        <v>4560</v>
      </c>
      <c r="CD235" s="99">
        <f t="shared" si="242"/>
        <v>4860</v>
      </c>
      <c r="CE235" s="99">
        <f t="shared" si="242"/>
        <v>5163.75</v>
      </c>
      <c r="CF235" s="99">
        <f t="shared" si="242"/>
        <v>5467.5</v>
      </c>
      <c r="CG235" s="99">
        <f t="shared" si="242"/>
        <v>5771.25</v>
      </c>
      <c r="CH235" s="99">
        <f t="shared" si="242"/>
        <v>6075</v>
      </c>
      <c r="CI235" s="176"/>
      <c r="CJ235" s="176"/>
      <c r="CK235" s="176"/>
      <c r="CL235" s="176"/>
      <c r="CM235" s="176"/>
      <c r="CN235" s="176"/>
      <c r="CO235" s="176"/>
      <c r="CP235" s="177"/>
      <c r="CQ235" s="177"/>
      <c r="CR235" s="177"/>
      <c r="CS235" s="177"/>
      <c r="CT235" s="177"/>
      <c r="CU235" s="177"/>
      <c r="CV235" s="177"/>
      <c r="CW235" s="168"/>
      <c r="CX235" s="169"/>
      <c r="CY235" s="169"/>
      <c r="CZ235" s="169"/>
      <c r="DA235" s="169"/>
      <c r="DB235" s="169"/>
      <c r="DC235" s="169"/>
      <c r="DD235" s="173"/>
      <c r="DE235" s="173"/>
      <c r="DF235" s="173"/>
      <c r="DG235" s="173"/>
      <c r="DH235" s="173"/>
      <c r="DI235" s="173"/>
      <c r="DJ235" s="173"/>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x14ac:dyDescent="0.3">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7">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5">BU236</f>
        <v>0</v>
      </c>
      <c r="BO236" s="93"/>
      <c r="BP236" s="93"/>
      <c r="BQ236" s="93"/>
      <c r="BR236" s="93"/>
      <c r="BS236" s="93"/>
      <c r="BT236" s="93"/>
      <c r="BU236" s="27"/>
      <c r="BV236" s="27"/>
      <c r="BW236" s="27"/>
      <c r="BX236" s="27"/>
      <c r="BY236" s="27"/>
      <c r="BZ236" s="27"/>
      <c r="CA236" s="27"/>
      <c r="CB236" s="186">
        <v>500</v>
      </c>
      <c r="CC236" s="186">
        <v>500</v>
      </c>
      <c r="CD236" s="186">
        <v>500</v>
      </c>
      <c r="CE236" s="186">
        <v>500</v>
      </c>
      <c r="CF236" s="186">
        <v>500</v>
      </c>
      <c r="CG236" s="186">
        <v>500</v>
      </c>
      <c r="CH236" s="186">
        <v>500</v>
      </c>
      <c r="CI236" s="174"/>
      <c r="CJ236" s="174"/>
      <c r="CK236" s="174"/>
      <c r="CL236" s="174"/>
      <c r="CM236" s="174"/>
      <c r="CN236" s="174"/>
      <c r="CO236" s="174"/>
      <c r="CP236" s="175"/>
      <c r="CQ236" s="175"/>
      <c r="CR236" s="175"/>
      <c r="CS236" s="175"/>
      <c r="CT236" s="175"/>
      <c r="CU236" s="175"/>
      <c r="CV236" s="175"/>
      <c r="CW236" s="166"/>
      <c r="CX236" s="167"/>
      <c r="CY236" s="167"/>
      <c r="CZ236" s="167"/>
      <c r="DA236" s="167"/>
      <c r="DB236" s="167"/>
      <c r="DC236" s="167"/>
      <c r="DD236" s="172"/>
      <c r="DE236" s="172"/>
      <c r="DF236" s="172"/>
      <c r="DG236" s="172"/>
      <c r="DH236" s="172"/>
      <c r="DI236" s="172"/>
      <c r="DJ236" s="172"/>
      <c r="DK236" s="79" t="s">
        <v>699</v>
      </c>
      <c r="DL236" s="128">
        <v>30</v>
      </c>
      <c r="DM236" s="128">
        <v>30</v>
      </c>
      <c r="DN236" s="128">
        <v>30</v>
      </c>
      <c r="DO236" s="128">
        <v>30</v>
      </c>
      <c r="DP236" s="128">
        <v>30</v>
      </c>
      <c r="DQ236" s="128">
        <v>30</v>
      </c>
      <c r="DR236" s="128">
        <v>30</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ht="15" thickBot="1" x14ac:dyDescent="0.35">
      <c r="A237" s="257"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7">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60">
        <v>8.0500000000000007</v>
      </c>
      <c r="BO237" s="261"/>
      <c r="BP237" s="261"/>
      <c r="BQ237" s="261"/>
      <c r="BR237" s="261"/>
      <c r="BS237" s="261"/>
      <c r="BT237" s="261"/>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8">
        <f>82.1</f>
        <v>82.1</v>
      </c>
      <c r="CJ237" s="258">
        <f>$CI$237*0.8</f>
        <v>65.679999999999993</v>
      </c>
      <c r="CK237" s="258">
        <f t="shared" ref="CK237:CO237" si="246">$CI$237*0.8</f>
        <v>65.679999999999993</v>
      </c>
      <c r="CL237" s="258">
        <f t="shared" si="246"/>
        <v>65.679999999999993</v>
      </c>
      <c r="CM237" s="258">
        <f t="shared" si="246"/>
        <v>65.679999999999993</v>
      </c>
      <c r="CN237" s="258">
        <f t="shared" si="246"/>
        <v>65.679999999999993</v>
      </c>
      <c r="CO237" s="258">
        <f t="shared" si="246"/>
        <v>65.679999999999993</v>
      </c>
      <c r="CP237" s="389">
        <f>$CI$237*1.2</f>
        <v>98.52</v>
      </c>
      <c r="CQ237" s="389">
        <f t="shared" ref="CQ237:CV237" si="247">$CI$237*1.2</f>
        <v>98.52</v>
      </c>
      <c r="CR237" s="389">
        <f t="shared" si="247"/>
        <v>98.52</v>
      </c>
      <c r="CS237" s="389">
        <f t="shared" si="247"/>
        <v>98.52</v>
      </c>
      <c r="CT237" s="389">
        <f t="shared" si="247"/>
        <v>98.52</v>
      </c>
      <c r="CU237" s="389">
        <f t="shared" si="247"/>
        <v>98.52</v>
      </c>
      <c r="CV237" s="389">
        <f t="shared" si="247"/>
        <v>98.52</v>
      </c>
      <c r="CW237" s="168"/>
      <c r="CX237" s="169"/>
      <c r="CY237" s="169"/>
      <c r="CZ237" s="169"/>
      <c r="DA237" s="169"/>
      <c r="DB237" s="169"/>
      <c r="DC237" s="169"/>
      <c r="DD237" s="173"/>
      <c r="DE237" s="173"/>
      <c r="DF237" s="173"/>
      <c r="DG237" s="173"/>
      <c r="DH237" s="173"/>
      <c r="DI237" s="173"/>
      <c r="DJ237" s="173"/>
      <c r="DK237" s="80" t="s">
        <v>699</v>
      </c>
      <c r="DL237" s="129">
        <v>1.4</v>
      </c>
      <c r="DM237" s="129">
        <v>3.4</v>
      </c>
      <c r="DN237" s="129">
        <v>3.4</v>
      </c>
      <c r="DO237" s="129">
        <v>3.4</v>
      </c>
      <c r="DP237" s="129">
        <v>3.4</v>
      </c>
      <c r="DQ237" s="129">
        <v>7</v>
      </c>
      <c r="DR237" s="129">
        <v>7</v>
      </c>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
      <c r="A238" s="231" t="s">
        <v>1248</v>
      </c>
      <c r="B238" s="232" t="s">
        <v>1245</v>
      </c>
      <c r="C238" s="232" t="s">
        <v>788</v>
      </c>
      <c r="D238" s="232" t="s">
        <v>1249</v>
      </c>
      <c r="E238" s="232" t="s">
        <v>1250</v>
      </c>
      <c r="F238" s="232" t="s">
        <v>453</v>
      </c>
      <c r="G238" s="233" t="s">
        <v>1251</v>
      </c>
      <c r="H238" s="234" t="s">
        <v>981</v>
      </c>
      <c r="I238" s="101">
        <v>3200</v>
      </c>
      <c r="J238" s="101">
        <f>(K238+I238)/2</f>
        <v>2800</v>
      </c>
      <c r="K238" s="101">
        <v>2400</v>
      </c>
      <c r="L238" s="101">
        <f t="shared" ref="L238:L247" si="248">(M238+K238)/2</f>
        <v>2350</v>
      </c>
      <c r="M238" s="101">
        <f t="shared" ref="M238:M247" si="249">(K238+O238)/2</f>
        <v>2300</v>
      </c>
      <c r="N238" s="101">
        <f t="shared" ref="N238:N247" si="250">(O238+M238)/2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7">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5"/>
      <c r="CC238" s="245">
        <f t="shared" ref="CC238:CC245" si="251">ROUND((CB238+CD238)/2,2)</f>
        <v>5</v>
      </c>
      <c r="CD238" s="245">
        <v>10</v>
      </c>
      <c r="CE238" s="245">
        <f t="shared" ref="CE238" si="252">ROUND((CD238+CF238)/2,2)</f>
        <v>18.25</v>
      </c>
      <c r="CF238" s="245">
        <v>26.5</v>
      </c>
      <c r="CG238" s="245">
        <f t="shared" ref="CG238" si="253">ROUND((CF238+CH238)/2,2)</f>
        <v>41.75</v>
      </c>
      <c r="CH238" s="390">
        <f>70-13</f>
        <v>57</v>
      </c>
      <c r="CI238" s="174"/>
      <c r="CJ238" s="174"/>
      <c r="CK238" s="174"/>
      <c r="CL238" s="174"/>
      <c r="CM238" s="174"/>
      <c r="CN238" s="174"/>
      <c r="CO238" s="174"/>
      <c r="CP238" s="175"/>
      <c r="CQ238" s="175"/>
      <c r="CR238" s="175"/>
      <c r="CS238" s="175"/>
      <c r="CT238" s="175"/>
      <c r="CU238" s="175"/>
      <c r="CV238" s="175"/>
      <c r="CW238" s="166"/>
      <c r="CX238" s="167"/>
      <c r="CY238" s="167"/>
      <c r="CZ238" s="167"/>
      <c r="DA238" s="167"/>
      <c r="DB238" s="167"/>
      <c r="DC238" s="167"/>
      <c r="DD238" s="172"/>
      <c r="DE238" s="172"/>
      <c r="DF238" s="172"/>
      <c r="DG238" s="172"/>
      <c r="DH238" s="172"/>
      <c r="DI238" s="172"/>
      <c r="DJ238" s="172"/>
      <c r="DK238" s="79" t="s">
        <v>1253</v>
      </c>
      <c r="DL238" s="128"/>
      <c r="DM238" s="128"/>
      <c r="DN238" s="128"/>
      <c r="DO238" s="128"/>
      <c r="DP238" s="128"/>
      <c r="DQ238" s="128"/>
      <c r="DR238" s="128"/>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
      <c r="A239" s="235" t="s">
        <v>1254</v>
      </c>
      <c r="B239" s="6" t="s">
        <v>1245</v>
      </c>
      <c r="C239" s="6" t="s">
        <v>788</v>
      </c>
      <c r="D239" s="6" t="s">
        <v>1249</v>
      </c>
      <c r="E239" s="6" t="s">
        <v>1250</v>
      </c>
      <c r="F239" s="6" t="s">
        <v>455</v>
      </c>
      <c r="G239" s="48" t="s">
        <v>1255</v>
      </c>
      <c r="H239" s="236" t="s">
        <v>981</v>
      </c>
      <c r="I239" s="102">
        <v>1823.76</v>
      </c>
      <c r="J239" s="102">
        <v>1821.35</v>
      </c>
      <c r="K239" s="102">
        <v>1818.94</v>
      </c>
      <c r="L239" s="101">
        <f t="shared" si="248"/>
        <v>1816.5450000000001</v>
      </c>
      <c r="M239" s="101">
        <f t="shared" si="249"/>
        <v>1814.15</v>
      </c>
      <c r="N239" s="101">
        <f t="shared" si="250"/>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7">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7">
        <v>0</v>
      </c>
      <c r="BO239" s="187">
        <v>0</v>
      </c>
      <c r="BP239" s="94"/>
      <c r="BQ239" s="94"/>
      <c r="BR239" s="94"/>
      <c r="BS239" s="94"/>
      <c r="BT239" s="94"/>
      <c r="BU239" s="28">
        <f t="shared" ref="BU239:BU292" si="254">IF(BL239=1,BN239,0)</f>
        <v>0</v>
      </c>
      <c r="BV239" s="28"/>
      <c r="BW239" s="28"/>
      <c r="BX239" s="28"/>
      <c r="BY239" s="28"/>
      <c r="BZ239" s="28"/>
      <c r="CA239" s="28"/>
      <c r="CB239" s="99">
        <v>1.895</v>
      </c>
      <c r="CC239" s="99">
        <f t="shared" si="251"/>
        <v>0.95</v>
      </c>
      <c r="CD239" s="99"/>
      <c r="CE239" s="99">
        <v>0</v>
      </c>
      <c r="CF239" s="99">
        <v>0</v>
      </c>
      <c r="CG239" s="99">
        <v>0</v>
      </c>
      <c r="CH239" s="99">
        <v>0</v>
      </c>
      <c r="CI239" s="176"/>
      <c r="CJ239" s="176"/>
      <c r="CK239" s="176"/>
      <c r="CL239" s="176"/>
      <c r="CM239" s="176"/>
      <c r="CN239" s="176"/>
      <c r="CO239" s="176"/>
      <c r="CP239" s="177"/>
      <c r="CQ239" s="177"/>
      <c r="CR239" s="177"/>
      <c r="CS239" s="177"/>
      <c r="CT239" s="177"/>
      <c r="CU239" s="177"/>
      <c r="CV239" s="177"/>
      <c r="CW239" s="168"/>
      <c r="CX239" s="169"/>
      <c r="CY239" s="169">
        <v>1</v>
      </c>
      <c r="CZ239" s="169">
        <v>1</v>
      </c>
      <c r="DA239" s="169">
        <v>1</v>
      </c>
      <c r="DB239" s="169">
        <v>1</v>
      </c>
      <c r="DC239" s="169">
        <v>1</v>
      </c>
      <c r="DD239" s="173"/>
      <c r="DE239" s="173"/>
      <c r="DF239" s="173"/>
      <c r="DG239" s="173"/>
      <c r="DH239" s="173"/>
      <c r="DI239" s="173"/>
      <c r="DJ239" s="173"/>
      <c r="DK239" s="80" t="s">
        <v>415</v>
      </c>
      <c r="DL239" s="129"/>
      <c r="DM239" s="129"/>
      <c r="DN239" s="129"/>
      <c r="DO239" s="129"/>
      <c r="DP239" s="129"/>
      <c r="DQ239" s="129"/>
      <c r="DR239" s="129"/>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
      <c r="A240" s="237" t="s">
        <v>1256</v>
      </c>
      <c r="B240" s="5" t="s">
        <v>1245</v>
      </c>
      <c r="C240" s="5" t="s">
        <v>788</v>
      </c>
      <c r="D240" s="5" t="s">
        <v>1249</v>
      </c>
      <c r="E240" s="5" t="s">
        <v>1250</v>
      </c>
      <c r="F240" s="5" t="s">
        <v>455</v>
      </c>
      <c r="G240" s="47" t="s">
        <v>1257</v>
      </c>
      <c r="H240" s="238" t="s">
        <v>981</v>
      </c>
      <c r="I240" s="101">
        <v>1823.76</v>
      </c>
      <c r="J240" s="101">
        <v>1821.35</v>
      </c>
      <c r="K240" s="101">
        <v>1818.94</v>
      </c>
      <c r="L240" s="101">
        <f t="shared" si="248"/>
        <v>1816.5450000000001</v>
      </c>
      <c r="M240" s="101">
        <f t="shared" si="249"/>
        <v>1814.15</v>
      </c>
      <c r="N240" s="101">
        <f t="shared" si="250"/>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7">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7">
        <v>3.9</v>
      </c>
      <c r="BO240" s="187">
        <v>3.9</v>
      </c>
      <c r="BP240" s="93"/>
      <c r="BQ240" s="93"/>
      <c r="BR240" s="93"/>
      <c r="BS240" s="93"/>
      <c r="BT240" s="93"/>
      <c r="BU240" s="27">
        <f t="shared" si="254"/>
        <v>3.9</v>
      </c>
      <c r="BV240" s="27"/>
      <c r="BW240" s="27"/>
      <c r="BX240" s="27"/>
      <c r="BY240" s="27"/>
      <c r="BZ240" s="27"/>
      <c r="CA240" s="27"/>
      <c r="CB240" s="97">
        <f>BN240</f>
        <v>3.9</v>
      </c>
      <c r="CC240" s="97">
        <f t="shared" si="251"/>
        <v>1.95</v>
      </c>
      <c r="CD240" s="97"/>
      <c r="CE240" s="97">
        <v>0</v>
      </c>
      <c r="CF240" s="97">
        <v>0</v>
      </c>
      <c r="CG240" s="97">
        <v>0</v>
      </c>
      <c r="CH240" s="97">
        <v>0</v>
      </c>
      <c r="CI240" s="174"/>
      <c r="CJ240" s="174"/>
      <c r="CK240" s="174"/>
      <c r="CL240" s="174"/>
      <c r="CM240" s="174"/>
      <c r="CN240" s="174"/>
      <c r="CO240" s="174"/>
      <c r="CP240" s="175"/>
      <c r="CQ240" s="175"/>
      <c r="CR240" s="175"/>
      <c r="CS240" s="175"/>
      <c r="CT240" s="175"/>
      <c r="CU240" s="175"/>
      <c r="CV240" s="175"/>
      <c r="CW240" s="166"/>
      <c r="CX240" s="167"/>
      <c r="CY240" s="167">
        <v>1</v>
      </c>
      <c r="CZ240" s="167">
        <v>1</v>
      </c>
      <c r="DA240" s="167">
        <v>1</v>
      </c>
      <c r="DB240" s="167">
        <v>1</v>
      </c>
      <c r="DC240" s="167">
        <v>1</v>
      </c>
      <c r="DD240" s="172"/>
      <c r="DE240" s="172"/>
      <c r="DF240" s="172"/>
      <c r="DG240" s="172"/>
      <c r="DH240" s="172"/>
      <c r="DI240" s="172"/>
      <c r="DJ240" s="172"/>
      <c r="DK240" s="79" t="s">
        <v>415</v>
      </c>
      <c r="DL240" s="128"/>
      <c r="DM240" s="128"/>
      <c r="DN240" s="128"/>
      <c r="DO240" s="128"/>
      <c r="DP240" s="128"/>
      <c r="DQ240" s="128"/>
      <c r="DR240" s="128"/>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
      <c r="A241" s="235" t="s">
        <v>1258</v>
      </c>
      <c r="B241" s="6" t="s">
        <v>1245</v>
      </c>
      <c r="C241" s="6" t="s">
        <v>788</v>
      </c>
      <c r="D241" s="6" t="s">
        <v>1249</v>
      </c>
      <c r="E241" s="6" t="s">
        <v>1250</v>
      </c>
      <c r="F241" s="6" t="s">
        <v>455</v>
      </c>
      <c r="G241" s="48" t="s">
        <v>1259</v>
      </c>
      <c r="H241" s="236" t="s">
        <v>981</v>
      </c>
      <c r="I241" s="102">
        <v>2345.9899999999998</v>
      </c>
      <c r="J241" s="102">
        <v>2296.7399999999998</v>
      </c>
      <c r="K241" s="102">
        <v>2247.48</v>
      </c>
      <c r="L241" s="101">
        <f t="shared" si="248"/>
        <v>2210.0050000000001</v>
      </c>
      <c r="M241" s="101">
        <f t="shared" si="249"/>
        <v>2172.5299999999997</v>
      </c>
      <c r="N241" s="101">
        <f t="shared" si="250"/>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7">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4"/>
        <v>0</v>
      </c>
      <c r="BV241" s="28"/>
      <c r="BW241" s="28"/>
      <c r="BX241" s="28"/>
      <c r="BY241" s="28"/>
      <c r="BZ241" s="28"/>
      <c r="CA241" s="28"/>
      <c r="CB241" s="99">
        <v>0</v>
      </c>
      <c r="CC241" s="99">
        <f t="shared" si="251"/>
        <v>0</v>
      </c>
      <c r="CD241" s="99"/>
      <c r="CE241" s="99">
        <v>0</v>
      </c>
      <c r="CF241" s="99">
        <v>0</v>
      </c>
      <c r="CG241" s="99">
        <v>0</v>
      </c>
      <c r="CH241" s="99">
        <v>0</v>
      </c>
      <c r="CI241" s="176"/>
      <c r="CJ241" s="176"/>
      <c r="CK241" s="176"/>
      <c r="CL241" s="176"/>
      <c r="CM241" s="176"/>
      <c r="CN241" s="176"/>
      <c r="CO241" s="176"/>
      <c r="CP241" s="177"/>
      <c r="CQ241" s="177"/>
      <c r="CR241" s="177"/>
      <c r="CS241" s="177"/>
      <c r="CT241" s="177"/>
      <c r="CU241" s="177"/>
      <c r="CV241" s="177"/>
      <c r="CW241" s="168"/>
      <c r="CX241" s="169"/>
      <c r="CY241" s="169">
        <v>1</v>
      </c>
      <c r="CZ241" s="169">
        <v>1</v>
      </c>
      <c r="DA241" s="169">
        <v>1</v>
      </c>
      <c r="DB241" s="169">
        <v>1</v>
      </c>
      <c r="DC241" s="169">
        <v>1</v>
      </c>
      <c r="DD241" s="173"/>
      <c r="DE241" s="173"/>
      <c r="DF241" s="173"/>
      <c r="DG241" s="173"/>
      <c r="DH241" s="173"/>
      <c r="DI241" s="173"/>
      <c r="DJ241" s="173"/>
      <c r="DK241" s="80" t="s">
        <v>415</v>
      </c>
      <c r="DL241" s="129"/>
      <c r="DM241" s="129"/>
      <c r="DN241" s="129"/>
      <c r="DO241" s="129"/>
      <c r="DP241" s="129"/>
      <c r="DQ241" s="129"/>
      <c r="DR241" s="129"/>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
      <c r="A242" s="237" t="s">
        <v>1260</v>
      </c>
      <c r="B242" s="5" t="s">
        <v>1245</v>
      </c>
      <c r="C242" s="5" t="s">
        <v>788</v>
      </c>
      <c r="D242" s="5" t="s">
        <v>1249</v>
      </c>
      <c r="E242" s="5" t="s">
        <v>1250</v>
      </c>
      <c r="F242" s="5" t="s">
        <v>455</v>
      </c>
      <c r="G242" s="47" t="s">
        <v>1261</v>
      </c>
      <c r="H242" s="238" t="s">
        <v>981</v>
      </c>
      <c r="I242" s="101">
        <v>899.15</v>
      </c>
      <c r="J242" s="101">
        <v>897.97</v>
      </c>
      <c r="K242" s="101">
        <v>896.78</v>
      </c>
      <c r="L242" s="101">
        <f t="shared" si="248"/>
        <v>895.59749999999997</v>
      </c>
      <c r="M242" s="101">
        <f t="shared" si="249"/>
        <v>894.41499999999996</v>
      </c>
      <c r="N242" s="101">
        <f t="shared" si="250"/>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7">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4"/>
        <v>0</v>
      </c>
      <c r="BV242" s="27"/>
      <c r="BW242" s="27"/>
      <c r="BX242" s="27"/>
      <c r="BY242" s="27"/>
      <c r="BZ242" s="27"/>
      <c r="CA242" s="27"/>
      <c r="CB242" s="97">
        <v>8.23</v>
      </c>
      <c r="CC242" s="97">
        <f t="shared" si="251"/>
        <v>19.12</v>
      </c>
      <c r="CD242" s="97">
        <v>30</v>
      </c>
      <c r="CE242" s="97">
        <f t="shared" ref="CE242:CE261" si="255">ROUND((CD242+CF242)/2,2)</f>
        <v>30</v>
      </c>
      <c r="CF242" s="97">
        <f t="shared" ref="CF242:CF261" si="256">ROUND((CD242+CH242)/2,2)</f>
        <v>30</v>
      </c>
      <c r="CG242" s="97">
        <f t="shared" ref="CG242:CG261" si="257">ROUND((CF242+CH242)/2,2)</f>
        <v>30</v>
      </c>
      <c r="CH242" s="97">
        <v>30</v>
      </c>
      <c r="CI242" s="174"/>
      <c r="CJ242" s="174"/>
      <c r="CK242" s="174"/>
      <c r="CL242" s="174"/>
      <c r="CM242" s="174"/>
      <c r="CN242" s="174"/>
      <c r="CO242" s="174"/>
      <c r="CP242" s="175"/>
      <c r="CQ242" s="175"/>
      <c r="CR242" s="175"/>
      <c r="CS242" s="175"/>
      <c r="CT242" s="175"/>
      <c r="CU242" s="175"/>
      <c r="CV242" s="175"/>
      <c r="CW242" s="166"/>
      <c r="CX242" s="167"/>
      <c r="CY242" s="167"/>
      <c r="CZ242" s="167"/>
      <c r="DA242" s="167"/>
      <c r="DB242" s="167"/>
      <c r="DC242" s="167"/>
      <c r="DD242" s="172"/>
      <c r="DE242" s="172"/>
      <c r="DF242" s="172"/>
      <c r="DG242" s="172"/>
      <c r="DH242" s="172"/>
      <c r="DI242" s="172"/>
      <c r="DJ242" s="172"/>
      <c r="DK242" s="79" t="s">
        <v>415</v>
      </c>
      <c r="DL242" s="128"/>
      <c r="DM242" s="128"/>
      <c r="DN242" s="128"/>
      <c r="DO242" s="128"/>
      <c r="DP242" s="128"/>
      <c r="DQ242" s="128"/>
      <c r="DR242" s="128"/>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
      <c r="A243" s="235" t="s">
        <v>1262</v>
      </c>
      <c r="B243" s="6" t="s">
        <v>1245</v>
      </c>
      <c r="C243" s="6" t="s">
        <v>788</v>
      </c>
      <c r="D243" s="6" t="s">
        <v>1249</v>
      </c>
      <c r="E243" s="6" t="s">
        <v>1250</v>
      </c>
      <c r="F243" s="6" t="s">
        <v>455</v>
      </c>
      <c r="G243" s="48" t="s">
        <v>1263</v>
      </c>
      <c r="H243" s="236" t="s">
        <v>981</v>
      </c>
      <c r="I243" s="102">
        <v>1400</v>
      </c>
      <c r="J243" s="102">
        <f>(K243+I243)/2</f>
        <v>1395</v>
      </c>
      <c r="K243" s="102">
        <v>1390</v>
      </c>
      <c r="L243" s="102">
        <f t="shared" si="248"/>
        <v>1362.5</v>
      </c>
      <c r="M243" s="102">
        <f t="shared" si="249"/>
        <v>1335</v>
      </c>
      <c r="N243" s="102">
        <f t="shared" si="250"/>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7">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4"/>
        <v>0</v>
      </c>
      <c r="BV243" s="28"/>
      <c r="BW243" s="28"/>
      <c r="BX243" s="28"/>
      <c r="BY243" s="28"/>
      <c r="BZ243" s="28"/>
      <c r="CA243" s="28"/>
      <c r="CB243" s="99">
        <v>0</v>
      </c>
      <c r="CC243" s="99">
        <f t="shared" si="251"/>
        <v>15</v>
      </c>
      <c r="CD243" s="99">
        <v>30</v>
      </c>
      <c r="CE243" s="99">
        <f t="shared" si="255"/>
        <v>30</v>
      </c>
      <c r="CF243" s="99">
        <f t="shared" si="256"/>
        <v>30</v>
      </c>
      <c r="CG243" s="99">
        <f t="shared" si="257"/>
        <v>30</v>
      </c>
      <c r="CH243" s="99">
        <v>30</v>
      </c>
      <c r="CI243" s="176"/>
      <c r="CJ243" s="176"/>
      <c r="CK243" s="176"/>
      <c r="CL243" s="176"/>
      <c r="CM243" s="176"/>
      <c r="CN243" s="176"/>
      <c r="CO243" s="176"/>
      <c r="CP243" s="177"/>
      <c r="CQ243" s="177"/>
      <c r="CR243" s="177"/>
      <c r="CS243" s="177"/>
      <c r="CT243" s="177"/>
      <c r="CU243" s="177"/>
      <c r="CV243" s="177"/>
      <c r="CW243" s="168"/>
      <c r="CX243" s="169"/>
      <c r="CY243" s="169"/>
      <c r="CZ243" s="169"/>
      <c r="DA243" s="169"/>
      <c r="DB243" s="169"/>
      <c r="DC243" s="169"/>
      <c r="DD243" s="173"/>
      <c r="DE243" s="173"/>
      <c r="DF243" s="173"/>
      <c r="DG243" s="173"/>
      <c r="DH243" s="173"/>
      <c r="DI243" s="173"/>
      <c r="DJ243" s="173"/>
      <c r="DK243" s="80" t="s">
        <v>415</v>
      </c>
      <c r="DL243" s="129"/>
      <c r="DM243" s="129"/>
      <c r="DN243" s="129"/>
      <c r="DO243" s="129"/>
      <c r="DP243" s="129"/>
      <c r="DQ243" s="129"/>
      <c r="DR243" s="129"/>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
      <c r="A244" s="237" t="s">
        <v>1264</v>
      </c>
      <c r="B244" s="5" t="s">
        <v>1245</v>
      </c>
      <c r="C244" s="5" t="s">
        <v>788</v>
      </c>
      <c r="D244" s="5" t="s">
        <v>1249</v>
      </c>
      <c r="E244" s="5" t="s">
        <v>1250</v>
      </c>
      <c r="F244" s="5" t="s">
        <v>455</v>
      </c>
      <c r="G244" s="47" t="s">
        <v>1265</v>
      </c>
      <c r="H244" s="238" t="s">
        <v>981</v>
      </c>
      <c r="I244" s="101">
        <v>899.15</v>
      </c>
      <c r="J244" s="101">
        <v>897.97</v>
      </c>
      <c r="K244" s="101">
        <v>896.78</v>
      </c>
      <c r="L244" s="101">
        <f t="shared" si="248"/>
        <v>895.59749999999997</v>
      </c>
      <c r="M244" s="101">
        <f t="shared" si="249"/>
        <v>894.41499999999996</v>
      </c>
      <c r="N244" s="101">
        <f t="shared" si="250"/>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7">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4"/>
        <v>0</v>
      </c>
      <c r="BV244" s="27"/>
      <c r="BW244" s="27"/>
      <c r="BX244" s="27"/>
      <c r="BY244" s="27"/>
      <c r="BZ244" s="27"/>
      <c r="CA244" s="27"/>
      <c r="CB244" s="97">
        <v>0.84</v>
      </c>
      <c r="CC244" s="97">
        <f t="shared" si="251"/>
        <v>2.92</v>
      </c>
      <c r="CD244" s="97">
        <v>5</v>
      </c>
      <c r="CE244" s="97">
        <f t="shared" si="255"/>
        <v>5</v>
      </c>
      <c r="CF244" s="97">
        <f t="shared" si="256"/>
        <v>5</v>
      </c>
      <c r="CG244" s="97">
        <f t="shared" si="257"/>
        <v>5</v>
      </c>
      <c r="CH244" s="97">
        <v>5</v>
      </c>
      <c r="CI244" s="174"/>
      <c r="CJ244" s="174"/>
      <c r="CK244" s="174"/>
      <c r="CL244" s="174"/>
      <c r="CM244" s="174"/>
      <c r="CN244" s="174"/>
      <c r="CO244" s="174"/>
      <c r="CP244" s="175"/>
      <c r="CQ244" s="175"/>
      <c r="CR244" s="175"/>
      <c r="CS244" s="175"/>
      <c r="CT244" s="175"/>
      <c r="CU244" s="175"/>
      <c r="CV244" s="175"/>
      <c r="CW244" s="166"/>
      <c r="CX244" s="167"/>
      <c r="CY244" s="167"/>
      <c r="CZ244" s="167"/>
      <c r="DA244" s="167"/>
      <c r="DB244" s="167"/>
      <c r="DC244" s="167"/>
      <c r="DD244" s="172"/>
      <c r="DE244" s="172"/>
      <c r="DF244" s="172"/>
      <c r="DG244" s="172"/>
      <c r="DH244" s="172"/>
      <c r="DI244" s="172"/>
      <c r="DJ244" s="172"/>
      <c r="DK244" s="79" t="s">
        <v>415</v>
      </c>
      <c r="DL244" s="128"/>
      <c r="DM244" s="128"/>
      <c r="DN244" s="128"/>
      <c r="DO244" s="128"/>
      <c r="DP244" s="128"/>
      <c r="DQ244" s="128"/>
      <c r="DR244" s="128"/>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
      <c r="A245" s="235" t="s">
        <v>1266</v>
      </c>
      <c r="B245" s="6" t="s">
        <v>1245</v>
      </c>
      <c r="C245" s="6" t="s">
        <v>788</v>
      </c>
      <c r="D245" s="6" t="s">
        <v>1249</v>
      </c>
      <c r="E245" s="6" t="s">
        <v>1250</v>
      </c>
      <c r="F245" s="6" t="s">
        <v>455</v>
      </c>
      <c r="G245" s="48" t="s">
        <v>1267</v>
      </c>
      <c r="H245" s="236" t="s">
        <v>981</v>
      </c>
      <c r="I245" s="102">
        <v>561.97</v>
      </c>
      <c r="J245" s="102">
        <v>561.23</v>
      </c>
      <c r="K245" s="102">
        <v>560.49</v>
      </c>
      <c r="L245" s="101">
        <f t="shared" si="248"/>
        <v>559.75</v>
      </c>
      <c r="M245" s="101">
        <f t="shared" si="249"/>
        <v>559.01</v>
      </c>
      <c r="N245" s="101">
        <f t="shared" si="250"/>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7">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4"/>
        <v>0</v>
      </c>
      <c r="BV245" s="28"/>
      <c r="BW245" s="28"/>
      <c r="BX245" s="28"/>
      <c r="BY245" s="28"/>
      <c r="BZ245" s="28"/>
      <c r="CA245" s="28"/>
      <c r="CB245" s="99"/>
      <c r="CC245" s="99">
        <f t="shared" si="251"/>
        <v>1</v>
      </c>
      <c r="CD245" s="99">
        <v>2</v>
      </c>
      <c r="CE245" s="99">
        <f t="shared" si="255"/>
        <v>2</v>
      </c>
      <c r="CF245" s="99">
        <f t="shared" si="256"/>
        <v>2</v>
      </c>
      <c r="CG245" s="99">
        <f t="shared" si="257"/>
        <v>2</v>
      </c>
      <c r="CH245" s="99">
        <v>2</v>
      </c>
      <c r="CI245" s="176"/>
      <c r="CJ245" s="176"/>
      <c r="CK245" s="176"/>
      <c r="CL245" s="176"/>
      <c r="CM245" s="176"/>
      <c r="CN245" s="176"/>
      <c r="CO245" s="176"/>
      <c r="CP245" s="177"/>
      <c r="CQ245" s="177"/>
      <c r="CR245" s="177"/>
      <c r="CS245" s="177"/>
      <c r="CT245" s="177"/>
      <c r="CU245" s="177"/>
      <c r="CV245" s="177"/>
      <c r="CW245" s="168"/>
      <c r="CX245" s="169"/>
      <c r="CY245" s="169"/>
      <c r="CZ245" s="169"/>
      <c r="DA245" s="169"/>
      <c r="DB245" s="169"/>
      <c r="DC245" s="169"/>
      <c r="DD245" s="173"/>
      <c r="DE245" s="173"/>
      <c r="DF245" s="173"/>
      <c r="DG245" s="173"/>
      <c r="DH245" s="173"/>
      <c r="DI245" s="173"/>
      <c r="DJ245" s="173"/>
      <c r="DK245" s="80" t="s">
        <v>415</v>
      </c>
      <c r="DL245" s="129"/>
      <c r="DM245" s="129"/>
      <c r="DN245" s="129"/>
      <c r="DO245" s="129"/>
      <c r="DP245" s="129"/>
      <c r="DQ245" s="129"/>
      <c r="DR245" s="129"/>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
      <c r="A246" s="237" t="s">
        <v>1268</v>
      </c>
      <c r="B246" s="5" t="s">
        <v>1245</v>
      </c>
      <c r="C246" s="5" t="s">
        <v>788</v>
      </c>
      <c r="D246" s="5" t="s">
        <v>1249</v>
      </c>
      <c r="E246" s="5" t="s">
        <v>1250</v>
      </c>
      <c r="F246" s="5" t="s">
        <v>455</v>
      </c>
      <c r="G246" s="47" t="s">
        <v>1269</v>
      </c>
      <c r="H246" s="238" t="s">
        <v>981</v>
      </c>
      <c r="I246" s="101">
        <v>2200</v>
      </c>
      <c r="J246" s="101">
        <v>2200</v>
      </c>
      <c r="K246" s="101">
        <v>2000</v>
      </c>
      <c r="L246" s="101">
        <f t="shared" si="248"/>
        <v>1800</v>
      </c>
      <c r="M246" s="101">
        <f t="shared" si="249"/>
        <v>1600</v>
      </c>
      <c r="N246" s="101">
        <f t="shared" si="250"/>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7">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4"/>
        <v>0</v>
      </c>
      <c r="BV246" s="27"/>
      <c r="BW246" s="27"/>
      <c r="BX246" s="27"/>
      <c r="BY246" s="27"/>
      <c r="BZ246" s="27"/>
      <c r="CA246" s="27"/>
      <c r="CB246" s="97"/>
      <c r="CC246" s="97"/>
      <c r="CD246" s="97">
        <v>1</v>
      </c>
      <c r="CE246" s="97">
        <f t="shared" si="255"/>
        <v>3.25</v>
      </c>
      <c r="CF246" s="97">
        <f t="shared" si="256"/>
        <v>5.5</v>
      </c>
      <c r="CG246" s="97">
        <f t="shared" si="257"/>
        <v>7.75</v>
      </c>
      <c r="CH246" s="97">
        <v>10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1270</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
      <c r="A247" s="235" t="s">
        <v>1271</v>
      </c>
      <c r="B247" s="5" t="s">
        <v>1245</v>
      </c>
      <c r="C247" s="5" t="s">
        <v>788</v>
      </c>
      <c r="D247" s="5" t="s">
        <v>1249</v>
      </c>
      <c r="E247" s="5" t="s">
        <v>1250</v>
      </c>
      <c r="F247" s="5" t="s">
        <v>455</v>
      </c>
      <c r="G247" s="47" t="s">
        <v>1272</v>
      </c>
      <c r="H247" s="238" t="s">
        <v>981</v>
      </c>
      <c r="I247" s="101">
        <v>2200</v>
      </c>
      <c r="J247" s="101">
        <v>2200</v>
      </c>
      <c r="K247" s="101">
        <v>700</v>
      </c>
      <c r="L247" s="101">
        <f t="shared" si="248"/>
        <v>645</v>
      </c>
      <c r="M247" s="101">
        <f t="shared" si="249"/>
        <v>590</v>
      </c>
      <c r="N247" s="101">
        <f t="shared" si="250"/>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7">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8">IF(BL247=1,BN247,0)</f>
        <v>0</v>
      </c>
      <c r="BV247" s="27"/>
      <c r="BW247" s="27"/>
      <c r="BX247" s="27"/>
      <c r="BY247" s="27"/>
      <c r="BZ247" s="27"/>
      <c r="CA247" s="27"/>
      <c r="CB247" s="97"/>
      <c r="CC247" s="97"/>
      <c r="CD247" s="97">
        <v>1</v>
      </c>
      <c r="CE247" s="97">
        <f t="shared" ref="CE247" si="259">ROUND((CD247+CF247)/2,2)</f>
        <v>8.25</v>
      </c>
      <c r="CF247" s="97">
        <f t="shared" ref="CF247" si="260">ROUND((CD247+CH247)/2,2)</f>
        <v>15.5</v>
      </c>
      <c r="CG247" s="97">
        <f t="shared" ref="CG247" si="261">ROUND((CF247+CH247)/2,2)</f>
        <v>22.75</v>
      </c>
      <c r="CH247" s="97">
        <v>30</v>
      </c>
      <c r="CI247" s="174"/>
      <c r="CJ247" s="174"/>
      <c r="CK247" s="174"/>
      <c r="CL247" s="174"/>
      <c r="CM247" s="174"/>
      <c r="CN247" s="174"/>
      <c r="CO247" s="174"/>
      <c r="CP247" s="175"/>
      <c r="CQ247" s="175"/>
      <c r="CR247" s="175"/>
      <c r="CS247" s="175"/>
      <c r="CT247" s="175"/>
      <c r="CU247" s="175"/>
      <c r="CV247" s="175"/>
      <c r="CW247" s="166"/>
      <c r="CX247" s="167"/>
      <c r="CY247" s="167"/>
      <c r="CZ247" s="167"/>
      <c r="DA247" s="167"/>
      <c r="DB247" s="167"/>
      <c r="DC247" s="167"/>
      <c r="DD247" s="172"/>
      <c r="DE247" s="172"/>
      <c r="DF247" s="172"/>
      <c r="DG247" s="172"/>
      <c r="DH247" s="172"/>
      <c r="DI247" s="172"/>
      <c r="DJ247" s="172"/>
      <c r="DK247" s="79" t="s">
        <v>1270</v>
      </c>
      <c r="DL247" s="128"/>
      <c r="DM247" s="128"/>
      <c r="DN247" s="128"/>
      <c r="DO247" s="128"/>
      <c r="DP247" s="128"/>
      <c r="DQ247" s="128"/>
      <c r="DR247" s="128"/>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
      <c r="A248" s="237" t="s">
        <v>1273</v>
      </c>
      <c r="B248" s="6" t="s">
        <v>1245</v>
      </c>
      <c r="C248" s="6" t="s">
        <v>788</v>
      </c>
      <c r="D248" s="6" t="s">
        <v>1249</v>
      </c>
      <c r="E248" s="6" t="s">
        <v>1250</v>
      </c>
      <c r="F248" s="6" t="s">
        <v>455</v>
      </c>
      <c r="G248" s="48" t="s">
        <v>1274</v>
      </c>
      <c r="H248" s="236"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7">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4"/>
        <v>0</v>
      </c>
      <c r="BV248" s="99">
        <v>0.497</v>
      </c>
      <c r="BW248" s="99">
        <v>0.497</v>
      </c>
      <c r="BX248" s="28"/>
      <c r="BY248" s="28"/>
      <c r="BZ248" s="28"/>
      <c r="CA248" s="28"/>
      <c r="CB248" s="99">
        <v>0.497</v>
      </c>
      <c r="CC248" s="99">
        <v>0.497</v>
      </c>
      <c r="CD248" s="99">
        <v>0.497</v>
      </c>
      <c r="CE248" s="99">
        <v>0.497</v>
      </c>
      <c r="CF248" s="99">
        <v>0.497</v>
      </c>
      <c r="CG248" s="245">
        <v>0</v>
      </c>
      <c r="CH248" s="245">
        <v>0</v>
      </c>
      <c r="CI248" s="176"/>
      <c r="CJ248" s="176"/>
      <c r="CK248" s="176"/>
      <c r="CL248" s="176"/>
      <c r="CM248" s="176"/>
      <c r="CN248" s="176"/>
      <c r="CO248" s="176"/>
      <c r="CP248" s="177"/>
      <c r="CQ248" s="177"/>
      <c r="CR248" s="177"/>
      <c r="CS248" s="177"/>
      <c r="CT248" s="177"/>
      <c r="CU248" s="177"/>
      <c r="CV248" s="177"/>
      <c r="CW248" s="168"/>
      <c r="CX248" s="169"/>
      <c r="CY248" s="169"/>
      <c r="CZ248" s="169"/>
      <c r="DA248" s="169"/>
      <c r="DB248" s="169"/>
      <c r="DC248" s="169"/>
      <c r="DD248" s="173"/>
      <c r="DE248" s="173"/>
      <c r="DF248" s="173"/>
      <c r="DG248" s="173"/>
      <c r="DH248" s="173"/>
      <c r="DI248" s="173"/>
      <c r="DJ248" s="173"/>
      <c r="DK248" s="80" t="s">
        <v>1275</v>
      </c>
      <c r="DL248" s="129"/>
      <c r="DM248" s="129"/>
      <c r="DN248" s="129"/>
      <c r="DO248" s="129"/>
      <c r="DP248" s="129"/>
      <c r="DQ248" s="129"/>
      <c r="DR248" s="129"/>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
      <c r="A249" s="235" t="s">
        <v>1276</v>
      </c>
      <c r="B249" s="5" t="s">
        <v>1245</v>
      </c>
      <c r="C249" s="5" t="s">
        <v>788</v>
      </c>
      <c r="D249" s="5" t="s">
        <v>1249</v>
      </c>
      <c r="E249" s="5" t="s">
        <v>1250</v>
      </c>
      <c r="F249" s="5" t="s">
        <v>455</v>
      </c>
      <c r="G249" s="47" t="s">
        <v>1277</v>
      </c>
      <c r="H249" s="238"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1275</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
      <c r="A250" s="239" t="s">
        <v>1278</v>
      </c>
      <c r="B250" s="5" t="s">
        <v>1245</v>
      </c>
      <c r="C250" s="5" t="s">
        <v>788</v>
      </c>
      <c r="D250" s="5" t="s">
        <v>1249</v>
      </c>
      <c r="E250" s="5" t="s">
        <v>1250</v>
      </c>
      <c r="F250" s="5" t="s">
        <v>455</v>
      </c>
      <c r="G250" s="47" t="s">
        <v>1279</v>
      </c>
      <c r="H250" s="238"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7">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4"/>
        <v>0</v>
      </c>
      <c r="BV250" s="27"/>
      <c r="BW250" s="27"/>
      <c r="BX250" s="27"/>
      <c r="BY250" s="27"/>
      <c r="BZ250" s="27"/>
      <c r="CA250" s="27"/>
      <c r="CB250" s="245"/>
      <c r="CC250" s="245"/>
      <c r="CD250" s="245"/>
      <c r="CE250" s="245"/>
      <c r="CF250" s="245">
        <v>0.45</v>
      </c>
      <c r="CG250" s="245">
        <v>0.9</v>
      </c>
      <c r="CH250" s="245">
        <v>2</v>
      </c>
      <c r="CI250" s="174"/>
      <c r="CJ250" s="174"/>
      <c r="CK250" s="174"/>
      <c r="CL250" s="174"/>
      <c r="CM250" s="174"/>
      <c r="CN250" s="174"/>
      <c r="CO250" s="174"/>
      <c r="CP250" s="175"/>
      <c r="CQ250" s="175"/>
      <c r="CR250" s="175"/>
      <c r="CS250" s="175"/>
      <c r="CT250" s="175"/>
      <c r="CU250" s="175"/>
      <c r="CV250" s="175"/>
      <c r="CW250" s="166"/>
      <c r="CX250" s="167"/>
      <c r="CY250" s="167"/>
      <c r="CZ250" s="167"/>
      <c r="DA250" s="167"/>
      <c r="DB250" s="167"/>
      <c r="DC250" s="167"/>
      <c r="DD250" s="172"/>
      <c r="DE250" s="172"/>
      <c r="DF250" s="172"/>
      <c r="DG250" s="172"/>
      <c r="DH250" s="172"/>
      <c r="DI250" s="172"/>
      <c r="DJ250" s="172"/>
      <c r="DK250" s="79" t="s">
        <v>1280</v>
      </c>
      <c r="DL250" s="128"/>
      <c r="DM250" s="128"/>
      <c r="DN250" s="128"/>
      <c r="DO250" s="128"/>
      <c r="DP250" s="128"/>
      <c r="DQ250" s="128"/>
      <c r="DR250" s="128"/>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
      <c r="A251" s="235" t="s">
        <v>1281</v>
      </c>
      <c r="B251" s="6" t="s">
        <v>1245</v>
      </c>
      <c r="C251" s="6" t="s">
        <v>788</v>
      </c>
      <c r="D251" s="6" t="s">
        <v>1249</v>
      </c>
      <c r="E251" s="6" t="s">
        <v>1250</v>
      </c>
      <c r="F251" s="6" t="s">
        <v>455</v>
      </c>
      <c r="G251" s="48" t="s">
        <v>1282</v>
      </c>
      <c r="H251" s="236" t="s">
        <v>981</v>
      </c>
      <c r="I251" s="102">
        <v>2657.36</v>
      </c>
      <c r="J251" s="102">
        <f>(K251+I251)/2</f>
        <v>2278.6800000000003</v>
      </c>
      <c r="K251" s="102">
        <v>1900</v>
      </c>
      <c r="L251" s="102">
        <f t="shared" ref="L251:L255" si="262">(M251+K251)/2</f>
        <v>1787.5</v>
      </c>
      <c r="M251" s="102">
        <f t="shared" ref="M251:M255" si="263">(K251+O251)/2</f>
        <v>1675</v>
      </c>
      <c r="N251" s="102">
        <f t="shared" ref="N251:N255" si="264">(O251+M251)/2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7">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4"/>
        <v>0</v>
      </c>
      <c r="BV251" s="28"/>
      <c r="BW251" s="28"/>
      <c r="BX251" s="28"/>
      <c r="BY251" s="28"/>
      <c r="BZ251" s="28"/>
      <c r="CA251" s="28"/>
      <c r="CB251" s="99">
        <v>0.05</v>
      </c>
      <c r="CC251" s="99">
        <f t="shared" ref="CC251" si="265">ROUND((CB251+CD251)/2,2)</f>
        <v>2.5299999999999998</v>
      </c>
      <c r="CD251" s="99">
        <v>5</v>
      </c>
      <c r="CE251" s="99">
        <f t="shared" si="255"/>
        <v>5</v>
      </c>
      <c r="CF251" s="99">
        <f t="shared" si="256"/>
        <v>5</v>
      </c>
      <c r="CG251" s="99">
        <f t="shared" si="257"/>
        <v>5</v>
      </c>
      <c r="CH251" s="99">
        <v>5</v>
      </c>
      <c r="CI251" s="176"/>
      <c r="CJ251" s="176"/>
      <c r="CK251" s="176"/>
      <c r="CL251" s="176"/>
      <c r="CM251" s="176"/>
      <c r="CN251" s="176"/>
      <c r="CO251" s="176"/>
      <c r="CP251" s="177"/>
      <c r="CQ251" s="177"/>
      <c r="CR251" s="177"/>
      <c r="CS251" s="177"/>
      <c r="CT251" s="177"/>
      <c r="CU251" s="177"/>
      <c r="CV251" s="177"/>
      <c r="CW251" s="168"/>
      <c r="CX251" s="169"/>
      <c r="CY251" s="169"/>
      <c r="CZ251" s="169"/>
      <c r="DA251" s="169"/>
      <c r="DB251" s="169"/>
      <c r="DC251" s="169"/>
      <c r="DD251" s="173"/>
      <c r="DE251" s="173"/>
      <c r="DF251" s="173"/>
      <c r="DG251" s="173"/>
      <c r="DH251" s="173"/>
      <c r="DI251" s="173"/>
      <c r="DJ251" s="173"/>
      <c r="DK251" s="80" t="s">
        <v>415</v>
      </c>
      <c r="DL251" s="129"/>
      <c r="DM251" s="129"/>
      <c r="DN251" s="129"/>
      <c r="DO251" s="129"/>
      <c r="DP251" s="129"/>
      <c r="DQ251" s="129"/>
      <c r="DR251" s="129"/>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
      <c r="A252" s="237" t="s">
        <v>1283</v>
      </c>
      <c r="B252" s="5" t="s">
        <v>1245</v>
      </c>
      <c r="C252" s="5" t="s">
        <v>788</v>
      </c>
      <c r="D252" s="5" t="s">
        <v>1249</v>
      </c>
      <c r="E252" s="5" t="s">
        <v>1250</v>
      </c>
      <c r="F252" s="5" t="s">
        <v>455</v>
      </c>
      <c r="G252" s="47" t="s">
        <v>1284</v>
      </c>
      <c r="H252" s="238" t="s">
        <v>981</v>
      </c>
      <c r="I252" s="101">
        <v>3179.59</v>
      </c>
      <c r="J252" s="101">
        <v>3056.2099999999996</v>
      </c>
      <c r="K252" s="101">
        <v>5380</v>
      </c>
      <c r="L252" s="101">
        <f t="shared" si="262"/>
        <v>4995</v>
      </c>
      <c r="M252" s="101">
        <f t="shared" si="263"/>
        <v>4610</v>
      </c>
      <c r="N252" s="101">
        <f t="shared" si="264"/>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7">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4"/>
        <v>0</v>
      </c>
      <c r="BV252" s="27"/>
      <c r="BW252" s="27"/>
      <c r="BX252" s="27"/>
      <c r="BY252" s="27"/>
      <c r="BZ252" s="27"/>
      <c r="CA252" s="27"/>
      <c r="CB252" s="97"/>
      <c r="CC252" s="97"/>
      <c r="CD252" s="97">
        <v>5</v>
      </c>
      <c r="CE252" s="97">
        <f t="shared" si="255"/>
        <v>5</v>
      </c>
      <c r="CF252" s="97">
        <f t="shared" si="256"/>
        <v>5</v>
      </c>
      <c r="CG252" s="97">
        <f t="shared" si="257"/>
        <v>5</v>
      </c>
      <c r="CH252" s="97">
        <v>5</v>
      </c>
      <c r="CI252" s="174"/>
      <c r="CJ252" s="174"/>
      <c r="CK252" s="174"/>
      <c r="CL252" s="174"/>
      <c r="CM252" s="174"/>
      <c r="CN252" s="174"/>
      <c r="CO252" s="174"/>
      <c r="CP252" s="175"/>
      <c r="CQ252" s="175"/>
      <c r="CR252" s="175"/>
      <c r="CS252" s="175"/>
      <c r="CT252" s="175"/>
      <c r="CU252" s="175"/>
      <c r="CV252" s="175"/>
      <c r="CW252" s="166"/>
      <c r="CX252" s="167"/>
      <c r="CY252" s="167"/>
      <c r="CZ252" s="167"/>
      <c r="DA252" s="167"/>
      <c r="DB252" s="167"/>
      <c r="DC252" s="167"/>
      <c r="DD252" s="172"/>
      <c r="DE252" s="172"/>
      <c r="DF252" s="172"/>
      <c r="DG252" s="172"/>
      <c r="DH252" s="172"/>
      <c r="DI252" s="172"/>
      <c r="DJ252" s="172"/>
      <c r="DK252" s="79" t="s">
        <v>415</v>
      </c>
      <c r="DL252" s="128"/>
      <c r="DM252" s="128"/>
      <c r="DN252" s="128"/>
      <c r="DO252" s="128"/>
      <c r="DP252" s="128"/>
      <c r="DQ252" s="128"/>
      <c r="DR252" s="128"/>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x14ac:dyDescent="0.3">
      <c r="A253" s="239" t="s">
        <v>1285</v>
      </c>
      <c r="B253" s="6" t="s">
        <v>1245</v>
      </c>
      <c r="C253" s="6" t="s">
        <v>788</v>
      </c>
      <c r="D253" s="6" t="s">
        <v>1249</v>
      </c>
      <c r="E253" s="6" t="s">
        <v>1250</v>
      </c>
      <c r="F253" s="6" t="s">
        <v>455</v>
      </c>
      <c r="G253" s="48" t="s">
        <v>1286</v>
      </c>
      <c r="H253" s="236" t="s">
        <v>981</v>
      </c>
      <c r="I253" s="102">
        <v>1260</v>
      </c>
      <c r="J253" s="102">
        <f>(K253+I253)/2</f>
        <v>1175</v>
      </c>
      <c r="K253" s="102">
        <v>1090</v>
      </c>
      <c r="L253" s="102">
        <f t="shared" si="262"/>
        <v>1062.5</v>
      </c>
      <c r="M253" s="102">
        <f t="shared" si="263"/>
        <v>1035</v>
      </c>
      <c r="N253" s="102">
        <f t="shared" si="264"/>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7">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4"/>
        <v>0</v>
      </c>
      <c r="BV253" s="28"/>
      <c r="BW253" s="28"/>
      <c r="BX253" s="28"/>
      <c r="BY253" s="28"/>
      <c r="BZ253" s="28"/>
      <c r="CA253" s="28"/>
      <c r="CB253" s="245">
        <v>3.1</v>
      </c>
      <c r="CC253" s="245">
        <f t="shared" ref="CC253:CC261" si="266">ROUND((CB253+CD253)/2,2)</f>
        <v>5.46</v>
      </c>
      <c r="CD253" s="245">
        <v>7.82</v>
      </c>
      <c r="CE253" s="245">
        <v>7.82</v>
      </c>
      <c r="CF253" s="245">
        <v>7.82</v>
      </c>
      <c r="CG253" s="245">
        <v>7.82</v>
      </c>
      <c r="CH253" s="245">
        <v>7.82</v>
      </c>
      <c r="CI253" s="176"/>
      <c r="CJ253" s="176"/>
      <c r="CK253" s="176"/>
      <c r="CL253" s="176"/>
      <c r="CM253" s="176"/>
      <c r="CN253" s="176"/>
      <c r="CO253" s="176"/>
      <c r="CP253" s="177"/>
      <c r="CQ253" s="177"/>
      <c r="CR253" s="177"/>
      <c r="CS253" s="177"/>
      <c r="CT253" s="177"/>
      <c r="CU253" s="177"/>
      <c r="CV253" s="177"/>
      <c r="CW253" s="168"/>
      <c r="CX253" s="169"/>
      <c r="CY253" s="169"/>
      <c r="CZ253" s="169"/>
      <c r="DA253" s="169"/>
      <c r="DB253" s="169"/>
      <c r="DC253" s="169"/>
      <c r="DD253" s="173"/>
      <c r="DE253" s="173"/>
      <c r="DF253" s="173"/>
      <c r="DG253" s="173"/>
      <c r="DH253" s="173"/>
      <c r="DI253" s="173"/>
      <c r="DJ253" s="173"/>
      <c r="DK253" s="80" t="s">
        <v>1253</v>
      </c>
      <c r="DL253" s="129"/>
      <c r="DM253" s="129"/>
      <c r="DN253" s="129"/>
      <c r="DO253" s="129"/>
      <c r="DP253" s="129"/>
      <c r="DQ253" s="129"/>
      <c r="DR253" s="129"/>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ht="15" thickBot="1" x14ac:dyDescent="0.35">
      <c r="A254" s="239" t="s">
        <v>1288</v>
      </c>
      <c r="B254" s="5" t="s">
        <v>1245</v>
      </c>
      <c r="C254" s="5" t="s">
        <v>788</v>
      </c>
      <c r="D254" s="5" t="s">
        <v>1249</v>
      </c>
      <c r="E254" s="5" t="s">
        <v>1250</v>
      </c>
      <c r="F254" s="5" t="s">
        <v>455</v>
      </c>
      <c r="G254" s="47" t="s">
        <v>1289</v>
      </c>
      <c r="H254" s="238" t="s">
        <v>981</v>
      </c>
      <c r="I254" s="101">
        <v>3000</v>
      </c>
      <c r="J254" s="101">
        <f>(K254+I254)/2</f>
        <v>2600</v>
      </c>
      <c r="K254" s="101">
        <v>2200</v>
      </c>
      <c r="L254" s="101">
        <f t="shared" si="262"/>
        <v>2150</v>
      </c>
      <c r="M254" s="101">
        <f t="shared" si="263"/>
        <v>2100</v>
      </c>
      <c r="N254" s="101">
        <f t="shared" si="264"/>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7">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4"/>
        <v>0</v>
      </c>
      <c r="BV254" s="27"/>
      <c r="BW254" s="27"/>
      <c r="BX254" s="27"/>
      <c r="BY254" s="27"/>
      <c r="BZ254" s="27"/>
      <c r="CA254" s="27"/>
      <c r="CB254" s="245">
        <v>1</v>
      </c>
      <c r="CC254" s="245">
        <f t="shared" si="266"/>
        <v>3.5</v>
      </c>
      <c r="CD254" s="245">
        <v>6</v>
      </c>
      <c r="CE254" s="245">
        <f t="shared" si="255"/>
        <v>7.75</v>
      </c>
      <c r="CF254" s="245">
        <f t="shared" si="256"/>
        <v>9.5</v>
      </c>
      <c r="CG254" s="245">
        <f t="shared" si="257"/>
        <v>11.25</v>
      </c>
      <c r="CH254" s="245">
        <v>13</v>
      </c>
      <c r="CI254" s="174"/>
      <c r="CJ254" s="174"/>
      <c r="CK254" s="174"/>
      <c r="CL254" s="174"/>
      <c r="CM254" s="174"/>
      <c r="CN254" s="174"/>
      <c r="CO254" s="174"/>
      <c r="CP254" s="175"/>
      <c r="CQ254" s="175"/>
      <c r="CR254" s="175"/>
      <c r="CS254" s="175"/>
      <c r="CT254" s="175"/>
      <c r="CU254" s="175"/>
      <c r="CV254" s="175"/>
      <c r="CW254" s="166"/>
      <c r="CX254" s="167"/>
      <c r="CY254" s="167"/>
      <c r="CZ254" s="167"/>
      <c r="DA254" s="167"/>
      <c r="DB254" s="167"/>
      <c r="DC254" s="167"/>
      <c r="DD254" s="172"/>
      <c r="DE254" s="172"/>
      <c r="DF254" s="172"/>
      <c r="DG254" s="172"/>
      <c r="DH254" s="172"/>
      <c r="DI254" s="172"/>
      <c r="DJ254" s="172"/>
      <c r="DK254" s="79" t="s">
        <v>1253</v>
      </c>
      <c r="DL254" s="128"/>
      <c r="DM254" s="128"/>
      <c r="DN254" s="128"/>
      <c r="DO254" s="128"/>
      <c r="DP254" s="128"/>
      <c r="DQ254" s="128"/>
      <c r="DR254" s="128"/>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
      <c r="A255" s="239" t="s">
        <v>1290</v>
      </c>
      <c r="B255" s="6" t="s">
        <v>654</v>
      </c>
      <c r="C255" s="6" t="s">
        <v>788</v>
      </c>
      <c r="D255" s="6" t="s">
        <v>1249</v>
      </c>
      <c r="E255" s="6" t="s">
        <v>1250</v>
      </c>
      <c r="F255" s="6" t="s">
        <v>456</v>
      </c>
      <c r="G255" s="48" t="s">
        <v>1291</v>
      </c>
      <c r="H255" s="236" t="s">
        <v>981</v>
      </c>
      <c r="I255" s="102">
        <v>770</v>
      </c>
      <c r="J255" s="102">
        <f>(K255+I255)/2</f>
        <v>617</v>
      </c>
      <c r="K255" s="102">
        <v>464</v>
      </c>
      <c r="L255" s="102">
        <f t="shared" si="262"/>
        <v>425.75</v>
      </c>
      <c r="M255" s="102">
        <f t="shared" si="263"/>
        <v>387.5</v>
      </c>
      <c r="N255" s="102">
        <f t="shared" si="264"/>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7">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7">
        <v>8</v>
      </c>
      <c r="BO255" s="94"/>
      <c r="BP255" s="94"/>
      <c r="BQ255" s="94"/>
      <c r="BR255" s="94"/>
      <c r="BS255" s="94"/>
      <c r="BT255" s="94"/>
      <c r="BU255" s="28">
        <f t="shared" si="254"/>
        <v>8</v>
      </c>
      <c r="BV255" s="28"/>
      <c r="BW255" s="28"/>
      <c r="BX255" s="28"/>
      <c r="BY255" s="28"/>
      <c r="BZ255" s="28"/>
      <c r="CA255" s="28"/>
      <c r="CB255" s="246">
        <f>BU255</f>
        <v>8</v>
      </c>
      <c r="CC255" s="247">
        <f t="shared" si="266"/>
        <v>9.25</v>
      </c>
      <c r="CD255" s="247">
        <v>10.49</v>
      </c>
      <c r="CE255" s="247">
        <f t="shared" si="255"/>
        <v>10.83</v>
      </c>
      <c r="CF255" s="247">
        <v>11.17</v>
      </c>
      <c r="CG255" s="247">
        <f t="shared" si="257"/>
        <v>12.15</v>
      </c>
      <c r="CH255" s="248">
        <v>13.12</v>
      </c>
      <c r="CI255" s="192">
        <f>25*0.5</f>
        <v>12.5</v>
      </c>
      <c r="CJ255" s="176"/>
      <c r="CK255" s="176"/>
      <c r="CL255" s="176"/>
      <c r="CM255" s="176"/>
      <c r="CN255" s="176"/>
      <c r="CO255" s="176"/>
      <c r="CP255" s="177"/>
      <c r="CQ255" s="177"/>
      <c r="CR255" s="177"/>
      <c r="CS255" s="177"/>
      <c r="CT255" s="177"/>
      <c r="CU255" s="177"/>
      <c r="CV255" s="177"/>
      <c r="CW255" s="168"/>
      <c r="CX255" s="169"/>
      <c r="CY255" s="169"/>
      <c r="CZ255" s="169"/>
      <c r="DA255" s="169"/>
      <c r="DB255" s="169"/>
      <c r="DC255" s="169"/>
      <c r="DD255" s="173"/>
      <c r="DE255" s="173"/>
      <c r="DF255" s="173"/>
      <c r="DG255" s="173"/>
      <c r="DH255" s="173"/>
      <c r="DI255" s="173"/>
      <c r="DJ255" s="173"/>
      <c r="DK255" s="80" t="s">
        <v>415</v>
      </c>
      <c r="DL255" s="129"/>
      <c r="DM255" s="129"/>
      <c r="DN255" s="129"/>
      <c r="DO255" s="129"/>
      <c r="DP255" s="129"/>
      <c r="DQ255" s="129"/>
      <c r="DR255" s="129"/>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
      <c r="A256" s="239" t="s">
        <v>1293</v>
      </c>
      <c r="B256" s="5" t="s">
        <v>654</v>
      </c>
      <c r="C256" s="5" t="s">
        <v>788</v>
      </c>
      <c r="D256" s="5" t="s">
        <v>1249</v>
      </c>
      <c r="E256" s="5" t="s">
        <v>1250</v>
      </c>
      <c r="F256" s="5" t="s">
        <v>456</v>
      </c>
      <c r="G256" s="47" t="s">
        <v>1294</v>
      </c>
      <c r="H256" s="238" t="s">
        <v>981</v>
      </c>
      <c r="I256" s="101">
        <v>770</v>
      </c>
      <c r="J256" s="101">
        <f t="shared" ref="J256:J260" si="267">(K256+I256)/2</f>
        <v>617</v>
      </c>
      <c r="K256" s="101">
        <v>464</v>
      </c>
      <c r="L256" s="101">
        <f t="shared" ref="L256:L260" si="268">(M256+K256)/2</f>
        <v>425.75</v>
      </c>
      <c r="M256" s="101">
        <f t="shared" ref="M256:M260" si="269">(K256+O256)/2</f>
        <v>387.5</v>
      </c>
      <c r="N256" s="101">
        <f t="shared" ref="N256:N260" si="270">(O256+M256)/2</f>
        <v>349.25</v>
      </c>
      <c r="O256" s="101">
        <v>311</v>
      </c>
      <c r="P256" s="93">
        <v>0</v>
      </c>
      <c r="Q256" s="293">
        <v>2.04</v>
      </c>
      <c r="R256" s="293">
        <v>2.04</v>
      </c>
      <c r="S256" s="293">
        <v>2.04</v>
      </c>
      <c r="T256" s="293">
        <v>2.04</v>
      </c>
      <c r="U256" s="293">
        <v>2.04</v>
      </c>
      <c r="V256" s="293">
        <v>2.04</v>
      </c>
      <c r="W256" s="293">
        <v>2.04</v>
      </c>
      <c r="X256" s="101">
        <v>0.1</v>
      </c>
      <c r="Y256" s="101">
        <v>0.1</v>
      </c>
      <c r="Z256" s="101">
        <v>0.1</v>
      </c>
      <c r="AA256" s="101">
        <v>0.1</v>
      </c>
      <c r="AB256" s="101">
        <v>0.1</v>
      </c>
      <c r="AC256" s="101">
        <v>0.1</v>
      </c>
      <c r="AD256" s="101">
        <v>0.1</v>
      </c>
      <c r="AE256" s="187">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71">IF(BL256=1,BN256,0)</f>
        <v>0</v>
      </c>
      <c r="BV256" s="27"/>
      <c r="BW256" s="27"/>
      <c r="BX256" s="27"/>
      <c r="BY256" s="27"/>
      <c r="BZ256" s="27"/>
      <c r="CA256" s="27"/>
      <c r="CB256" s="249">
        <v>2.8</v>
      </c>
      <c r="CC256" s="245">
        <f t="shared" si="266"/>
        <v>5.47</v>
      </c>
      <c r="CD256" s="245">
        <v>8.1300000000000008</v>
      </c>
      <c r="CE256" s="245">
        <f t="shared" si="255"/>
        <v>15.23</v>
      </c>
      <c r="CF256" s="245">
        <v>22.32</v>
      </c>
      <c r="CG256" s="245">
        <f t="shared" si="257"/>
        <v>30.83</v>
      </c>
      <c r="CH256" s="250">
        <v>39.33</v>
      </c>
      <c r="CI256" s="174"/>
      <c r="CJ256" s="174"/>
      <c r="CK256" s="174"/>
      <c r="CL256" s="174"/>
      <c r="CM256" s="174"/>
      <c r="CN256" s="174"/>
      <c r="CO256" s="174"/>
      <c r="CP256" s="175"/>
      <c r="CQ256" s="175"/>
      <c r="CR256" s="175"/>
      <c r="CS256" s="175"/>
      <c r="CT256" s="175"/>
      <c r="CU256" s="175"/>
      <c r="CV256" s="175"/>
      <c r="CW256" s="166"/>
      <c r="CX256" s="167"/>
      <c r="CY256" s="167"/>
      <c r="CZ256" s="167"/>
      <c r="DA256" s="167"/>
      <c r="DB256" s="167"/>
      <c r="DC256" s="167"/>
      <c r="DD256" s="172"/>
      <c r="DE256" s="172"/>
      <c r="DF256" s="172"/>
      <c r="DG256" s="172"/>
      <c r="DH256" s="172"/>
      <c r="DI256" s="172"/>
      <c r="DJ256" s="172"/>
      <c r="DK256" s="79" t="s">
        <v>415</v>
      </c>
      <c r="DL256" s="128"/>
      <c r="DM256" s="128"/>
      <c r="DN256" s="128"/>
      <c r="DO256" s="128"/>
      <c r="DP256" s="128"/>
      <c r="DQ256" s="128"/>
      <c r="DR256" s="128"/>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
      <c r="A257" s="239" t="s">
        <v>1295</v>
      </c>
      <c r="B257" s="6" t="s">
        <v>726</v>
      </c>
      <c r="C257" s="6" t="s">
        <v>788</v>
      </c>
      <c r="D257" s="6" t="s">
        <v>1249</v>
      </c>
      <c r="E257" s="6" t="s">
        <v>1250</v>
      </c>
      <c r="F257" s="6" t="s">
        <v>456</v>
      </c>
      <c r="G257" s="48" t="s">
        <v>1296</v>
      </c>
      <c r="H257" s="236" t="s">
        <v>981</v>
      </c>
      <c r="I257" s="102">
        <v>770</v>
      </c>
      <c r="J257" s="102">
        <f t="shared" si="267"/>
        <v>617</v>
      </c>
      <c r="K257" s="102">
        <v>464</v>
      </c>
      <c r="L257" s="102">
        <f t="shared" si="268"/>
        <v>425.75</v>
      </c>
      <c r="M257" s="102">
        <f t="shared" si="269"/>
        <v>387.5</v>
      </c>
      <c r="N257" s="102">
        <f t="shared" si="270"/>
        <v>349.25</v>
      </c>
      <c r="O257" s="102">
        <v>311</v>
      </c>
      <c r="P257" s="94">
        <v>0</v>
      </c>
      <c r="Q257" s="293">
        <v>1.89</v>
      </c>
      <c r="R257" s="293">
        <v>1.89</v>
      </c>
      <c r="S257" s="293">
        <v>1.89</v>
      </c>
      <c r="T257" s="293">
        <v>1.89</v>
      </c>
      <c r="U257" s="293">
        <v>1.89</v>
      </c>
      <c r="V257" s="293">
        <v>1.89</v>
      </c>
      <c r="W257" s="293">
        <v>1.89</v>
      </c>
      <c r="X257" s="102">
        <v>0.52</v>
      </c>
      <c r="Y257" s="102">
        <v>0.52</v>
      </c>
      <c r="Z257" s="102">
        <v>0.52</v>
      </c>
      <c r="AA257" s="102">
        <v>0.52</v>
      </c>
      <c r="AB257" s="102">
        <v>0.52</v>
      </c>
      <c r="AC257" s="102">
        <v>0.52</v>
      </c>
      <c r="AD257" s="102">
        <v>0.52</v>
      </c>
      <c r="AE257" s="187">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7">
        <v>2</v>
      </c>
      <c r="BO257" s="94"/>
      <c r="BP257" s="94"/>
      <c r="BQ257" s="94"/>
      <c r="BR257" s="94"/>
      <c r="BS257" s="94"/>
      <c r="BT257" s="94"/>
      <c r="BU257" s="28">
        <f>IF(BL257=1,BN257,0)</f>
        <v>2</v>
      </c>
      <c r="BV257" s="28"/>
      <c r="BW257" s="28"/>
      <c r="BX257" s="28"/>
      <c r="BY257" s="28"/>
      <c r="BZ257" s="28"/>
      <c r="CA257" s="28"/>
      <c r="CB257" s="249">
        <v>3.5</v>
      </c>
      <c r="CC257" s="245">
        <f t="shared" si="266"/>
        <v>6.47</v>
      </c>
      <c r="CD257" s="245">
        <v>9.44</v>
      </c>
      <c r="CE257" s="245">
        <f t="shared" si="255"/>
        <v>15.47</v>
      </c>
      <c r="CF257" s="245">
        <v>21.5</v>
      </c>
      <c r="CG257" s="245">
        <f t="shared" si="257"/>
        <v>28.87</v>
      </c>
      <c r="CH257" s="250">
        <v>36.229999999999997</v>
      </c>
      <c r="CI257" s="192">
        <f>6*0.5</f>
        <v>3</v>
      </c>
      <c r="CJ257" s="176"/>
      <c r="CK257" s="176"/>
      <c r="CL257" s="176"/>
      <c r="CM257" s="176"/>
      <c r="CN257" s="176"/>
      <c r="CO257" s="176"/>
      <c r="CP257" s="177"/>
      <c r="CQ257" s="177"/>
      <c r="CR257" s="177"/>
      <c r="CS257" s="177"/>
      <c r="CT257" s="177"/>
      <c r="CU257" s="177"/>
      <c r="CV257" s="177"/>
      <c r="CW257" s="168"/>
      <c r="CX257" s="169"/>
      <c r="CY257" s="169"/>
      <c r="CZ257" s="169"/>
      <c r="DA257" s="169"/>
      <c r="DB257" s="169"/>
      <c r="DC257" s="169"/>
      <c r="DD257" s="173"/>
      <c r="DE257" s="173"/>
      <c r="DF257" s="173"/>
      <c r="DG257" s="173"/>
      <c r="DH257" s="173"/>
      <c r="DI257" s="173"/>
      <c r="DJ257" s="173"/>
      <c r="DK257" s="80" t="s">
        <v>1253</v>
      </c>
      <c r="DL257" s="129"/>
      <c r="DM257" s="129"/>
      <c r="DN257" s="129"/>
      <c r="DO257" s="129"/>
      <c r="DP257" s="129"/>
      <c r="DQ257" s="129"/>
      <c r="DR257" s="129"/>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
      <c r="A258" s="239" t="s">
        <v>1297</v>
      </c>
      <c r="B258" s="5" t="s">
        <v>740</v>
      </c>
      <c r="C258" s="5" t="s">
        <v>788</v>
      </c>
      <c r="D258" s="5" t="s">
        <v>1249</v>
      </c>
      <c r="E258" s="5" t="s">
        <v>1250</v>
      </c>
      <c r="F258" s="5" t="s">
        <v>455</v>
      </c>
      <c r="G258" s="47" t="s">
        <v>1298</v>
      </c>
      <c r="H258" s="238" t="s">
        <v>981</v>
      </c>
      <c r="I258" s="101">
        <v>770</v>
      </c>
      <c r="J258" s="101">
        <f t="shared" si="267"/>
        <v>617</v>
      </c>
      <c r="K258" s="101">
        <v>464</v>
      </c>
      <c r="L258" s="101">
        <f t="shared" si="268"/>
        <v>425.75</v>
      </c>
      <c r="M258" s="101">
        <f t="shared" si="269"/>
        <v>387.5</v>
      </c>
      <c r="N258" s="101">
        <f t="shared" si="270"/>
        <v>349.25</v>
      </c>
      <c r="O258" s="101">
        <v>311</v>
      </c>
      <c r="P258" s="93">
        <v>0</v>
      </c>
      <c r="Q258" s="293">
        <v>2.06</v>
      </c>
      <c r="R258" s="293">
        <v>2.06</v>
      </c>
      <c r="S258" s="293">
        <v>2.06</v>
      </c>
      <c r="T258" s="293">
        <v>2.06</v>
      </c>
      <c r="U258" s="293">
        <v>2.06</v>
      </c>
      <c r="V258" s="293">
        <v>2.06</v>
      </c>
      <c r="W258" s="293">
        <v>2.06</v>
      </c>
      <c r="X258" s="101">
        <v>0.1</v>
      </c>
      <c r="Y258" s="101">
        <v>0.1</v>
      </c>
      <c r="Z258" s="101">
        <v>0.1</v>
      </c>
      <c r="AA258" s="101">
        <v>0.1</v>
      </c>
      <c r="AB258" s="101">
        <v>0.1</v>
      </c>
      <c r="AC258" s="101">
        <v>0.1</v>
      </c>
      <c r="AD258" s="101">
        <v>0.1</v>
      </c>
      <c r="AE258" s="187">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72">IF(BL258=1,BN258,0)</f>
        <v>0.1</v>
      </c>
      <c r="BV258" s="27"/>
      <c r="BW258" s="27"/>
      <c r="BX258" s="27"/>
      <c r="BY258" s="27"/>
      <c r="BZ258" s="27"/>
      <c r="CA258" s="27"/>
      <c r="CB258" s="249">
        <v>1.1000000000000001</v>
      </c>
      <c r="CC258" s="245">
        <f t="shared" si="266"/>
        <v>1.44</v>
      </c>
      <c r="CD258" s="245">
        <v>1.77</v>
      </c>
      <c r="CE258" s="245">
        <f t="shared" si="255"/>
        <v>1.91</v>
      </c>
      <c r="CF258" s="245">
        <v>2.0499999999999998</v>
      </c>
      <c r="CG258" s="245">
        <f t="shared" si="257"/>
        <v>2.2999999999999998</v>
      </c>
      <c r="CH258" s="250">
        <v>2.5499999999999998</v>
      </c>
      <c r="CI258" s="174"/>
      <c r="CJ258" s="174"/>
      <c r="CK258" s="174"/>
      <c r="CL258" s="174"/>
      <c r="CM258" s="174"/>
      <c r="CN258" s="174"/>
      <c r="CO258" s="174"/>
      <c r="CP258" s="175"/>
      <c r="CQ258" s="175"/>
      <c r="CR258" s="175"/>
      <c r="CS258" s="175"/>
      <c r="CT258" s="175"/>
      <c r="CU258" s="175"/>
      <c r="CV258" s="175"/>
      <c r="CW258" s="166"/>
      <c r="CX258" s="167"/>
      <c r="CY258" s="167"/>
      <c r="CZ258" s="167"/>
      <c r="DA258" s="167"/>
      <c r="DB258" s="167"/>
      <c r="DC258" s="167"/>
      <c r="DD258" s="172"/>
      <c r="DE258" s="172"/>
      <c r="DF258" s="172"/>
      <c r="DG258" s="172"/>
      <c r="DH258" s="172"/>
      <c r="DI258" s="172"/>
      <c r="DJ258" s="172"/>
      <c r="DK258" s="79" t="s">
        <v>415</v>
      </c>
      <c r="DL258" s="128"/>
      <c r="DM258" s="128"/>
      <c r="DN258" s="128"/>
      <c r="DO258" s="128"/>
      <c r="DP258" s="128"/>
      <c r="DQ258" s="128"/>
      <c r="DR258" s="128"/>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x14ac:dyDescent="0.3">
      <c r="A259" s="239" t="s">
        <v>1299</v>
      </c>
      <c r="B259" s="6" t="s">
        <v>1245</v>
      </c>
      <c r="C259" s="6" t="s">
        <v>788</v>
      </c>
      <c r="D259" s="6" t="s">
        <v>1249</v>
      </c>
      <c r="E259" s="6" t="s">
        <v>1250</v>
      </c>
      <c r="F259" s="6" t="s">
        <v>455</v>
      </c>
      <c r="G259" s="48" t="s">
        <v>1300</v>
      </c>
      <c r="H259" s="236" t="s">
        <v>981</v>
      </c>
      <c r="I259" s="102">
        <v>770</v>
      </c>
      <c r="J259" s="102">
        <f t="shared" si="267"/>
        <v>617</v>
      </c>
      <c r="K259" s="102">
        <v>464</v>
      </c>
      <c r="L259" s="102">
        <f t="shared" si="268"/>
        <v>425.75</v>
      </c>
      <c r="M259" s="102">
        <f t="shared" si="269"/>
        <v>387.5</v>
      </c>
      <c r="N259" s="102">
        <f t="shared" si="270"/>
        <v>349.25</v>
      </c>
      <c r="O259" s="102">
        <v>311</v>
      </c>
      <c r="P259" s="94">
        <v>0</v>
      </c>
      <c r="Q259" s="293">
        <v>2.0499999999999998</v>
      </c>
      <c r="R259" s="293">
        <v>2.0499999999999998</v>
      </c>
      <c r="S259" s="293">
        <v>2.0499999999999998</v>
      </c>
      <c r="T259" s="293">
        <v>2.0499999999999998</v>
      </c>
      <c r="U259" s="293">
        <v>2.0499999999999998</v>
      </c>
      <c r="V259" s="293">
        <v>2.0499999999999998</v>
      </c>
      <c r="W259" s="293">
        <v>2.0499999999999998</v>
      </c>
      <c r="X259" s="102">
        <v>0.1</v>
      </c>
      <c r="Y259" s="102">
        <v>0.1</v>
      </c>
      <c r="Z259" s="102">
        <v>0.1</v>
      </c>
      <c r="AA259" s="102">
        <v>0.1</v>
      </c>
      <c r="AB259" s="102">
        <v>0.1</v>
      </c>
      <c r="AC259" s="102">
        <v>0.1</v>
      </c>
      <c r="AD259" s="102">
        <v>0.1</v>
      </c>
      <c r="AE259" s="187">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72"/>
        <v>0</v>
      </c>
      <c r="BV259" s="28"/>
      <c r="BW259" s="28"/>
      <c r="BX259" s="28"/>
      <c r="BY259" s="28"/>
      <c r="BZ259" s="28"/>
      <c r="CA259" s="28"/>
      <c r="CB259" s="249">
        <v>1.1000000000000001</v>
      </c>
      <c r="CC259" s="245">
        <f t="shared" si="266"/>
        <v>1.06</v>
      </c>
      <c r="CD259" s="245">
        <v>1.01</v>
      </c>
      <c r="CE259" s="245">
        <f t="shared" si="255"/>
        <v>1.05</v>
      </c>
      <c r="CF259" s="245">
        <v>1.08</v>
      </c>
      <c r="CG259" s="245">
        <f t="shared" si="257"/>
        <v>1.18</v>
      </c>
      <c r="CH259" s="250">
        <v>1.28</v>
      </c>
      <c r="CI259" s="176"/>
      <c r="CJ259" s="176"/>
      <c r="CK259" s="176"/>
      <c r="CL259" s="176"/>
      <c r="CM259" s="176"/>
      <c r="CN259" s="176"/>
      <c r="CO259" s="176"/>
      <c r="CP259" s="177"/>
      <c r="CQ259" s="177"/>
      <c r="CR259" s="177"/>
      <c r="CS259" s="177"/>
      <c r="CT259" s="177"/>
      <c r="CU259" s="177"/>
      <c r="CV259" s="177"/>
      <c r="CW259" s="168"/>
      <c r="CX259" s="169"/>
      <c r="CY259" s="169"/>
      <c r="CZ259" s="169"/>
      <c r="DA259" s="169"/>
      <c r="DB259" s="169"/>
      <c r="DC259" s="169"/>
      <c r="DD259" s="173"/>
      <c r="DE259" s="173"/>
      <c r="DF259" s="173"/>
      <c r="DG259" s="173"/>
      <c r="DH259" s="173"/>
      <c r="DI259" s="173"/>
      <c r="DJ259" s="173"/>
      <c r="DK259" s="80" t="s">
        <v>415</v>
      </c>
      <c r="DL259" s="129"/>
      <c r="DM259" s="129"/>
      <c r="DN259" s="129"/>
      <c r="DO259" s="129"/>
      <c r="DP259" s="129"/>
      <c r="DQ259" s="129"/>
      <c r="DR259" s="129"/>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ht="15" thickBot="1" x14ac:dyDescent="0.35">
      <c r="A260" s="239" t="s">
        <v>1301</v>
      </c>
      <c r="B260" s="5" t="s">
        <v>1245</v>
      </c>
      <c r="C260" s="5" t="s">
        <v>788</v>
      </c>
      <c r="D260" s="5" t="s">
        <v>1249</v>
      </c>
      <c r="E260" s="5" t="s">
        <v>1250</v>
      </c>
      <c r="F260" s="5" t="s">
        <v>455</v>
      </c>
      <c r="G260" s="47" t="s">
        <v>1302</v>
      </c>
      <c r="H260" s="238" t="s">
        <v>981</v>
      </c>
      <c r="I260" s="101">
        <v>770</v>
      </c>
      <c r="J260" s="101">
        <f t="shared" si="267"/>
        <v>617</v>
      </c>
      <c r="K260" s="101">
        <v>464</v>
      </c>
      <c r="L260" s="101">
        <f t="shared" si="268"/>
        <v>425.75</v>
      </c>
      <c r="M260" s="101">
        <f t="shared" si="269"/>
        <v>387.5</v>
      </c>
      <c r="N260" s="101">
        <f t="shared" si="270"/>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7">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7">
        <v>3.5</v>
      </c>
      <c r="BO260" s="93"/>
      <c r="BP260" s="93"/>
      <c r="BQ260" s="93"/>
      <c r="BR260" s="93"/>
      <c r="BS260" s="93"/>
      <c r="BT260" s="93"/>
      <c r="BU260" s="27">
        <f>IF(BL260=1,BN260,0)</f>
        <v>3.5</v>
      </c>
      <c r="BV260" s="27"/>
      <c r="BW260" s="27"/>
      <c r="BX260" s="27"/>
      <c r="BY260" s="27"/>
      <c r="BZ260" s="27"/>
      <c r="CA260" s="27"/>
      <c r="CB260" s="251">
        <v>3.5</v>
      </c>
      <c r="CC260" s="252">
        <f t="shared" si="266"/>
        <v>4.63</v>
      </c>
      <c r="CD260" s="252">
        <v>5.76</v>
      </c>
      <c r="CE260" s="252">
        <f t="shared" si="255"/>
        <v>8.1199999999999992</v>
      </c>
      <c r="CF260" s="252">
        <v>10.48</v>
      </c>
      <c r="CG260" s="252">
        <f t="shared" si="257"/>
        <v>13.48</v>
      </c>
      <c r="CH260" s="253">
        <v>16.48</v>
      </c>
      <c r="CI260" s="192">
        <f>12*0.5</f>
        <v>6</v>
      </c>
      <c r="CJ260" s="174"/>
      <c r="CK260" s="174"/>
      <c r="CL260" s="174"/>
      <c r="CM260" s="174"/>
      <c r="CN260" s="174"/>
      <c r="CO260" s="174"/>
      <c r="CP260" s="175"/>
      <c r="CQ260" s="175"/>
      <c r="CR260" s="175"/>
      <c r="CS260" s="175"/>
      <c r="CT260" s="175"/>
      <c r="CU260" s="175"/>
      <c r="CV260" s="175"/>
      <c r="CW260" s="166"/>
      <c r="CX260" s="167"/>
      <c r="CY260" s="167"/>
      <c r="CZ260" s="167"/>
      <c r="DA260" s="167"/>
      <c r="DB260" s="167"/>
      <c r="DC260" s="167"/>
      <c r="DD260" s="172"/>
      <c r="DE260" s="172"/>
      <c r="DF260" s="172"/>
      <c r="DG260" s="172"/>
      <c r="DH260" s="172"/>
      <c r="DI260" s="172"/>
      <c r="DJ260" s="172"/>
      <c r="DK260" s="79" t="s">
        <v>1253</v>
      </c>
      <c r="DL260" s="128"/>
      <c r="DM260" s="128"/>
      <c r="DN260" s="128"/>
      <c r="DO260" s="128"/>
      <c r="DP260" s="128"/>
      <c r="DQ260" s="128"/>
      <c r="DR260" s="128"/>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
      <c r="A261" s="235" t="s">
        <v>1303</v>
      </c>
      <c r="B261" s="6" t="s">
        <v>1245</v>
      </c>
      <c r="C261" s="6" t="s">
        <v>788</v>
      </c>
      <c r="D261" s="6" t="s">
        <v>1249</v>
      </c>
      <c r="E261" s="6" t="s">
        <v>1250</v>
      </c>
      <c r="F261" s="6" t="s">
        <v>455</v>
      </c>
      <c r="G261" s="48" t="s">
        <v>1304</v>
      </c>
      <c r="H261" s="236"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7">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5">
        <v>0.04</v>
      </c>
      <c r="CC261" s="245">
        <f t="shared" si="266"/>
        <v>0.04</v>
      </c>
      <c r="CD261" s="245">
        <v>0.04</v>
      </c>
      <c r="CE261" s="245">
        <f t="shared" si="255"/>
        <v>0.04</v>
      </c>
      <c r="CF261" s="245">
        <f t="shared" si="256"/>
        <v>0.04</v>
      </c>
      <c r="CG261" s="245">
        <f t="shared" si="257"/>
        <v>0.04</v>
      </c>
      <c r="CH261" s="245">
        <v>0.04</v>
      </c>
      <c r="CI261" s="176"/>
      <c r="CJ261" s="176"/>
      <c r="CK261" s="176"/>
      <c r="CL261" s="176"/>
      <c r="CM261" s="176"/>
      <c r="CN261" s="176"/>
      <c r="CO261" s="176"/>
      <c r="CP261" s="177"/>
      <c r="CQ261" s="177"/>
      <c r="CR261" s="177"/>
      <c r="CS261" s="177"/>
      <c r="CT261" s="177"/>
      <c r="CU261" s="177"/>
      <c r="CV261" s="177"/>
      <c r="CW261" s="168"/>
      <c r="CX261" s="169"/>
      <c r="CY261" s="169"/>
      <c r="CZ261" s="169"/>
      <c r="DA261" s="169"/>
      <c r="DB261" s="169"/>
      <c r="DC261" s="169"/>
      <c r="DD261" s="173"/>
      <c r="DE261" s="173"/>
      <c r="DF261" s="173"/>
      <c r="DG261" s="173"/>
      <c r="DH261" s="173"/>
      <c r="DI261" s="173"/>
      <c r="DJ261" s="173"/>
      <c r="DK261" s="80" t="s">
        <v>1306</v>
      </c>
      <c r="DL261" s="129"/>
      <c r="DM261" s="129"/>
      <c r="DN261" s="129"/>
      <c r="DO261" s="129"/>
      <c r="DP261" s="129"/>
      <c r="DQ261" s="129"/>
      <c r="DR261" s="129"/>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
      <c r="A262" s="237" t="s">
        <v>1307</v>
      </c>
      <c r="B262" s="5" t="s">
        <v>1245</v>
      </c>
      <c r="C262" s="5" t="s">
        <v>788</v>
      </c>
      <c r="D262" s="5" t="s">
        <v>1249</v>
      </c>
      <c r="E262" s="5" t="s">
        <v>1308</v>
      </c>
      <c r="F262" s="5" t="s">
        <v>455</v>
      </c>
      <c r="G262" s="47" t="s">
        <v>1309</v>
      </c>
      <c r="H262" s="238"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7">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10">
        <v>10</v>
      </c>
      <c r="BW262" s="410">
        <v>10</v>
      </c>
      <c r="BX262" s="410">
        <v>10</v>
      </c>
      <c r="BY262" s="410">
        <v>10</v>
      </c>
      <c r="BZ262" s="410">
        <v>10</v>
      </c>
      <c r="CA262" s="410">
        <v>10</v>
      </c>
      <c r="CB262" s="410">
        <v>10</v>
      </c>
      <c r="CC262" s="410">
        <v>10</v>
      </c>
      <c r="CD262" s="410">
        <v>10</v>
      </c>
      <c r="CE262" s="410">
        <v>10</v>
      </c>
      <c r="CF262" s="410">
        <v>10</v>
      </c>
      <c r="CG262" s="410">
        <v>10</v>
      </c>
      <c r="CH262" s="410">
        <v>10</v>
      </c>
      <c r="CI262" s="174"/>
      <c r="CJ262" s="174"/>
      <c r="CK262" s="174"/>
      <c r="CL262" s="174"/>
      <c r="CM262" s="174"/>
      <c r="CN262" s="174"/>
      <c r="CO262" s="174"/>
      <c r="CP262" s="175"/>
      <c r="CQ262" s="175"/>
      <c r="CR262" s="175"/>
      <c r="CS262" s="175"/>
      <c r="CT262" s="175"/>
      <c r="CU262" s="175"/>
      <c r="CV262" s="175"/>
      <c r="CW262" s="166"/>
      <c r="CX262" s="167"/>
      <c r="CY262" s="167"/>
      <c r="CZ262" s="167"/>
      <c r="DA262" s="167"/>
      <c r="DB262" s="167"/>
      <c r="DC262" s="167"/>
      <c r="DD262" s="172"/>
      <c r="DE262" s="172"/>
      <c r="DF262" s="172"/>
      <c r="DG262" s="172"/>
      <c r="DH262" s="172"/>
      <c r="DI262" s="172"/>
      <c r="DJ262" s="172"/>
      <c r="DK262" s="79" t="s">
        <v>415</v>
      </c>
      <c r="DL262" s="128"/>
      <c r="DM262" s="128"/>
      <c r="DN262" s="128"/>
      <c r="DO262" s="128"/>
      <c r="DP262" s="128"/>
      <c r="DQ262" s="128"/>
      <c r="DR262" s="128"/>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
      <c r="A263" s="235" t="s">
        <v>1310</v>
      </c>
      <c r="B263" s="6" t="s">
        <v>1245</v>
      </c>
      <c r="C263" s="6" t="s">
        <v>788</v>
      </c>
      <c r="D263" s="6" t="s">
        <v>1249</v>
      </c>
      <c r="E263" s="6" t="s">
        <v>1311</v>
      </c>
      <c r="F263" s="6" t="s">
        <v>455</v>
      </c>
      <c r="G263" s="48" t="s">
        <v>1312</v>
      </c>
      <c r="H263" s="236"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7">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4"/>
        <v>0</v>
      </c>
      <c r="BV263" s="28"/>
      <c r="BW263" s="28"/>
      <c r="BX263" s="28"/>
      <c r="BY263" s="28"/>
      <c r="BZ263" s="28"/>
      <c r="CA263" s="28"/>
      <c r="CB263" s="99"/>
      <c r="CC263" s="186"/>
      <c r="CD263" s="186"/>
      <c r="CE263" s="186"/>
      <c r="CF263" s="186"/>
      <c r="CG263" s="186"/>
      <c r="CH263" s="186"/>
      <c r="CI263" s="176"/>
      <c r="CJ263" s="176"/>
      <c r="CK263" s="176"/>
      <c r="CL263" s="176"/>
      <c r="CM263" s="176"/>
      <c r="CN263" s="176"/>
      <c r="CO263" s="176"/>
      <c r="CP263" s="177"/>
      <c r="CQ263" s="177"/>
      <c r="CR263" s="177"/>
      <c r="CS263" s="177"/>
      <c r="CT263" s="177"/>
      <c r="CU263" s="177"/>
      <c r="CV263" s="177"/>
      <c r="CW263" s="168"/>
      <c r="CX263" s="169"/>
      <c r="CY263" s="169"/>
      <c r="CZ263" s="169"/>
      <c r="DA263" s="169"/>
      <c r="DB263" s="169"/>
      <c r="DC263" s="169"/>
      <c r="DD263" s="173"/>
      <c r="DE263" s="173"/>
      <c r="DF263" s="173"/>
      <c r="DG263" s="173"/>
      <c r="DH263" s="173"/>
      <c r="DI263" s="173"/>
      <c r="DJ263" s="173"/>
      <c r="DK263" s="80" t="s">
        <v>415</v>
      </c>
      <c r="DL263" s="129"/>
      <c r="DM263" s="129"/>
      <c r="DN263" s="129"/>
      <c r="DO263" s="129"/>
      <c r="DP263" s="129"/>
      <c r="DQ263" s="129"/>
      <c r="DR263" s="129"/>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
      <c r="A264" s="237" t="s">
        <v>1313</v>
      </c>
      <c r="B264" s="5" t="s">
        <v>1245</v>
      </c>
      <c r="C264" s="5" t="s">
        <v>788</v>
      </c>
      <c r="D264" s="5" t="s">
        <v>1249</v>
      </c>
      <c r="E264" s="5" t="s">
        <v>1311</v>
      </c>
      <c r="F264" s="5" t="s">
        <v>455</v>
      </c>
      <c r="G264" s="47" t="s">
        <v>1314</v>
      </c>
      <c r="H264" s="238"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7">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4"/>
        <v>0</v>
      </c>
      <c r="BV264" s="27"/>
      <c r="BW264" s="27"/>
      <c r="BX264" s="27"/>
      <c r="BY264" s="27"/>
      <c r="BZ264" s="27"/>
      <c r="CA264" s="27"/>
      <c r="CB264" s="97"/>
      <c r="CC264" s="186"/>
      <c r="CD264" s="186"/>
      <c r="CE264" s="186"/>
      <c r="CF264" s="186"/>
      <c r="CG264" s="186"/>
      <c r="CH264" s="186"/>
      <c r="CI264" s="174"/>
      <c r="CJ264" s="174"/>
      <c r="CK264" s="174"/>
      <c r="CL264" s="174"/>
      <c r="CM264" s="174"/>
      <c r="CN264" s="174"/>
      <c r="CO264" s="174"/>
      <c r="CP264" s="175"/>
      <c r="CQ264" s="175"/>
      <c r="CR264" s="175"/>
      <c r="CS264" s="175"/>
      <c r="CT264" s="175"/>
      <c r="CU264" s="175"/>
      <c r="CV264" s="175"/>
      <c r="CW264" s="166"/>
      <c r="CX264" s="167"/>
      <c r="CY264" s="167"/>
      <c r="CZ264" s="167"/>
      <c r="DA264" s="167"/>
      <c r="DB264" s="167"/>
      <c r="DC264" s="167"/>
      <c r="DD264" s="172"/>
      <c r="DE264" s="172"/>
      <c r="DF264" s="172"/>
      <c r="DG264" s="172"/>
      <c r="DH264" s="172"/>
      <c r="DI264" s="172"/>
      <c r="DJ264" s="172"/>
      <c r="DK264" s="79" t="s">
        <v>415</v>
      </c>
      <c r="DL264" s="128"/>
      <c r="DM264" s="128"/>
      <c r="DN264" s="128"/>
      <c r="DO264" s="128"/>
      <c r="DP264" s="128"/>
      <c r="DQ264" s="128"/>
      <c r="DR264" s="128"/>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
      <c r="A265" s="235" t="s">
        <v>1316</v>
      </c>
      <c r="B265" s="6" t="s">
        <v>1245</v>
      </c>
      <c r="C265" s="6" t="s">
        <v>788</v>
      </c>
      <c r="D265" s="6" t="s">
        <v>1249</v>
      </c>
      <c r="E265" s="6" t="s">
        <v>1311</v>
      </c>
      <c r="F265" s="6" t="s">
        <v>455</v>
      </c>
      <c r="G265" s="48" t="s">
        <v>1317</v>
      </c>
      <c r="H265" s="236"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7">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73">IF(BL265=1,BN265,0)</f>
        <v>0</v>
      </c>
      <c r="BV265" s="28"/>
      <c r="BW265" s="28"/>
      <c r="BX265" s="28"/>
      <c r="BY265" s="28"/>
      <c r="BZ265" s="28"/>
      <c r="CA265" s="28"/>
      <c r="CB265" s="99"/>
      <c r="CC265" s="99">
        <v>0.25</v>
      </c>
      <c r="CD265" s="99">
        <v>0.3</v>
      </c>
      <c r="CE265" s="99">
        <v>0.5</v>
      </c>
      <c r="CF265" s="99">
        <f t="shared" ref="CF265" si="274">ROUND((CD265+CH265)/2,2)</f>
        <v>15.15</v>
      </c>
      <c r="CG265" s="99">
        <f t="shared" ref="CG265" si="275">ROUND((CF265+CH265)/2,2)</f>
        <v>22.58</v>
      </c>
      <c r="CH265" s="99">
        <v>30</v>
      </c>
      <c r="CI265" s="176"/>
      <c r="CJ265" s="176"/>
      <c r="CK265" s="176"/>
      <c r="CL265" s="176"/>
      <c r="CM265" s="176"/>
      <c r="CN265" s="176"/>
      <c r="CO265" s="176"/>
      <c r="CP265" s="177"/>
      <c r="CQ265" s="177"/>
      <c r="CR265" s="177"/>
      <c r="CS265" s="177"/>
      <c r="CT265" s="177"/>
      <c r="CU265" s="177"/>
      <c r="CV265" s="177"/>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S265" s="21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
      <c r="A266" s="256" t="s">
        <v>1318</v>
      </c>
      <c r="B266" s="6" t="s">
        <v>1245</v>
      </c>
      <c r="C266" s="6" t="s">
        <v>817</v>
      </c>
      <c r="D266" s="6" t="s">
        <v>1249</v>
      </c>
      <c r="E266" s="6" t="s">
        <v>1246</v>
      </c>
      <c r="F266" s="6" t="s">
        <v>455</v>
      </c>
      <c r="G266" s="48" t="s">
        <v>1319</v>
      </c>
      <c r="H266" s="236"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7">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1">
        <v>0</v>
      </c>
      <c r="BV266" s="381">
        <v>0</v>
      </c>
      <c r="BW266" s="381">
        <v>0</v>
      </c>
      <c r="BX266" s="381">
        <v>0</v>
      </c>
      <c r="BY266" s="381">
        <v>0</v>
      </c>
      <c r="BZ266" s="381">
        <v>0</v>
      </c>
      <c r="CA266" s="381">
        <v>0</v>
      </c>
      <c r="CB266" s="382">
        <v>8.0500000000000007</v>
      </c>
      <c r="CC266" s="99">
        <v>10.799999999999999</v>
      </c>
      <c r="CD266" s="99">
        <f>CD237</f>
        <v>20</v>
      </c>
      <c r="CE266" s="99">
        <f t="shared" ref="CE266:CH266" si="276">CE237</f>
        <v>20</v>
      </c>
      <c r="CF266" s="99">
        <f t="shared" si="276"/>
        <v>20</v>
      </c>
      <c r="CG266" s="99">
        <f t="shared" si="276"/>
        <v>20</v>
      </c>
      <c r="CH266" s="99">
        <f t="shared" si="276"/>
        <v>20</v>
      </c>
      <c r="CI266" s="258">
        <v>66.8</v>
      </c>
      <c r="CJ266" s="258">
        <f>$CI$266*0.8</f>
        <v>53.44</v>
      </c>
      <c r="CK266" s="258">
        <f t="shared" ref="CK266:CO266" si="277">$CI$266*0.8</f>
        <v>53.44</v>
      </c>
      <c r="CL266" s="258">
        <f t="shared" si="277"/>
        <v>53.44</v>
      </c>
      <c r="CM266" s="258">
        <f t="shared" si="277"/>
        <v>53.44</v>
      </c>
      <c r="CN266" s="258">
        <f t="shared" si="277"/>
        <v>53.44</v>
      </c>
      <c r="CO266" s="258">
        <f t="shared" si="277"/>
        <v>53.44</v>
      </c>
      <c r="CP266" s="177">
        <f>CI266*1.2</f>
        <v>80.16</v>
      </c>
      <c r="CQ266" s="177">
        <f>$CP$266</f>
        <v>80.16</v>
      </c>
      <c r="CR266" s="177">
        <f t="shared" ref="CR266:CV266" si="278">$CP$266</f>
        <v>80.16</v>
      </c>
      <c r="CS266" s="177">
        <f t="shared" si="278"/>
        <v>80.16</v>
      </c>
      <c r="CT266" s="177">
        <f t="shared" si="278"/>
        <v>80.16</v>
      </c>
      <c r="CU266" s="177">
        <f t="shared" si="278"/>
        <v>80.16</v>
      </c>
      <c r="CV266" s="177">
        <f t="shared" si="278"/>
        <v>80.16</v>
      </c>
      <c r="CW266" s="168"/>
      <c r="CX266" s="169"/>
      <c r="CY266" s="169"/>
      <c r="CZ266" s="169"/>
      <c r="DA266" s="169"/>
      <c r="DB266" s="169"/>
      <c r="DC266" s="169"/>
      <c r="DD266" s="173"/>
      <c r="DE266" s="173"/>
      <c r="DF266" s="173"/>
      <c r="DG266" s="173"/>
      <c r="DH266" s="173"/>
      <c r="DI266" s="173"/>
      <c r="DJ266" s="173"/>
      <c r="DK266" s="80" t="s">
        <v>415</v>
      </c>
      <c r="DL266" s="129"/>
      <c r="DM266" s="129"/>
      <c r="DN266" s="129"/>
      <c r="DO266" s="129"/>
      <c r="DP266" s="129"/>
      <c r="DQ266" s="129"/>
      <c r="DR266" s="12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
      <c r="A267" s="237" t="s">
        <v>1320</v>
      </c>
      <c r="B267" s="5" t="s">
        <v>1245</v>
      </c>
      <c r="C267" s="5" t="s">
        <v>788</v>
      </c>
      <c r="D267" s="5" t="s">
        <v>1249</v>
      </c>
      <c r="E267" s="5" t="s">
        <v>1246</v>
      </c>
      <c r="F267" s="5" t="s">
        <v>455</v>
      </c>
      <c r="G267" s="47" t="s">
        <v>1321</v>
      </c>
      <c r="H267" s="238"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7">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4"/>
        <v>0</v>
      </c>
      <c r="BV267" s="27"/>
      <c r="BW267" s="27"/>
      <c r="BX267" s="27"/>
      <c r="BY267" s="27"/>
      <c r="BZ267" s="27"/>
      <c r="CA267" s="27"/>
      <c r="CB267" s="97"/>
      <c r="CC267" s="97">
        <v>50</v>
      </c>
      <c r="CD267" s="97">
        <v>50</v>
      </c>
      <c r="CE267" s="97">
        <v>50</v>
      </c>
      <c r="CF267" s="97">
        <v>75</v>
      </c>
      <c r="CG267" s="97">
        <v>100</v>
      </c>
      <c r="CH267" s="97">
        <v>100</v>
      </c>
      <c r="CI267" s="174"/>
      <c r="CJ267" s="174"/>
      <c r="CK267" s="174"/>
      <c r="CL267" s="174"/>
      <c r="CM267" s="174"/>
      <c r="CN267" s="174"/>
      <c r="CO267" s="174"/>
      <c r="CP267" s="175"/>
      <c r="CQ267" s="175"/>
      <c r="CR267" s="175"/>
      <c r="CS267" s="175"/>
      <c r="CT267" s="175"/>
      <c r="CU267" s="175"/>
      <c r="CV267" s="175"/>
      <c r="CW267" s="166"/>
      <c r="CX267" s="167"/>
      <c r="CY267" s="167"/>
      <c r="CZ267" s="167"/>
      <c r="DA267" s="167"/>
      <c r="DB267" s="167"/>
      <c r="DC267" s="167"/>
      <c r="DD267" s="172"/>
      <c r="DE267" s="172"/>
      <c r="DF267" s="172"/>
      <c r="DG267" s="172"/>
      <c r="DH267" s="172"/>
      <c r="DI267" s="172"/>
      <c r="DJ267" s="172"/>
      <c r="DK267" s="79" t="s">
        <v>415</v>
      </c>
      <c r="DL267" s="128"/>
      <c r="DM267" s="128"/>
      <c r="DN267" s="128"/>
      <c r="DO267" s="128"/>
      <c r="DP267" s="128"/>
      <c r="DQ267" s="128"/>
      <c r="DR267" s="128"/>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x14ac:dyDescent="0.3">
      <c r="A268" s="235" t="s">
        <v>1322</v>
      </c>
      <c r="B268" s="6" t="s">
        <v>1245</v>
      </c>
      <c r="C268" s="6" t="s">
        <v>788</v>
      </c>
      <c r="D268" s="6" t="s">
        <v>1249</v>
      </c>
      <c r="E268" s="6" t="s">
        <v>1246</v>
      </c>
      <c r="F268" s="6" t="s">
        <v>455</v>
      </c>
      <c r="G268" s="48" t="s">
        <v>1323</v>
      </c>
      <c r="H268" s="236"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7">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4"/>
        <v>0</v>
      </c>
      <c r="BV268" s="28"/>
      <c r="BW268" s="28"/>
      <c r="BX268" s="28"/>
      <c r="BY268" s="28"/>
      <c r="BZ268" s="28"/>
      <c r="CA268" s="28"/>
      <c r="CB268" s="99">
        <v>100</v>
      </c>
      <c r="CC268" s="99">
        <v>100</v>
      </c>
      <c r="CD268" s="99">
        <v>100</v>
      </c>
      <c r="CE268" s="99">
        <v>100</v>
      </c>
      <c r="CF268" s="99">
        <v>100</v>
      </c>
      <c r="CG268" s="99">
        <v>100</v>
      </c>
      <c r="CH268" s="99">
        <v>100</v>
      </c>
      <c r="CI268" s="176"/>
      <c r="CJ268" s="176"/>
      <c r="CK268" s="176"/>
      <c r="CL268" s="176"/>
      <c r="CM268" s="176"/>
      <c r="CN268" s="176"/>
      <c r="CO268" s="176"/>
      <c r="CP268" s="177"/>
      <c r="CQ268" s="177"/>
      <c r="CR268" s="177"/>
      <c r="CS268" s="177"/>
      <c r="CT268" s="177"/>
      <c r="CU268" s="177"/>
      <c r="CV268" s="177"/>
      <c r="CW268" s="168"/>
      <c r="CX268" s="169"/>
      <c r="CY268" s="169"/>
      <c r="CZ268" s="169"/>
      <c r="DA268" s="169"/>
      <c r="DB268" s="169"/>
      <c r="DC268" s="169"/>
      <c r="DD268" s="173"/>
      <c r="DE268" s="173"/>
      <c r="DF268" s="173"/>
      <c r="DG268" s="173"/>
      <c r="DH268" s="173"/>
      <c r="DI268" s="173"/>
      <c r="DJ268" s="173"/>
      <c r="DK268" s="80" t="s">
        <v>415</v>
      </c>
      <c r="DL268" s="129"/>
      <c r="DM268" s="129"/>
      <c r="DN268" s="129"/>
      <c r="DO268" s="129"/>
      <c r="DP268" s="129"/>
      <c r="DQ268" s="129"/>
      <c r="DR268" s="129"/>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ht="15" thickBot="1" x14ac:dyDescent="0.35">
      <c r="A269" s="240" t="s">
        <v>1324</v>
      </c>
      <c r="B269" s="241" t="s">
        <v>1245</v>
      </c>
      <c r="C269" s="241" t="s">
        <v>788</v>
      </c>
      <c r="D269" s="241" t="s">
        <v>1249</v>
      </c>
      <c r="E269" s="241" t="s">
        <v>1246</v>
      </c>
      <c r="F269" s="241" t="s">
        <v>456</v>
      </c>
      <c r="G269" s="242" t="s">
        <v>1325</v>
      </c>
      <c r="H269" s="243"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7">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4"/>
        <v>0</v>
      </c>
      <c r="BV269" s="27"/>
      <c r="BW269" s="27"/>
      <c r="BX269" s="27"/>
      <c r="BY269" s="27"/>
      <c r="BZ269" s="27"/>
      <c r="CA269" s="27"/>
      <c r="CB269" s="97">
        <v>100</v>
      </c>
      <c r="CC269" s="97">
        <v>100</v>
      </c>
      <c r="CD269" s="97">
        <v>100</v>
      </c>
      <c r="CE269" s="97">
        <v>100</v>
      </c>
      <c r="CF269" s="97">
        <v>100</v>
      </c>
      <c r="CG269" s="97">
        <v>100</v>
      </c>
      <c r="CH269" s="97">
        <v>100</v>
      </c>
      <c r="CI269" s="174"/>
      <c r="CJ269" s="174"/>
      <c r="CK269" s="174"/>
      <c r="CL269" s="174"/>
      <c r="CM269" s="174"/>
      <c r="CN269" s="174"/>
      <c r="CO269" s="174"/>
      <c r="CP269" s="175"/>
      <c r="CQ269" s="175"/>
      <c r="CR269" s="175"/>
      <c r="CS269" s="175"/>
      <c r="CT269" s="175"/>
      <c r="CU269" s="175"/>
      <c r="CV269" s="175"/>
      <c r="CW269" s="166"/>
      <c r="CX269" s="167"/>
      <c r="CY269" s="167"/>
      <c r="CZ269" s="167"/>
      <c r="DA269" s="167"/>
      <c r="DB269" s="167"/>
      <c r="DC269" s="167"/>
      <c r="DD269" s="172"/>
      <c r="DE269" s="172"/>
      <c r="DF269" s="172"/>
      <c r="DG269" s="172"/>
      <c r="DH269" s="172"/>
      <c r="DI269" s="172"/>
      <c r="DJ269" s="172"/>
      <c r="DK269" s="79" t="s">
        <v>415</v>
      </c>
      <c r="DL269" s="128"/>
      <c r="DM269" s="128"/>
      <c r="DN269" s="128"/>
      <c r="DO269" s="128"/>
      <c r="DP269" s="128"/>
      <c r="DQ269" s="128"/>
      <c r="DR269" s="128"/>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7">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4"/>
        <v>0</v>
      </c>
      <c r="BV270" s="28"/>
      <c r="BW270" s="28"/>
      <c r="BX270" s="28"/>
      <c r="BY270" s="28"/>
      <c r="BZ270" s="28"/>
      <c r="CA270" s="28"/>
      <c r="CB270" s="186">
        <v>100</v>
      </c>
      <c r="CC270" s="99">
        <v>100</v>
      </c>
      <c r="CD270" s="99">
        <v>100</v>
      </c>
      <c r="CE270" s="99">
        <v>100</v>
      </c>
      <c r="CF270" s="99">
        <v>100</v>
      </c>
      <c r="CG270" s="99">
        <v>100</v>
      </c>
      <c r="CH270" s="99">
        <v>100</v>
      </c>
      <c r="CI270" s="176"/>
      <c r="CJ270" s="176"/>
      <c r="CK270" s="176"/>
      <c r="CL270" s="176"/>
      <c r="CM270" s="176"/>
      <c r="CN270" s="176"/>
      <c r="CO270" s="176"/>
      <c r="CP270" s="177"/>
      <c r="CQ270" s="177"/>
      <c r="CR270" s="177"/>
      <c r="CS270" s="177"/>
      <c r="CT270" s="177"/>
      <c r="CU270" s="177"/>
      <c r="CV270" s="177"/>
      <c r="CW270" s="168"/>
      <c r="CX270" s="169"/>
      <c r="CY270" s="169"/>
      <c r="CZ270" s="169"/>
      <c r="DA270" s="169"/>
      <c r="DB270" s="169"/>
      <c r="DC270" s="169"/>
      <c r="DD270" s="173"/>
      <c r="DE270" s="173"/>
      <c r="DF270" s="173"/>
      <c r="DG270" s="173"/>
      <c r="DH270" s="173"/>
      <c r="DI270" s="173"/>
      <c r="DJ270" s="173"/>
      <c r="DK270" s="80" t="s">
        <v>452</v>
      </c>
      <c r="DL270" s="129">
        <v>500</v>
      </c>
      <c r="DM270" s="129">
        <v>500</v>
      </c>
      <c r="DN270" s="129">
        <v>500</v>
      </c>
      <c r="DO270" s="129">
        <v>500</v>
      </c>
      <c r="DP270" s="129">
        <v>500</v>
      </c>
      <c r="DQ270" s="129">
        <v>500</v>
      </c>
      <c r="DR270" s="129">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7">
        <v>0.08</v>
      </c>
      <c r="AF271" s="93">
        <v>0</v>
      </c>
      <c r="AG271" s="93">
        <v>12</v>
      </c>
      <c r="AH271" s="93">
        <v>12</v>
      </c>
      <c r="AI271" s="16">
        <f t="shared" ref="AI271:AI290" si="279">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4"/>
        <v>0</v>
      </c>
      <c r="BV271" s="27"/>
      <c r="BW271" s="27"/>
      <c r="BX271" s="27"/>
      <c r="BY271" s="27"/>
      <c r="BZ271" s="27"/>
      <c r="CA271" s="27"/>
      <c r="CB271" s="97">
        <v>9</v>
      </c>
      <c r="CC271" s="97">
        <v>100</v>
      </c>
      <c r="CD271" s="97">
        <v>100</v>
      </c>
      <c r="CE271" s="97">
        <v>100</v>
      </c>
      <c r="CF271" s="97">
        <v>100</v>
      </c>
      <c r="CG271" s="97">
        <v>100</v>
      </c>
      <c r="CH271" s="97">
        <v>100</v>
      </c>
      <c r="CI271" s="174"/>
      <c r="CJ271" s="174"/>
      <c r="CK271" s="174"/>
      <c r="CL271" s="174"/>
      <c r="CM271" s="174"/>
      <c r="CN271" s="174"/>
      <c r="CO271" s="174"/>
      <c r="CP271" s="175"/>
      <c r="CQ271" s="175"/>
      <c r="CR271" s="175"/>
      <c r="CS271" s="175"/>
      <c r="CT271" s="175"/>
      <c r="CU271" s="175"/>
      <c r="CV271" s="175"/>
      <c r="CW271" s="166"/>
      <c r="CX271" s="167"/>
      <c r="CY271" s="167"/>
      <c r="CZ271" s="167"/>
      <c r="DA271" s="167"/>
      <c r="DB271" s="167"/>
      <c r="DC271" s="167"/>
      <c r="DD271" s="172"/>
      <c r="DE271" s="172"/>
      <c r="DF271" s="172"/>
      <c r="DG271" s="172"/>
      <c r="DH271" s="172"/>
      <c r="DI271" s="172"/>
      <c r="DJ271" s="172"/>
      <c r="DK271" s="79" t="s">
        <v>452</v>
      </c>
      <c r="DL271" s="128">
        <v>500</v>
      </c>
      <c r="DM271" s="128">
        <v>500</v>
      </c>
      <c r="DN271" s="128">
        <v>500</v>
      </c>
      <c r="DO271" s="128">
        <v>500</v>
      </c>
      <c r="DP271" s="128">
        <v>500</v>
      </c>
      <c r="DQ271" s="128">
        <v>500</v>
      </c>
      <c r="DR271" s="128">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7">
        <v>0.08</v>
      </c>
      <c r="AF272" s="94">
        <v>0</v>
      </c>
      <c r="AG272" s="94">
        <v>40</v>
      </c>
      <c r="AH272" s="94">
        <v>40</v>
      </c>
      <c r="AI272" s="17">
        <f t="shared" si="279"/>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4"/>
        <v>0</v>
      </c>
      <c r="BV272" s="28"/>
      <c r="BW272" s="28"/>
      <c r="BX272" s="28"/>
      <c r="BY272" s="28"/>
      <c r="BZ272" s="28"/>
      <c r="CA272" s="28"/>
      <c r="CB272" s="99">
        <v>2.5</v>
      </c>
      <c r="CC272" s="99">
        <v>100</v>
      </c>
      <c r="CD272" s="99">
        <v>100</v>
      </c>
      <c r="CE272" s="99">
        <v>100</v>
      </c>
      <c r="CF272" s="99">
        <v>100</v>
      </c>
      <c r="CG272" s="99">
        <v>100</v>
      </c>
      <c r="CH272" s="99">
        <v>100</v>
      </c>
      <c r="CI272" s="176"/>
      <c r="CJ272" s="176"/>
      <c r="CK272" s="176"/>
      <c r="CL272" s="176"/>
      <c r="CM272" s="176"/>
      <c r="CN272" s="176"/>
      <c r="CO272" s="176"/>
      <c r="CP272" s="177"/>
      <c r="CQ272" s="177"/>
      <c r="CR272" s="177"/>
      <c r="CS272" s="177"/>
      <c r="CT272" s="177"/>
      <c r="CU272" s="177"/>
      <c r="CV272" s="177"/>
      <c r="CW272" s="168"/>
      <c r="CX272" s="169"/>
      <c r="CY272" s="169"/>
      <c r="CZ272" s="169"/>
      <c r="DA272" s="169"/>
      <c r="DB272" s="169"/>
      <c r="DC272" s="169"/>
      <c r="DD272" s="173"/>
      <c r="DE272" s="173"/>
      <c r="DF272" s="173"/>
      <c r="DG272" s="173"/>
      <c r="DH272" s="173"/>
      <c r="DI272" s="173"/>
      <c r="DJ272" s="173"/>
      <c r="DK272" s="80" t="s">
        <v>452</v>
      </c>
      <c r="DL272" s="129">
        <v>500</v>
      </c>
      <c r="DM272" s="129">
        <v>500</v>
      </c>
      <c r="DN272" s="129">
        <v>500</v>
      </c>
      <c r="DO272" s="129">
        <v>500</v>
      </c>
      <c r="DP272" s="129">
        <v>500</v>
      </c>
      <c r="DQ272" s="129">
        <v>500</v>
      </c>
      <c r="DR272" s="129">
        <v>500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7">
        <v>0.08</v>
      </c>
      <c r="AF273" s="93">
        <v>0</v>
      </c>
      <c r="AG273" s="93">
        <v>12</v>
      </c>
      <c r="AH273" s="93">
        <v>12</v>
      </c>
      <c r="AI273" s="16">
        <f t="shared" si="279"/>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4"/>
        <v>0</v>
      </c>
      <c r="BV273" s="27"/>
      <c r="BW273" s="27"/>
      <c r="BX273" s="27"/>
      <c r="BY273" s="27"/>
      <c r="BZ273" s="27"/>
      <c r="CA273" s="27"/>
      <c r="CB273" s="97">
        <v>1.5</v>
      </c>
      <c r="CC273" s="97">
        <v>100</v>
      </c>
      <c r="CD273" s="97">
        <v>100</v>
      </c>
      <c r="CE273" s="97">
        <v>100</v>
      </c>
      <c r="CF273" s="97">
        <v>100</v>
      </c>
      <c r="CG273" s="97">
        <v>100</v>
      </c>
      <c r="CH273" s="97">
        <v>100</v>
      </c>
      <c r="CI273" s="174"/>
      <c r="CJ273" s="174"/>
      <c r="CK273" s="174"/>
      <c r="CL273" s="174"/>
      <c r="CM273" s="174"/>
      <c r="CN273" s="174"/>
      <c r="CO273" s="174"/>
      <c r="CP273" s="175"/>
      <c r="CQ273" s="175"/>
      <c r="CR273" s="175"/>
      <c r="CS273" s="175"/>
      <c r="CT273" s="175"/>
      <c r="CU273" s="175"/>
      <c r="CV273" s="175"/>
      <c r="CW273" s="166"/>
      <c r="CX273" s="167"/>
      <c r="CY273" s="167"/>
      <c r="CZ273" s="167"/>
      <c r="DA273" s="167"/>
      <c r="DB273" s="167"/>
      <c r="DC273" s="167"/>
      <c r="DD273" s="172"/>
      <c r="DE273" s="172"/>
      <c r="DF273" s="172"/>
      <c r="DG273" s="172"/>
      <c r="DH273" s="172"/>
      <c r="DI273" s="172"/>
      <c r="DJ273" s="172"/>
      <c r="DK273" s="79" t="s">
        <v>1334</v>
      </c>
      <c r="DL273" s="128">
        <v>200</v>
      </c>
      <c r="DM273" s="128">
        <v>200</v>
      </c>
      <c r="DN273" s="128">
        <v>200</v>
      </c>
      <c r="DO273" s="128">
        <v>200</v>
      </c>
      <c r="DP273" s="128">
        <v>200</v>
      </c>
      <c r="DQ273" s="128">
        <v>200</v>
      </c>
      <c r="DR273" s="128">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
      <c r="A274" s="6" t="s">
        <v>1335</v>
      </c>
      <c r="B274" s="6" t="s">
        <v>654</v>
      </c>
      <c r="C274" s="6" t="s">
        <v>788</v>
      </c>
      <c r="D274" s="6" t="s">
        <v>656</v>
      </c>
      <c r="E274" s="6" t="s">
        <v>459</v>
      </c>
      <c r="F274" s="6" t="s">
        <v>457</v>
      </c>
      <c r="G274" s="222"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7">
        <v>0.08</v>
      </c>
      <c r="AF274" s="94">
        <v>0</v>
      </c>
      <c r="AG274" s="94">
        <v>12</v>
      </c>
      <c r="AH274" s="94">
        <v>12</v>
      </c>
      <c r="AI274" s="17">
        <f t="shared" si="279"/>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4"/>
        <v>0</v>
      </c>
      <c r="BV274" s="28"/>
      <c r="BW274" s="28"/>
      <c r="BX274" s="28"/>
      <c r="BY274" s="28"/>
      <c r="BZ274" s="28"/>
      <c r="CA274" s="28"/>
      <c r="CB274" s="99"/>
      <c r="CC274" s="99">
        <v>100</v>
      </c>
      <c r="CD274" s="99">
        <v>100</v>
      </c>
      <c r="CE274" s="99">
        <v>100</v>
      </c>
      <c r="CF274" s="99">
        <v>100</v>
      </c>
      <c r="CG274" s="99">
        <v>100</v>
      </c>
      <c r="CH274" s="99">
        <v>100</v>
      </c>
      <c r="CI274" s="176"/>
      <c r="CJ274" s="176"/>
      <c r="CK274" s="176"/>
      <c r="CL274" s="176"/>
      <c r="CM274" s="176"/>
      <c r="CN274" s="176"/>
      <c r="CO274" s="176"/>
      <c r="CP274" s="177"/>
      <c r="CQ274" s="177"/>
      <c r="CR274" s="177"/>
      <c r="CS274" s="177"/>
      <c r="CT274" s="177"/>
      <c r="CU274" s="177"/>
      <c r="CV274" s="177"/>
      <c r="CW274" s="168"/>
      <c r="CX274" s="169"/>
      <c r="CY274" s="169"/>
      <c r="CZ274" s="169"/>
      <c r="DA274" s="169"/>
      <c r="DB274" s="169"/>
      <c r="DC274" s="169"/>
      <c r="DD274" s="173"/>
      <c r="DE274" s="173"/>
      <c r="DF274" s="173"/>
      <c r="DG274" s="173"/>
      <c r="DH274" s="173"/>
      <c r="DI274" s="173"/>
      <c r="DJ274" s="173"/>
      <c r="DK274" s="80" t="s">
        <v>1337</v>
      </c>
      <c r="DL274" s="129">
        <v>200</v>
      </c>
      <c r="DM274" s="129">
        <v>200</v>
      </c>
      <c r="DN274" s="129">
        <v>200</v>
      </c>
      <c r="DO274" s="129">
        <v>200</v>
      </c>
      <c r="DP274" s="129">
        <v>200</v>
      </c>
      <c r="DQ274" s="129">
        <v>200</v>
      </c>
      <c r="DR274" s="129">
        <v>200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7">
        <v>0.08</v>
      </c>
      <c r="AF275" s="93">
        <v>0</v>
      </c>
      <c r="AG275" s="93">
        <v>12</v>
      </c>
      <c r="AH275" s="93">
        <v>12</v>
      </c>
      <c r="AI275" s="16">
        <f t="shared" si="279"/>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80">IF(BL275=1,BN275,0)</f>
        <v>0</v>
      </c>
      <c r="BV275" s="27"/>
      <c r="BW275" s="27"/>
      <c r="BX275" s="27"/>
      <c r="BY275" s="27"/>
      <c r="BZ275" s="27"/>
      <c r="CA275" s="27"/>
      <c r="CB275" s="97"/>
      <c r="CC275" s="97">
        <v>5</v>
      </c>
      <c r="CD275" s="97">
        <v>10</v>
      </c>
      <c r="CE275" s="97">
        <v>50</v>
      </c>
      <c r="CF275" s="97">
        <v>100</v>
      </c>
      <c r="CG275" s="97">
        <v>100</v>
      </c>
      <c r="CH275" s="97">
        <v>100</v>
      </c>
      <c r="CI275" s="174"/>
      <c r="CJ275" s="174"/>
      <c r="CK275" s="174"/>
      <c r="CL275" s="174"/>
      <c r="CM275" s="174"/>
      <c r="CN275" s="174"/>
      <c r="CO275" s="174"/>
      <c r="CP275" s="175"/>
      <c r="CQ275" s="175"/>
      <c r="CR275" s="175"/>
      <c r="CS275" s="175"/>
      <c r="CT275" s="175"/>
      <c r="CU275" s="175"/>
      <c r="CV275" s="175"/>
      <c r="CW275" s="166"/>
      <c r="CX275" s="167"/>
      <c r="CY275" s="167"/>
      <c r="CZ275" s="167"/>
      <c r="DA275" s="167"/>
      <c r="DB275" s="167"/>
      <c r="DC275" s="167"/>
      <c r="DD275" s="172"/>
      <c r="DE275" s="172"/>
      <c r="DF275" s="172"/>
      <c r="DG275" s="172"/>
      <c r="DH275" s="172"/>
      <c r="DI275" s="172"/>
      <c r="DJ275" s="172"/>
      <c r="DK275" s="79" t="s">
        <v>1340</v>
      </c>
      <c r="DL275" s="128">
        <v>500</v>
      </c>
      <c r="DM275" s="128">
        <v>500</v>
      </c>
      <c r="DN275" s="128">
        <v>500</v>
      </c>
      <c r="DO275" s="128">
        <v>500</v>
      </c>
      <c r="DP275" s="128">
        <v>500</v>
      </c>
      <c r="DQ275" s="128">
        <v>500</v>
      </c>
      <c r="DR275" s="128">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7">
        <v>0.08</v>
      </c>
      <c r="AF276" s="94"/>
      <c r="AG276" s="94">
        <v>1</v>
      </c>
      <c r="AH276" s="94">
        <v>1</v>
      </c>
      <c r="AI276" s="17">
        <f t="shared" si="279"/>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4"/>
        <v>0</v>
      </c>
      <c r="BV276" s="28"/>
      <c r="BW276" s="28"/>
      <c r="BX276" s="28"/>
      <c r="BY276" s="28"/>
      <c r="BZ276" s="28"/>
      <c r="CA276" s="28"/>
      <c r="CB276" s="186">
        <v>250</v>
      </c>
      <c r="CC276" s="99">
        <v>100</v>
      </c>
      <c r="CD276" s="99">
        <v>100</v>
      </c>
      <c r="CE276" s="99">
        <v>100</v>
      </c>
      <c r="CF276" s="99">
        <v>100</v>
      </c>
      <c r="CG276" s="99">
        <v>100</v>
      </c>
      <c r="CH276" s="99">
        <v>100</v>
      </c>
      <c r="CI276" s="176"/>
      <c r="CJ276" s="176"/>
      <c r="CK276" s="176"/>
      <c r="CL276" s="176"/>
      <c r="CM276" s="176"/>
      <c r="CN276" s="176"/>
      <c r="CO276" s="176"/>
      <c r="CP276" s="177"/>
      <c r="CQ276" s="177"/>
      <c r="CR276" s="177"/>
      <c r="CS276" s="177"/>
      <c r="CT276" s="177"/>
      <c r="CU276" s="177"/>
      <c r="CV276" s="177"/>
      <c r="CW276" s="168"/>
      <c r="CX276" s="169"/>
      <c r="CY276" s="169"/>
      <c r="CZ276" s="169"/>
      <c r="DA276" s="169"/>
      <c r="DB276" s="169"/>
      <c r="DC276" s="169"/>
      <c r="DD276" s="173"/>
      <c r="DE276" s="173"/>
      <c r="DF276" s="173"/>
      <c r="DG276" s="173"/>
      <c r="DH276" s="173"/>
      <c r="DI276" s="173"/>
      <c r="DJ276" s="173"/>
      <c r="DK276" s="80" t="s">
        <v>502</v>
      </c>
      <c r="DL276" s="129">
        <v>500</v>
      </c>
      <c r="DM276" s="129">
        <v>500</v>
      </c>
      <c r="DN276" s="129">
        <v>500</v>
      </c>
      <c r="DO276" s="129">
        <v>500</v>
      </c>
      <c r="DP276" s="129">
        <v>500</v>
      </c>
      <c r="DQ276" s="129">
        <v>500</v>
      </c>
      <c r="DR276" s="129">
        <v>500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7">
        <v>0.08</v>
      </c>
      <c r="AF277" s="93">
        <v>0</v>
      </c>
      <c r="AG277" s="93">
        <v>12</v>
      </c>
      <c r="AH277" s="93">
        <v>12</v>
      </c>
      <c r="AI277" s="16">
        <f t="shared" si="279"/>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4"/>
        <v>0</v>
      </c>
      <c r="BV277" s="27"/>
      <c r="BW277" s="27"/>
      <c r="BX277" s="27"/>
      <c r="BY277" s="27"/>
      <c r="BZ277" s="27"/>
      <c r="CA277" s="27"/>
      <c r="CB277" s="97">
        <v>0.2</v>
      </c>
      <c r="CC277" s="97">
        <v>5</v>
      </c>
      <c r="CD277" s="97">
        <v>25</v>
      </c>
      <c r="CE277" s="97">
        <v>50</v>
      </c>
      <c r="CF277" s="97">
        <v>100</v>
      </c>
      <c r="CG277" s="97">
        <v>100</v>
      </c>
      <c r="CH277" s="97">
        <v>100</v>
      </c>
      <c r="CI277" s="174"/>
      <c r="CJ277" s="174"/>
      <c r="CK277" s="174"/>
      <c r="CL277" s="174"/>
      <c r="CM277" s="174"/>
      <c r="CN277" s="174"/>
      <c r="CO277" s="174"/>
      <c r="CP277" s="175"/>
      <c r="CQ277" s="175"/>
      <c r="CR277" s="175"/>
      <c r="CS277" s="175"/>
      <c r="CT277" s="175"/>
      <c r="CU277" s="175"/>
      <c r="CV277" s="175"/>
      <c r="CW277" s="166"/>
      <c r="CX277" s="167"/>
      <c r="CY277" s="167"/>
      <c r="CZ277" s="167"/>
      <c r="DA277" s="167"/>
      <c r="DB277" s="167"/>
      <c r="DC277" s="167"/>
      <c r="DD277" s="172"/>
      <c r="DE277" s="172"/>
      <c r="DF277" s="172"/>
      <c r="DG277" s="172"/>
      <c r="DH277" s="172"/>
      <c r="DI277" s="172"/>
      <c r="DJ277" s="172"/>
      <c r="DK277" s="79" t="s">
        <v>452</v>
      </c>
      <c r="DL277" s="128">
        <v>200</v>
      </c>
      <c r="DM277" s="128">
        <v>200</v>
      </c>
      <c r="DN277" s="128">
        <v>200</v>
      </c>
      <c r="DO277" s="128">
        <v>200</v>
      </c>
      <c r="DP277" s="128">
        <v>200</v>
      </c>
      <c r="DQ277" s="128">
        <v>200</v>
      </c>
      <c r="DR277" s="128">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7">
        <v>0.08</v>
      </c>
      <c r="AF278" s="94">
        <v>0</v>
      </c>
      <c r="AG278" s="94">
        <v>12</v>
      </c>
      <c r="AH278" s="94">
        <v>12</v>
      </c>
      <c r="AI278" s="17">
        <f t="shared" si="279"/>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4"/>
        <v>0</v>
      </c>
      <c r="BV278" s="28"/>
      <c r="BW278" s="28"/>
      <c r="BX278" s="28"/>
      <c r="BY278" s="28"/>
      <c r="BZ278" s="28"/>
      <c r="CA278" s="28"/>
      <c r="CB278" s="99">
        <v>0.1</v>
      </c>
      <c r="CC278" s="99">
        <v>5</v>
      </c>
      <c r="CD278" s="99">
        <v>25</v>
      </c>
      <c r="CE278" s="99">
        <v>50</v>
      </c>
      <c r="CF278" s="99">
        <v>100</v>
      </c>
      <c r="CG278" s="99">
        <v>100</v>
      </c>
      <c r="CH278" s="99">
        <v>100</v>
      </c>
      <c r="CI278" s="176"/>
      <c r="CJ278" s="176"/>
      <c r="CK278" s="176"/>
      <c r="CL278" s="176"/>
      <c r="CM278" s="176"/>
      <c r="CN278" s="176"/>
      <c r="CO278" s="176"/>
      <c r="CP278" s="177"/>
      <c r="CQ278" s="177"/>
      <c r="CR278" s="177"/>
      <c r="CS278" s="177"/>
      <c r="CT278" s="177"/>
      <c r="CU278" s="177"/>
      <c r="CV278" s="177"/>
      <c r="CW278" s="168"/>
      <c r="CX278" s="169"/>
      <c r="CY278" s="169"/>
      <c r="CZ278" s="169"/>
      <c r="DA278" s="169"/>
      <c r="DB278" s="169"/>
      <c r="DC278" s="169"/>
      <c r="DD278" s="173"/>
      <c r="DE278" s="173"/>
      <c r="DF278" s="173"/>
      <c r="DG278" s="173"/>
      <c r="DH278" s="173"/>
      <c r="DI278" s="173"/>
      <c r="DJ278" s="173"/>
      <c r="DK278" s="80" t="s">
        <v>452</v>
      </c>
      <c r="DL278" s="129">
        <v>200</v>
      </c>
      <c r="DM278" s="129">
        <v>200</v>
      </c>
      <c r="DN278" s="129">
        <v>200</v>
      </c>
      <c r="DO278" s="129">
        <v>200</v>
      </c>
      <c r="DP278" s="129">
        <v>200</v>
      </c>
      <c r="DQ278" s="129">
        <v>200</v>
      </c>
      <c r="DR278" s="129">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7">
        <v>0.08</v>
      </c>
      <c r="AF279" s="93">
        <v>0</v>
      </c>
      <c r="AG279" s="93">
        <v>12</v>
      </c>
      <c r="AH279" s="93">
        <v>12</v>
      </c>
      <c r="AI279" s="16">
        <f t="shared" si="279"/>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4"/>
        <v>0</v>
      </c>
      <c r="BV279" s="27"/>
      <c r="BW279" s="27"/>
      <c r="BX279" s="27"/>
      <c r="BY279" s="27"/>
      <c r="BZ279" s="27"/>
      <c r="CA279" s="27"/>
      <c r="CB279" s="97">
        <v>0.2</v>
      </c>
      <c r="CC279" s="97">
        <v>5</v>
      </c>
      <c r="CD279" s="97">
        <v>25</v>
      </c>
      <c r="CE279" s="97">
        <v>50</v>
      </c>
      <c r="CF279" s="97">
        <v>100</v>
      </c>
      <c r="CG279" s="97">
        <v>100</v>
      </c>
      <c r="CH279" s="97">
        <v>100</v>
      </c>
      <c r="CI279" s="174"/>
      <c r="CJ279" s="174"/>
      <c r="CK279" s="174"/>
      <c r="CL279" s="174"/>
      <c r="CM279" s="174"/>
      <c r="CN279" s="174"/>
      <c r="CO279" s="174"/>
      <c r="CP279" s="175"/>
      <c r="CQ279" s="175"/>
      <c r="CR279" s="175"/>
      <c r="CS279" s="175"/>
      <c r="CT279" s="175"/>
      <c r="CU279" s="175"/>
      <c r="CV279" s="175"/>
      <c r="CW279" s="166"/>
      <c r="CX279" s="167"/>
      <c r="CY279" s="167"/>
      <c r="CZ279" s="167"/>
      <c r="DA279" s="167"/>
      <c r="DB279" s="167"/>
      <c r="DC279" s="167"/>
      <c r="DD279" s="172"/>
      <c r="DE279" s="172"/>
      <c r="DF279" s="172"/>
      <c r="DG279" s="172"/>
      <c r="DH279" s="172"/>
      <c r="DI279" s="172"/>
      <c r="DJ279" s="172"/>
      <c r="DK279" s="79" t="s">
        <v>1351</v>
      </c>
      <c r="DL279" s="128">
        <v>200</v>
      </c>
      <c r="DM279" s="128">
        <v>200</v>
      </c>
      <c r="DN279" s="128">
        <v>200</v>
      </c>
      <c r="DO279" s="128">
        <v>200</v>
      </c>
      <c r="DP279" s="128">
        <v>200</v>
      </c>
      <c r="DQ279" s="128">
        <v>200</v>
      </c>
      <c r="DR279" s="128">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7">
        <v>0.08</v>
      </c>
      <c r="AF280" s="94">
        <v>0</v>
      </c>
      <c r="AG280" s="94">
        <v>12</v>
      </c>
      <c r="AH280" s="94">
        <v>12</v>
      </c>
      <c r="AI280" s="17">
        <f t="shared" si="279"/>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4"/>
        <v>0</v>
      </c>
      <c r="BV280" s="28"/>
      <c r="BW280" s="28"/>
      <c r="BX280" s="28"/>
      <c r="BY280" s="28"/>
      <c r="BZ280" s="28"/>
      <c r="CA280" s="28"/>
      <c r="CB280" s="99"/>
      <c r="CC280" s="99">
        <v>5</v>
      </c>
      <c r="CD280" s="99">
        <v>25</v>
      </c>
      <c r="CE280" s="99">
        <v>50</v>
      </c>
      <c r="CF280" s="99">
        <v>100</v>
      </c>
      <c r="CG280" s="99">
        <v>100</v>
      </c>
      <c r="CH280" s="99">
        <v>100</v>
      </c>
      <c r="CI280" s="176"/>
      <c r="CJ280" s="176"/>
      <c r="CK280" s="176"/>
      <c r="CL280" s="176"/>
      <c r="CM280" s="176"/>
      <c r="CN280" s="176"/>
      <c r="CO280" s="176"/>
      <c r="CP280" s="177"/>
      <c r="CQ280" s="177"/>
      <c r="CR280" s="177"/>
      <c r="CS280" s="177"/>
      <c r="CT280" s="177"/>
      <c r="CU280" s="177"/>
      <c r="CV280" s="177"/>
      <c r="CW280" s="168"/>
      <c r="CX280" s="169"/>
      <c r="CY280" s="169"/>
      <c r="CZ280" s="169"/>
      <c r="DA280" s="169"/>
      <c r="DB280" s="169"/>
      <c r="DC280" s="169"/>
      <c r="DD280" s="173"/>
      <c r="DE280" s="173"/>
      <c r="DF280" s="173"/>
      <c r="DG280" s="173"/>
      <c r="DH280" s="173"/>
      <c r="DI280" s="173"/>
      <c r="DJ280" s="173"/>
      <c r="DK280" s="80" t="s">
        <v>1354</v>
      </c>
      <c r="DL280" s="129">
        <v>200</v>
      </c>
      <c r="DM280" s="129">
        <v>200</v>
      </c>
      <c r="DN280" s="129">
        <v>200</v>
      </c>
      <c r="DO280" s="129">
        <v>200</v>
      </c>
      <c r="DP280" s="129">
        <v>200</v>
      </c>
      <c r="DQ280" s="129">
        <v>200</v>
      </c>
      <c r="DR280" s="129">
        <v>200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7">
        <v>0.08</v>
      </c>
      <c r="AF281" s="93">
        <v>0</v>
      </c>
      <c r="AG281" s="93">
        <v>10</v>
      </c>
      <c r="AH281" s="93">
        <v>10</v>
      </c>
      <c r="AI281" s="16">
        <f t="shared" si="279"/>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4"/>
        <v>0</v>
      </c>
      <c r="BV281" s="27"/>
      <c r="BW281" s="27"/>
      <c r="BX281" s="27"/>
      <c r="BY281" s="27"/>
      <c r="BZ281" s="27"/>
      <c r="CA281" s="27"/>
      <c r="CB281" s="97">
        <v>23</v>
      </c>
      <c r="CC281" s="97">
        <v>23</v>
      </c>
      <c r="CD281" s="97">
        <v>23</v>
      </c>
      <c r="CE281" s="97">
        <v>23</v>
      </c>
      <c r="CF281" s="97">
        <v>23</v>
      </c>
      <c r="CG281" s="97">
        <v>23</v>
      </c>
      <c r="CH281" s="97">
        <v>23</v>
      </c>
      <c r="CI281" s="174"/>
      <c r="CJ281" s="174"/>
      <c r="CK281" s="174"/>
      <c r="CL281" s="174"/>
      <c r="CM281" s="174"/>
      <c r="CN281" s="174"/>
      <c r="CO281" s="174"/>
      <c r="CP281" s="175"/>
      <c r="CQ281" s="175"/>
      <c r="CR281" s="175"/>
      <c r="CS281" s="175"/>
      <c r="CT281" s="175"/>
      <c r="CU281" s="175"/>
      <c r="CV281" s="175"/>
      <c r="CW281" s="166"/>
      <c r="CX281" s="167"/>
      <c r="CY281" s="167"/>
      <c r="CZ281" s="167"/>
      <c r="DA281" s="167"/>
      <c r="DB281" s="167"/>
      <c r="DC281" s="167"/>
      <c r="DD281" s="172"/>
      <c r="DE281" s="172"/>
      <c r="DF281" s="172"/>
      <c r="DG281" s="172"/>
      <c r="DH281" s="172"/>
      <c r="DI281" s="172"/>
      <c r="DJ281" s="172"/>
      <c r="DK281" s="79" t="s">
        <v>452</v>
      </c>
      <c r="DL281" s="128">
        <v>500</v>
      </c>
      <c r="DM281" s="128">
        <v>500</v>
      </c>
      <c r="DN281" s="128">
        <v>500</v>
      </c>
      <c r="DO281" s="128">
        <v>500</v>
      </c>
      <c r="DP281" s="128">
        <v>500</v>
      </c>
      <c r="DQ281" s="128">
        <v>500</v>
      </c>
      <c r="DR281" s="128">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7">
        <v>0.08</v>
      </c>
      <c r="AF282" s="94">
        <v>0</v>
      </c>
      <c r="AG282" s="94">
        <v>10</v>
      </c>
      <c r="AH282" s="94">
        <v>10</v>
      </c>
      <c r="AI282" s="17">
        <f t="shared" si="279"/>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4"/>
        <v>0</v>
      </c>
      <c r="BV282" s="28"/>
      <c r="BW282" s="28"/>
      <c r="BX282" s="28"/>
      <c r="BY282" s="28"/>
      <c r="BZ282" s="28"/>
      <c r="CA282" s="28"/>
      <c r="CB282" s="99">
        <v>2</v>
      </c>
      <c r="CC282" s="99">
        <v>5</v>
      </c>
      <c r="CD282" s="99">
        <v>25</v>
      </c>
      <c r="CE282" s="99">
        <v>100</v>
      </c>
      <c r="CF282" s="99">
        <v>100</v>
      </c>
      <c r="CG282" s="99">
        <v>100</v>
      </c>
      <c r="CH282" s="99">
        <v>100</v>
      </c>
      <c r="CI282" s="176"/>
      <c r="CJ282" s="176"/>
      <c r="CK282" s="176"/>
      <c r="CL282" s="176"/>
      <c r="CM282" s="176"/>
      <c r="CN282" s="176"/>
      <c r="CO282" s="176"/>
      <c r="CP282" s="177"/>
      <c r="CQ282" s="177"/>
      <c r="CR282" s="177"/>
      <c r="CS282" s="177"/>
      <c r="CT282" s="177"/>
      <c r="CU282" s="177"/>
      <c r="CV282" s="177"/>
      <c r="CW282" s="168"/>
      <c r="CX282" s="169"/>
      <c r="CY282" s="169"/>
      <c r="CZ282" s="169"/>
      <c r="DA282" s="169"/>
      <c r="DB282" s="169"/>
      <c r="DC282" s="169"/>
      <c r="DD282" s="173"/>
      <c r="DE282" s="173"/>
      <c r="DF282" s="173"/>
      <c r="DG282" s="173"/>
      <c r="DH282" s="173"/>
      <c r="DI282" s="173"/>
      <c r="DJ282" s="173"/>
      <c r="DK282" s="80" t="s">
        <v>452</v>
      </c>
      <c r="DL282" s="129">
        <v>500</v>
      </c>
      <c r="DM282" s="129">
        <v>500</v>
      </c>
      <c r="DN282" s="129">
        <v>500</v>
      </c>
      <c r="DO282" s="129">
        <v>500</v>
      </c>
      <c r="DP282" s="129">
        <v>500</v>
      </c>
      <c r="DQ282" s="129">
        <v>500</v>
      </c>
      <c r="DR282" s="129">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7">
        <v>0.08</v>
      </c>
      <c r="AF283" s="93">
        <v>0</v>
      </c>
      <c r="AG283" s="93">
        <v>40</v>
      </c>
      <c r="AH283" s="93">
        <v>40</v>
      </c>
      <c r="AI283" s="16">
        <f t="shared" si="279"/>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4"/>
        <v>0</v>
      </c>
      <c r="BV283" s="27"/>
      <c r="BW283" s="27"/>
      <c r="BX283" s="27"/>
      <c r="BY283" s="27"/>
      <c r="BZ283" s="27"/>
      <c r="CA283" s="27"/>
      <c r="CB283" s="97">
        <v>1.85</v>
      </c>
      <c r="CC283" s="97">
        <v>5</v>
      </c>
      <c r="CD283" s="97">
        <v>25</v>
      </c>
      <c r="CE283" s="97">
        <v>50</v>
      </c>
      <c r="CF283" s="97">
        <v>100</v>
      </c>
      <c r="CG283" s="97">
        <v>100</v>
      </c>
      <c r="CH283" s="97">
        <v>100</v>
      </c>
      <c r="CI283" s="174"/>
      <c r="CJ283" s="174"/>
      <c r="CK283" s="174"/>
      <c r="CL283" s="174"/>
      <c r="CM283" s="174"/>
      <c r="CN283" s="174"/>
      <c r="CO283" s="174"/>
      <c r="CP283" s="175"/>
      <c r="CQ283" s="175"/>
      <c r="CR283" s="175"/>
      <c r="CS283" s="175"/>
      <c r="CT283" s="175"/>
      <c r="CU283" s="175"/>
      <c r="CV283" s="175"/>
      <c r="CW283" s="166"/>
      <c r="CX283" s="167"/>
      <c r="CY283" s="167"/>
      <c r="CZ283" s="167"/>
      <c r="DA283" s="167"/>
      <c r="DB283" s="167"/>
      <c r="DC283" s="167"/>
      <c r="DD283" s="172"/>
      <c r="DE283" s="172"/>
      <c r="DF283" s="172"/>
      <c r="DG283" s="172"/>
      <c r="DH283" s="172"/>
      <c r="DI283" s="172"/>
      <c r="DJ283" s="172"/>
      <c r="DK283" s="79" t="s">
        <v>452</v>
      </c>
      <c r="DL283" s="128">
        <v>500</v>
      </c>
      <c r="DM283" s="128">
        <v>500</v>
      </c>
      <c r="DN283" s="128">
        <v>500</v>
      </c>
      <c r="DO283" s="128">
        <v>500</v>
      </c>
      <c r="DP283" s="128">
        <v>500</v>
      </c>
      <c r="DQ283" s="128">
        <v>500</v>
      </c>
      <c r="DR283" s="128">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7">
        <v>0.08</v>
      </c>
      <c r="AF284" s="94">
        <v>0</v>
      </c>
      <c r="AG284" s="94">
        <v>10</v>
      </c>
      <c r="AH284" s="94">
        <v>10</v>
      </c>
      <c r="AI284" s="17">
        <f t="shared" si="279"/>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4"/>
        <v>0</v>
      </c>
      <c r="BV284" s="28"/>
      <c r="BW284" s="28"/>
      <c r="BX284" s="28"/>
      <c r="BY284" s="28"/>
      <c r="BZ284" s="28"/>
      <c r="CA284" s="28"/>
      <c r="CB284" s="99">
        <v>0.55000000000000004</v>
      </c>
      <c r="CC284" s="99">
        <v>5</v>
      </c>
      <c r="CD284" s="99">
        <v>25</v>
      </c>
      <c r="CE284" s="99">
        <v>50</v>
      </c>
      <c r="CF284" s="99">
        <v>100</v>
      </c>
      <c r="CG284" s="99">
        <v>100</v>
      </c>
      <c r="CH284" s="99">
        <v>100</v>
      </c>
      <c r="CI284" s="176"/>
      <c r="CJ284" s="176"/>
      <c r="CK284" s="176"/>
      <c r="CL284" s="176"/>
      <c r="CM284" s="176"/>
      <c r="CN284" s="176"/>
      <c r="CO284" s="176"/>
      <c r="CP284" s="177"/>
      <c r="CQ284" s="177"/>
      <c r="CR284" s="177"/>
      <c r="CS284" s="177"/>
      <c r="CT284" s="177"/>
      <c r="CU284" s="177"/>
      <c r="CV284" s="177"/>
      <c r="CW284" s="168"/>
      <c r="CX284" s="169"/>
      <c r="CY284" s="169"/>
      <c r="CZ284" s="169"/>
      <c r="DA284" s="169"/>
      <c r="DB284" s="169"/>
      <c r="DC284" s="169"/>
      <c r="DD284" s="173"/>
      <c r="DE284" s="173"/>
      <c r="DF284" s="173"/>
      <c r="DG284" s="173"/>
      <c r="DH284" s="173"/>
      <c r="DI284" s="173"/>
      <c r="DJ284" s="173"/>
      <c r="DK284" s="80" t="s">
        <v>452</v>
      </c>
      <c r="DL284" s="129">
        <v>500</v>
      </c>
      <c r="DM284" s="129">
        <v>500</v>
      </c>
      <c r="DN284" s="129">
        <v>500</v>
      </c>
      <c r="DO284" s="129">
        <v>500</v>
      </c>
      <c r="DP284" s="129">
        <v>500</v>
      </c>
      <c r="DQ284" s="129">
        <v>500</v>
      </c>
      <c r="DR284" s="129">
        <v>500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
      <c r="A285" s="5" t="s">
        <v>1363</v>
      </c>
      <c r="B285" s="5" t="s">
        <v>654</v>
      </c>
      <c r="C285" s="5" t="s">
        <v>788</v>
      </c>
      <c r="D285" s="5" t="s">
        <v>708</v>
      </c>
      <c r="E285" s="5" t="s">
        <v>459</v>
      </c>
      <c r="F285" s="5" t="s">
        <v>461</v>
      </c>
      <c r="G285" s="222"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7">
        <v>0.08</v>
      </c>
      <c r="AF285" s="93">
        <v>0</v>
      </c>
      <c r="AG285" s="93">
        <v>12</v>
      </c>
      <c r="AH285" s="93">
        <v>12</v>
      </c>
      <c r="AI285" s="16">
        <f t="shared" si="279"/>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81">IF(BL285=1,BN285,0)</f>
        <v>0</v>
      </c>
      <c r="BV285" s="27"/>
      <c r="BW285" s="27"/>
      <c r="BX285" s="27"/>
      <c r="BY285" s="27"/>
      <c r="BZ285" s="27"/>
      <c r="CA285" s="27"/>
      <c r="CB285" s="97"/>
      <c r="CC285" s="97">
        <v>5</v>
      </c>
      <c r="CD285" s="97">
        <v>25</v>
      </c>
      <c r="CE285" s="97">
        <v>50</v>
      </c>
      <c r="CF285" s="97">
        <v>100</v>
      </c>
      <c r="CG285" s="97">
        <v>100</v>
      </c>
      <c r="CH285" s="97">
        <v>100</v>
      </c>
      <c r="CI285" s="174"/>
      <c r="CJ285" s="174"/>
      <c r="CK285" s="174"/>
      <c r="CL285" s="174"/>
      <c r="CM285" s="174"/>
      <c r="CN285" s="174"/>
      <c r="CO285" s="174"/>
      <c r="CP285" s="175"/>
      <c r="CQ285" s="175"/>
      <c r="CR285" s="175"/>
      <c r="CS285" s="175"/>
      <c r="CT285" s="175"/>
      <c r="CU285" s="175"/>
      <c r="CV285" s="175"/>
      <c r="CW285" s="166"/>
      <c r="CX285" s="167"/>
      <c r="CY285" s="167"/>
      <c r="CZ285" s="167"/>
      <c r="DA285" s="167"/>
      <c r="DB285" s="167"/>
      <c r="DC285" s="167"/>
      <c r="DD285" s="172"/>
      <c r="DE285" s="172"/>
      <c r="DF285" s="172"/>
      <c r="DG285" s="172"/>
      <c r="DH285" s="172"/>
      <c r="DI285" s="172"/>
      <c r="DJ285" s="172"/>
      <c r="DK285" s="79" t="s">
        <v>1337</v>
      </c>
      <c r="DL285" s="128">
        <v>200</v>
      </c>
      <c r="DM285" s="128">
        <v>200</v>
      </c>
      <c r="DN285" s="128">
        <v>200</v>
      </c>
      <c r="DO285" s="128">
        <v>200</v>
      </c>
      <c r="DP285" s="128">
        <v>200</v>
      </c>
      <c r="DQ285" s="128">
        <v>200</v>
      </c>
      <c r="DR285" s="128">
        <v>200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7">
        <v>0.08</v>
      </c>
      <c r="AF286" s="94">
        <v>0</v>
      </c>
      <c r="AG286" s="94">
        <v>10</v>
      </c>
      <c r="AH286" s="94">
        <v>10</v>
      </c>
      <c r="AI286" s="17">
        <f t="shared" si="279"/>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4"/>
        <v>0</v>
      </c>
      <c r="BV286" s="28"/>
      <c r="BW286" s="28"/>
      <c r="BX286" s="28"/>
      <c r="BY286" s="28"/>
      <c r="BZ286" s="28"/>
      <c r="CA286" s="28"/>
      <c r="CB286" s="99">
        <v>0.2</v>
      </c>
      <c r="CC286" s="99">
        <v>5</v>
      </c>
      <c r="CD286" s="99">
        <v>25</v>
      </c>
      <c r="CE286" s="99">
        <v>50</v>
      </c>
      <c r="CF286" s="99">
        <v>100</v>
      </c>
      <c r="CG286" s="99">
        <v>100</v>
      </c>
      <c r="CH286" s="99">
        <v>100</v>
      </c>
      <c r="CI286" s="176"/>
      <c r="CJ286" s="176"/>
      <c r="CK286" s="176"/>
      <c r="CL286" s="176"/>
      <c r="CM286" s="176"/>
      <c r="CN286" s="176"/>
      <c r="CO286" s="176"/>
      <c r="CP286" s="177"/>
      <c r="CQ286" s="177"/>
      <c r="CR286" s="177"/>
      <c r="CS286" s="177"/>
      <c r="CT286" s="177"/>
      <c r="CU286" s="177"/>
      <c r="CV286" s="177"/>
      <c r="CW286" s="168"/>
      <c r="CX286" s="169"/>
      <c r="CY286" s="169"/>
      <c r="CZ286" s="169"/>
      <c r="DA286" s="169"/>
      <c r="DB286" s="169"/>
      <c r="DC286" s="169"/>
      <c r="DD286" s="173"/>
      <c r="DE286" s="173"/>
      <c r="DF286" s="173"/>
      <c r="DG286" s="173"/>
      <c r="DH286" s="173"/>
      <c r="DI286" s="173"/>
      <c r="DJ286" s="173"/>
      <c r="DK286" s="80" t="s">
        <v>1367</v>
      </c>
      <c r="DL286" s="129">
        <v>500</v>
      </c>
      <c r="DM286" s="129">
        <v>500</v>
      </c>
      <c r="DN286" s="129">
        <v>500</v>
      </c>
      <c r="DO286" s="129">
        <v>500</v>
      </c>
      <c r="DP286" s="129">
        <v>500</v>
      </c>
      <c r="DQ286" s="129">
        <v>500</v>
      </c>
      <c r="DR286" s="129">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7">
        <v>0.08</v>
      </c>
      <c r="AF287" s="93">
        <v>0</v>
      </c>
      <c r="AG287" s="93">
        <v>10</v>
      </c>
      <c r="AH287" s="93">
        <v>10</v>
      </c>
      <c r="AI287" s="16">
        <f t="shared" si="279"/>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4"/>
        <v>0</v>
      </c>
      <c r="BV287" s="27"/>
      <c r="BW287" s="27"/>
      <c r="BX287" s="27"/>
      <c r="BY287" s="27"/>
      <c r="BZ287" s="27"/>
      <c r="CA287" s="27"/>
      <c r="CB287" s="97"/>
      <c r="CC287" s="97">
        <v>5</v>
      </c>
      <c r="CD287" s="97">
        <v>25</v>
      </c>
      <c r="CE287" s="97">
        <v>50</v>
      </c>
      <c r="CF287" s="97">
        <v>100</v>
      </c>
      <c r="CG287" s="97">
        <v>100</v>
      </c>
      <c r="CH287" s="97">
        <v>100</v>
      </c>
      <c r="CI287" s="174"/>
      <c r="CJ287" s="174"/>
      <c r="CK287" s="174"/>
      <c r="CL287" s="174"/>
      <c r="CM287" s="174"/>
      <c r="CN287" s="174"/>
      <c r="CO287" s="174"/>
      <c r="CP287" s="175"/>
      <c r="CQ287" s="175"/>
      <c r="CR287" s="175"/>
      <c r="CS287" s="175"/>
      <c r="CT287" s="175"/>
      <c r="CU287" s="175"/>
      <c r="CV287" s="175"/>
      <c r="CW287" s="166"/>
      <c r="CX287" s="167"/>
      <c r="CY287" s="167"/>
      <c r="CZ287" s="167"/>
      <c r="DA287" s="167"/>
      <c r="DB287" s="167"/>
      <c r="DC287" s="167"/>
      <c r="DD287" s="172"/>
      <c r="DE287" s="172"/>
      <c r="DF287" s="172"/>
      <c r="DG287" s="172"/>
      <c r="DH287" s="172"/>
      <c r="DI287" s="172"/>
      <c r="DJ287" s="172"/>
      <c r="DK287" s="79" t="s">
        <v>1354</v>
      </c>
      <c r="DL287" s="128">
        <v>500</v>
      </c>
      <c r="DM287" s="128">
        <v>500</v>
      </c>
      <c r="DN287" s="128">
        <v>500</v>
      </c>
      <c r="DO287" s="128">
        <v>500</v>
      </c>
      <c r="DP287" s="128">
        <v>500</v>
      </c>
      <c r="DQ287" s="128">
        <v>500</v>
      </c>
      <c r="DR287" s="128">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7">
        <v>0.08</v>
      </c>
      <c r="AF288" s="94">
        <v>0</v>
      </c>
      <c r="AG288" s="94">
        <v>10</v>
      </c>
      <c r="AH288" s="94">
        <v>10</v>
      </c>
      <c r="AI288" s="17">
        <f t="shared" si="279"/>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4"/>
        <v>0</v>
      </c>
      <c r="BV288" s="28"/>
      <c r="BW288" s="28"/>
      <c r="BX288" s="28"/>
      <c r="BY288" s="28"/>
      <c r="BZ288" s="28"/>
      <c r="CA288" s="28"/>
      <c r="CB288" s="99">
        <v>0.9</v>
      </c>
      <c r="CC288" s="99">
        <v>5</v>
      </c>
      <c r="CD288" s="99">
        <v>25</v>
      </c>
      <c r="CE288" s="99">
        <v>50</v>
      </c>
      <c r="CF288" s="99">
        <v>100</v>
      </c>
      <c r="CG288" s="99">
        <v>100</v>
      </c>
      <c r="CH288" s="99">
        <v>100</v>
      </c>
      <c r="CI288" s="176"/>
      <c r="CJ288" s="176"/>
      <c r="CK288" s="176"/>
      <c r="CL288" s="176"/>
      <c r="CM288" s="176"/>
      <c r="CN288" s="176"/>
      <c r="CO288" s="176"/>
      <c r="CP288" s="177"/>
      <c r="CQ288" s="177"/>
      <c r="CR288" s="177"/>
      <c r="CS288" s="177"/>
      <c r="CT288" s="177"/>
      <c r="CU288" s="177"/>
      <c r="CV288" s="177"/>
      <c r="CW288" s="168"/>
      <c r="CX288" s="169"/>
      <c r="CY288" s="169"/>
      <c r="CZ288" s="169"/>
      <c r="DA288" s="169"/>
      <c r="DB288" s="169"/>
      <c r="DC288" s="169"/>
      <c r="DD288" s="173"/>
      <c r="DE288" s="173"/>
      <c r="DF288" s="173"/>
      <c r="DG288" s="173"/>
      <c r="DH288" s="173"/>
      <c r="DI288" s="173"/>
      <c r="DJ288" s="173"/>
      <c r="DK288" s="80" t="s">
        <v>452</v>
      </c>
      <c r="DL288" s="129">
        <v>500</v>
      </c>
      <c r="DM288" s="129">
        <v>500</v>
      </c>
      <c r="DN288" s="129">
        <v>500</v>
      </c>
      <c r="DO288" s="129">
        <v>500</v>
      </c>
      <c r="DP288" s="129">
        <v>500</v>
      </c>
      <c r="DQ288" s="129">
        <v>500</v>
      </c>
      <c r="DR288" s="129">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7">
        <v>0.08</v>
      </c>
      <c r="AF289" s="93">
        <v>0</v>
      </c>
      <c r="AG289" s="93">
        <v>10</v>
      </c>
      <c r="AH289" s="93">
        <v>10</v>
      </c>
      <c r="AI289" s="16">
        <f t="shared" si="279"/>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4"/>
        <v>0</v>
      </c>
      <c r="BV289" s="27"/>
      <c r="BW289" s="27"/>
      <c r="BX289" s="27"/>
      <c r="BY289" s="27"/>
      <c r="BZ289" s="27"/>
      <c r="CA289" s="27"/>
      <c r="CB289" s="97"/>
      <c r="CC289" s="97">
        <v>5</v>
      </c>
      <c r="CD289" s="97">
        <v>25</v>
      </c>
      <c r="CE289" s="97">
        <v>50</v>
      </c>
      <c r="CF289" s="97">
        <v>100</v>
      </c>
      <c r="CG289" s="97">
        <v>100</v>
      </c>
      <c r="CH289" s="97">
        <v>100</v>
      </c>
      <c r="CI289" s="174"/>
      <c r="CJ289" s="174"/>
      <c r="CK289" s="174"/>
      <c r="CL289" s="174"/>
      <c r="CM289" s="174"/>
      <c r="CN289" s="174"/>
      <c r="CO289" s="174"/>
      <c r="CP289" s="175"/>
      <c r="CQ289" s="175"/>
      <c r="CR289" s="175"/>
      <c r="CS289" s="175"/>
      <c r="CT289" s="175"/>
      <c r="CU289" s="175"/>
      <c r="CV289" s="175"/>
      <c r="CW289" s="166"/>
      <c r="CX289" s="167"/>
      <c r="CY289" s="167"/>
      <c r="CZ289" s="167"/>
      <c r="DA289" s="167"/>
      <c r="DB289" s="167"/>
      <c r="DC289" s="167"/>
      <c r="DD289" s="172"/>
      <c r="DE289" s="172"/>
      <c r="DF289" s="172"/>
      <c r="DG289" s="172"/>
      <c r="DH289" s="172"/>
      <c r="DI289" s="172"/>
      <c r="DJ289" s="172"/>
      <c r="DK289" s="79" t="s">
        <v>452</v>
      </c>
      <c r="DL289" s="128">
        <v>500</v>
      </c>
      <c r="DM289" s="128">
        <v>500</v>
      </c>
      <c r="DN289" s="128">
        <v>500</v>
      </c>
      <c r="DO289" s="128">
        <v>500</v>
      </c>
      <c r="DP289" s="128">
        <v>500</v>
      </c>
      <c r="DQ289" s="128">
        <v>500</v>
      </c>
      <c r="DR289" s="128">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7">
        <v>0.08</v>
      </c>
      <c r="AF290" s="94">
        <v>0</v>
      </c>
      <c r="AG290" s="94">
        <v>10</v>
      </c>
      <c r="AH290" s="94">
        <v>10</v>
      </c>
      <c r="AI290" s="17">
        <f t="shared" si="279"/>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82">IF(BL290=1,BN290,0)</f>
        <v>0</v>
      </c>
      <c r="BV290" s="28"/>
      <c r="BW290" s="28"/>
      <c r="BX290" s="28"/>
      <c r="BY290" s="28"/>
      <c r="BZ290" s="28"/>
      <c r="CA290" s="28"/>
      <c r="CB290" s="99"/>
      <c r="CC290" s="99">
        <v>5</v>
      </c>
      <c r="CD290" s="99">
        <v>25</v>
      </c>
      <c r="CE290" s="99">
        <v>50</v>
      </c>
      <c r="CF290" s="99">
        <v>100</v>
      </c>
      <c r="CG290" s="99">
        <v>100</v>
      </c>
      <c r="CH290" s="99">
        <v>100</v>
      </c>
      <c r="CI290" s="176"/>
      <c r="CJ290" s="176"/>
      <c r="CK290" s="176"/>
      <c r="CL290" s="176"/>
      <c r="CM290" s="176"/>
      <c r="CN290" s="176"/>
      <c r="CO290" s="176"/>
      <c r="CP290" s="177"/>
      <c r="CQ290" s="177"/>
      <c r="CR290" s="177"/>
      <c r="CS290" s="177"/>
      <c r="CT290" s="177"/>
      <c r="CU290" s="177"/>
      <c r="CV290" s="177"/>
      <c r="CW290" s="168"/>
      <c r="CX290" s="169"/>
      <c r="CY290" s="169"/>
      <c r="CZ290" s="169"/>
      <c r="DA290" s="169"/>
      <c r="DB290" s="169"/>
      <c r="DC290" s="169"/>
      <c r="DD290" s="173"/>
      <c r="DE290" s="173"/>
      <c r="DF290" s="173"/>
      <c r="DG290" s="173"/>
      <c r="DH290" s="173"/>
      <c r="DI290" s="173"/>
      <c r="DJ290" s="173"/>
      <c r="DK290" s="80" t="s">
        <v>1376</v>
      </c>
      <c r="DL290" s="129">
        <v>500</v>
      </c>
      <c r="DM290" s="129">
        <v>500</v>
      </c>
      <c r="DN290" s="129">
        <v>500</v>
      </c>
      <c r="DO290" s="129">
        <v>500</v>
      </c>
      <c r="DP290" s="129">
        <v>500</v>
      </c>
      <c r="DQ290" s="129">
        <v>500</v>
      </c>
      <c r="DR290" s="129">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7">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4"/>
        <v>0</v>
      </c>
      <c r="BV291" s="27"/>
      <c r="BW291" s="27"/>
      <c r="BX291" s="27"/>
      <c r="BY291" s="27"/>
      <c r="BZ291" s="27"/>
      <c r="CA291" s="27"/>
      <c r="CB291" s="97">
        <v>4</v>
      </c>
      <c r="CC291" s="97">
        <v>5</v>
      </c>
      <c r="CD291" s="97">
        <v>25</v>
      </c>
      <c r="CE291" s="97">
        <v>50</v>
      </c>
      <c r="CF291" s="97">
        <v>100</v>
      </c>
      <c r="CG291" s="97">
        <v>100</v>
      </c>
      <c r="CH291" s="97">
        <v>100</v>
      </c>
      <c r="CI291" s="174"/>
      <c r="CJ291" s="174"/>
      <c r="CK291" s="174"/>
      <c r="CL291" s="174"/>
      <c r="CM291" s="174"/>
      <c r="CN291" s="174"/>
      <c r="CO291" s="174"/>
      <c r="CP291" s="175"/>
      <c r="CQ291" s="175"/>
      <c r="CR291" s="175"/>
      <c r="CS291" s="175"/>
      <c r="CT291" s="175"/>
      <c r="CU291" s="175"/>
      <c r="CV291" s="175"/>
      <c r="CW291" s="166"/>
      <c r="CX291" s="167"/>
      <c r="CY291" s="167"/>
      <c r="CZ291" s="167"/>
      <c r="DA291" s="167"/>
      <c r="DB291" s="167"/>
      <c r="DC291" s="167"/>
      <c r="DD291" s="172"/>
      <c r="DE291" s="172"/>
      <c r="DF291" s="172"/>
      <c r="DG291" s="172"/>
      <c r="DH291" s="172"/>
      <c r="DI291" s="172"/>
      <c r="DJ291" s="172"/>
      <c r="DK291" s="79" t="s">
        <v>452</v>
      </c>
      <c r="DL291" s="128">
        <v>500</v>
      </c>
      <c r="DM291" s="128">
        <v>500</v>
      </c>
      <c r="DN291" s="128">
        <v>500</v>
      </c>
      <c r="DO291" s="128">
        <v>500</v>
      </c>
      <c r="DP291" s="128">
        <v>500</v>
      </c>
      <c r="DQ291" s="128">
        <v>500</v>
      </c>
      <c r="DR291" s="128">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7">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4"/>
        <v>0</v>
      </c>
      <c r="BV292" s="28"/>
      <c r="BW292" s="28"/>
      <c r="BX292" s="28"/>
      <c r="BY292" s="28"/>
      <c r="BZ292" s="28"/>
      <c r="CA292" s="28"/>
      <c r="CB292" s="99"/>
      <c r="CC292" s="99">
        <v>5</v>
      </c>
      <c r="CD292" s="99">
        <v>25</v>
      </c>
      <c r="CE292" s="99">
        <v>50</v>
      </c>
      <c r="CF292" s="99">
        <v>100</v>
      </c>
      <c r="CG292" s="99">
        <v>100</v>
      </c>
      <c r="CH292" s="99">
        <v>100</v>
      </c>
      <c r="CI292" s="176"/>
      <c r="CJ292" s="176"/>
      <c r="CK292" s="176"/>
      <c r="CL292" s="176"/>
      <c r="CM292" s="176"/>
      <c r="CN292" s="176"/>
      <c r="CO292" s="176"/>
      <c r="CP292" s="177"/>
      <c r="CQ292" s="177"/>
      <c r="CR292" s="177"/>
      <c r="CS292" s="177"/>
      <c r="CT292" s="177"/>
      <c r="CU292" s="177"/>
      <c r="CV292" s="177"/>
      <c r="CW292" s="168"/>
      <c r="CX292" s="169"/>
      <c r="CY292" s="169"/>
      <c r="CZ292" s="169"/>
      <c r="DA292" s="169"/>
      <c r="DB292" s="169"/>
      <c r="DC292" s="169"/>
      <c r="DD292" s="173"/>
      <c r="DE292" s="173"/>
      <c r="DF292" s="173"/>
      <c r="DG292" s="173"/>
      <c r="DH292" s="173"/>
      <c r="DI292" s="173"/>
      <c r="DJ292" s="173"/>
      <c r="DK292" s="80" t="s">
        <v>452</v>
      </c>
      <c r="DL292" s="129">
        <v>500</v>
      </c>
      <c r="DM292" s="129">
        <v>500</v>
      </c>
      <c r="DN292" s="129">
        <v>500</v>
      </c>
      <c r="DO292" s="129">
        <v>500</v>
      </c>
      <c r="DP292" s="129">
        <v>500</v>
      </c>
      <c r="DQ292" s="129">
        <v>500</v>
      </c>
      <c r="DR292" s="129">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7">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83">IF(BL293=1,BN293,0)</f>
        <v>0</v>
      </c>
      <c r="BV293" s="27"/>
      <c r="BW293" s="27"/>
      <c r="BX293" s="27"/>
      <c r="BY293" s="27"/>
      <c r="BZ293" s="27"/>
      <c r="CA293" s="27"/>
      <c r="CB293" s="97">
        <v>0.5</v>
      </c>
      <c r="CC293" s="97">
        <v>5</v>
      </c>
      <c r="CD293" s="97">
        <v>25</v>
      </c>
      <c r="CE293" s="97">
        <v>50</v>
      </c>
      <c r="CF293" s="97">
        <v>100</v>
      </c>
      <c r="CG293" s="97">
        <v>100</v>
      </c>
      <c r="CH293" s="97">
        <v>100</v>
      </c>
      <c r="CI293" s="174"/>
      <c r="CJ293" s="174"/>
      <c r="CK293" s="174"/>
      <c r="CL293" s="174"/>
      <c r="CM293" s="174"/>
      <c r="CN293" s="174"/>
      <c r="CO293" s="174"/>
      <c r="CP293" s="175"/>
      <c r="CQ293" s="175"/>
      <c r="CR293" s="175"/>
      <c r="CS293" s="175"/>
      <c r="CT293" s="175"/>
      <c r="CU293" s="175"/>
      <c r="CV293" s="175"/>
      <c r="CW293" s="166"/>
      <c r="CX293" s="167"/>
      <c r="CY293" s="167"/>
      <c r="CZ293" s="167"/>
      <c r="DA293" s="167"/>
      <c r="DB293" s="167"/>
      <c r="DC293" s="167"/>
      <c r="DD293" s="172"/>
      <c r="DE293" s="172"/>
      <c r="DF293" s="172"/>
      <c r="DG293" s="172"/>
      <c r="DH293" s="172"/>
      <c r="DI293" s="172"/>
      <c r="DJ293" s="172"/>
      <c r="DK293" s="79" t="s">
        <v>452</v>
      </c>
      <c r="DL293" s="128">
        <v>500</v>
      </c>
      <c r="DM293" s="128">
        <v>500</v>
      </c>
      <c r="DN293" s="128">
        <v>500</v>
      </c>
      <c r="DO293" s="128">
        <v>500</v>
      </c>
      <c r="DP293" s="128">
        <v>500</v>
      </c>
      <c r="DQ293" s="128">
        <v>500</v>
      </c>
      <c r="DR293" s="128">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7">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83"/>
        <v>0</v>
      </c>
      <c r="BV294" s="28"/>
      <c r="BW294" s="28"/>
      <c r="BX294" s="28"/>
      <c r="BY294" s="28"/>
      <c r="BZ294" s="28"/>
      <c r="CA294" s="28"/>
      <c r="CB294" s="99"/>
      <c r="CC294" s="99">
        <v>5</v>
      </c>
      <c r="CD294" s="99">
        <v>25</v>
      </c>
      <c r="CE294" s="99">
        <v>50</v>
      </c>
      <c r="CF294" s="99">
        <v>100</v>
      </c>
      <c r="CG294" s="99">
        <v>100</v>
      </c>
      <c r="CH294" s="99">
        <v>100</v>
      </c>
      <c r="CI294" s="176"/>
      <c r="CJ294" s="176"/>
      <c r="CK294" s="176"/>
      <c r="CL294" s="176"/>
      <c r="CM294" s="176"/>
      <c r="CN294" s="176"/>
      <c r="CO294" s="176"/>
      <c r="CP294" s="177"/>
      <c r="CQ294" s="177"/>
      <c r="CR294" s="177"/>
      <c r="CS294" s="177"/>
      <c r="CT294" s="177"/>
      <c r="CU294" s="177"/>
      <c r="CV294" s="177"/>
      <c r="CW294" s="168"/>
      <c r="CX294" s="169"/>
      <c r="CY294" s="169"/>
      <c r="CZ294" s="169"/>
      <c r="DA294" s="169"/>
      <c r="DB294" s="169"/>
      <c r="DC294" s="169"/>
      <c r="DD294" s="173"/>
      <c r="DE294" s="173"/>
      <c r="DF294" s="173"/>
      <c r="DG294" s="173"/>
      <c r="DH294" s="173"/>
      <c r="DI294" s="173"/>
      <c r="DJ294" s="173"/>
      <c r="DK294" s="80" t="s">
        <v>452</v>
      </c>
      <c r="DL294" s="129">
        <v>500</v>
      </c>
      <c r="DM294" s="129">
        <v>500</v>
      </c>
      <c r="DN294" s="129">
        <v>500</v>
      </c>
      <c r="DO294" s="129">
        <v>500</v>
      </c>
      <c r="DP294" s="129">
        <v>500</v>
      </c>
      <c r="DQ294" s="129">
        <v>500</v>
      </c>
      <c r="DR294" s="129">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7">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83"/>
        <v>0</v>
      </c>
      <c r="BV295" s="27"/>
      <c r="BW295" s="27"/>
      <c r="BX295" s="27"/>
      <c r="BY295" s="27"/>
      <c r="BZ295" s="27"/>
      <c r="CA295" s="27"/>
      <c r="CB295" s="97"/>
      <c r="CC295" s="97">
        <v>5</v>
      </c>
      <c r="CD295" s="97">
        <v>25</v>
      </c>
      <c r="CE295" s="97">
        <v>50</v>
      </c>
      <c r="CF295" s="97">
        <v>100</v>
      </c>
      <c r="CG295" s="97">
        <v>100</v>
      </c>
      <c r="CH295" s="97">
        <v>100</v>
      </c>
      <c r="CI295" s="174"/>
      <c r="CJ295" s="174"/>
      <c r="CK295" s="174"/>
      <c r="CL295" s="174"/>
      <c r="CM295" s="174"/>
      <c r="CN295" s="174"/>
      <c r="CO295" s="174"/>
      <c r="CP295" s="175"/>
      <c r="CQ295" s="175"/>
      <c r="CR295" s="175"/>
      <c r="CS295" s="175"/>
      <c r="CT295" s="175"/>
      <c r="CU295" s="175"/>
      <c r="CV295" s="175"/>
      <c r="CW295" s="166"/>
      <c r="CX295" s="167"/>
      <c r="CY295" s="167"/>
      <c r="CZ295" s="167"/>
      <c r="DA295" s="167"/>
      <c r="DB295" s="167"/>
      <c r="DC295" s="167"/>
      <c r="DD295" s="172"/>
      <c r="DE295" s="172"/>
      <c r="DF295" s="172"/>
      <c r="DG295" s="172"/>
      <c r="DH295" s="172"/>
      <c r="DI295" s="172"/>
      <c r="DJ295" s="172"/>
      <c r="DK295" s="79" t="s">
        <v>452</v>
      </c>
      <c r="DL295" s="128">
        <v>500</v>
      </c>
      <c r="DM295" s="128">
        <v>500</v>
      </c>
      <c r="DN295" s="128">
        <v>500</v>
      </c>
      <c r="DO295" s="128">
        <v>500</v>
      </c>
      <c r="DP295" s="128">
        <v>500</v>
      </c>
      <c r="DQ295" s="128">
        <v>500</v>
      </c>
      <c r="DR295" s="128">
        <v>500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7">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83"/>
        <v>0</v>
      </c>
      <c r="BV296" s="28"/>
      <c r="BW296" s="28"/>
      <c r="BX296" s="28"/>
      <c r="BY296" s="28"/>
      <c r="BZ296" s="28"/>
      <c r="CA296" s="28"/>
      <c r="CB296" s="99">
        <v>0.5</v>
      </c>
      <c r="CC296" s="99">
        <v>1.25</v>
      </c>
      <c r="CD296" s="99">
        <v>2</v>
      </c>
      <c r="CE296" s="99">
        <v>5</v>
      </c>
      <c r="CF296" s="99">
        <v>100</v>
      </c>
      <c r="CG296" s="99">
        <v>100</v>
      </c>
      <c r="CH296" s="99">
        <v>100</v>
      </c>
      <c r="CI296" s="176"/>
      <c r="CJ296" s="176"/>
      <c r="CK296" s="176"/>
      <c r="CL296" s="176"/>
      <c r="CM296" s="176"/>
      <c r="CN296" s="176"/>
      <c r="CO296" s="176"/>
      <c r="CP296" s="177"/>
      <c r="CQ296" s="177"/>
      <c r="CR296" s="177"/>
      <c r="CS296" s="177"/>
      <c r="CT296" s="177"/>
      <c r="CU296" s="177"/>
      <c r="CV296" s="177"/>
      <c r="CW296" s="168"/>
      <c r="CX296" s="169"/>
      <c r="CY296" s="169"/>
      <c r="CZ296" s="169"/>
      <c r="DA296" s="169"/>
      <c r="DB296" s="169"/>
      <c r="DC296" s="169"/>
      <c r="DD296" s="173"/>
      <c r="DE296" s="173"/>
      <c r="DF296" s="173"/>
      <c r="DG296" s="173"/>
      <c r="DH296" s="173"/>
      <c r="DI296" s="173"/>
      <c r="DJ296" s="173"/>
      <c r="DK296" s="80" t="s">
        <v>452</v>
      </c>
      <c r="DL296" s="129">
        <v>50</v>
      </c>
      <c r="DM296" s="129">
        <v>50</v>
      </c>
      <c r="DN296" s="129">
        <v>50</v>
      </c>
      <c r="DO296" s="129">
        <v>50</v>
      </c>
      <c r="DP296" s="129">
        <v>50</v>
      </c>
      <c r="DQ296" s="129">
        <v>50</v>
      </c>
      <c r="DR296" s="129">
        <v>50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7">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3"/>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452</v>
      </c>
      <c r="DL297" s="128">
        <v>500</v>
      </c>
      <c r="DM297" s="128">
        <v>500</v>
      </c>
      <c r="DN297" s="128">
        <v>500</v>
      </c>
      <c r="DO297" s="128">
        <v>500</v>
      </c>
      <c r="DP297" s="128">
        <v>500</v>
      </c>
      <c r="DQ297" s="128">
        <v>500</v>
      </c>
      <c r="DR297" s="128">
        <v>500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
      <c r="A298" s="5" t="s">
        <v>1393</v>
      </c>
      <c r="B298" s="5" t="s">
        <v>1245</v>
      </c>
      <c r="C298" s="5" t="s">
        <v>788</v>
      </c>
      <c r="D298" s="5" t="s">
        <v>1378</v>
      </c>
      <c r="E298" s="5" t="s">
        <v>459</v>
      </c>
      <c r="F298" s="5" t="s">
        <v>462</v>
      </c>
      <c r="G298" s="222"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7">
        <v>0.08</v>
      </c>
      <c r="AF298" s="93">
        <v>0</v>
      </c>
      <c r="AG298" s="93">
        <v>12</v>
      </c>
      <c r="AH298" s="93">
        <v>12</v>
      </c>
      <c r="AI298" s="16">
        <f t="shared" ref="AI298" si="284">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83"/>
        <v>0</v>
      </c>
      <c r="BV298" s="27"/>
      <c r="BW298" s="27"/>
      <c r="BX298" s="27"/>
      <c r="BY298" s="27"/>
      <c r="BZ298" s="27"/>
      <c r="CA298" s="27"/>
      <c r="CB298" s="97"/>
      <c r="CC298" s="97">
        <v>5</v>
      </c>
      <c r="CD298" s="97">
        <v>25</v>
      </c>
      <c r="CE298" s="97">
        <v>50</v>
      </c>
      <c r="CF298" s="97">
        <v>100</v>
      </c>
      <c r="CG298" s="97">
        <v>100</v>
      </c>
      <c r="CH298" s="97">
        <v>100</v>
      </c>
      <c r="CI298" s="174"/>
      <c r="CJ298" s="174"/>
      <c r="CK298" s="174"/>
      <c r="CL298" s="174"/>
      <c r="CM298" s="174"/>
      <c r="CN298" s="174"/>
      <c r="CO298" s="174"/>
      <c r="CP298" s="175"/>
      <c r="CQ298" s="175"/>
      <c r="CR298" s="175"/>
      <c r="CS298" s="175"/>
      <c r="CT298" s="175"/>
      <c r="CU298" s="175"/>
      <c r="CV298" s="175"/>
      <c r="CW298" s="166"/>
      <c r="CX298" s="167"/>
      <c r="CY298" s="167"/>
      <c r="CZ298" s="167"/>
      <c r="DA298" s="167"/>
      <c r="DB298" s="167"/>
      <c r="DC298" s="167"/>
      <c r="DD298" s="172"/>
      <c r="DE298" s="172"/>
      <c r="DF298" s="172"/>
      <c r="DG298" s="172"/>
      <c r="DH298" s="172"/>
      <c r="DI298" s="172"/>
      <c r="DJ298" s="172"/>
      <c r="DK298" s="79" t="s">
        <v>1337</v>
      </c>
      <c r="DL298" s="128">
        <v>200</v>
      </c>
      <c r="DM298" s="128">
        <v>200</v>
      </c>
      <c r="DN298" s="128">
        <v>200</v>
      </c>
      <c r="DO298" s="128">
        <v>200</v>
      </c>
      <c r="DP298" s="128">
        <v>200</v>
      </c>
      <c r="DQ298" s="128">
        <v>200</v>
      </c>
      <c r="DR298" s="128">
        <v>200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7">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83"/>
        <v>0</v>
      </c>
      <c r="BV299" s="28"/>
      <c r="BW299" s="28"/>
      <c r="BX299" s="28"/>
      <c r="BY299" s="28"/>
      <c r="BZ299" s="28"/>
      <c r="CA299" s="28"/>
      <c r="CB299" s="99">
        <v>1.7</v>
      </c>
      <c r="CC299" s="99">
        <v>3</v>
      </c>
      <c r="CD299" s="99">
        <v>3</v>
      </c>
      <c r="CE299" s="99">
        <v>3</v>
      </c>
      <c r="CF299" s="99">
        <v>3</v>
      </c>
      <c r="CG299" s="99">
        <v>3</v>
      </c>
      <c r="CH299" s="99">
        <v>3</v>
      </c>
      <c r="CI299" s="176"/>
      <c r="CJ299" s="176"/>
      <c r="CK299" s="176"/>
      <c r="CL299" s="176"/>
      <c r="CM299" s="176"/>
      <c r="CN299" s="176"/>
      <c r="CO299" s="176"/>
      <c r="CP299" s="177"/>
      <c r="CQ299" s="177"/>
      <c r="CR299" s="177"/>
      <c r="CS299" s="177"/>
      <c r="CT299" s="177"/>
      <c r="CU299" s="177"/>
      <c r="CV299" s="177"/>
      <c r="CW299" s="168"/>
      <c r="CX299" s="169"/>
      <c r="CY299" s="169"/>
      <c r="CZ299" s="169"/>
      <c r="DA299" s="169"/>
      <c r="DB299" s="169"/>
      <c r="DC299" s="169"/>
      <c r="DD299" s="173"/>
      <c r="DE299" s="173"/>
      <c r="DF299" s="173"/>
      <c r="DG299" s="173"/>
      <c r="DH299" s="173"/>
      <c r="DI299" s="173"/>
      <c r="DJ299" s="173"/>
      <c r="DK299" s="80" t="s">
        <v>452</v>
      </c>
      <c r="DL299" s="129">
        <v>100</v>
      </c>
      <c r="DM299" s="129">
        <v>100</v>
      </c>
      <c r="DN299" s="129">
        <v>100</v>
      </c>
      <c r="DO299" s="129">
        <v>100</v>
      </c>
      <c r="DP299" s="129">
        <v>100</v>
      </c>
      <c r="DQ299" s="129">
        <v>100</v>
      </c>
      <c r="DR299" s="129">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7">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83"/>
        <v>0</v>
      </c>
      <c r="BV300" s="27"/>
      <c r="BW300" s="27"/>
      <c r="BX300" s="27"/>
      <c r="BY300" s="27"/>
      <c r="BZ300" s="27"/>
      <c r="CA300" s="27"/>
      <c r="CB300" s="97">
        <v>1</v>
      </c>
      <c r="CC300" s="97">
        <v>1.5</v>
      </c>
      <c r="CD300" s="97">
        <v>3</v>
      </c>
      <c r="CE300" s="97">
        <v>3</v>
      </c>
      <c r="CF300" s="97">
        <v>3</v>
      </c>
      <c r="CG300" s="97">
        <v>3</v>
      </c>
      <c r="CH300" s="97">
        <v>3</v>
      </c>
      <c r="CI300" s="174"/>
      <c r="CJ300" s="174"/>
      <c r="CK300" s="174"/>
      <c r="CL300" s="174"/>
      <c r="CM300" s="174"/>
      <c r="CN300" s="174"/>
      <c r="CO300" s="174"/>
      <c r="CP300" s="175"/>
      <c r="CQ300" s="175"/>
      <c r="CR300" s="175"/>
      <c r="CS300" s="175"/>
      <c r="CT300" s="175"/>
      <c r="CU300" s="175"/>
      <c r="CV300" s="175"/>
      <c r="CW300" s="166"/>
      <c r="CX300" s="167"/>
      <c r="CY300" s="167"/>
      <c r="CZ300" s="167"/>
      <c r="DA300" s="167"/>
      <c r="DB300" s="167"/>
      <c r="DC300" s="167"/>
      <c r="DD300" s="172"/>
      <c r="DE300" s="172"/>
      <c r="DF300" s="172"/>
      <c r="DG300" s="172"/>
      <c r="DH300" s="172"/>
      <c r="DI300" s="172"/>
      <c r="DJ300" s="172"/>
      <c r="DK300" s="79" t="s">
        <v>452</v>
      </c>
      <c r="DL300" s="128">
        <v>100</v>
      </c>
      <c r="DM300" s="128">
        <v>100</v>
      </c>
      <c r="DN300" s="128">
        <v>100</v>
      </c>
      <c r="DO300" s="128">
        <v>100</v>
      </c>
      <c r="DP300" s="128">
        <v>100</v>
      </c>
      <c r="DQ300" s="128">
        <v>100</v>
      </c>
      <c r="DR300" s="128">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7">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83"/>
        <v>0</v>
      </c>
      <c r="BV301" s="28"/>
      <c r="BW301" s="28"/>
      <c r="BX301" s="28"/>
      <c r="BY301" s="28"/>
      <c r="BZ301" s="28"/>
      <c r="CA301" s="28"/>
      <c r="CB301" s="99">
        <v>0.2</v>
      </c>
      <c r="CC301" s="99">
        <v>1.5</v>
      </c>
      <c r="CD301" s="99">
        <v>3</v>
      </c>
      <c r="CE301" s="99">
        <v>3</v>
      </c>
      <c r="CF301" s="99">
        <v>3</v>
      </c>
      <c r="CG301" s="99">
        <v>3</v>
      </c>
      <c r="CH301" s="99">
        <v>3</v>
      </c>
      <c r="CI301" s="176"/>
      <c r="CJ301" s="176"/>
      <c r="CK301" s="176"/>
      <c r="CL301" s="176"/>
      <c r="CM301" s="176"/>
      <c r="CN301" s="176"/>
      <c r="CO301" s="176"/>
      <c r="CP301" s="177"/>
      <c r="CQ301" s="177"/>
      <c r="CR301" s="177"/>
      <c r="CS301" s="177"/>
      <c r="CT301" s="177"/>
      <c r="CU301" s="177"/>
      <c r="CV301" s="177"/>
      <c r="CW301" s="168"/>
      <c r="CX301" s="169"/>
      <c r="CY301" s="169"/>
      <c r="CZ301" s="169"/>
      <c r="DA301" s="169"/>
      <c r="DB301" s="169"/>
      <c r="DC301" s="169"/>
      <c r="DD301" s="173"/>
      <c r="DE301" s="173"/>
      <c r="DF301" s="173"/>
      <c r="DG301" s="173"/>
      <c r="DH301" s="173"/>
      <c r="DI301" s="173"/>
      <c r="DJ301" s="173"/>
      <c r="DK301" s="80" t="s">
        <v>452</v>
      </c>
      <c r="DL301" s="129">
        <v>100</v>
      </c>
      <c r="DM301" s="129">
        <v>100</v>
      </c>
      <c r="DN301" s="129">
        <v>100</v>
      </c>
      <c r="DO301" s="129">
        <v>100</v>
      </c>
      <c r="DP301" s="129">
        <v>100</v>
      </c>
      <c r="DQ301" s="129">
        <v>100</v>
      </c>
      <c r="DR301" s="129">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7">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83"/>
        <v>0</v>
      </c>
      <c r="BV302" s="27"/>
      <c r="BW302" s="27"/>
      <c r="BX302" s="27"/>
      <c r="BY302" s="27"/>
      <c r="BZ302" s="27"/>
      <c r="CA302" s="27"/>
      <c r="CB302" s="97">
        <v>0.01</v>
      </c>
      <c r="CC302" s="97">
        <v>1.5</v>
      </c>
      <c r="CD302" s="97">
        <v>3</v>
      </c>
      <c r="CE302" s="97">
        <v>3</v>
      </c>
      <c r="CF302" s="97">
        <v>3</v>
      </c>
      <c r="CG302" s="97">
        <v>3</v>
      </c>
      <c r="CH302" s="97">
        <v>3</v>
      </c>
      <c r="CI302" s="174"/>
      <c r="CJ302" s="174"/>
      <c r="CK302" s="174"/>
      <c r="CL302" s="174"/>
      <c r="CM302" s="174"/>
      <c r="CN302" s="174"/>
      <c r="CO302" s="174"/>
      <c r="CP302" s="175"/>
      <c r="CQ302" s="175"/>
      <c r="CR302" s="175"/>
      <c r="CS302" s="175"/>
      <c r="CT302" s="175"/>
      <c r="CU302" s="175"/>
      <c r="CV302" s="175"/>
      <c r="CW302" s="166"/>
      <c r="CX302" s="167"/>
      <c r="CY302" s="167"/>
      <c r="CZ302" s="167"/>
      <c r="DA302" s="167"/>
      <c r="DB302" s="167"/>
      <c r="DC302" s="167"/>
      <c r="DD302" s="172"/>
      <c r="DE302" s="172"/>
      <c r="DF302" s="172"/>
      <c r="DG302" s="172"/>
      <c r="DH302" s="172"/>
      <c r="DI302" s="172"/>
      <c r="DJ302" s="172"/>
      <c r="DK302" s="79" t="s">
        <v>452</v>
      </c>
      <c r="DL302" s="128">
        <v>100</v>
      </c>
      <c r="DM302" s="128">
        <v>100</v>
      </c>
      <c r="DN302" s="128">
        <v>100</v>
      </c>
      <c r="DO302" s="128">
        <v>100</v>
      </c>
      <c r="DP302" s="128">
        <v>100</v>
      </c>
      <c r="DQ302" s="128">
        <v>100</v>
      </c>
      <c r="DR302" s="128">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7">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83"/>
        <v>0</v>
      </c>
      <c r="BV303" s="28"/>
      <c r="BW303" s="28"/>
      <c r="BX303" s="28"/>
      <c r="BY303" s="28"/>
      <c r="BZ303" s="28"/>
      <c r="CA303" s="28"/>
      <c r="CB303" s="99">
        <v>0.2</v>
      </c>
      <c r="CC303" s="99">
        <v>1.5</v>
      </c>
      <c r="CD303" s="99">
        <v>3</v>
      </c>
      <c r="CE303" s="99">
        <v>3</v>
      </c>
      <c r="CF303" s="99">
        <v>3</v>
      </c>
      <c r="CG303" s="99">
        <v>3</v>
      </c>
      <c r="CH303" s="99">
        <v>3</v>
      </c>
      <c r="CI303" s="176"/>
      <c r="CJ303" s="176"/>
      <c r="CK303" s="176"/>
      <c r="CL303" s="176"/>
      <c r="CM303" s="176"/>
      <c r="CN303" s="176"/>
      <c r="CO303" s="176"/>
      <c r="CP303" s="177"/>
      <c r="CQ303" s="177"/>
      <c r="CR303" s="177"/>
      <c r="CS303" s="177"/>
      <c r="CT303" s="177"/>
      <c r="CU303" s="177"/>
      <c r="CV303" s="177"/>
      <c r="CW303" s="168"/>
      <c r="CX303" s="169"/>
      <c r="CY303" s="169"/>
      <c r="CZ303" s="169"/>
      <c r="DA303" s="169"/>
      <c r="DB303" s="169"/>
      <c r="DC303" s="169"/>
      <c r="DD303" s="173"/>
      <c r="DE303" s="173"/>
      <c r="DF303" s="173"/>
      <c r="DG303" s="173"/>
      <c r="DH303" s="173"/>
      <c r="DI303" s="173"/>
      <c r="DJ303" s="173"/>
      <c r="DK303" s="80" t="s">
        <v>452</v>
      </c>
      <c r="DL303" s="129">
        <v>100</v>
      </c>
      <c r="DM303" s="129">
        <v>100</v>
      </c>
      <c r="DN303" s="129">
        <v>100</v>
      </c>
      <c r="DO303" s="129">
        <v>100</v>
      </c>
      <c r="DP303" s="129">
        <v>100</v>
      </c>
      <c r="DQ303" s="129">
        <v>100</v>
      </c>
      <c r="DR303" s="129">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7">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5">IF(BL304=1,BN304,0)</f>
        <v>0</v>
      </c>
      <c r="BV304" s="27"/>
      <c r="BW304" s="27"/>
      <c r="BX304" s="27"/>
      <c r="BY304" s="27"/>
      <c r="BZ304" s="27"/>
      <c r="CA304" s="27"/>
      <c r="CB304" s="97"/>
      <c r="CC304" s="97">
        <v>1.5</v>
      </c>
      <c r="CD304" s="97">
        <v>3</v>
      </c>
      <c r="CE304" s="97">
        <v>3</v>
      </c>
      <c r="CF304" s="97">
        <v>3</v>
      </c>
      <c r="CG304" s="97">
        <v>3</v>
      </c>
      <c r="CH304" s="97">
        <v>3</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452</v>
      </c>
      <c r="DL304" s="128">
        <v>100</v>
      </c>
      <c r="DM304" s="128">
        <v>100</v>
      </c>
      <c r="DN304" s="128">
        <v>100</v>
      </c>
      <c r="DO304" s="128">
        <v>100</v>
      </c>
      <c r="DP304" s="128">
        <v>100</v>
      </c>
      <c r="DQ304" s="128">
        <v>100</v>
      </c>
      <c r="DR304" s="128">
        <v>100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
      <c r="A305" s="5" t="s">
        <v>1407</v>
      </c>
      <c r="B305" s="5" t="s">
        <v>726</v>
      </c>
      <c r="C305" s="5" t="s">
        <v>788</v>
      </c>
      <c r="D305" s="5" t="s">
        <v>727</v>
      </c>
      <c r="E305" s="5" t="s">
        <v>459</v>
      </c>
      <c r="F305" s="5" t="s">
        <v>463</v>
      </c>
      <c r="G305" s="222"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7">
        <v>0.08</v>
      </c>
      <c r="AF305" s="93">
        <v>0</v>
      </c>
      <c r="AG305" s="93">
        <v>12</v>
      </c>
      <c r="AH305" s="93">
        <v>12</v>
      </c>
      <c r="AI305" s="16">
        <f t="shared" ref="AI305" si="286">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5"/>
        <v>0</v>
      </c>
      <c r="BV305" s="27"/>
      <c r="BW305" s="27"/>
      <c r="BX305" s="27"/>
      <c r="BY305" s="27"/>
      <c r="BZ305" s="27"/>
      <c r="CA305" s="27"/>
      <c r="CB305" s="97"/>
      <c r="CC305" s="97">
        <v>5</v>
      </c>
      <c r="CD305" s="97">
        <v>25</v>
      </c>
      <c r="CE305" s="97">
        <v>50</v>
      </c>
      <c r="CF305" s="97">
        <v>100</v>
      </c>
      <c r="CG305" s="97">
        <v>100</v>
      </c>
      <c r="CH305" s="97">
        <v>100</v>
      </c>
      <c r="CI305" s="174"/>
      <c r="CJ305" s="174"/>
      <c r="CK305" s="174"/>
      <c r="CL305" s="174"/>
      <c r="CM305" s="174"/>
      <c r="CN305" s="174"/>
      <c r="CO305" s="174"/>
      <c r="CP305" s="175"/>
      <c r="CQ305" s="175"/>
      <c r="CR305" s="175"/>
      <c r="CS305" s="175"/>
      <c r="CT305" s="175"/>
      <c r="CU305" s="175"/>
      <c r="CV305" s="175"/>
      <c r="CW305" s="166"/>
      <c r="CX305" s="167"/>
      <c r="CY305" s="167"/>
      <c r="CZ305" s="167"/>
      <c r="DA305" s="167"/>
      <c r="DB305" s="167"/>
      <c r="DC305" s="167"/>
      <c r="DD305" s="172"/>
      <c r="DE305" s="172"/>
      <c r="DF305" s="172"/>
      <c r="DG305" s="172"/>
      <c r="DH305" s="172"/>
      <c r="DI305" s="172"/>
      <c r="DJ305" s="172"/>
      <c r="DK305" s="79" t="s">
        <v>1337</v>
      </c>
      <c r="DL305" s="128">
        <v>200</v>
      </c>
      <c r="DM305" s="128">
        <v>200</v>
      </c>
      <c r="DN305" s="128">
        <v>200</v>
      </c>
      <c r="DO305" s="128">
        <v>200</v>
      </c>
      <c r="DP305" s="128">
        <v>200</v>
      </c>
      <c r="DQ305" s="128">
        <v>200</v>
      </c>
      <c r="DR305" s="128">
        <v>200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7">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83"/>
        <v>0</v>
      </c>
      <c r="BV306" s="28"/>
      <c r="BW306" s="28"/>
      <c r="BX306" s="28"/>
      <c r="BY306" s="28"/>
      <c r="BZ306" s="28"/>
      <c r="CA306" s="28"/>
      <c r="CB306" s="99">
        <v>2</v>
      </c>
      <c r="CC306" s="99">
        <v>2</v>
      </c>
      <c r="CD306" s="99">
        <v>2</v>
      </c>
      <c r="CE306" s="99">
        <v>5</v>
      </c>
      <c r="CF306" s="99">
        <v>10</v>
      </c>
      <c r="CG306" s="99">
        <v>10</v>
      </c>
      <c r="CH306" s="99">
        <v>10</v>
      </c>
      <c r="CI306" s="176"/>
      <c r="CJ306" s="176"/>
      <c r="CK306" s="176"/>
      <c r="CL306" s="176"/>
      <c r="CM306" s="176"/>
      <c r="CN306" s="176"/>
      <c r="CO306" s="176"/>
      <c r="CP306" s="177"/>
      <c r="CQ306" s="177"/>
      <c r="CR306" s="177"/>
      <c r="CS306" s="177"/>
      <c r="CT306" s="177"/>
      <c r="CU306" s="177"/>
      <c r="CV306" s="177"/>
      <c r="CW306" s="168"/>
      <c r="CX306" s="169"/>
      <c r="CY306" s="169"/>
      <c r="CZ306" s="169"/>
      <c r="DA306" s="169"/>
      <c r="DB306" s="169"/>
      <c r="DC306" s="169"/>
      <c r="DD306" s="173"/>
      <c r="DE306" s="173"/>
      <c r="DF306" s="173"/>
      <c r="DG306" s="173"/>
      <c r="DH306" s="173"/>
      <c r="DI306" s="173"/>
      <c r="DJ306" s="173"/>
      <c r="DK306" s="80" t="s">
        <v>1411</v>
      </c>
      <c r="DL306" s="129">
        <v>100</v>
      </c>
      <c r="DM306" s="129">
        <v>100</v>
      </c>
      <c r="DN306" s="129">
        <v>100</v>
      </c>
      <c r="DO306" s="129">
        <v>100</v>
      </c>
      <c r="DP306" s="129">
        <v>100</v>
      </c>
      <c r="DQ306" s="129">
        <v>100</v>
      </c>
      <c r="DR306" s="129">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7">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83"/>
        <v>0</v>
      </c>
      <c r="BV307" s="27"/>
      <c r="BW307" s="27"/>
      <c r="BX307" s="27"/>
      <c r="BY307" s="27"/>
      <c r="BZ307" s="27"/>
      <c r="CA307" s="27"/>
      <c r="CB307" s="97"/>
      <c r="CC307" s="97">
        <v>1</v>
      </c>
      <c r="CD307" s="97">
        <v>2</v>
      </c>
      <c r="CE307" s="97">
        <v>5</v>
      </c>
      <c r="CF307" s="97">
        <v>10</v>
      </c>
      <c r="CG307" s="97">
        <v>10</v>
      </c>
      <c r="CH307" s="97">
        <v>10</v>
      </c>
      <c r="CI307" s="174"/>
      <c r="CJ307" s="174"/>
      <c r="CK307" s="174"/>
      <c r="CL307" s="174"/>
      <c r="CM307" s="174"/>
      <c r="CN307" s="174"/>
      <c r="CO307" s="174"/>
      <c r="CP307" s="175"/>
      <c r="CQ307" s="175"/>
      <c r="CR307" s="175"/>
      <c r="CS307" s="175"/>
      <c r="CT307" s="175"/>
      <c r="CU307" s="175"/>
      <c r="CV307" s="175"/>
      <c r="CW307" s="166"/>
      <c r="CX307" s="167"/>
      <c r="CY307" s="167"/>
      <c r="CZ307" s="167"/>
      <c r="DA307" s="167"/>
      <c r="DB307" s="167"/>
      <c r="DC307" s="167"/>
      <c r="DD307" s="172"/>
      <c r="DE307" s="172"/>
      <c r="DF307" s="172"/>
      <c r="DG307" s="172"/>
      <c r="DH307" s="172"/>
      <c r="DI307" s="172"/>
      <c r="DJ307" s="172"/>
      <c r="DK307" s="79" t="s">
        <v>1411</v>
      </c>
      <c r="DL307" s="128">
        <v>100</v>
      </c>
      <c r="DM307" s="128">
        <v>100</v>
      </c>
      <c r="DN307" s="128">
        <v>100</v>
      </c>
      <c r="DO307" s="128">
        <v>100</v>
      </c>
      <c r="DP307" s="128">
        <v>100</v>
      </c>
      <c r="DQ307" s="128">
        <v>100</v>
      </c>
      <c r="DR307" s="128">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7">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83"/>
        <v>0</v>
      </c>
      <c r="BV308" s="28"/>
      <c r="BW308" s="28"/>
      <c r="BX308" s="28"/>
      <c r="BY308" s="28"/>
      <c r="BZ308" s="28"/>
      <c r="CA308" s="28"/>
      <c r="CB308" s="99"/>
      <c r="CC308" s="99">
        <v>1</v>
      </c>
      <c r="CD308" s="99">
        <v>2</v>
      </c>
      <c r="CE308" s="99">
        <v>5</v>
      </c>
      <c r="CF308" s="99">
        <v>10</v>
      </c>
      <c r="CG308" s="99">
        <v>10</v>
      </c>
      <c r="CH308" s="99">
        <v>10</v>
      </c>
      <c r="CI308" s="176"/>
      <c r="CJ308" s="176"/>
      <c r="CK308" s="176"/>
      <c r="CL308" s="176"/>
      <c r="CM308" s="176"/>
      <c r="CN308" s="176"/>
      <c r="CO308" s="176"/>
      <c r="CP308" s="177"/>
      <c r="CQ308" s="177"/>
      <c r="CR308" s="177"/>
      <c r="CS308" s="177"/>
      <c r="CT308" s="177"/>
      <c r="CU308" s="177"/>
      <c r="CV308" s="177"/>
      <c r="CW308" s="168"/>
      <c r="CX308" s="169"/>
      <c r="CY308" s="169"/>
      <c r="CZ308" s="169"/>
      <c r="DA308" s="169"/>
      <c r="DB308" s="169"/>
      <c r="DC308" s="169"/>
      <c r="DD308" s="173"/>
      <c r="DE308" s="173"/>
      <c r="DF308" s="173"/>
      <c r="DG308" s="173"/>
      <c r="DH308" s="173"/>
      <c r="DI308" s="173"/>
      <c r="DJ308" s="173"/>
      <c r="DK308" s="80" t="s">
        <v>1411</v>
      </c>
      <c r="DL308" s="129">
        <v>100</v>
      </c>
      <c r="DM308" s="129">
        <v>100</v>
      </c>
      <c r="DN308" s="129">
        <v>100</v>
      </c>
      <c r="DO308" s="129">
        <v>100</v>
      </c>
      <c r="DP308" s="129">
        <v>100</v>
      </c>
      <c r="DQ308" s="129">
        <v>100</v>
      </c>
      <c r="DR308" s="129">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7">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83"/>
        <v>0</v>
      </c>
      <c r="BV309" s="27"/>
      <c r="BW309" s="27"/>
      <c r="BX309" s="27"/>
      <c r="BY309" s="27"/>
      <c r="BZ309" s="27"/>
      <c r="CA309" s="27"/>
      <c r="CB309" s="97"/>
      <c r="CC309" s="97">
        <v>1</v>
      </c>
      <c r="CD309" s="97">
        <v>2</v>
      </c>
      <c r="CE309" s="97">
        <v>5</v>
      </c>
      <c r="CF309" s="97">
        <v>10</v>
      </c>
      <c r="CG309" s="97">
        <v>10</v>
      </c>
      <c r="CH309" s="97">
        <v>10</v>
      </c>
      <c r="CI309" s="174"/>
      <c r="CJ309" s="174"/>
      <c r="CK309" s="174"/>
      <c r="CL309" s="174"/>
      <c r="CM309" s="174"/>
      <c r="CN309" s="174"/>
      <c r="CO309" s="174"/>
      <c r="CP309" s="175"/>
      <c r="CQ309" s="175"/>
      <c r="CR309" s="175"/>
      <c r="CS309" s="175"/>
      <c r="CT309" s="175"/>
      <c r="CU309" s="175"/>
      <c r="CV309" s="175"/>
      <c r="CW309" s="166"/>
      <c r="CX309" s="167"/>
      <c r="CY309" s="167"/>
      <c r="CZ309" s="167"/>
      <c r="DA309" s="167"/>
      <c r="DB309" s="167"/>
      <c r="DC309" s="167"/>
      <c r="DD309" s="172"/>
      <c r="DE309" s="172"/>
      <c r="DF309" s="172"/>
      <c r="DG309" s="172"/>
      <c r="DH309" s="172"/>
      <c r="DI309" s="172"/>
      <c r="DJ309" s="172"/>
      <c r="DK309" s="79" t="s">
        <v>1411</v>
      </c>
      <c r="DL309" s="128">
        <v>100</v>
      </c>
      <c r="DM309" s="128">
        <v>100</v>
      </c>
      <c r="DN309" s="128">
        <v>100</v>
      </c>
      <c r="DO309" s="128">
        <v>100</v>
      </c>
      <c r="DP309" s="128">
        <v>100</v>
      </c>
      <c r="DQ309" s="128">
        <v>100</v>
      </c>
      <c r="DR309" s="128">
        <v>100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7">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83"/>
        <v>0</v>
      </c>
      <c r="BV310" s="28"/>
      <c r="BW310" s="28"/>
      <c r="BX310" s="28"/>
      <c r="BY310" s="28"/>
      <c r="BZ310" s="28"/>
      <c r="CA310" s="28"/>
      <c r="CB310" s="99"/>
      <c r="CC310" s="99"/>
      <c r="CD310" s="99"/>
      <c r="CE310" s="99"/>
      <c r="CF310" s="99"/>
      <c r="CG310" s="99"/>
      <c r="CH310" s="99"/>
      <c r="CI310" s="176"/>
      <c r="CJ310" s="176"/>
      <c r="CK310" s="176"/>
      <c r="CL310" s="176"/>
      <c r="CM310" s="176"/>
      <c r="CN310" s="176"/>
      <c r="CO310" s="176"/>
      <c r="CP310" s="177"/>
      <c r="CQ310" s="177"/>
      <c r="CR310" s="177"/>
      <c r="CS310" s="177"/>
      <c r="CT310" s="177"/>
      <c r="CU310" s="177"/>
      <c r="CV310" s="177"/>
      <c r="CW310" s="168"/>
      <c r="CX310" s="169"/>
      <c r="CY310" s="169"/>
      <c r="CZ310" s="169"/>
      <c r="DA310" s="169"/>
      <c r="DB310" s="169"/>
      <c r="DC310" s="169"/>
      <c r="DD310" s="173"/>
      <c r="DE310" s="173"/>
      <c r="DF310" s="173"/>
      <c r="DG310" s="173"/>
      <c r="DH310" s="173"/>
      <c r="DI310" s="173"/>
      <c r="DJ310" s="173"/>
      <c r="DK310" s="80" t="s">
        <v>1411</v>
      </c>
      <c r="DL310" s="129">
        <v>0</v>
      </c>
      <c r="DM310" s="129">
        <v>0</v>
      </c>
      <c r="DN310" s="129">
        <v>0</v>
      </c>
      <c r="DO310" s="129">
        <v>0</v>
      </c>
      <c r="DP310" s="129">
        <v>0</v>
      </c>
      <c r="DQ310" s="129">
        <v>0</v>
      </c>
      <c r="DR310" s="129">
        <v>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7">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83"/>
        <v>0</v>
      </c>
      <c r="BV311" s="27"/>
      <c r="BW311" s="27"/>
      <c r="BX311" s="27"/>
      <c r="BY311" s="27"/>
      <c r="BZ311" s="27"/>
      <c r="CA311" s="27"/>
      <c r="CB311" s="97"/>
      <c r="CC311" s="97"/>
      <c r="CD311" s="97"/>
      <c r="CE311" s="97"/>
      <c r="CF311" s="97"/>
      <c r="CG311" s="97"/>
      <c r="CH311" s="97"/>
      <c r="CI311" s="174"/>
      <c r="CJ311" s="174"/>
      <c r="CK311" s="174"/>
      <c r="CL311" s="174"/>
      <c r="CM311" s="174"/>
      <c r="CN311" s="174"/>
      <c r="CO311" s="174"/>
      <c r="CP311" s="175"/>
      <c r="CQ311" s="175"/>
      <c r="CR311" s="175"/>
      <c r="CS311" s="175"/>
      <c r="CT311" s="175"/>
      <c r="CU311" s="175"/>
      <c r="CV311" s="175"/>
      <c r="CW311" s="166"/>
      <c r="CX311" s="167"/>
      <c r="CY311" s="167"/>
      <c r="CZ311" s="167"/>
      <c r="DA311" s="167"/>
      <c r="DB311" s="167"/>
      <c r="DC311" s="167"/>
      <c r="DD311" s="172"/>
      <c r="DE311" s="172"/>
      <c r="DF311" s="172"/>
      <c r="DG311" s="172"/>
      <c r="DH311" s="172"/>
      <c r="DI311" s="172"/>
      <c r="DJ311" s="172"/>
      <c r="DK311" s="79" t="s">
        <v>1411</v>
      </c>
      <c r="DL311" s="128">
        <v>100</v>
      </c>
      <c r="DM311" s="128">
        <v>100</v>
      </c>
      <c r="DN311" s="128">
        <v>100</v>
      </c>
      <c r="DO311" s="128">
        <v>100</v>
      </c>
      <c r="DP311" s="128">
        <v>100</v>
      </c>
      <c r="DQ311" s="128">
        <v>100</v>
      </c>
      <c r="DR311" s="128">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7">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83"/>
        <v>0</v>
      </c>
      <c r="BV312" s="28"/>
      <c r="BW312" s="28"/>
      <c r="BX312" s="28"/>
      <c r="BY312" s="28"/>
      <c r="BZ312" s="28"/>
      <c r="CA312" s="28"/>
      <c r="CB312" s="99">
        <v>0.5</v>
      </c>
      <c r="CC312" s="99">
        <v>1</v>
      </c>
      <c r="CD312" s="99">
        <v>2</v>
      </c>
      <c r="CE312" s="99">
        <v>5</v>
      </c>
      <c r="CF312" s="99">
        <v>10</v>
      </c>
      <c r="CG312" s="99">
        <v>10</v>
      </c>
      <c r="CH312" s="99">
        <v>10</v>
      </c>
      <c r="CI312" s="176"/>
      <c r="CJ312" s="176"/>
      <c r="CK312" s="176"/>
      <c r="CL312" s="176"/>
      <c r="CM312" s="176"/>
      <c r="CN312" s="176"/>
      <c r="CO312" s="176"/>
      <c r="CP312" s="177"/>
      <c r="CQ312" s="177"/>
      <c r="CR312" s="177"/>
      <c r="CS312" s="177"/>
      <c r="CT312" s="177"/>
      <c r="CU312" s="177"/>
      <c r="CV312" s="177"/>
      <c r="CW312" s="168"/>
      <c r="CX312" s="169"/>
      <c r="CY312" s="169"/>
      <c r="CZ312" s="169"/>
      <c r="DA312" s="169"/>
      <c r="DB312" s="169"/>
      <c r="DC312" s="169"/>
      <c r="DD312" s="173"/>
      <c r="DE312" s="173"/>
      <c r="DF312" s="173"/>
      <c r="DG312" s="173"/>
      <c r="DH312" s="173"/>
      <c r="DI312" s="173"/>
      <c r="DJ312" s="173"/>
      <c r="DK312" s="80" t="s">
        <v>1411</v>
      </c>
      <c r="DL312" s="129">
        <v>100</v>
      </c>
      <c r="DM312" s="129">
        <v>100</v>
      </c>
      <c r="DN312" s="129">
        <v>100</v>
      </c>
      <c r="DO312" s="129">
        <v>100</v>
      </c>
      <c r="DP312" s="129">
        <v>100</v>
      </c>
      <c r="DQ312" s="129">
        <v>100</v>
      </c>
      <c r="DR312" s="129">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7">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83"/>
        <v>0</v>
      </c>
      <c r="BV313" s="27"/>
      <c r="BW313" s="27"/>
      <c r="BX313" s="27"/>
      <c r="BY313" s="27"/>
      <c r="BZ313" s="27"/>
      <c r="CA313" s="27"/>
      <c r="CB313" s="97"/>
      <c r="CC313" s="97">
        <v>0.5</v>
      </c>
      <c r="CD313" s="97">
        <v>0.75</v>
      </c>
      <c r="CE313" s="97">
        <v>1</v>
      </c>
      <c r="CF313" s="97">
        <v>1.25</v>
      </c>
      <c r="CG313" s="97">
        <v>1.5</v>
      </c>
      <c r="CH313" s="97">
        <v>3</v>
      </c>
      <c r="CI313" s="174"/>
      <c r="CJ313" s="174"/>
      <c r="CK313" s="174"/>
      <c r="CL313" s="174"/>
      <c r="CM313" s="174"/>
      <c r="CN313" s="174"/>
      <c r="CO313" s="174"/>
      <c r="CP313" s="175"/>
      <c r="CQ313" s="175"/>
      <c r="CR313" s="175"/>
      <c r="CS313" s="175"/>
      <c r="CT313" s="175"/>
      <c r="CU313" s="175"/>
      <c r="CV313" s="175"/>
      <c r="CW313" s="166"/>
      <c r="CX313" s="167"/>
      <c r="CY313" s="167"/>
      <c r="CZ313" s="167"/>
      <c r="DA313" s="167"/>
      <c r="DB313" s="167"/>
      <c r="DC313" s="167"/>
      <c r="DD313" s="172"/>
      <c r="DE313" s="172"/>
      <c r="DF313" s="172"/>
      <c r="DG313" s="172"/>
      <c r="DH313" s="172"/>
      <c r="DI313" s="172"/>
      <c r="DJ313" s="172"/>
      <c r="DK313" s="79" t="s">
        <v>1411</v>
      </c>
      <c r="DL313" s="128">
        <v>100</v>
      </c>
      <c r="DM313" s="128">
        <v>100</v>
      </c>
      <c r="DN313" s="128">
        <v>100</v>
      </c>
      <c r="DO313" s="128">
        <v>100</v>
      </c>
      <c r="DP313" s="128">
        <v>100</v>
      </c>
      <c r="DQ313" s="128">
        <v>100</v>
      </c>
      <c r="DR313" s="128">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7">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83"/>
        <v>0</v>
      </c>
      <c r="BV314" s="28"/>
      <c r="BW314" s="28"/>
      <c r="BX314" s="28"/>
      <c r="BY314" s="28"/>
      <c r="BZ314" s="28"/>
      <c r="CA314" s="28"/>
      <c r="CB314" s="99">
        <v>2.2000000000000002</v>
      </c>
      <c r="CC314" s="99">
        <v>5</v>
      </c>
      <c r="CD314" s="99">
        <v>5</v>
      </c>
      <c r="CE314" s="99">
        <v>5</v>
      </c>
      <c r="CF314" s="99">
        <v>10</v>
      </c>
      <c r="CG314" s="99">
        <v>10</v>
      </c>
      <c r="CH314" s="99">
        <v>10</v>
      </c>
      <c r="CI314" s="176"/>
      <c r="CJ314" s="176"/>
      <c r="CK314" s="176"/>
      <c r="CL314" s="176"/>
      <c r="CM314" s="176"/>
      <c r="CN314" s="176"/>
      <c r="CO314" s="176"/>
      <c r="CP314" s="177"/>
      <c r="CQ314" s="177"/>
      <c r="CR314" s="177"/>
      <c r="CS314" s="177"/>
      <c r="CT314" s="177"/>
      <c r="CU314" s="177"/>
      <c r="CV314" s="177"/>
      <c r="CW314" s="168"/>
      <c r="CX314" s="169"/>
      <c r="CY314" s="169"/>
      <c r="CZ314" s="169"/>
      <c r="DA314" s="169"/>
      <c r="DB314" s="169"/>
      <c r="DC314" s="169"/>
      <c r="DD314" s="173"/>
      <c r="DE314" s="173"/>
      <c r="DF314" s="173"/>
      <c r="DG314" s="173"/>
      <c r="DH314" s="173"/>
      <c r="DI314" s="173"/>
      <c r="DJ314" s="173"/>
      <c r="DK314" s="80" t="s">
        <v>1411</v>
      </c>
      <c r="DL314" s="129">
        <v>100</v>
      </c>
      <c r="DM314" s="129">
        <v>100</v>
      </c>
      <c r="DN314" s="129">
        <v>100</v>
      </c>
      <c r="DO314" s="129">
        <v>100</v>
      </c>
      <c r="DP314" s="129">
        <v>100</v>
      </c>
      <c r="DQ314" s="129">
        <v>100</v>
      </c>
      <c r="DR314" s="129">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7">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83"/>
        <v>0</v>
      </c>
      <c r="BV315" s="27"/>
      <c r="BW315" s="27"/>
      <c r="BX315" s="27"/>
      <c r="BY315" s="27"/>
      <c r="BZ315" s="27"/>
      <c r="CA315" s="27"/>
      <c r="CB315" s="97"/>
      <c r="CC315" s="97">
        <v>1</v>
      </c>
      <c r="CD315" s="97">
        <v>2</v>
      </c>
      <c r="CE315" s="97">
        <v>5</v>
      </c>
      <c r="CF315" s="97">
        <v>10</v>
      </c>
      <c r="CG315" s="97">
        <v>10</v>
      </c>
      <c r="CH315" s="97">
        <v>10</v>
      </c>
      <c r="CI315" s="174"/>
      <c r="CJ315" s="174"/>
      <c r="CK315" s="174"/>
      <c r="CL315" s="174"/>
      <c r="CM315" s="174"/>
      <c r="CN315" s="174"/>
      <c r="CO315" s="174"/>
      <c r="CP315" s="175"/>
      <c r="CQ315" s="175"/>
      <c r="CR315" s="175"/>
      <c r="CS315" s="175"/>
      <c r="CT315" s="175"/>
      <c r="CU315" s="175"/>
      <c r="CV315" s="175"/>
      <c r="CW315" s="166"/>
      <c r="CX315" s="167"/>
      <c r="CY315" s="167"/>
      <c r="CZ315" s="167"/>
      <c r="DA315" s="167"/>
      <c r="DB315" s="167"/>
      <c r="DC315" s="167"/>
      <c r="DD315" s="172"/>
      <c r="DE315" s="172"/>
      <c r="DF315" s="172"/>
      <c r="DG315" s="172"/>
      <c r="DH315" s="172"/>
      <c r="DI315" s="172"/>
      <c r="DJ315" s="172"/>
      <c r="DK315" s="79" t="s">
        <v>1411</v>
      </c>
      <c r="DL315" s="128">
        <v>100</v>
      </c>
      <c r="DM315" s="128">
        <v>100</v>
      </c>
      <c r="DN315" s="128">
        <v>100</v>
      </c>
      <c r="DO315" s="128">
        <v>100</v>
      </c>
      <c r="DP315" s="128">
        <v>100</v>
      </c>
      <c r="DQ315" s="128">
        <v>100</v>
      </c>
      <c r="DR315" s="128">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7">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7">IF(BL316=1,BN316,0)</f>
        <v>0</v>
      </c>
      <c r="BV316" s="28"/>
      <c r="BW316" s="28"/>
      <c r="BX316" s="28"/>
      <c r="BY316" s="28"/>
      <c r="BZ316" s="28"/>
      <c r="CA316" s="28"/>
      <c r="CB316" s="99">
        <v>0.1</v>
      </c>
      <c r="CC316" s="99">
        <v>0.1</v>
      </c>
      <c r="CD316" s="99">
        <v>0.1</v>
      </c>
      <c r="CE316" s="99"/>
      <c r="CF316" s="99"/>
      <c r="CG316" s="99"/>
      <c r="CH316" s="99"/>
      <c r="CI316" s="176"/>
      <c r="CJ316" s="176"/>
      <c r="CK316" s="176"/>
      <c r="CL316" s="176"/>
      <c r="CM316" s="176"/>
      <c r="CN316" s="176"/>
      <c r="CO316" s="176"/>
      <c r="CP316" s="177"/>
      <c r="CQ316" s="177"/>
      <c r="CR316" s="177"/>
      <c r="CS316" s="177"/>
      <c r="CT316" s="177"/>
      <c r="CU316" s="177"/>
      <c r="CV316" s="177"/>
      <c r="CW316" s="168"/>
      <c r="CX316" s="169"/>
      <c r="CY316" s="169"/>
      <c r="CZ316" s="169"/>
      <c r="DA316" s="169"/>
      <c r="DB316" s="169"/>
      <c r="DC316" s="169"/>
      <c r="DD316" s="173"/>
      <c r="DE316" s="173"/>
      <c r="DF316" s="173"/>
      <c r="DG316" s="173"/>
      <c r="DH316" s="173"/>
      <c r="DI316" s="173"/>
      <c r="DJ316" s="173"/>
      <c r="DK316" s="80" t="s">
        <v>1411</v>
      </c>
      <c r="DL316" s="129">
        <v>100</v>
      </c>
      <c r="DM316" s="129">
        <v>100</v>
      </c>
      <c r="DN316" s="129">
        <v>100</v>
      </c>
      <c r="DO316" s="129">
        <v>100</v>
      </c>
      <c r="DP316" s="129">
        <v>100</v>
      </c>
      <c r="DQ316" s="129">
        <v>100</v>
      </c>
      <c r="DR316" s="129">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7">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7"/>
        <v>0</v>
      </c>
      <c r="BV317" s="27"/>
      <c r="BW317" s="27"/>
      <c r="BX317" s="27"/>
      <c r="BY317" s="27"/>
      <c r="BZ317" s="27"/>
      <c r="CA317" s="27"/>
      <c r="CB317" s="97"/>
      <c r="CC317" s="97">
        <v>0.1</v>
      </c>
      <c r="CD317" s="97">
        <v>0.1</v>
      </c>
      <c r="CE317" s="97"/>
      <c r="CF317" s="97"/>
      <c r="CG317" s="97"/>
      <c r="CH317" s="97"/>
      <c r="CI317" s="174"/>
      <c r="CJ317" s="174"/>
      <c r="CK317" s="174"/>
      <c r="CL317" s="174"/>
      <c r="CM317" s="174"/>
      <c r="CN317" s="174"/>
      <c r="CO317" s="174"/>
      <c r="CP317" s="175"/>
      <c r="CQ317" s="175"/>
      <c r="CR317" s="175"/>
      <c r="CS317" s="175"/>
      <c r="CT317" s="175"/>
      <c r="CU317" s="175"/>
      <c r="CV317" s="175"/>
      <c r="CW317" s="166"/>
      <c r="CX317" s="167"/>
      <c r="CY317" s="167"/>
      <c r="CZ317" s="167"/>
      <c r="DA317" s="167"/>
      <c r="DB317" s="167"/>
      <c r="DC317" s="167"/>
      <c r="DD317" s="172"/>
      <c r="DE317" s="172"/>
      <c r="DF317" s="172"/>
      <c r="DG317" s="172"/>
      <c r="DH317" s="172"/>
      <c r="DI317" s="172"/>
      <c r="DJ317" s="172"/>
      <c r="DK317" s="79" t="s">
        <v>1411</v>
      </c>
      <c r="DL317" s="128">
        <v>100</v>
      </c>
      <c r="DM317" s="128">
        <v>100</v>
      </c>
      <c r="DN317" s="128">
        <v>100</v>
      </c>
      <c r="DO317" s="128">
        <v>100</v>
      </c>
      <c r="DP317" s="128">
        <v>100</v>
      </c>
      <c r="DQ317" s="128">
        <v>100</v>
      </c>
      <c r="DR317" s="128">
        <v>100</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7">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6"/>
      <c r="CJ318" s="176"/>
      <c r="CK318" s="176"/>
      <c r="CL318" s="176"/>
      <c r="CM318" s="176"/>
      <c r="CN318" s="176"/>
      <c r="CO318" s="176"/>
      <c r="CP318" s="177"/>
      <c r="CQ318" s="177"/>
      <c r="CR318" s="177"/>
      <c r="CS318" s="177"/>
      <c r="CT318" s="177"/>
      <c r="CU318" s="177"/>
      <c r="CV318" s="177"/>
      <c r="CW318" s="168"/>
      <c r="CX318" s="169"/>
      <c r="CY318" s="169"/>
      <c r="CZ318" s="169"/>
      <c r="DA318" s="169"/>
      <c r="DB318" s="169"/>
      <c r="DC318" s="169"/>
      <c r="DD318" s="173"/>
      <c r="DE318" s="173"/>
      <c r="DF318" s="173"/>
      <c r="DG318" s="173"/>
      <c r="DH318" s="173"/>
      <c r="DI318" s="173"/>
      <c r="DJ318" s="173"/>
      <c r="DK318" s="80" t="s">
        <v>1411</v>
      </c>
      <c r="DL318" s="129">
        <v>15</v>
      </c>
      <c r="DM318" s="129">
        <v>15</v>
      </c>
      <c r="DN318" s="129">
        <v>15</v>
      </c>
      <c r="DO318" s="129">
        <v>15</v>
      </c>
      <c r="DP318" s="129">
        <v>15</v>
      </c>
      <c r="DQ318" s="129">
        <v>15</v>
      </c>
      <c r="DR318" s="129">
        <v>15</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7">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83"/>
        <v>0</v>
      </c>
      <c r="BV319" s="27"/>
      <c r="BW319" s="27"/>
      <c r="BX319" s="27"/>
      <c r="BY319" s="27"/>
      <c r="BZ319" s="27"/>
      <c r="CA319" s="27"/>
      <c r="CB319" s="97">
        <v>0.6</v>
      </c>
      <c r="CC319" s="97">
        <v>1</v>
      </c>
      <c r="CD319" s="97">
        <v>2</v>
      </c>
      <c r="CE319" s="97">
        <v>5</v>
      </c>
      <c r="CF319" s="97">
        <v>10</v>
      </c>
      <c r="CG319" s="97">
        <v>10</v>
      </c>
      <c r="CH319" s="97">
        <v>10</v>
      </c>
      <c r="CI319" s="174"/>
      <c r="CJ319" s="174"/>
      <c r="CK319" s="174"/>
      <c r="CL319" s="174"/>
      <c r="CM319" s="174"/>
      <c r="CN319" s="174"/>
      <c r="CO319" s="174"/>
      <c r="CP319" s="175"/>
      <c r="CQ319" s="175"/>
      <c r="CR319" s="175"/>
      <c r="CS319" s="175"/>
      <c r="CT319" s="175"/>
      <c r="CU319" s="175"/>
      <c r="CV319" s="175"/>
      <c r="CW319" s="166"/>
      <c r="CX319" s="167"/>
      <c r="CY319" s="167"/>
      <c r="CZ319" s="167"/>
      <c r="DA319" s="167"/>
      <c r="DB319" s="167"/>
      <c r="DC319" s="167"/>
      <c r="DD319" s="172"/>
      <c r="DE319" s="172"/>
      <c r="DF319" s="172"/>
      <c r="DG319" s="172"/>
      <c r="DH319" s="172"/>
      <c r="DI319" s="172"/>
      <c r="DJ319" s="172"/>
      <c r="DK319" s="79" t="s">
        <v>1411</v>
      </c>
      <c r="DL319" s="128">
        <v>100</v>
      </c>
      <c r="DM319" s="128">
        <v>100</v>
      </c>
      <c r="DN319" s="128">
        <v>100</v>
      </c>
      <c r="DO319" s="128">
        <v>100</v>
      </c>
      <c r="DP319" s="128">
        <v>100</v>
      </c>
      <c r="DQ319" s="128">
        <v>100</v>
      </c>
      <c r="DR319" s="128">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7">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83"/>
        <v>0</v>
      </c>
      <c r="BV320" s="28"/>
      <c r="BW320" s="28"/>
      <c r="BX320" s="28"/>
      <c r="BY320" s="28"/>
      <c r="BZ320" s="28"/>
      <c r="CA320" s="28"/>
      <c r="CB320" s="99"/>
      <c r="CC320" s="99">
        <v>1</v>
      </c>
      <c r="CD320" s="99">
        <v>2</v>
      </c>
      <c r="CE320" s="99">
        <v>5</v>
      </c>
      <c r="CF320" s="99">
        <v>10</v>
      </c>
      <c r="CG320" s="99">
        <v>10</v>
      </c>
      <c r="CH320" s="99">
        <v>10</v>
      </c>
      <c r="CI320" s="176"/>
      <c r="CJ320" s="176"/>
      <c r="CK320" s="176"/>
      <c r="CL320" s="176"/>
      <c r="CM320" s="176"/>
      <c r="CN320" s="176"/>
      <c r="CO320" s="176"/>
      <c r="CP320" s="177"/>
      <c r="CQ320" s="177"/>
      <c r="CR320" s="177"/>
      <c r="CS320" s="177"/>
      <c r="CT320" s="177"/>
      <c r="CU320" s="177"/>
      <c r="CV320" s="177"/>
      <c r="CW320" s="168"/>
      <c r="CX320" s="169"/>
      <c r="CY320" s="169"/>
      <c r="CZ320" s="169"/>
      <c r="DA320" s="169"/>
      <c r="DB320" s="169"/>
      <c r="DC320" s="169"/>
      <c r="DD320" s="173"/>
      <c r="DE320" s="173"/>
      <c r="DF320" s="173"/>
      <c r="DG320" s="173"/>
      <c r="DH320" s="173"/>
      <c r="DI320" s="173"/>
      <c r="DJ320" s="173"/>
      <c r="DK320" s="80" t="s">
        <v>1411</v>
      </c>
      <c r="DL320" s="129">
        <v>100</v>
      </c>
      <c r="DM320" s="129">
        <v>100</v>
      </c>
      <c r="DN320" s="129">
        <v>100</v>
      </c>
      <c r="DO320" s="129">
        <v>100</v>
      </c>
      <c r="DP320" s="129">
        <v>100</v>
      </c>
      <c r="DQ320" s="129">
        <v>100</v>
      </c>
      <c r="DR320" s="129">
        <v>100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
      <c r="A321" s="5" t="s">
        <v>1440</v>
      </c>
      <c r="B321" s="5" t="s">
        <v>740</v>
      </c>
      <c r="C321" s="5" t="s">
        <v>788</v>
      </c>
      <c r="D321" s="5" t="s">
        <v>741</v>
      </c>
      <c r="E321" s="5" t="s">
        <v>459</v>
      </c>
      <c r="F321" s="5" t="s">
        <v>464</v>
      </c>
      <c r="G321" s="222"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7">
        <v>0.08</v>
      </c>
      <c r="AF321" s="93">
        <v>0</v>
      </c>
      <c r="AG321" s="93">
        <v>12</v>
      </c>
      <c r="AH321" s="93">
        <v>12</v>
      </c>
      <c r="AI321" s="16">
        <f t="shared" ref="AI321" si="288">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83"/>
        <v>0</v>
      </c>
      <c r="BV321" s="27"/>
      <c r="BW321" s="27"/>
      <c r="BX321" s="27"/>
      <c r="BY321" s="27"/>
      <c r="BZ321" s="27"/>
      <c r="CA321" s="27"/>
      <c r="CB321" s="97"/>
      <c r="CC321" s="97">
        <v>5</v>
      </c>
      <c r="CD321" s="97">
        <v>25</v>
      </c>
      <c r="CE321" s="97">
        <v>50</v>
      </c>
      <c r="CF321" s="97">
        <v>100</v>
      </c>
      <c r="CG321" s="97">
        <v>100</v>
      </c>
      <c r="CH321" s="97">
        <v>100</v>
      </c>
      <c r="CI321" s="174"/>
      <c r="CJ321" s="174"/>
      <c r="CK321" s="174"/>
      <c r="CL321" s="174"/>
      <c r="CM321" s="174"/>
      <c r="CN321" s="174"/>
      <c r="CO321" s="174"/>
      <c r="CP321" s="175"/>
      <c r="CQ321" s="175"/>
      <c r="CR321" s="175"/>
      <c r="CS321" s="175"/>
      <c r="CT321" s="175"/>
      <c r="CU321" s="175"/>
      <c r="CV321" s="175"/>
      <c r="CW321" s="166"/>
      <c r="CX321" s="167"/>
      <c r="CY321" s="167"/>
      <c r="CZ321" s="167"/>
      <c r="DA321" s="167"/>
      <c r="DB321" s="167"/>
      <c r="DC321" s="167"/>
      <c r="DD321" s="172"/>
      <c r="DE321" s="172"/>
      <c r="DF321" s="172"/>
      <c r="DG321" s="172"/>
      <c r="DH321" s="172"/>
      <c r="DI321" s="172"/>
      <c r="DJ321" s="172"/>
      <c r="DK321" s="79" t="s">
        <v>1337</v>
      </c>
      <c r="DL321" s="128">
        <v>200</v>
      </c>
      <c r="DM321" s="128">
        <v>200</v>
      </c>
      <c r="DN321" s="128">
        <v>200</v>
      </c>
      <c r="DO321" s="128">
        <v>200</v>
      </c>
      <c r="DP321" s="128">
        <v>200</v>
      </c>
      <c r="DQ321" s="128">
        <v>200</v>
      </c>
      <c r="DR321" s="128">
        <v>200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7">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83"/>
        <v>0</v>
      </c>
      <c r="BV322" s="28"/>
      <c r="BW322" s="28"/>
      <c r="BX322" s="28"/>
      <c r="BY322" s="28"/>
      <c r="BZ322" s="28"/>
      <c r="CA322" s="28"/>
      <c r="CB322" s="99"/>
      <c r="CC322" s="99">
        <v>1</v>
      </c>
      <c r="CD322" s="99">
        <v>2</v>
      </c>
      <c r="CE322" s="99">
        <v>5</v>
      </c>
      <c r="CF322" s="99">
        <v>10</v>
      </c>
      <c r="CG322" s="99">
        <v>10</v>
      </c>
      <c r="CH322" s="99">
        <v>10</v>
      </c>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1411</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
      <c r="A323" s="6" t="s">
        <v>1444</v>
      </c>
      <c r="B323" s="6" t="s">
        <v>740</v>
      </c>
      <c r="C323" s="6" t="s">
        <v>788</v>
      </c>
      <c r="D323" s="6" t="s">
        <v>741</v>
      </c>
      <c r="E323" s="6" t="s">
        <v>459</v>
      </c>
      <c r="F323" s="6" t="s">
        <v>464</v>
      </c>
      <c r="G323" s="48" t="s">
        <v>1445</v>
      </c>
      <c r="H323" s="48" t="str">
        <f>H250</f>
        <v>[GW]</v>
      </c>
      <c r="I323" s="102">
        <f t="shared" ref="I323:AH323" si="289">I250</f>
        <v>9867</v>
      </c>
      <c r="J323" s="102">
        <f t="shared" si="289"/>
        <v>8745.75</v>
      </c>
      <c r="K323" s="102">
        <f t="shared" si="289"/>
        <v>7097</v>
      </c>
      <c r="L323" s="102">
        <f t="shared" si="289"/>
        <v>6600</v>
      </c>
      <c r="M323" s="102">
        <f t="shared" si="289"/>
        <v>6400</v>
      </c>
      <c r="N323" s="102">
        <f t="shared" si="289"/>
        <v>6200</v>
      </c>
      <c r="O323" s="102">
        <f t="shared" si="289"/>
        <v>6104</v>
      </c>
      <c r="P323" s="94">
        <v>0</v>
      </c>
      <c r="Q323" s="102">
        <f t="shared" si="289"/>
        <v>100.4</v>
      </c>
      <c r="R323" s="102">
        <f t="shared" si="289"/>
        <v>100.4</v>
      </c>
      <c r="S323" s="102">
        <f t="shared" si="289"/>
        <v>100.4</v>
      </c>
      <c r="T323" s="102">
        <f t="shared" si="289"/>
        <v>100.4</v>
      </c>
      <c r="U323" s="102">
        <f t="shared" si="289"/>
        <v>100.4</v>
      </c>
      <c r="V323" s="102">
        <f t="shared" si="289"/>
        <v>100.4</v>
      </c>
      <c r="W323" s="102">
        <f t="shared" si="289"/>
        <v>100.4</v>
      </c>
      <c r="X323" s="102">
        <f t="shared" si="289"/>
        <v>4.9400000000000004</v>
      </c>
      <c r="Y323" s="102">
        <f t="shared" si="289"/>
        <v>4.9400000000000004</v>
      </c>
      <c r="Z323" s="102">
        <f t="shared" si="289"/>
        <v>4.9400000000000004</v>
      </c>
      <c r="AA323" s="102">
        <f t="shared" si="289"/>
        <v>4.9400000000000004</v>
      </c>
      <c r="AB323" s="102">
        <f t="shared" si="289"/>
        <v>4.9400000000000004</v>
      </c>
      <c r="AC323" s="102">
        <f t="shared" si="289"/>
        <v>4.9400000000000004</v>
      </c>
      <c r="AD323" s="102">
        <f t="shared" si="289"/>
        <v>4.9400000000000004</v>
      </c>
      <c r="AE323" s="187">
        <v>0.08</v>
      </c>
      <c r="AF323" s="94">
        <f t="shared" si="289"/>
        <v>0</v>
      </c>
      <c r="AG323" s="94">
        <f t="shared" si="289"/>
        <v>60</v>
      </c>
      <c r="AH323" s="94">
        <f t="shared" si="289"/>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0">IF(BL323=1,BN323,0)</f>
        <v>0</v>
      </c>
      <c r="BV323" s="28"/>
      <c r="BW323" s="28"/>
      <c r="BX323" s="28"/>
      <c r="BY323" s="28"/>
      <c r="BZ323" s="28"/>
      <c r="CA323" s="28"/>
      <c r="CB323" s="99"/>
      <c r="CC323" s="99">
        <f t="shared" ref="CC323:CD323" si="291">CC250</f>
        <v>0</v>
      </c>
      <c r="CD323" s="99">
        <f t="shared" si="291"/>
        <v>0</v>
      </c>
      <c r="CE323" s="99"/>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1411</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
      <c r="A324" s="6" t="s">
        <v>1446</v>
      </c>
      <c r="B324" s="6" t="s">
        <v>740</v>
      </c>
      <c r="C324" s="6" t="s">
        <v>788</v>
      </c>
      <c r="D324" s="6" t="s">
        <v>741</v>
      </c>
      <c r="E324" s="6" t="s">
        <v>459</v>
      </c>
      <c r="F324" s="6" t="s">
        <v>464</v>
      </c>
      <c r="G324" s="48" t="s">
        <v>1447</v>
      </c>
      <c r="H324" s="48" t="str">
        <f>H251</f>
        <v>[GW]</v>
      </c>
      <c r="I324" s="102">
        <f>I323</f>
        <v>9867</v>
      </c>
      <c r="J324" s="102">
        <f t="shared" ref="J324:AI324" si="292">J323</f>
        <v>8745.75</v>
      </c>
      <c r="K324" s="102">
        <f t="shared" si="292"/>
        <v>7097</v>
      </c>
      <c r="L324" s="102">
        <f t="shared" si="292"/>
        <v>6600</v>
      </c>
      <c r="M324" s="102">
        <f t="shared" si="292"/>
        <v>6400</v>
      </c>
      <c r="N324" s="102">
        <f t="shared" si="292"/>
        <v>6200</v>
      </c>
      <c r="O324" s="102">
        <f t="shared" si="292"/>
        <v>6104</v>
      </c>
      <c r="P324" s="94">
        <v>0</v>
      </c>
      <c r="Q324" s="102">
        <f t="shared" si="292"/>
        <v>100.4</v>
      </c>
      <c r="R324" s="102">
        <f t="shared" si="292"/>
        <v>100.4</v>
      </c>
      <c r="S324" s="102">
        <f t="shared" si="292"/>
        <v>100.4</v>
      </c>
      <c r="T324" s="102">
        <f t="shared" si="292"/>
        <v>100.4</v>
      </c>
      <c r="U324" s="102">
        <f t="shared" si="292"/>
        <v>100.4</v>
      </c>
      <c r="V324" s="102">
        <f t="shared" si="292"/>
        <v>100.4</v>
      </c>
      <c r="W324" s="102">
        <f t="shared" si="292"/>
        <v>100.4</v>
      </c>
      <c r="X324" s="102">
        <f t="shared" si="292"/>
        <v>4.9400000000000004</v>
      </c>
      <c r="Y324" s="102">
        <f t="shared" si="292"/>
        <v>4.9400000000000004</v>
      </c>
      <c r="Z324" s="102">
        <f t="shared" si="292"/>
        <v>4.9400000000000004</v>
      </c>
      <c r="AA324" s="102">
        <f t="shared" si="292"/>
        <v>4.9400000000000004</v>
      </c>
      <c r="AB324" s="102">
        <f t="shared" si="292"/>
        <v>4.9400000000000004</v>
      </c>
      <c r="AC324" s="102">
        <f t="shared" si="292"/>
        <v>4.9400000000000004</v>
      </c>
      <c r="AD324" s="102">
        <f t="shared" si="292"/>
        <v>4.9400000000000004</v>
      </c>
      <c r="AE324" s="187">
        <v>0.08</v>
      </c>
      <c r="AF324" s="94">
        <f t="shared" si="292"/>
        <v>0</v>
      </c>
      <c r="AG324" s="94">
        <f t="shared" si="292"/>
        <v>60</v>
      </c>
      <c r="AH324" s="94">
        <f t="shared" si="292"/>
        <v>60</v>
      </c>
      <c r="AI324" s="17">
        <f t="shared" si="292"/>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93">IF(BL324=1,BN324,0)</f>
        <v>0</v>
      </c>
      <c r="BV324" s="28"/>
      <c r="BW324" s="28"/>
      <c r="BX324" s="28"/>
      <c r="BY324" s="28"/>
      <c r="BZ324" s="28"/>
      <c r="CA324" s="28"/>
      <c r="CB324" s="99">
        <f t="shared" ref="CB324:CE324" si="294">CB323</f>
        <v>0</v>
      </c>
      <c r="CC324" s="99">
        <f t="shared" si="294"/>
        <v>0</v>
      </c>
      <c r="CD324" s="99">
        <f t="shared" si="294"/>
        <v>0</v>
      </c>
      <c r="CE324" s="99">
        <f t="shared" si="294"/>
        <v>0</v>
      </c>
      <c r="CF324" s="99"/>
      <c r="CG324" s="99"/>
      <c r="CH324" s="99"/>
      <c r="CI324" s="176"/>
      <c r="CJ324" s="176"/>
      <c r="CK324" s="176"/>
      <c r="CL324" s="176"/>
      <c r="CM324" s="176"/>
      <c r="CN324" s="176"/>
      <c r="CO324" s="176"/>
      <c r="CP324" s="177"/>
      <c r="CQ324" s="177"/>
      <c r="CR324" s="177"/>
      <c r="CS324" s="177"/>
      <c r="CT324" s="177"/>
      <c r="CU324" s="177"/>
      <c r="CV324" s="177"/>
      <c r="CW324" s="168"/>
      <c r="CX324" s="169"/>
      <c r="CY324" s="169"/>
      <c r="CZ324" s="169"/>
      <c r="DA324" s="169"/>
      <c r="DB324" s="169"/>
      <c r="DC324" s="169"/>
      <c r="DD324" s="173"/>
      <c r="DE324" s="173"/>
      <c r="DF324" s="173"/>
      <c r="DG324" s="173"/>
      <c r="DH324" s="173"/>
      <c r="DI324" s="173"/>
      <c r="DJ324" s="173"/>
      <c r="DK324" s="80" t="s">
        <v>1411</v>
      </c>
      <c r="DL324" s="129">
        <v>100</v>
      </c>
      <c r="DM324" s="129">
        <v>100</v>
      </c>
      <c r="DN324" s="129">
        <v>100</v>
      </c>
      <c r="DO324" s="129">
        <v>100</v>
      </c>
      <c r="DP324" s="129">
        <v>100</v>
      </c>
      <c r="DQ324" s="129">
        <v>100</v>
      </c>
      <c r="DR324" s="129">
        <v>100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7">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6">
        <v>10</v>
      </c>
      <c r="CC325" s="186">
        <v>10</v>
      </c>
      <c r="CD325" s="186">
        <v>10</v>
      </c>
      <c r="CE325" s="97">
        <v>0.5</v>
      </c>
      <c r="CF325" s="97">
        <v>0.5</v>
      </c>
      <c r="CG325" s="97">
        <v>0.5</v>
      </c>
      <c r="CH325" s="97">
        <v>0.5</v>
      </c>
      <c r="CI325" s="174"/>
      <c r="CJ325" s="174"/>
      <c r="CK325" s="174"/>
      <c r="CL325" s="174"/>
      <c r="CM325" s="174"/>
      <c r="CN325" s="174"/>
      <c r="CO325" s="174"/>
      <c r="CP325" s="175"/>
      <c r="CQ325" s="175"/>
      <c r="CR325" s="175"/>
      <c r="CS325" s="175"/>
      <c r="CT325" s="175"/>
      <c r="CU325" s="175"/>
      <c r="CV325" s="175"/>
      <c r="CW325" s="166"/>
      <c r="CX325" s="167"/>
      <c r="CY325" s="167"/>
      <c r="CZ325" s="167"/>
      <c r="DA325" s="167"/>
      <c r="DB325" s="167"/>
      <c r="DC325" s="167"/>
      <c r="DD325" s="172"/>
      <c r="DE325" s="172"/>
      <c r="DF325" s="172"/>
      <c r="DG325" s="172"/>
      <c r="DH325" s="172"/>
      <c r="DI325" s="172"/>
      <c r="DJ325" s="172"/>
      <c r="DK325" s="79" t="s">
        <v>1411</v>
      </c>
      <c r="DL325" s="128">
        <v>500</v>
      </c>
      <c r="DM325" s="128">
        <v>500</v>
      </c>
      <c r="DN325" s="128">
        <v>500</v>
      </c>
      <c r="DO325" s="128">
        <v>500</v>
      </c>
      <c r="DP325" s="128">
        <v>500</v>
      </c>
      <c r="DQ325" s="128">
        <v>500</v>
      </c>
      <c r="DR325" s="128">
        <v>500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7">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83"/>
        <v>0</v>
      </c>
      <c r="BV326" s="28"/>
      <c r="BW326" s="28"/>
      <c r="BX326" s="28"/>
      <c r="BY326" s="28"/>
      <c r="BZ326" s="28"/>
      <c r="CA326" s="28"/>
      <c r="CB326" s="99"/>
      <c r="CC326" s="99">
        <v>1</v>
      </c>
      <c r="CD326" s="99">
        <v>2</v>
      </c>
      <c r="CE326" s="99">
        <v>5</v>
      </c>
      <c r="CF326" s="99">
        <v>10</v>
      </c>
      <c r="CG326" s="99">
        <v>10</v>
      </c>
      <c r="CH326" s="99">
        <v>10</v>
      </c>
      <c r="CI326" s="176"/>
      <c r="CJ326" s="176"/>
      <c r="CK326" s="176"/>
      <c r="CL326" s="176"/>
      <c r="CM326" s="176"/>
      <c r="CN326" s="176"/>
      <c r="CO326" s="176"/>
      <c r="CP326" s="177"/>
      <c r="CQ326" s="177"/>
      <c r="CR326" s="177"/>
      <c r="CS326" s="177"/>
      <c r="CT326" s="177"/>
      <c r="CU326" s="177"/>
      <c r="CV326" s="177"/>
      <c r="CW326" s="168"/>
      <c r="CX326" s="169"/>
      <c r="CY326" s="169"/>
      <c r="CZ326" s="169"/>
      <c r="DA326" s="169"/>
      <c r="DB326" s="169"/>
      <c r="DC326" s="169"/>
      <c r="DD326" s="173"/>
      <c r="DE326" s="173"/>
      <c r="DF326" s="173"/>
      <c r="DG326" s="173"/>
      <c r="DH326" s="173"/>
      <c r="DI326" s="173"/>
      <c r="DJ326" s="173"/>
      <c r="DK326" s="80" t="s">
        <v>1411</v>
      </c>
      <c r="DL326" s="129">
        <v>150</v>
      </c>
      <c r="DM326" s="129">
        <v>150</v>
      </c>
      <c r="DN326" s="129">
        <v>150</v>
      </c>
      <c r="DO326" s="129">
        <v>150</v>
      </c>
      <c r="DP326" s="129">
        <v>150</v>
      </c>
      <c r="DQ326" s="129">
        <v>150</v>
      </c>
      <c r="DR326" s="129">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7">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83"/>
        <v>0</v>
      </c>
      <c r="BV327" s="27"/>
      <c r="BW327" s="27"/>
      <c r="BX327" s="27"/>
      <c r="BY327" s="27"/>
      <c r="BZ327" s="27"/>
      <c r="CA327" s="27"/>
      <c r="CB327" s="97"/>
      <c r="CC327" s="97">
        <v>1</v>
      </c>
      <c r="CD327" s="97">
        <v>2</v>
      </c>
      <c r="CE327" s="97">
        <v>5</v>
      </c>
      <c r="CF327" s="97">
        <v>10</v>
      </c>
      <c r="CG327" s="97">
        <v>10</v>
      </c>
      <c r="CH327" s="97">
        <v>10</v>
      </c>
      <c r="CI327" s="174"/>
      <c r="CJ327" s="174"/>
      <c r="CK327" s="174"/>
      <c r="CL327" s="174"/>
      <c r="CM327" s="174"/>
      <c r="CN327" s="174"/>
      <c r="CO327" s="174"/>
      <c r="CP327" s="175"/>
      <c r="CQ327" s="175"/>
      <c r="CR327" s="175"/>
      <c r="CS327" s="175"/>
      <c r="CT327" s="175"/>
      <c r="CU327" s="175"/>
      <c r="CV327" s="175"/>
      <c r="CW327" s="166"/>
      <c r="CX327" s="167"/>
      <c r="CY327" s="167"/>
      <c r="CZ327" s="167"/>
      <c r="DA327" s="167"/>
      <c r="DB327" s="167"/>
      <c r="DC327" s="167"/>
      <c r="DD327" s="172"/>
      <c r="DE327" s="172"/>
      <c r="DF327" s="172"/>
      <c r="DG327" s="172"/>
      <c r="DH327" s="172"/>
      <c r="DI327" s="172"/>
      <c r="DJ327" s="172"/>
      <c r="DK327" s="79" t="s">
        <v>1411</v>
      </c>
      <c r="DL327" s="128">
        <v>150</v>
      </c>
      <c r="DM327" s="128">
        <v>150</v>
      </c>
      <c r="DN327" s="128">
        <v>150</v>
      </c>
      <c r="DO327" s="128">
        <v>150</v>
      </c>
      <c r="DP327" s="128">
        <v>150</v>
      </c>
      <c r="DQ327" s="128">
        <v>150</v>
      </c>
      <c r="DR327" s="128">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7">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83"/>
        <v>0</v>
      </c>
      <c r="BV328" s="28"/>
      <c r="BW328" s="28"/>
      <c r="BX328" s="28"/>
      <c r="BY328" s="28"/>
      <c r="BZ328" s="28"/>
      <c r="CA328" s="28"/>
      <c r="CB328" s="99"/>
      <c r="CC328" s="99">
        <v>1</v>
      </c>
      <c r="CD328" s="99">
        <v>2</v>
      </c>
      <c r="CE328" s="99">
        <v>5</v>
      </c>
      <c r="CF328" s="99">
        <v>10</v>
      </c>
      <c r="CG328" s="99">
        <v>10</v>
      </c>
      <c r="CH328" s="99">
        <v>10</v>
      </c>
      <c r="CI328" s="176"/>
      <c r="CJ328" s="176"/>
      <c r="CK328" s="176"/>
      <c r="CL328" s="176"/>
      <c r="CM328" s="176"/>
      <c r="CN328" s="176"/>
      <c r="CO328" s="176"/>
      <c r="CP328" s="177"/>
      <c r="CQ328" s="177"/>
      <c r="CR328" s="177"/>
      <c r="CS328" s="177"/>
      <c r="CT328" s="177"/>
      <c r="CU328" s="177"/>
      <c r="CV328" s="177"/>
      <c r="CW328" s="168"/>
      <c r="CX328" s="169"/>
      <c r="CY328" s="169"/>
      <c r="CZ328" s="169"/>
      <c r="DA328" s="169"/>
      <c r="DB328" s="169"/>
      <c r="DC328" s="169"/>
      <c r="DD328" s="173"/>
      <c r="DE328" s="173"/>
      <c r="DF328" s="173"/>
      <c r="DG328" s="173"/>
      <c r="DH328" s="173"/>
      <c r="DI328" s="173"/>
      <c r="DJ328" s="173"/>
      <c r="DK328" s="80" t="s">
        <v>1411</v>
      </c>
      <c r="DL328" s="129">
        <v>150</v>
      </c>
      <c r="DM328" s="129">
        <v>150</v>
      </c>
      <c r="DN328" s="129">
        <v>150</v>
      </c>
      <c r="DO328" s="129">
        <v>150</v>
      </c>
      <c r="DP328" s="129">
        <v>150</v>
      </c>
      <c r="DQ328" s="129">
        <v>150</v>
      </c>
      <c r="DR328" s="129">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7">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83"/>
        <v>0</v>
      </c>
      <c r="BV329" s="27"/>
      <c r="BW329" s="27"/>
      <c r="BX329" s="27"/>
      <c r="BY329" s="27"/>
      <c r="BZ329" s="27"/>
      <c r="CA329" s="27"/>
      <c r="CB329" s="97"/>
      <c r="CC329" s="97">
        <v>1</v>
      </c>
      <c r="CD329" s="97">
        <v>2</v>
      </c>
      <c r="CE329" s="97">
        <v>5</v>
      </c>
      <c r="CF329" s="97">
        <v>10</v>
      </c>
      <c r="CG329" s="97">
        <v>10</v>
      </c>
      <c r="CH329" s="97">
        <v>10</v>
      </c>
      <c r="CI329" s="174"/>
      <c r="CJ329" s="174"/>
      <c r="CK329" s="174"/>
      <c r="CL329" s="174"/>
      <c r="CM329" s="174"/>
      <c r="CN329" s="174"/>
      <c r="CO329" s="174"/>
      <c r="CP329" s="175"/>
      <c r="CQ329" s="175"/>
      <c r="CR329" s="175"/>
      <c r="CS329" s="175"/>
      <c r="CT329" s="175"/>
      <c r="CU329" s="175"/>
      <c r="CV329" s="175"/>
      <c r="CW329" s="166"/>
      <c r="CX329" s="167"/>
      <c r="CY329" s="167"/>
      <c r="CZ329" s="167"/>
      <c r="DA329" s="167"/>
      <c r="DB329" s="167"/>
      <c r="DC329" s="167"/>
      <c r="DD329" s="172"/>
      <c r="DE329" s="172"/>
      <c r="DF329" s="172"/>
      <c r="DG329" s="172"/>
      <c r="DH329" s="172"/>
      <c r="DI329" s="172"/>
      <c r="DJ329" s="172"/>
      <c r="DK329" s="79" t="s">
        <v>1411</v>
      </c>
      <c r="DL329" s="128">
        <v>150</v>
      </c>
      <c r="DM329" s="128">
        <v>150</v>
      </c>
      <c r="DN329" s="128">
        <v>150</v>
      </c>
      <c r="DO329" s="128">
        <v>150</v>
      </c>
      <c r="DP329" s="128">
        <v>150</v>
      </c>
      <c r="DQ329" s="128">
        <v>150</v>
      </c>
      <c r="DR329" s="128">
        <v>150</v>
      </c>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7">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83"/>
        <v>0</v>
      </c>
      <c r="BV330" s="28"/>
      <c r="BW330" s="28"/>
      <c r="BX330" s="28"/>
      <c r="BY330" s="28"/>
      <c r="BZ330" s="28"/>
      <c r="CA330" s="28"/>
      <c r="CB330" s="99">
        <v>30</v>
      </c>
      <c r="CC330" s="99">
        <v>30</v>
      </c>
      <c r="CD330" s="99">
        <v>30</v>
      </c>
      <c r="CE330" s="99">
        <v>30</v>
      </c>
      <c r="CF330" s="99">
        <v>30</v>
      </c>
      <c r="CG330" s="99">
        <v>30</v>
      </c>
      <c r="CH330" s="99">
        <v>30</v>
      </c>
      <c r="CI330" s="176"/>
      <c r="CJ330" s="176"/>
      <c r="CK330" s="176"/>
      <c r="CL330" s="176"/>
      <c r="CM330" s="176"/>
      <c r="CN330" s="176"/>
      <c r="CO330" s="176"/>
      <c r="CP330" s="177"/>
      <c r="CQ330" s="177"/>
      <c r="CR330" s="177"/>
      <c r="CS330" s="177"/>
      <c r="CT330" s="177"/>
      <c r="CU330" s="177"/>
      <c r="CV330" s="177"/>
      <c r="CW330" s="168"/>
      <c r="CX330" s="169"/>
      <c r="CY330" s="169"/>
      <c r="CZ330" s="169"/>
      <c r="DA330" s="169"/>
      <c r="DB330" s="169"/>
      <c r="DC330" s="169"/>
      <c r="DD330" s="173"/>
      <c r="DE330" s="173"/>
      <c r="DF330" s="173"/>
      <c r="DG330" s="173"/>
      <c r="DH330" s="173"/>
      <c r="DI330" s="173"/>
      <c r="DJ330" s="173"/>
      <c r="DK330" s="80"/>
      <c r="DL330" s="129"/>
      <c r="DM330" s="129"/>
      <c r="DN330" s="129"/>
      <c r="DO330" s="129"/>
      <c r="DP330" s="129"/>
      <c r="DQ330" s="129"/>
      <c r="DR330" s="129"/>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7">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83"/>
        <v>0</v>
      </c>
      <c r="BV331" s="27"/>
      <c r="BW331" s="27"/>
      <c r="BX331" s="27"/>
      <c r="BY331" s="27"/>
      <c r="BZ331" s="27"/>
      <c r="CA331" s="27"/>
      <c r="CB331" s="97"/>
      <c r="CC331" s="97">
        <v>15</v>
      </c>
      <c r="CD331" s="97">
        <v>30</v>
      </c>
      <c r="CE331" s="97">
        <v>30</v>
      </c>
      <c r="CF331" s="97">
        <v>30</v>
      </c>
      <c r="CG331" s="97">
        <v>30</v>
      </c>
      <c r="CH331" s="97">
        <v>30</v>
      </c>
      <c r="CI331" s="174"/>
      <c r="CJ331" s="174"/>
      <c r="CK331" s="174"/>
      <c r="CL331" s="174"/>
      <c r="CM331" s="174"/>
      <c r="CN331" s="174"/>
      <c r="CO331" s="174"/>
      <c r="CP331" s="175"/>
      <c r="CQ331" s="175"/>
      <c r="CR331" s="175"/>
      <c r="CS331" s="175"/>
      <c r="CT331" s="175"/>
      <c r="CU331" s="175"/>
      <c r="CV331" s="175"/>
      <c r="CW331" s="166"/>
      <c r="CX331" s="167"/>
      <c r="CY331" s="167"/>
      <c r="CZ331" s="167"/>
      <c r="DA331" s="167"/>
      <c r="DB331" s="167"/>
      <c r="DC331" s="167"/>
      <c r="DD331" s="172"/>
      <c r="DE331" s="172"/>
      <c r="DF331" s="172"/>
      <c r="DG331" s="172"/>
      <c r="DH331" s="172"/>
      <c r="DI331" s="172"/>
      <c r="DJ331" s="172"/>
      <c r="DK331" s="79"/>
      <c r="DL331" s="128"/>
      <c r="DM331" s="128"/>
      <c r="DN331" s="128"/>
      <c r="DO331" s="128"/>
      <c r="DP331" s="128"/>
      <c r="DQ331" s="128"/>
      <c r="DR331" s="128"/>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7">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83"/>
        <v>0</v>
      </c>
      <c r="BV332" s="28"/>
      <c r="BW332" s="28"/>
      <c r="BX332" s="28"/>
      <c r="BY332" s="28"/>
      <c r="BZ332" s="28"/>
      <c r="CA332" s="28"/>
      <c r="CB332" s="99"/>
      <c r="CC332" s="99">
        <v>15</v>
      </c>
      <c r="CD332" s="99">
        <v>30</v>
      </c>
      <c r="CE332" s="99">
        <v>30</v>
      </c>
      <c r="CF332" s="99">
        <v>30</v>
      </c>
      <c r="CG332" s="99">
        <v>30</v>
      </c>
      <c r="CH332" s="99">
        <v>30</v>
      </c>
      <c r="CI332" s="176"/>
      <c r="CJ332" s="176"/>
      <c r="CK332" s="176"/>
      <c r="CL332" s="176"/>
      <c r="CM332" s="176"/>
      <c r="CN332" s="176"/>
      <c r="CO332" s="176"/>
      <c r="CP332" s="177"/>
      <c r="CQ332" s="177"/>
      <c r="CR332" s="177"/>
      <c r="CS332" s="177"/>
      <c r="CT332" s="177"/>
      <c r="CU332" s="177"/>
      <c r="CV332" s="177"/>
      <c r="CW332" s="168"/>
      <c r="CX332" s="169"/>
      <c r="CY332" s="169"/>
      <c r="CZ332" s="169"/>
      <c r="DA332" s="169"/>
      <c r="DB332" s="169"/>
      <c r="DC332" s="169"/>
      <c r="DD332" s="173"/>
      <c r="DE332" s="173"/>
      <c r="DF332" s="173"/>
      <c r="DG332" s="173"/>
      <c r="DH332" s="173"/>
      <c r="DI332" s="173"/>
      <c r="DJ332" s="173"/>
      <c r="DK332" s="80"/>
      <c r="DL332" s="129"/>
      <c r="DM332" s="129"/>
      <c r="DN332" s="129"/>
      <c r="DO332" s="129"/>
      <c r="DP332" s="129"/>
      <c r="DQ332" s="129"/>
      <c r="DR332" s="129"/>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7">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83"/>
        <v>0</v>
      </c>
      <c r="BV333" s="27"/>
      <c r="BW333" s="27"/>
      <c r="BX333" s="27"/>
      <c r="BY333" s="27"/>
      <c r="BZ333" s="27"/>
      <c r="CA333" s="27"/>
      <c r="CB333" s="97"/>
      <c r="CC333" s="97">
        <v>15</v>
      </c>
      <c r="CD333" s="97">
        <v>30</v>
      </c>
      <c r="CE333" s="97">
        <v>30</v>
      </c>
      <c r="CF333" s="97">
        <v>30</v>
      </c>
      <c r="CG333" s="97">
        <v>30</v>
      </c>
      <c r="CH333" s="97">
        <v>30</v>
      </c>
      <c r="CI333" s="174"/>
      <c r="CJ333" s="174"/>
      <c r="CK333" s="174"/>
      <c r="CL333" s="174"/>
      <c r="CM333" s="174"/>
      <c r="CN333" s="174"/>
      <c r="CO333" s="174"/>
      <c r="CP333" s="175"/>
      <c r="CQ333" s="175"/>
      <c r="CR333" s="175"/>
      <c r="CS333" s="175"/>
      <c r="CT333" s="175"/>
      <c r="CU333" s="175"/>
      <c r="CV333" s="175"/>
      <c r="CW333" s="166"/>
      <c r="CX333" s="167"/>
      <c r="CY333" s="167"/>
      <c r="CZ333" s="167"/>
      <c r="DA333" s="167"/>
      <c r="DB333" s="167"/>
      <c r="DC333" s="167"/>
      <c r="DD333" s="172"/>
      <c r="DE333" s="172"/>
      <c r="DF333" s="172"/>
      <c r="DG333" s="172"/>
      <c r="DH333" s="172"/>
      <c r="DI333" s="172"/>
      <c r="DJ333" s="172"/>
      <c r="DK333" s="79"/>
      <c r="DL333" s="128"/>
      <c r="DM333" s="128"/>
      <c r="DN333" s="128"/>
      <c r="DO333" s="128"/>
      <c r="DP333" s="128"/>
      <c r="DQ333" s="128"/>
      <c r="DR333" s="128"/>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7">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83"/>
        <v>0</v>
      </c>
      <c r="BV334" s="28"/>
      <c r="BW334" s="28"/>
      <c r="BX334" s="28"/>
      <c r="BY334" s="28"/>
      <c r="BZ334" s="28"/>
      <c r="CA334" s="28"/>
      <c r="CB334" s="186">
        <v>15</v>
      </c>
      <c r="CC334" s="99">
        <v>15</v>
      </c>
      <c r="CD334" s="99">
        <v>30</v>
      </c>
      <c r="CE334" s="99">
        <v>30</v>
      </c>
      <c r="CF334" s="99">
        <v>30</v>
      </c>
      <c r="CG334" s="99">
        <v>30</v>
      </c>
      <c r="CH334" s="99">
        <v>30</v>
      </c>
      <c r="CI334" s="176"/>
      <c r="CJ334" s="176"/>
      <c r="CK334" s="176"/>
      <c r="CL334" s="176"/>
      <c r="CM334" s="176"/>
      <c r="CN334" s="176"/>
      <c r="CO334" s="176"/>
      <c r="CP334" s="177"/>
      <c r="CQ334" s="177"/>
      <c r="CR334" s="177"/>
      <c r="CS334" s="177"/>
      <c r="CT334" s="177"/>
      <c r="CU334" s="177"/>
      <c r="CV334" s="177"/>
      <c r="CW334" s="168"/>
      <c r="CX334" s="169"/>
      <c r="CY334" s="169"/>
      <c r="CZ334" s="169"/>
      <c r="DA334" s="169"/>
      <c r="DB334" s="169"/>
      <c r="DC334" s="169"/>
      <c r="DD334" s="173"/>
      <c r="DE334" s="173"/>
      <c r="DF334" s="173"/>
      <c r="DG334" s="173"/>
      <c r="DH334" s="173"/>
      <c r="DI334" s="173"/>
      <c r="DJ334" s="173"/>
      <c r="DK334" s="80"/>
      <c r="DL334" s="129"/>
      <c r="DM334" s="129"/>
      <c r="DN334" s="129"/>
      <c r="DO334" s="129"/>
      <c r="DP334" s="129"/>
      <c r="DQ334" s="129"/>
      <c r="DR334" s="129"/>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7">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83"/>
        <v>0</v>
      </c>
      <c r="BV335" s="27"/>
      <c r="BW335" s="27"/>
      <c r="BX335" s="27"/>
      <c r="BY335" s="27"/>
      <c r="BZ335" s="27"/>
      <c r="CA335" s="27"/>
      <c r="CB335" s="97"/>
      <c r="CC335" s="97">
        <v>15</v>
      </c>
      <c r="CD335" s="97">
        <v>30</v>
      </c>
      <c r="CE335" s="97">
        <v>30</v>
      </c>
      <c r="CF335" s="97">
        <v>30</v>
      </c>
      <c r="CG335" s="97">
        <v>30</v>
      </c>
      <c r="CH335" s="97">
        <v>30</v>
      </c>
      <c r="CI335" s="174"/>
      <c r="CJ335" s="174"/>
      <c r="CK335" s="174"/>
      <c r="CL335" s="174"/>
      <c r="CM335" s="174"/>
      <c r="CN335" s="174"/>
      <c r="CO335" s="174"/>
      <c r="CP335" s="175"/>
      <c r="CQ335" s="175"/>
      <c r="CR335" s="175"/>
      <c r="CS335" s="175"/>
      <c r="CT335" s="175"/>
      <c r="CU335" s="175"/>
      <c r="CV335" s="175"/>
      <c r="CW335" s="166"/>
      <c r="CX335" s="167"/>
      <c r="CY335" s="167"/>
      <c r="CZ335" s="167"/>
      <c r="DA335" s="167"/>
      <c r="DB335" s="167"/>
      <c r="DC335" s="167"/>
      <c r="DD335" s="172"/>
      <c r="DE335" s="172"/>
      <c r="DF335" s="172"/>
      <c r="DG335" s="172"/>
      <c r="DH335" s="172"/>
      <c r="DI335" s="172"/>
      <c r="DJ335" s="172"/>
      <c r="DK335" s="79"/>
      <c r="DL335" s="128"/>
      <c r="DM335" s="128"/>
      <c r="DN335" s="128"/>
      <c r="DO335" s="128"/>
      <c r="DP335" s="128"/>
      <c r="DQ335" s="128"/>
      <c r="DR335" s="128"/>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
      <c r="A336" s="226" t="s">
        <v>1470</v>
      </c>
      <c r="B336" s="226" t="s">
        <v>740</v>
      </c>
      <c r="C336" s="226" t="s">
        <v>817</v>
      </c>
      <c r="D336" s="226" t="s">
        <v>1471</v>
      </c>
      <c r="E336" s="226" t="s">
        <v>1472</v>
      </c>
      <c r="F336" s="226" t="s">
        <v>470</v>
      </c>
      <c r="G336" s="230" t="s">
        <v>1473</v>
      </c>
      <c r="H336" s="227"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5">
        <v>23.181827346496107</v>
      </c>
      <c r="Y336" s="255">
        <v>21.523009715156622</v>
      </c>
      <c r="Z336" s="255">
        <v>19.870137725568085</v>
      </c>
      <c r="AA336" s="255">
        <v>19.870137725568085</v>
      </c>
      <c r="AB336" s="255">
        <v>14.902603294176066</v>
      </c>
      <c r="AC336" s="255">
        <v>14.317137598067553</v>
      </c>
      <c r="AD336" s="255">
        <v>13.719857000987489</v>
      </c>
      <c r="AE336" s="187">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83"/>
        <v>0</v>
      </c>
      <c r="BV336" s="28"/>
      <c r="BW336" s="28"/>
      <c r="BX336" s="28"/>
      <c r="BY336" s="28"/>
      <c r="BZ336" s="28"/>
      <c r="CA336" s="28"/>
      <c r="CB336" s="99">
        <v>300</v>
      </c>
      <c r="CC336" s="99">
        <v>300</v>
      </c>
      <c r="CD336" s="99">
        <v>300</v>
      </c>
      <c r="CE336" s="99">
        <v>300</v>
      </c>
      <c r="CF336" s="99">
        <v>300</v>
      </c>
      <c r="CG336" s="99">
        <v>300</v>
      </c>
      <c r="CH336" s="99">
        <v>300</v>
      </c>
      <c r="CI336" s="176"/>
      <c r="CJ336" s="176"/>
      <c r="CK336" s="176"/>
      <c r="CL336" s="176"/>
      <c r="CM336" s="176"/>
      <c r="CN336" s="176"/>
      <c r="CO336" s="176"/>
      <c r="CP336" s="177"/>
      <c r="CQ336" s="177"/>
      <c r="CR336" s="177"/>
      <c r="CS336" s="177"/>
      <c r="CT336" s="177"/>
      <c r="CU336" s="177"/>
      <c r="CV336" s="177"/>
      <c r="CW336" s="168"/>
      <c r="CX336" s="169"/>
      <c r="CY336" s="169"/>
      <c r="CZ336" s="169"/>
      <c r="DA336" s="169"/>
      <c r="DB336" s="169"/>
      <c r="DC336" s="169"/>
      <c r="DD336" s="173"/>
      <c r="DE336" s="173"/>
      <c r="DF336" s="173"/>
      <c r="DG336" s="173"/>
      <c r="DH336" s="173"/>
      <c r="DI336" s="173"/>
      <c r="DJ336" s="173"/>
      <c r="DK336" s="80" t="s">
        <v>415</v>
      </c>
      <c r="DL336" s="129">
        <v>300</v>
      </c>
      <c r="DM336" s="129">
        <v>300</v>
      </c>
      <c r="DN336" s="129">
        <v>300</v>
      </c>
      <c r="DO336" s="129">
        <v>300</v>
      </c>
      <c r="DP336" s="129">
        <v>300</v>
      </c>
      <c r="DQ336" s="129">
        <v>300</v>
      </c>
      <c r="DR336" s="129">
        <v>300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
      <c r="A337" s="224" t="s">
        <v>1474</v>
      </c>
      <c r="B337" s="224" t="s">
        <v>740</v>
      </c>
      <c r="C337" s="224" t="s">
        <v>817</v>
      </c>
      <c r="D337" s="224" t="s">
        <v>1471</v>
      </c>
      <c r="E337" s="224" t="s">
        <v>1472</v>
      </c>
      <c r="F337" s="224" t="s">
        <v>472</v>
      </c>
      <c r="G337" s="230" t="s">
        <v>1475</v>
      </c>
      <c r="H337" s="225"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5">
        <v>15.208573393610196</v>
      </c>
      <c r="Y337" s="255">
        <v>14.120296386118188</v>
      </c>
      <c r="Z337" s="255">
        <v>13.035920051665881</v>
      </c>
      <c r="AA337" s="255">
        <v>13.035920051665881</v>
      </c>
      <c r="AB337" s="255">
        <v>9.7769400387494105</v>
      </c>
      <c r="AC337" s="255">
        <v>9.3928418451247726</v>
      </c>
      <c r="AD337" s="255">
        <v>9.0009924166264419</v>
      </c>
      <c r="AE337" s="187">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83"/>
        <v>0</v>
      </c>
      <c r="BV337" s="27"/>
      <c r="BW337" s="27"/>
      <c r="BX337" s="27"/>
      <c r="BY337" s="27"/>
      <c r="BZ337" s="27"/>
      <c r="CA337" s="27"/>
      <c r="CB337" s="186">
        <v>779</v>
      </c>
      <c r="CC337" s="186">
        <v>779</v>
      </c>
      <c r="CD337" s="97">
        <v>100</v>
      </c>
      <c r="CE337" s="97">
        <v>100</v>
      </c>
      <c r="CF337" s="97">
        <v>100</v>
      </c>
      <c r="CG337" s="97">
        <v>100</v>
      </c>
      <c r="CH337" s="97">
        <v>100</v>
      </c>
      <c r="CI337" s="174"/>
      <c r="CJ337" s="174"/>
      <c r="CK337" s="174"/>
      <c r="CL337" s="174"/>
      <c r="CM337" s="174"/>
      <c r="CN337" s="174"/>
      <c r="CO337" s="174"/>
      <c r="CP337" s="175"/>
      <c r="CQ337" s="175"/>
      <c r="CR337" s="175"/>
      <c r="CS337" s="175"/>
      <c r="CT337" s="175"/>
      <c r="CU337" s="175"/>
      <c r="CV337" s="175"/>
      <c r="CW337" s="166"/>
      <c r="CX337" s="167"/>
      <c r="CY337" s="167"/>
      <c r="CZ337" s="167"/>
      <c r="DA337" s="167"/>
      <c r="DB337" s="167"/>
      <c r="DC337" s="167"/>
      <c r="DD337" s="172"/>
      <c r="DE337" s="172"/>
      <c r="DF337" s="172"/>
      <c r="DG337" s="172"/>
      <c r="DH337" s="172"/>
      <c r="DI337" s="172"/>
      <c r="DJ337" s="172"/>
      <c r="DK337" s="79" t="s">
        <v>415</v>
      </c>
      <c r="DL337" s="128">
        <v>2000</v>
      </c>
      <c r="DM337" s="128">
        <v>2000</v>
      </c>
      <c r="DN337" s="128">
        <v>2000</v>
      </c>
      <c r="DO337" s="128">
        <v>2000</v>
      </c>
      <c r="DP337" s="128">
        <v>2000</v>
      </c>
      <c r="DQ337" s="128">
        <v>2000</v>
      </c>
      <c r="DR337" s="128">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7">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83"/>
        <v>0</v>
      </c>
      <c r="BV338" s="28"/>
      <c r="BW338" s="28"/>
      <c r="BX338" s="28"/>
      <c r="BY338" s="28"/>
      <c r="BZ338" s="28"/>
      <c r="CA338" s="28"/>
      <c r="CB338" s="99">
        <v>450</v>
      </c>
      <c r="CC338" s="99">
        <v>450</v>
      </c>
      <c r="CD338" s="99">
        <v>450</v>
      </c>
      <c r="CE338" s="99">
        <v>450</v>
      </c>
      <c r="CF338" s="99">
        <v>450</v>
      </c>
      <c r="CG338" s="99">
        <v>450</v>
      </c>
      <c r="CH338" s="99">
        <v>450</v>
      </c>
      <c r="CI338" s="176"/>
      <c r="CJ338" s="176"/>
      <c r="CK338" s="176"/>
      <c r="CL338" s="176"/>
      <c r="CM338" s="176"/>
      <c r="CN338" s="176"/>
      <c r="CO338" s="176"/>
      <c r="CP338" s="177"/>
      <c r="CQ338" s="177"/>
      <c r="CR338" s="177"/>
      <c r="CS338" s="177"/>
      <c r="CT338" s="177"/>
      <c r="CU338" s="177"/>
      <c r="CV338" s="177"/>
      <c r="CW338" s="168"/>
      <c r="CX338" s="169"/>
      <c r="CY338" s="169"/>
      <c r="CZ338" s="169"/>
      <c r="DA338" s="169"/>
      <c r="DB338" s="169"/>
      <c r="DC338" s="169"/>
      <c r="DD338" s="173"/>
      <c r="DE338" s="173"/>
      <c r="DF338" s="173"/>
      <c r="DG338" s="173"/>
      <c r="DH338" s="173"/>
      <c r="DI338" s="173"/>
      <c r="DJ338" s="173"/>
      <c r="DK338" s="80" t="s">
        <v>415</v>
      </c>
      <c r="DL338" s="129">
        <v>2000</v>
      </c>
      <c r="DM338" s="129">
        <v>2000</v>
      </c>
      <c r="DN338" s="129">
        <v>2000</v>
      </c>
      <c r="DO338" s="129">
        <v>2000</v>
      </c>
      <c r="DP338" s="129">
        <v>2000</v>
      </c>
      <c r="DQ338" s="129">
        <v>2000</v>
      </c>
      <c r="DR338" s="129">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7">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83"/>
        <v>0</v>
      </c>
      <c r="BV339" s="27"/>
      <c r="BW339" s="27"/>
      <c r="BX339" s="27"/>
      <c r="BY339" s="27"/>
      <c r="BZ339" s="27"/>
      <c r="CA339" s="27"/>
      <c r="CB339" s="97">
        <v>0</v>
      </c>
      <c r="CC339" s="97"/>
      <c r="CD339" s="97">
        <v>450</v>
      </c>
      <c r="CE339" s="97">
        <v>500</v>
      </c>
      <c r="CF339" s="97">
        <v>500</v>
      </c>
      <c r="CG339" s="97">
        <v>500</v>
      </c>
      <c r="CH339" s="97">
        <v>500</v>
      </c>
      <c r="CI339" s="174"/>
      <c r="CJ339" s="174"/>
      <c r="CK339" s="174"/>
      <c r="CL339" s="174"/>
      <c r="CM339" s="174"/>
      <c r="CN339" s="174"/>
      <c r="CO339" s="174"/>
      <c r="CP339" s="175"/>
      <c r="CQ339" s="175"/>
      <c r="CR339" s="175"/>
      <c r="CS339" s="175"/>
      <c r="CT339" s="175"/>
      <c r="CU339" s="175"/>
      <c r="CV339" s="175"/>
      <c r="CW339" s="166"/>
      <c r="CX339" s="167"/>
      <c r="CY339" s="167"/>
      <c r="CZ339" s="167"/>
      <c r="DA339" s="167"/>
      <c r="DB339" s="167"/>
      <c r="DC339" s="167"/>
      <c r="DD339" s="172"/>
      <c r="DE339" s="172"/>
      <c r="DF339" s="172"/>
      <c r="DG339" s="172"/>
      <c r="DH339" s="172"/>
      <c r="DI339" s="172"/>
      <c r="DJ339" s="172"/>
      <c r="DK339" s="79" t="s">
        <v>415</v>
      </c>
      <c r="DL339" s="128">
        <v>2000</v>
      </c>
      <c r="DM339" s="128">
        <v>2000</v>
      </c>
      <c r="DN339" s="128">
        <v>2000</v>
      </c>
      <c r="DO339" s="128">
        <v>2000</v>
      </c>
      <c r="DP339" s="128">
        <v>2000</v>
      </c>
      <c r="DQ339" s="128">
        <v>2000</v>
      </c>
      <c r="DR339" s="128">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7">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83"/>
        <v>0</v>
      </c>
      <c r="BV340" s="28"/>
      <c r="BW340" s="28"/>
      <c r="BX340" s="28"/>
      <c r="BY340" s="28"/>
      <c r="BZ340" s="28"/>
      <c r="CA340" s="28"/>
      <c r="CB340" s="99">
        <v>550</v>
      </c>
      <c r="CC340" s="99">
        <v>550</v>
      </c>
      <c r="CD340" s="99">
        <v>550</v>
      </c>
      <c r="CE340" s="99">
        <v>550</v>
      </c>
      <c r="CF340" s="99">
        <v>550</v>
      </c>
      <c r="CG340" s="99">
        <v>550</v>
      </c>
      <c r="CH340" s="99">
        <v>550</v>
      </c>
      <c r="CI340" s="176"/>
      <c r="CJ340" s="176"/>
      <c r="CK340" s="176"/>
      <c r="CL340" s="176"/>
      <c r="CM340" s="176"/>
      <c r="CN340" s="176"/>
      <c r="CO340" s="176"/>
      <c r="CP340" s="177"/>
      <c r="CQ340" s="177"/>
      <c r="CR340" s="177"/>
      <c r="CS340" s="177"/>
      <c r="CT340" s="177"/>
      <c r="CU340" s="177"/>
      <c r="CV340" s="177"/>
      <c r="CW340" s="168"/>
      <c r="CX340" s="169"/>
      <c r="CY340" s="169"/>
      <c r="CZ340" s="169"/>
      <c r="DA340" s="169"/>
      <c r="DB340" s="169"/>
      <c r="DC340" s="169"/>
      <c r="DD340" s="173"/>
      <c r="DE340" s="173"/>
      <c r="DF340" s="173"/>
      <c r="DG340" s="173"/>
      <c r="DH340" s="173"/>
      <c r="DI340" s="173"/>
      <c r="DJ340" s="173"/>
      <c r="DK340" s="80" t="s">
        <v>415</v>
      </c>
      <c r="DL340" s="129">
        <v>2000</v>
      </c>
      <c r="DM340" s="129">
        <v>2000</v>
      </c>
      <c r="DN340" s="129">
        <v>2000</v>
      </c>
      <c r="DO340" s="129">
        <v>2000</v>
      </c>
      <c r="DP340" s="129">
        <v>2000</v>
      </c>
      <c r="DQ340" s="129">
        <v>2000</v>
      </c>
      <c r="DR340" s="129">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7">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83"/>
        <v>0</v>
      </c>
      <c r="BV341" s="27"/>
      <c r="BW341" s="27"/>
      <c r="BX341" s="27"/>
      <c r="BY341" s="27"/>
      <c r="BZ341" s="27"/>
      <c r="CA341" s="27"/>
      <c r="CB341" s="97"/>
      <c r="CC341" s="97"/>
      <c r="CD341" s="97">
        <v>550</v>
      </c>
      <c r="CE341" s="97">
        <v>550</v>
      </c>
      <c r="CF341" s="97">
        <v>550</v>
      </c>
      <c r="CG341" s="97">
        <v>550</v>
      </c>
      <c r="CH341" s="97">
        <v>550</v>
      </c>
      <c r="CI341" s="174"/>
      <c r="CJ341" s="174"/>
      <c r="CK341" s="174"/>
      <c r="CL341" s="174"/>
      <c r="CM341" s="174"/>
      <c r="CN341" s="174"/>
      <c r="CO341" s="174"/>
      <c r="CP341" s="175"/>
      <c r="CQ341" s="175"/>
      <c r="CR341" s="175"/>
      <c r="CS341" s="175"/>
      <c r="CT341" s="175"/>
      <c r="CU341" s="175"/>
      <c r="CV341" s="175"/>
      <c r="CW341" s="166"/>
      <c r="CX341" s="167"/>
      <c r="CY341" s="167"/>
      <c r="CZ341" s="167"/>
      <c r="DA341" s="167"/>
      <c r="DB341" s="167"/>
      <c r="DC341" s="167"/>
      <c r="DD341" s="172"/>
      <c r="DE341" s="172"/>
      <c r="DF341" s="172"/>
      <c r="DG341" s="172"/>
      <c r="DH341" s="172"/>
      <c r="DI341" s="172"/>
      <c r="DJ341" s="172"/>
      <c r="DK341" s="79" t="s">
        <v>415</v>
      </c>
      <c r="DL341" s="128">
        <v>2000</v>
      </c>
      <c r="DM341" s="128">
        <v>2000</v>
      </c>
      <c r="DN341" s="128">
        <v>2000</v>
      </c>
      <c r="DO341" s="128">
        <v>2000</v>
      </c>
      <c r="DP341" s="128">
        <v>2000</v>
      </c>
      <c r="DQ341" s="128">
        <v>2000</v>
      </c>
      <c r="DR341" s="128">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7">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83"/>
        <v>0</v>
      </c>
      <c r="BV342" s="28"/>
      <c r="BW342" s="28"/>
      <c r="BX342" s="28"/>
      <c r="BY342" s="28"/>
      <c r="BZ342" s="28"/>
      <c r="CA342" s="28"/>
      <c r="CB342" s="99">
        <v>20</v>
      </c>
      <c r="CC342" s="99">
        <v>20</v>
      </c>
      <c r="CD342" s="99">
        <v>20</v>
      </c>
      <c r="CE342" s="99">
        <v>20</v>
      </c>
      <c r="CF342" s="99">
        <v>20</v>
      </c>
      <c r="CG342" s="99">
        <v>20</v>
      </c>
      <c r="CH342" s="99">
        <v>20</v>
      </c>
      <c r="CI342" s="176"/>
      <c r="CJ342" s="176"/>
      <c r="CK342" s="176"/>
      <c r="CL342" s="176"/>
      <c r="CM342" s="176"/>
      <c r="CN342" s="176"/>
      <c r="CO342" s="176"/>
      <c r="CP342" s="177"/>
      <c r="CQ342" s="177"/>
      <c r="CR342" s="177"/>
      <c r="CS342" s="177"/>
      <c r="CT342" s="177"/>
      <c r="CU342" s="177"/>
      <c r="CV342" s="177"/>
      <c r="CW342" s="168"/>
      <c r="CX342" s="169"/>
      <c r="CY342" s="169"/>
      <c r="CZ342" s="169"/>
      <c r="DA342" s="169"/>
      <c r="DB342" s="169"/>
      <c r="DC342" s="169"/>
      <c r="DD342" s="173"/>
      <c r="DE342" s="173"/>
      <c r="DF342" s="173"/>
      <c r="DG342" s="173"/>
      <c r="DH342" s="173"/>
      <c r="DI342" s="173"/>
      <c r="DJ342" s="173"/>
      <c r="DK342" s="80" t="s">
        <v>415</v>
      </c>
      <c r="DL342" s="129">
        <v>2000</v>
      </c>
      <c r="DM342" s="129">
        <v>2000</v>
      </c>
      <c r="DN342" s="129">
        <v>2000</v>
      </c>
      <c r="DO342" s="129">
        <v>2000</v>
      </c>
      <c r="DP342" s="129">
        <v>2000</v>
      </c>
      <c r="DQ342" s="129">
        <v>2000</v>
      </c>
      <c r="DR342" s="129">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7">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83"/>
        <v>0</v>
      </c>
      <c r="BV343" s="27"/>
      <c r="BW343" s="27"/>
      <c r="BX343" s="27"/>
      <c r="BY343" s="27"/>
      <c r="BZ343" s="27"/>
      <c r="CA343" s="27"/>
      <c r="CB343" s="97">
        <v>0</v>
      </c>
      <c r="CC343" s="97"/>
      <c r="CD343" s="97">
        <v>20</v>
      </c>
      <c r="CE343" s="97">
        <v>20</v>
      </c>
      <c r="CF343" s="97">
        <v>20</v>
      </c>
      <c r="CG343" s="97">
        <v>20</v>
      </c>
      <c r="CH343" s="97">
        <v>20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2000</v>
      </c>
      <c r="DM343" s="128">
        <v>2000</v>
      </c>
      <c r="DN343" s="128">
        <v>2000</v>
      </c>
      <c r="DO343" s="128">
        <v>2000</v>
      </c>
      <c r="DP343" s="128">
        <v>2000</v>
      </c>
      <c r="DQ343" s="128">
        <v>2000</v>
      </c>
      <c r="DR343" s="128">
        <v>2000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
      <c r="A344" s="224" t="s">
        <v>1489</v>
      </c>
      <c r="B344" s="224" t="s">
        <v>740</v>
      </c>
      <c r="C344" s="224" t="s">
        <v>817</v>
      </c>
      <c r="D344" s="224" t="s">
        <v>1471</v>
      </c>
      <c r="E344" s="224" t="s">
        <v>1472</v>
      </c>
      <c r="F344" s="224" t="s">
        <v>473</v>
      </c>
      <c r="G344" s="230" t="s">
        <v>1490</v>
      </c>
      <c r="H344" s="225"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7">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5">IF(BL344=1,BN344,0)</f>
        <v>0</v>
      </c>
      <c r="BV344" s="27"/>
      <c r="BW344" s="27"/>
      <c r="BX344" s="27"/>
      <c r="BY344" s="27"/>
      <c r="BZ344" s="27"/>
      <c r="CA344" s="27"/>
      <c r="CB344" s="186">
        <v>1000</v>
      </c>
      <c r="CC344" s="186">
        <v>1000</v>
      </c>
      <c r="CD344" s="186">
        <v>1000</v>
      </c>
      <c r="CE344" s="186">
        <v>1000</v>
      </c>
      <c r="CF344" s="186">
        <v>1000</v>
      </c>
      <c r="CG344" s="186">
        <v>1000</v>
      </c>
      <c r="CH344" s="186">
        <v>1000</v>
      </c>
      <c r="CI344" s="174"/>
      <c r="CJ344" s="174"/>
      <c r="CK344" s="174"/>
      <c r="CL344" s="174"/>
      <c r="CM344" s="174"/>
      <c r="CN344" s="174"/>
      <c r="CO344" s="174"/>
      <c r="CP344" s="175"/>
      <c r="CQ344" s="175"/>
      <c r="CR344" s="175"/>
      <c r="CS344" s="175"/>
      <c r="CT344" s="175"/>
      <c r="CU344" s="175"/>
      <c r="CV344" s="175"/>
      <c r="CW344" s="166"/>
      <c r="CX344" s="167"/>
      <c r="CY344" s="167"/>
      <c r="CZ344" s="167"/>
      <c r="DA344" s="167"/>
      <c r="DB344" s="167"/>
      <c r="DC344" s="167"/>
      <c r="DD344" s="172"/>
      <c r="DE344" s="172"/>
      <c r="DF344" s="172"/>
      <c r="DG344" s="172"/>
      <c r="DH344" s="172"/>
      <c r="DI344" s="172"/>
      <c r="DJ344" s="172"/>
      <c r="DK344" s="79" t="s">
        <v>415</v>
      </c>
      <c r="DL344" s="128">
        <v>2300</v>
      </c>
      <c r="DM344" s="128">
        <v>2300</v>
      </c>
      <c r="DN344" s="128">
        <v>2300</v>
      </c>
      <c r="DO344" s="128">
        <v>2300</v>
      </c>
      <c r="DP344" s="128">
        <v>2300</v>
      </c>
      <c r="DQ344" s="128">
        <v>2300</v>
      </c>
      <c r="DR344" s="128">
        <v>2300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
      <c r="A345" s="226" t="s">
        <v>1491</v>
      </c>
      <c r="B345" s="226" t="s">
        <v>740</v>
      </c>
      <c r="C345" s="226" t="s">
        <v>817</v>
      </c>
      <c r="D345" s="226" t="s">
        <v>1471</v>
      </c>
      <c r="E345" s="226" t="s">
        <v>1472</v>
      </c>
      <c r="F345" s="226" t="s">
        <v>474</v>
      </c>
      <c r="G345" s="230" t="s">
        <v>1492</v>
      </c>
      <c r="H345" s="227"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7">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5"/>
        <v>0</v>
      </c>
      <c r="BV345" s="28"/>
      <c r="BW345" s="28"/>
      <c r="BX345" s="28"/>
      <c r="BY345" s="28"/>
      <c r="BZ345" s="28"/>
      <c r="CA345" s="28"/>
      <c r="CB345" s="99">
        <v>2000</v>
      </c>
      <c r="CC345" s="99">
        <v>1000</v>
      </c>
      <c r="CD345" s="186">
        <v>1000</v>
      </c>
      <c r="CE345" s="186">
        <v>1000</v>
      </c>
      <c r="CF345" s="186">
        <v>1000</v>
      </c>
      <c r="CG345" s="186">
        <v>1000</v>
      </c>
      <c r="CH345" s="186">
        <v>1000</v>
      </c>
      <c r="CI345" s="176"/>
      <c r="CJ345" s="176"/>
      <c r="CK345" s="176"/>
      <c r="CL345" s="176"/>
      <c r="CM345" s="176"/>
      <c r="CN345" s="176"/>
      <c r="CO345" s="176"/>
      <c r="CP345" s="177"/>
      <c r="CQ345" s="177"/>
      <c r="CR345" s="177"/>
      <c r="CS345" s="177"/>
      <c r="CT345" s="177"/>
      <c r="CU345" s="177"/>
      <c r="CV345" s="177"/>
      <c r="CW345" s="168"/>
      <c r="CX345" s="169"/>
      <c r="CY345" s="169"/>
      <c r="CZ345" s="169"/>
      <c r="DA345" s="169"/>
      <c r="DB345" s="169"/>
      <c r="DC345" s="169"/>
      <c r="DD345" s="173"/>
      <c r="DE345" s="173"/>
      <c r="DF345" s="173"/>
      <c r="DG345" s="173"/>
      <c r="DH345" s="173"/>
      <c r="DI345" s="173"/>
      <c r="DJ345" s="173"/>
      <c r="DK345" s="80" t="s">
        <v>415</v>
      </c>
      <c r="DL345" s="129">
        <v>1000</v>
      </c>
      <c r="DM345" s="129">
        <v>1000</v>
      </c>
      <c r="DN345" s="129">
        <v>1000</v>
      </c>
      <c r="DO345" s="129">
        <v>1000</v>
      </c>
      <c r="DP345" s="129">
        <v>1000</v>
      </c>
      <c r="DQ345" s="129">
        <v>1000</v>
      </c>
      <c r="DR345" s="129">
        <v>1000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
      <c r="A346" s="224" t="s">
        <v>1493</v>
      </c>
      <c r="B346" s="224" t="s">
        <v>740</v>
      </c>
      <c r="C346" s="224" t="s">
        <v>817</v>
      </c>
      <c r="D346" s="224" t="s">
        <v>1471</v>
      </c>
      <c r="E346" s="224" t="s">
        <v>1472</v>
      </c>
      <c r="F346" s="224" t="s">
        <v>475</v>
      </c>
      <c r="G346" s="230" t="s">
        <v>1494</v>
      </c>
      <c r="H346" s="225"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5"/>
        <v>0</v>
      </c>
      <c r="BV346" s="27"/>
      <c r="BW346" s="27"/>
      <c r="BX346" s="27"/>
      <c r="BY346" s="27"/>
      <c r="BZ346" s="27"/>
      <c r="CA346" s="27"/>
      <c r="CB346" s="186">
        <v>2000</v>
      </c>
      <c r="CC346" s="186">
        <v>2000</v>
      </c>
      <c r="CD346" s="186">
        <v>2000</v>
      </c>
      <c r="CE346" s="186">
        <v>2000</v>
      </c>
      <c r="CF346" s="186">
        <v>2000</v>
      </c>
      <c r="CG346" s="186">
        <v>2000</v>
      </c>
      <c r="CH346" s="186">
        <v>2000</v>
      </c>
      <c r="CI346" s="174"/>
      <c r="CJ346" s="174"/>
      <c r="CK346" s="174"/>
      <c r="CL346" s="174"/>
      <c r="CM346" s="174"/>
      <c r="CN346" s="174"/>
      <c r="CO346" s="174"/>
      <c r="CP346" s="175"/>
      <c r="CQ346" s="175"/>
      <c r="CR346" s="175"/>
      <c r="CS346" s="175"/>
      <c r="CT346" s="175"/>
      <c r="CU346" s="175"/>
      <c r="CV346" s="175"/>
      <c r="CW346" s="166"/>
      <c r="CX346" s="167"/>
      <c r="CY346" s="167"/>
      <c r="CZ346" s="167"/>
      <c r="DA346" s="167"/>
      <c r="DB346" s="167"/>
      <c r="DC346" s="167"/>
      <c r="DD346" s="172"/>
      <c r="DE346" s="172"/>
      <c r="DF346" s="172"/>
      <c r="DG346" s="172"/>
      <c r="DH346" s="172"/>
      <c r="DI346" s="172"/>
      <c r="DJ346" s="172"/>
      <c r="DK346" s="79" t="s">
        <v>415</v>
      </c>
      <c r="DL346" s="128">
        <v>2000</v>
      </c>
      <c r="DM346" s="128">
        <v>2000</v>
      </c>
      <c r="DN346" s="128">
        <v>2000</v>
      </c>
      <c r="DO346" s="128">
        <v>2000</v>
      </c>
      <c r="DP346" s="128">
        <v>2000</v>
      </c>
      <c r="DQ346" s="128">
        <v>2000</v>
      </c>
      <c r="DR346" s="128">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
      <c r="A347" s="226" t="s">
        <v>1495</v>
      </c>
      <c r="B347" s="226" t="s">
        <v>740</v>
      </c>
      <c r="C347" s="226" t="s">
        <v>817</v>
      </c>
      <c r="D347" s="226" t="s">
        <v>1471</v>
      </c>
      <c r="E347" s="226" t="s">
        <v>1472</v>
      </c>
      <c r="F347" s="226" t="s">
        <v>476</v>
      </c>
      <c r="G347" s="230" t="s">
        <v>1496</v>
      </c>
      <c r="H347" s="227"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7">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5"/>
        <v>0</v>
      </c>
      <c r="BV347" s="28"/>
      <c r="BW347" s="28"/>
      <c r="BX347" s="28"/>
      <c r="BY347" s="28"/>
      <c r="BZ347" s="28"/>
      <c r="CA347" s="28"/>
      <c r="CB347" s="186">
        <v>500</v>
      </c>
      <c r="CC347" s="186">
        <v>500</v>
      </c>
      <c r="CD347" s="186">
        <v>500</v>
      </c>
      <c r="CE347" s="186">
        <v>500</v>
      </c>
      <c r="CF347" s="186">
        <v>500</v>
      </c>
      <c r="CG347" s="186">
        <v>500</v>
      </c>
      <c r="CH347" s="186">
        <v>500</v>
      </c>
      <c r="CI347" s="176"/>
      <c r="CJ347" s="176"/>
      <c r="CK347" s="176"/>
      <c r="CL347" s="176"/>
      <c r="CM347" s="176"/>
      <c r="CN347" s="176"/>
      <c r="CO347" s="176"/>
      <c r="CP347" s="177"/>
      <c r="CQ347" s="177"/>
      <c r="CR347" s="177"/>
      <c r="CS347" s="177"/>
      <c r="CT347" s="177"/>
      <c r="CU347" s="177"/>
      <c r="CV347" s="177"/>
      <c r="CW347" s="168"/>
      <c r="CX347" s="169"/>
      <c r="CY347" s="169"/>
      <c r="CZ347" s="169"/>
      <c r="DA347" s="169"/>
      <c r="DB347" s="169"/>
      <c r="DC347" s="169"/>
      <c r="DD347" s="173"/>
      <c r="DE347" s="173"/>
      <c r="DF347" s="173"/>
      <c r="DG347" s="173"/>
      <c r="DH347" s="173"/>
      <c r="DI347" s="173"/>
      <c r="DJ347" s="173"/>
      <c r="DK347" s="80" t="s">
        <v>415</v>
      </c>
      <c r="DL347" s="129">
        <v>2000</v>
      </c>
      <c r="DM347" s="129">
        <v>2000</v>
      </c>
      <c r="DN347" s="129">
        <v>2000</v>
      </c>
      <c r="DO347" s="129">
        <v>2000</v>
      </c>
      <c r="DP347" s="129">
        <v>2000</v>
      </c>
      <c r="DQ347" s="129">
        <v>2000</v>
      </c>
      <c r="DR347" s="129">
        <v>2000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
      <c r="A348" s="224" t="s">
        <v>1497</v>
      </c>
      <c r="B348" s="224" t="s">
        <v>740</v>
      </c>
      <c r="C348" s="224" t="s">
        <v>817</v>
      </c>
      <c r="D348" s="224" t="s">
        <v>1498</v>
      </c>
      <c r="E348" s="224" t="s">
        <v>1499</v>
      </c>
      <c r="F348" s="224" t="s">
        <v>477</v>
      </c>
      <c r="G348" s="230"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7">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6">IF(BL348=1,BN348,0)</f>
        <v>0</v>
      </c>
      <c r="BV348" s="27"/>
      <c r="BW348" s="27"/>
      <c r="BX348" s="27"/>
      <c r="BY348" s="27"/>
      <c r="BZ348" s="27"/>
      <c r="CA348" s="27"/>
      <c r="CB348" s="245">
        <v>0</v>
      </c>
      <c r="CC348" s="245">
        <v>0</v>
      </c>
      <c r="CD348" s="245">
        <v>0</v>
      </c>
      <c r="CE348" s="245">
        <v>0</v>
      </c>
      <c r="CF348" s="245">
        <v>0</v>
      </c>
      <c r="CG348" s="245">
        <v>0</v>
      </c>
      <c r="CH348" s="245">
        <v>0</v>
      </c>
      <c r="CI348" s="174"/>
      <c r="CJ348" s="174"/>
      <c r="CK348" s="174"/>
      <c r="CL348" s="174"/>
      <c r="CM348" s="174"/>
      <c r="CN348" s="174"/>
      <c r="CO348" s="174"/>
      <c r="CP348" s="175"/>
      <c r="CQ348" s="175"/>
      <c r="CR348" s="175"/>
      <c r="CS348" s="175"/>
      <c r="CT348" s="175"/>
      <c r="CU348" s="175"/>
      <c r="CV348" s="175"/>
      <c r="CW348" s="166"/>
      <c r="CX348" s="167"/>
      <c r="CY348" s="167"/>
      <c r="CZ348" s="167"/>
      <c r="DA348" s="167"/>
      <c r="DB348" s="167"/>
      <c r="DC348" s="167"/>
      <c r="DD348" s="172"/>
      <c r="DE348" s="172"/>
      <c r="DF348" s="172"/>
      <c r="DG348" s="172"/>
      <c r="DH348" s="172"/>
      <c r="DI348" s="172"/>
      <c r="DJ348" s="172"/>
      <c r="DK348" s="79" t="s">
        <v>415</v>
      </c>
      <c r="DL348" s="128">
        <v>200</v>
      </c>
      <c r="DM348" s="128">
        <v>200</v>
      </c>
      <c r="DN348" s="128">
        <v>200</v>
      </c>
      <c r="DO348" s="128">
        <v>200</v>
      </c>
      <c r="DP348" s="128">
        <v>200</v>
      </c>
      <c r="DQ348" s="128">
        <v>200</v>
      </c>
      <c r="DR348" s="128">
        <v>200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7">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7">
        <v>2.5</v>
      </c>
      <c r="BO349" s="94"/>
      <c r="BP349" s="94"/>
      <c r="BQ349" s="94"/>
      <c r="BR349" s="94">
        <v>2.5</v>
      </c>
      <c r="BS349" s="94"/>
      <c r="BT349" s="94"/>
      <c r="BU349" s="28">
        <f t="shared" si="295"/>
        <v>2.5</v>
      </c>
      <c r="BV349" s="28"/>
      <c r="BW349" s="28"/>
      <c r="BX349" s="28"/>
      <c r="BY349" s="28"/>
      <c r="BZ349" s="28"/>
      <c r="CA349" s="28"/>
      <c r="CB349" s="186">
        <v>2.5</v>
      </c>
      <c r="CC349" s="99">
        <v>50</v>
      </c>
      <c r="CD349" s="99">
        <v>500</v>
      </c>
      <c r="CE349" s="99">
        <v>500</v>
      </c>
      <c r="CF349" s="99">
        <v>500</v>
      </c>
      <c r="CG349" s="99">
        <v>500</v>
      </c>
      <c r="CH349" s="99">
        <v>500</v>
      </c>
      <c r="CI349" s="176"/>
      <c r="CJ349" s="176"/>
      <c r="CK349" s="176"/>
      <c r="CL349" s="176"/>
      <c r="CM349" s="176"/>
      <c r="CN349" s="176"/>
      <c r="CO349" s="176"/>
      <c r="CP349" s="177"/>
      <c r="CQ349" s="177"/>
      <c r="CR349" s="177"/>
      <c r="CS349" s="177"/>
      <c r="CT349" s="177"/>
      <c r="CU349" s="177"/>
      <c r="CV349" s="177"/>
      <c r="CW349" s="168"/>
      <c r="CX349" s="169"/>
      <c r="CY349" s="169"/>
      <c r="CZ349" s="169"/>
      <c r="DA349" s="169"/>
      <c r="DB349" s="169"/>
      <c r="DC349" s="169"/>
      <c r="DD349" s="173"/>
      <c r="DE349" s="173"/>
      <c r="DF349" s="173"/>
      <c r="DG349" s="173"/>
      <c r="DH349" s="173"/>
      <c r="DI349" s="173"/>
      <c r="DJ349" s="173"/>
      <c r="DK349" s="80" t="s">
        <v>415</v>
      </c>
      <c r="DL349" s="129">
        <v>500</v>
      </c>
      <c r="DM349" s="129">
        <v>500</v>
      </c>
      <c r="DN349" s="129">
        <v>500</v>
      </c>
      <c r="DO349" s="129">
        <v>500</v>
      </c>
      <c r="DP349" s="129">
        <v>500</v>
      </c>
      <c r="DQ349" s="129">
        <v>500</v>
      </c>
      <c r="DR349" s="129">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7">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5"/>
        <v>0</v>
      </c>
      <c r="BV350" s="27"/>
      <c r="BW350" s="27"/>
      <c r="BX350" s="27"/>
      <c r="BY350" s="27"/>
      <c r="BZ350" s="27"/>
      <c r="CA350" s="27"/>
      <c r="CB350" s="97">
        <v>0</v>
      </c>
      <c r="CC350" s="97">
        <v>50</v>
      </c>
      <c r="CD350" s="97">
        <v>500</v>
      </c>
      <c r="CE350" s="97">
        <v>500</v>
      </c>
      <c r="CF350" s="97">
        <v>500</v>
      </c>
      <c r="CG350" s="97">
        <v>500</v>
      </c>
      <c r="CH350" s="97">
        <v>500</v>
      </c>
      <c r="CI350" s="174"/>
      <c r="CJ350" s="174"/>
      <c r="CK350" s="174"/>
      <c r="CL350" s="174"/>
      <c r="CM350" s="174"/>
      <c r="CN350" s="174"/>
      <c r="CO350" s="174"/>
      <c r="CP350" s="175"/>
      <c r="CQ350" s="175"/>
      <c r="CR350" s="175"/>
      <c r="CS350" s="175"/>
      <c r="CT350" s="175"/>
      <c r="CU350" s="175"/>
      <c r="CV350" s="175"/>
      <c r="CW350" s="166"/>
      <c r="CX350" s="167"/>
      <c r="CY350" s="167"/>
      <c r="CZ350" s="167"/>
      <c r="DA350" s="167"/>
      <c r="DB350" s="167"/>
      <c r="DC350" s="167"/>
      <c r="DD350" s="172"/>
      <c r="DE350" s="172"/>
      <c r="DF350" s="172"/>
      <c r="DG350" s="172"/>
      <c r="DH350" s="172"/>
      <c r="DI350" s="172"/>
      <c r="DJ350" s="172"/>
      <c r="DK350" s="79" t="s">
        <v>415</v>
      </c>
      <c r="DL350" s="128">
        <v>500</v>
      </c>
      <c r="DM350" s="128">
        <v>500</v>
      </c>
      <c r="DN350" s="128">
        <v>500</v>
      </c>
      <c r="DO350" s="128">
        <v>500</v>
      </c>
      <c r="DP350" s="128">
        <v>500</v>
      </c>
      <c r="DQ350" s="128">
        <v>500</v>
      </c>
      <c r="DR350" s="128">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7">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7">
        <v>5</v>
      </c>
      <c r="BO351" s="94"/>
      <c r="BP351" s="94"/>
      <c r="BQ351" s="94"/>
      <c r="BR351" s="94">
        <v>5</v>
      </c>
      <c r="BS351" s="94"/>
      <c r="BT351" s="94"/>
      <c r="BU351" s="28">
        <f t="shared" si="295"/>
        <v>5</v>
      </c>
      <c r="BV351" s="28"/>
      <c r="BW351" s="28"/>
      <c r="BX351" s="28"/>
      <c r="BY351" s="28"/>
      <c r="BZ351" s="28"/>
      <c r="CA351" s="28"/>
      <c r="CB351" s="186">
        <v>5</v>
      </c>
      <c r="CC351" s="99">
        <v>50</v>
      </c>
      <c r="CD351" s="99">
        <v>1000</v>
      </c>
      <c r="CE351" s="99">
        <v>1000</v>
      </c>
      <c r="CF351" s="99">
        <v>1000</v>
      </c>
      <c r="CG351" s="99">
        <v>1000</v>
      </c>
      <c r="CH351" s="99">
        <v>1000</v>
      </c>
      <c r="CI351" s="176"/>
      <c r="CJ351" s="176"/>
      <c r="CK351" s="176"/>
      <c r="CL351" s="176"/>
      <c r="CM351" s="176"/>
      <c r="CN351" s="176"/>
      <c r="CO351" s="176"/>
      <c r="CP351" s="177"/>
      <c r="CQ351" s="177"/>
      <c r="CR351" s="177"/>
      <c r="CS351" s="177"/>
      <c r="CT351" s="177"/>
      <c r="CU351" s="177"/>
      <c r="CV351" s="177"/>
      <c r="CW351" s="168"/>
      <c r="CX351" s="169"/>
      <c r="CY351" s="169"/>
      <c r="CZ351" s="169"/>
      <c r="DA351" s="169"/>
      <c r="DB351" s="169"/>
      <c r="DC351" s="169"/>
      <c r="DD351" s="173"/>
      <c r="DE351" s="173"/>
      <c r="DF351" s="173"/>
      <c r="DG351" s="173"/>
      <c r="DH351" s="173"/>
      <c r="DI351" s="173"/>
      <c r="DJ351" s="173"/>
      <c r="DK351" s="80" t="s">
        <v>415</v>
      </c>
      <c r="DL351" s="129">
        <v>500</v>
      </c>
      <c r="DM351" s="129">
        <v>500</v>
      </c>
      <c r="DN351" s="129">
        <v>500</v>
      </c>
      <c r="DO351" s="129">
        <v>500</v>
      </c>
      <c r="DP351" s="129">
        <v>500</v>
      </c>
      <c r="DQ351" s="129">
        <v>500</v>
      </c>
      <c r="DR351" s="129">
        <v>500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
      <c r="A352" s="224" t="s">
        <v>1508</v>
      </c>
      <c r="B352" s="224" t="s">
        <v>740</v>
      </c>
      <c r="C352" s="224" t="s">
        <v>817</v>
      </c>
      <c r="D352" s="224" t="s">
        <v>1498</v>
      </c>
      <c r="E352" s="224" t="s">
        <v>1499</v>
      </c>
      <c r="F352" s="224" t="s">
        <v>479</v>
      </c>
      <c r="G352" s="230" t="s">
        <v>1509</v>
      </c>
      <c r="H352" s="225"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7">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5"/>
        <v>0</v>
      </c>
      <c r="BV352" s="27"/>
      <c r="BW352" s="27"/>
      <c r="BX352" s="27"/>
      <c r="BY352" s="27"/>
      <c r="BZ352" s="27"/>
      <c r="CA352" s="27"/>
      <c r="CB352" s="245">
        <v>0</v>
      </c>
      <c r="CC352" s="245">
        <v>0</v>
      </c>
      <c r="CD352" s="245">
        <v>0</v>
      </c>
      <c r="CE352" s="245">
        <v>0</v>
      </c>
      <c r="CF352" s="245">
        <v>0</v>
      </c>
      <c r="CG352" s="245">
        <v>0</v>
      </c>
      <c r="CH352" s="245">
        <v>0</v>
      </c>
      <c r="CI352" s="174"/>
      <c r="CJ352" s="174"/>
      <c r="CK352" s="174"/>
      <c r="CL352" s="174"/>
      <c r="CM352" s="174"/>
      <c r="CN352" s="174"/>
      <c r="CO352" s="174"/>
      <c r="CP352" s="175"/>
      <c r="CQ352" s="175"/>
      <c r="CR352" s="175"/>
      <c r="CS352" s="175"/>
      <c r="CT352" s="175"/>
      <c r="CU352" s="175"/>
      <c r="CV352" s="175"/>
      <c r="CW352" s="166"/>
      <c r="CX352" s="167"/>
      <c r="CY352" s="167"/>
      <c r="CZ352" s="167"/>
      <c r="DA352" s="167"/>
      <c r="DB352" s="167"/>
      <c r="DC352" s="167"/>
      <c r="DD352" s="172"/>
      <c r="DE352" s="172"/>
      <c r="DF352" s="172"/>
      <c r="DG352" s="172"/>
      <c r="DH352" s="172"/>
      <c r="DI352" s="172"/>
      <c r="DJ352" s="172"/>
      <c r="DK352" s="79" t="s">
        <v>415</v>
      </c>
      <c r="DL352" s="128">
        <v>200</v>
      </c>
      <c r="DM352" s="128">
        <v>200</v>
      </c>
      <c r="DN352" s="128">
        <v>200</v>
      </c>
      <c r="DO352" s="128">
        <v>200</v>
      </c>
      <c r="DP352" s="128">
        <v>200</v>
      </c>
      <c r="DQ352" s="128">
        <v>200</v>
      </c>
      <c r="DR352" s="128">
        <v>200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7">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5"/>
        <v>0</v>
      </c>
      <c r="BV353" s="28"/>
      <c r="BW353" s="28"/>
      <c r="BX353" s="28"/>
      <c r="BY353" s="28"/>
      <c r="BZ353" s="28"/>
      <c r="CA353" s="28"/>
      <c r="CB353" s="99">
        <v>0</v>
      </c>
      <c r="CC353" s="99">
        <v>50</v>
      </c>
      <c r="CD353" s="99">
        <v>1000</v>
      </c>
      <c r="CE353" s="99">
        <v>1000</v>
      </c>
      <c r="CF353" s="99">
        <v>1000</v>
      </c>
      <c r="CG353" s="99">
        <v>1000</v>
      </c>
      <c r="CH353" s="99">
        <v>1000</v>
      </c>
      <c r="CI353" s="176"/>
      <c r="CJ353" s="176"/>
      <c r="CK353" s="176"/>
      <c r="CL353" s="176"/>
      <c r="CM353" s="176"/>
      <c r="CN353" s="176"/>
      <c r="CO353" s="176"/>
      <c r="CP353" s="177"/>
      <c r="CQ353" s="177"/>
      <c r="CR353" s="177"/>
      <c r="CS353" s="177"/>
      <c r="CT353" s="177"/>
      <c r="CU353" s="177"/>
      <c r="CV353" s="177"/>
      <c r="CW353" s="168"/>
      <c r="CX353" s="169"/>
      <c r="CY353" s="169"/>
      <c r="CZ353" s="169"/>
      <c r="DA353" s="169"/>
      <c r="DB353" s="169"/>
      <c r="DC353" s="169"/>
      <c r="DD353" s="173"/>
      <c r="DE353" s="173"/>
      <c r="DF353" s="173"/>
      <c r="DG353" s="173"/>
      <c r="DH353" s="173"/>
      <c r="DI353" s="173"/>
      <c r="DJ353" s="173"/>
      <c r="DK353" s="80" t="s">
        <v>415</v>
      </c>
      <c r="DL353" s="129">
        <v>500</v>
      </c>
      <c r="DM353" s="129">
        <v>500</v>
      </c>
      <c r="DN353" s="129">
        <v>500</v>
      </c>
      <c r="DO353" s="129">
        <v>500</v>
      </c>
      <c r="DP353" s="129">
        <v>500</v>
      </c>
      <c r="DQ353" s="129">
        <v>500</v>
      </c>
      <c r="DR353" s="129">
        <v>500</v>
      </c>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7">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5"/>
        <v>0</v>
      </c>
      <c r="BV354" s="27"/>
      <c r="BW354" s="27"/>
      <c r="BX354" s="27"/>
      <c r="BY354" s="27"/>
      <c r="BZ354" s="27"/>
      <c r="CA354" s="27"/>
      <c r="CB354" s="97"/>
      <c r="CC354" s="97">
        <v>50</v>
      </c>
      <c r="CD354" s="97">
        <v>1000</v>
      </c>
      <c r="CE354" s="97">
        <v>1000</v>
      </c>
      <c r="CF354" s="97">
        <v>1000</v>
      </c>
      <c r="CG354" s="97">
        <v>1000</v>
      </c>
      <c r="CH354" s="97">
        <v>1000</v>
      </c>
      <c r="CI354" s="174"/>
      <c r="CJ354" s="174"/>
      <c r="CK354" s="174"/>
      <c r="CL354" s="174"/>
      <c r="CM354" s="174"/>
      <c r="CN354" s="174"/>
      <c r="CO354" s="174"/>
      <c r="CP354" s="175"/>
      <c r="CQ354" s="175"/>
      <c r="CR354" s="175"/>
      <c r="CS354" s="175"/>
      <c r="CT354" s="175"/>
      <c r="CU354" s="175"/>
      <c r="CV354" s="175"/>
      <c r="CW354" s="166"/>
      <c r="CX354" s="167"/>
      <c r="CY354" s="167"/>
      <c r="CZ354" s="167"/>
      <c r="DA354" s="167"/>
      <c r="DB354" s="167"/>
      <c r="DC354" s="167"/>
      <c r="DD354" s="172"/>
      <c r="DE354" s="172"/>
      <c r="DF354" s="172"/>
      <c r="DG354" s="172"/>
      <c r="DH354" s="172"/>
      <c r="DI354" s="172"/>
      <c r="DJ354" s="172"/>
      <c r="DK354" s="79" t="s">
        <v>1514</v>
      </c>
      <c r="DL354" s="128"/>
      <c r="DM354" s="128"/>
      <c r="DN354" s="128"/>
      <c r="DO354" s="128"/>
      <c r="DP354" s="128"/>
      <c r="DQ354" s="128"/>
      <c r="DR354" s="128"/>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
      <c r="A355" s="226" t="s">
        <v>1515</v>
      </c>
      <c r="B355" s="226" t="s">
        <v>740</v>
      </c>
      <c r="C355" s="226" t="s">
        <v>817</v>
      </c>
      <c r="D355" s="226" t="s">
        <v>1498</v>
      </c>
      <c r="E355" s="226" t="s">
        <v>1499</v>
      </c>
      <c r="F355" s="226" t="s">
        <v>480</v>
      </c>
      <c r="G355" s="230" t="s">
        <v>1516</v>
      </c>
      <c r="H355" s="227"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4">
        <v>57.698690847699652</v>
      </c>
      <c r="Y355" s="364">
        <v>55.225889811369662</v>
      </c>
      <c r="Z355" s="364">
        <v>51.104554750819688</v>
      </c>
      <c r="AA355" s="364">
        <v>46.983219690269713</v>
      </c>
      <c r="AB355" s="364">
        <v>42.861884629719732</v>
      </c>
      <c r="AC355" s="364">
        <v>38.740549569169758</v>
      </c>
      <c r="AD355" s="364">
        <v>34.619214508619791</v>
      </c>
      <c r="AE355" s="187">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5"/>
        <v>0</v>
      </c>
      <c r="BV355" s="28"/>
      <c r="BW355" s="28"/>
      <c r="BX355" s="28"/>
      <c r="BY355" s="28"/>
      <c r="BZ355" s="28"/>
      <c r="CA355" s="28"/>
      <c r="CB355" s="245">
        <v>0</v>
      </c>
      <c r="CC355" s="245">
        <v>0</v>
      </c>
      <c r="CD355" s="245">
        <v>0</v>
      </c>
      <c r="CE355" s="245">
        <v>0</v>
      </c>
      <c r="CF355" s="245">
        <v>0</v>
      </c>
      <c r="CG355" s="245">
        <v>0</v>
      </c>
      <c r="CH355" s="245">
        <v>0</v>
      </c>
      <c r="CI355" s="176"/>
      <c r="CJ355" s="176"/>
      <c r="CK355" s="176"/>
      <c r="CL355" s="176"/>
      <c r="CM355" s="176"/>
      <c r="CN355" s="176"/>
      <c r="CO355" s="176"/>
      <c r="CP355" s="177"/>
      <c r="CQ355" s="177"/>
      <c r="CR355" s="177"/>
      <c r="CS355" s="177"/>
      <c r="CT355" s="177"/>
      <c r="CU355" s="177"/>
      <c r="CV355" s="177"/>
      <c r="CW355" s="168"/>
      <c r="CX355" s="169"/>
      <c r="CY355" s="169"/>
      <c r="CZ355" s="169"/>
      <c r="DA355" s="169"/>
      <c r="DB355" s="169"/>
      <c r="DC355" s="169"/>
      <c r="DD355" s="173"/>
      <c r="DE355" s="173"/>
      <c r="DF355" s="173"/>
      <c r="DG355" s="173"/>
      <c r="DH355" s="173"/>
      <c r="DI355" s="173"/>
      <c r="DJ355" s="173"/>
      <c r="DK355" s="80" t="s">
        <v>415</v>
      </c>
      <c r="DL355" s="129">
        <v>200</v>
      </c>
      <c r="DM355" s="129">
        <v>200</v>
      </c>
      <c r="DN355" s="129">
        <v>200</v>
      </c>
      <c r="DO355" s="129">
        <v>200</v>
      </c>
      <c r="DP355" s="129">
        <v>200</v>
      </c>
      <c r="DQ355" s="129">
        <v>200</v>
      </c>
      <c r="DR355" s="129">
        <v>200</v>
      </c>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7">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5"/>
        <v>0</v>
      </c>
      <c r="BV356" s="27"/>
      <c r="BW356" s="27"/>
      <c r="BX356" s="27"/>
      <c r="BY356" s="27"/>
      <c r="BZ356" s="27"/>
      <c r="CA356" s="27"/>
      <c r="CB356" s="97"/>
      <c r="CC356" s="97">
        <v>50</v>
      </c>
      <c r="CD356" s="97">
        <v>1000</v>
      </c>
      <c r="CE356" s="97">
        <v>1000</v>
      </c>
      <c r="CF356" s="97">
        <v>1000</v>
      </c>
      <c r="CG356" s="97">
        <v>1000</v>
      </c>
      <c r="CH356" s="97">
        <v>1000</v>
      </c>
      <c r="CI356" s="174"/>
      <c r="CJ356" s="174"/>
      <c r="CK356" s="174"/>
      <c r="CL356" s="174"/>
      <c r="CM356" s="174"/>
      <c r="CN356" s="174"/>
      <c r="CO356" s="174"/>
      <c r="CP356" s="175"/>
      <c r="CQ356" s="175"/>
      <c r="CR356" s="175"/>
      <c r="CS356" s="175"/>
      <c r="CT356" s="175"/>
      <c r="CU356" s="175"/>
      <c r="CV356" s="175"/>
      <c r="CW356" s="166"/>
      <c r="CX356" s="167"/>
      <c r="CY356" s="167"/>
      <c r="CZ356" s="167"/>
      <c r="DA356" s="167"/>
      <c r="DB356" s="167"/>
      <c r="DC356" s="167"/>
      <c r="DD356" s="172"/>
      <c r="DE356" s="172"/>
      <c r="DF356" s="172"/>
      <c r="DG356" s="172"/>
      <c r="DH356" s="172"/>
      <c r="DI356" s="172"/>
      <c r="DJ356" s="172"/>
      <c r="DK356" s="79" t="s">
        <v>1514</v>
      </c>
      <c r="DL356" s="128"/>
      <c r="DM356" s="128"/>
      <c r="DN356" s="128"/>
      <c r="DO356" s="128"/>
      <c r="DP356" s="128"/>
      <c r="DQ356" s="128"/>
      <c r="DR356" s="128"/>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x14ac:dyDescent="0.3">
      <c r="A357" s="226" t="s">
        <v>1519</v>
      </c>
      <c r="B357" s="226" t="s">
        <v>740</v>
      </c>
      <c r="C357" s="226" t="s">
        <v>817</v>
      </c>
      <c r="D357" s="226" t="s">
        <v>1498</v>
      </c>
      <c r="E357" s="226" t="s">
        <v>1499</v>
      </c>
      <c r="F357" s="226" t="s">
        <v>481</v>
      </c>
      <c r="G357" s="230" t="s">
        <v>1520</v>
      </c>
      <c r="H357" s="227"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7">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5"/>
        <v>0</v>
      </c>
      <c r="BV357" s="28"/>
      <c r="BW357" s="28"/>
      <c r="BX357" s="28"/>
      <c r="BY357" s="28"/>
      <c r="BZ357" s="28"/>
      <c r="CA357" s="28"/>
      <c r="CB357" s="245">
        <v>100</v>
      </c>
      <c r="CC357" s="245">
        <v>0</v>
      </c>
      <c r="CD357" s="245">
        <v>0</v>
      </c>
      <c r="CE357" s="245">
        <v>0</v>
      </c>
      <c r="CF357" s="245">
        <v>0</v>
      </c>
      <c r="CG357" s="245">
        <v>0</v>
      </c>
      <c r="CH357" s="245">
        <v>0</v>
      </c>
      <c r="CI357" s="176"/>
      <c r="CJ357" s="176"/>
      <c r="CK357" s="176"/>
      <c r="CL357" s="176"/>
      <c r="CM357" s="176"/>
      <c r="CN357" s="176"/>
      <c r="CO357" s="176"/>
      <c r="CP357" s="177"/>
      <c r="CQ357" s="177"/>
      <c r="CR357" s="177"/>
      <c r="CS357" s="177"/>
      <c r="CT357" s="177"/>
      <c r="CU357" s="177"/>
      <c r="CV357" s="177"/>
      <c r="CW357" s="168"/>
      <c r="CX357" s="169"/>
      <c r="CY357" s="169"/>
      <c r="CZ357" s="169"/>
      <c r="DA357" s="169"/>
      <c r="DB357" s="169"/>
      <c r="DC357" s="169"/>
      <c r="DD357" s="173"/>
      <c r="DE357" s="173"/>
      <c r="DF357" s="173"/>
      <c r="DG357" s="173"/>
      <c r="DH357" s="173"/>
      <c r="DI357" s="173"/>
      <c r="DJ357" s="173"/>
      <c r="DK357" s="80" t="s">
        <v>1521</v>
      </c>
      <c r="DL357" s="129">
        <v>130</v>
      </c>
      <c r="DM357" s="129">
        <v>130</v>
      </c>
      <c r="DN357" s="129">
        <v>130</v>
      </c>
      <c r="DO357" s="129">
        <v>130</v>
      </c>
      <c r="DP357" s="129">
        <v>130</v>
      </c>
      <c r="DQ357" s="129">
        <v>130</v>
      </c>
      <c r="DR357" s="129">
        <v>130</v>
      </c>
      <c r="DS357" s="219"/>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row>
    <row r="358" spans="1:244" s="262" customFormat="1" x14ac:dyDescent="0.3">
      <c r="A358" s="257" t="s">
        <v>1522</v>
      </c>
      <c r="B358" s="257" t="s">
        <v>740</v>
      </c>
      <c r="C358" s="257" t="s">
        <v>788</v>
      </c>
      <c r="D358" s="257" t="s">
        <v>1215</v>
      </c>
      <c r="E358" s="257" t="s">
        <v>1502</v>
      </c>
      <c r="F358" s="257" t="s">
        <v>481</v>
      </c>
      <c r="G358" s="269" t="s">
        <v>1523</v>
      </c>
      <c r="H358" s="269" t="s">
        <v>659</v>
      </c>
      <c r="I358" s="254">
        <v>45</v>
      </c>
      <c r="J358" s="254">
        <f>ROUND($I$358+($O$358-$I$358)/($O$4-$I$4)*($J$4-$I$4),2)</f>
        <v>42.64</v>
      </c>
      <c r="K358" s="254">
        <f>ROUND($I$358+($O$358-$I$358)/($O$4-$I$4)*($K$4-$I$4),2)</f>
        <v>38.71</v>
      </c>
      <c r="L358" s="254">
        <f>ROUND($I$358+($O$358-$I$358)/($O$4-$I$4)*($L$4-$I$4),2)</f>
        <v>34.79</v>
      </c>
      <c r="M358" s="254">
        <f>ROUND($I$358+($O$358-$I$358)/($O$4-$I$4)*($M$4-$I$4),2)</f>
        <v>30.86</v>
      </c>
      <c r="N358" s="254">
        <f>ROUND($I$358+($O$358-$I$358)/($O$4-$I$4)*($N$4-$I$4),2)</f>
        <v>26.93</v>
      </c>
      <c r="O358" s="254">
        <v>23</v>
      </c>
      <c r="P358" s="270">
        <v>0</v>
      </c>
      <c r="Q358" s="254">
        <f>ROUND(I358*0.04,2)</f>
        <v>1.8</v>
      </c>
      <c r="R358" s="254">
        <f t="shared" ref="R358:W365" si="297">ROUND(J358*0.04,2)</f>
        <v>1.71</v>
      </c>
      <c r="S358" s="254">
        <f t="shared" si="297"/>
        <v>1.55</v>
      </c>
      <c r="T358" s="254">
        <f t="shared" si="297"/>
        <v>1.39</v>
      </c>
      <c r="U358" s="254">
        <f t="shared" si="297"/>
        <v>1.23</v>
      </c>
      <c r="V358" s="254">
        <f t="shared" si="297"/>
        <v>1.08</v>
      </c>
      <c r="W358" s="254">
        <f t="shared" si="297"/>
        <v>0.92</v>
      </c>
      <c r="X358" s="254"/>
      <c r="Y358" s="254"/>
      <c r="Z358" s="254"/>
      <c r="AA358" s="254"/>
      <c r="AB358" s="254"/>
      <c r="AC358" s="254"/>
      <c r="AD358" s="254"/>
      <c r="AE358" s="187">
        <v>0.08</v>
      </c>
      <c r="AF358" s="270"/>
      <c r="AG358" s="270">
        <v>30</v>
      </c>
      <c r="AH358" s="270">
        <v>30</v>
      </c>
      <c r="AI358" s="271">
        <v>1</v>
      </c>
      <c r="AJ358" s="271" t="s">
        <v>660</v>
      </c>
      <c r="AK358" s="271" t="s">
        <v>745</v>
      </c>
      <c r="AL358" s="271"/>
      <c r="AM358" s="272"/>
      <c r="AN358" s="272"/>
      <c r="AO358" s="272"/>
      <c r="AP358" s="272"/>
      <c r="AQ358" s="272"/>
      <c r="AR358" s="272"/>
      <c r="AS358" s="273"/>
      <c r="AT358" s="273"/>
      <c r="AU358" s="273"/>
      <c r="AV358" s="274"/>
      <c r="AW358" s="274"/>
      <c r="AX358" s="274"/>
      <c r="AY358" s="258" t="s">
        <v>662</v>
      </c>
      <c r="AZ358" s="258"/>
      <c r="BA358" s="258"/>
      <c r="BB358" s="258"/>
      <c r="BC358" s="258"/>
      <c r="BD358" s="258"/>
      <c r="BE358" s="258"/>
      <c r="BF358" s="258"/>
      <c r="BG358" s="258"/>
      <c r="BH358" s="275"/>
      <c r="BI358" s="275"/>
      <c r="BJ358" s="275"/>
      <c r="BK358" s="275"/>
      <c r="BL358" s="276"/>
      <c r="BM358" s="277"/>
      <c r="BN358" s="278">
        <v>10.5</v>
      </c>
      <c r="BO358" s="270"/>
      <c r="BP358" s="270"/>
      <c r="BQ358" s="270"/>
      <c r="BR358" s="270"/>
      <c r="BS358" s="270"/>
      <c r="BT358" s="270"/>
      <c r="BU358" s="258">
        <f t="shared" si="295"/>
        <v>0</v>
      </c>
      <c r="BV358" s="258"/>
      <c r="BW358" s="258"/>
      <c r="BX358" s="258"/>
      <c r="BY358" s="258"/>
      <c r="BZ358" s="258"/>
      <c r="CA358" s="258"/>
      <c r="CB358" s="245">
        <v>10.5</v>
      </c>
      <c r="CC358" s="245">
        <v>50</v>
      </c>
      <c r="CD358" s="245">
        <v>500</v>
      </c>
      <c r="CE358" s="245">
        <v>500</v>
      </c>
      <c r="CF358" s="245">
        <v>1000</v>
      </c>
      <c r="CG358" s="245">
        <v>1000</v>
      </c>
      <c r="CH358" s="245">
        <v>1000</v>
      </c>
      <c r="CI358" s="258"/>
      <c r="CJ358" s="258"/>
      <c r="CK358" s="258"/>
      <c r="CL358" s="258"/>
      <c r="CM358" s="258"/>
      <c r="CN358" s="258"/>
      <c r="CO358" s="258"/>
      <c r="CP358" s="259"/>
      <c r="CQ358" s="259"/>
      <c r="CR358" s="259"/>
      <c r="CS358" s="259"/>
      <c r="CT358" s="259"/>
      <c r="CU358" s="259"/>
      <c r="CV358" s="259"/>
      <c r="CW358" s="279"/>
      <c r="CX358" s="280"/>
      <c r="CY358" s="280"/>
      <c r="CZ358" s="280"/>
      <c r="DA358" s="280"/>
      <c r="DB358" s="280"/>
      <c r="DC358" s="280"/>
      <c r="DD358" s="280"/>
      <c r="DE358" s="280"/>
      <c r="DF358" s="280"/>
      <c r="DG358" s="280"/>
      <c r="DH358" s="280"/>
      <c r="DI358" s="280"/>
      <c r="DJ358" s="280"/>
      <c r="DK358" s="266"/>
      <c r="DL358" s="279">
        <v>500</v>
      </c>
      <c r="DM358" s="279">
        <v>500</v>
      </c>
      <c r="DN358" s="279">
        <v>500</v>
      </c>
      <c r="DO358" s="279">
        <v>500</v>
      </c>
      <c r="DP358" s="279">
        <v>500</v>
      </c>
      <c r="DQ358" s="279">
        <v>500</v>
      </c>
      <c r="DR358" s="279">
        <v>500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2" customFormat="1" x14ac:dyDescent="0.3">
      <c r="A359" s="257" t="s">
        <v>1524</v>
      </c>
      <c r="B359" s="257" t="s">
        <v>740</v>
      </c>
      <c r="C359" s="257" t="s">
        <v>817</v>
      </c>
      <c r="D359" s="257" t="s">
        <v>1498</v>
      </c>
      <c r="E359" s="257" t="s">
        <v>1499</v>
      </c>
      <c r="F359" s="257" t="s">
        <v>482</v>
      </c>
      <c r="G359" s="230" t="s">
        <v>1525</v>
      </c>
      <c r="H359" s="269"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7">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8">IF(BL359=1,BN359,0)</f>
        <v>0</v>
      </c>
      <c r="BV359" s="28"/>
      <c r="BW359" s="28"/>
      <c r="BX359" s="28"/>
      <c r="BY359" s="28"/>
      <c r="BZ359" s="28"/>
      <c r="CA359" s="28"/>
      <c r="CB359" s="245">
        <v>0</v>
      </c>
      <c r="CC359" s="99">
        <v>300</v>
      </c>
      <c r="CD359" s="99">
        <v>300</v>
      </c>
      <c r="CE359" s="99">
        <v>300</v>
      </c>
      <c r="CF359" s="99">
        <v>300</v>
      </c>
      <c r="CG359" s="99">
        <v>300</v>
      </c>
      <c r="CH359" s="99">
        <v>300</v>
      </c>
      <c r="CI359" s="176"/>
      <c r="CJ359" s="176"/>
      <c r="CK359" s="176"/>
      <c r="CL359" s="176"/>
      <c r="CM359" s="176"/>
      <c r="CN359" s="176"/>
      <c r="CO359" s="176"/>
      <c r="CP359" s="177"/>
      <c r="CQ359" s="177"/>
      <c r="CR359" s="177"/>
      <c r="CS359" s="177"/>
      <c r="CT359" s="177"/>
      <c r="CU359" s="177"/>
      <c r="CV359" s="177"/>
      <c r="CW359" s="168"/>
      <c r="CX359" s="169"/>
      <c r="CY359" s="169"/>
      <c r="CZ359" s="169"/>
      <c r="DA359" s="169"/>
      <c r="DB359" s="169"/>
      <c r="DC359" s="169"/>
      <c r="DD359" s="173"/>
      <c r="DE359" s="173"/>
      <c r="DF359" s="173"/>
      <c r="DG359" s="173"/>
      <c r="DH359" s="173"/>
      <c r="DI359" s="173"/>
      <c r="DJ359" s="173"/>
      <c r="DK359" s="80" t="s">
        <v>1521</v>
      </c>
      <c r="DL359" s="129">
        <v>130</v>
      </c>
      <c r="DM359" s="129">
        <v>130</v>
      </c>
      <c r="DN359" s="129">
        <v>130</v>
      </c>
      <c r="DO359" s="129">
        <v>130</v>
      </c>
      <c r="DP359" s="129">
        <v>130</v>
      </c>
      <c r="DQ359" s="129">
        <v>130</v>
      </c>
      <c r="DR359" s="129">
        <v>130</v>
      </c>
      <c r="DS359" s="281"/>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
      <c r="A360" s="5" t="s">
        <v>1526</v>
      </c>
      <c r="B360" s="5" t="s">
        <v>740</v>
      </c>
      <c r="C360" s="5" t="s">
        <v>788</v>
      </c>
      <c r="D360" s="5" t="s">
        <v>1215</v>
      </c>
      <c r="E360" s="5" t="s">
        <v>1527</v>
      </c>
      <c r="F360" s="5" t="s">
        <v>486</v>
      </c>
      <c r="G360" s="47" t="s">
        <v>1528</v>
      </c>
      <c r="H360" s="47" t="s">
        <v>659</v>
      </c>
      <c r="I360" s="254">
        <f>ROUND(23*1.333,2)</f>
        <v>30.66</v>
      </c>
      <c r="J360" s="254">
        <f>ROUND($I$360+($O$360-$I$360)/($O$4-$I$4)*($J$4-$I$4),2)</f>
        <v>29.45</v>
      </c>
      <c r="K360" s="254">
        <f>ROUND($I$360+($O$360-$I$360)/($O$4-$I$4)*($K$4-$I$4),2)</f>
        <v>27.42</v>
      </c>
      <c r="L360" s="254">
        <f>ROUND($I$360+($O$360-$I$360)/($O$4-$I$4)*($L$4-$I$4),2)</f>
        <v>25.4</v>
      </c>
      <c r="M360" s="254">
        <f>ROUND($I$360+($O$360-$I$360)/($O$4-$I$4)*($M$4-$I$4),2)</f>
        <v>23.37</v>
      </c>
      <c r="N360" s="254">
        <f>ROUND($I$360+($O$360-$I$360)/($O$4-$I$4)*($N$4-$I$4),2)</f>
        <v>21.35</v>
      </c>
      <c r="O360" s="254">
        <f t="shared" ref="O360:O365" si="299">ROUND(I360*0.63,2)</f>
        <v>19.32</v>
      </c>
      <c r="P360" s="93">
        <v>0</v>
      </c>
      <c r="Q360" s="254">
        <f t="shared" ref="Q360:Q365" si="300">ROUND(I360*0.04,2)</f>
        <v>1.23</v>
      </c>
      <c r="R360" s="254">
        <f t="shared" si="297"/>
        <v>1.18</v>
      </c>
      <c r="S360" s="254">
        <f t="shared" si="297"/>
        <v>1.1000000000000001</v>
      </c>
      <c r="T360" s="254">
        <f t="shared" si="297"/>
        <v>1.02</v>
      </c>
      <c r="U360" s="254">
        <f t="shared" si="297"/>
        <v>0.93</v>
      </c>
      <c r="V360" s="254">
        <f t="shared" si="297"/>
        <v>0.85</v>
      </c>
      <c r="W360" s="254">
        <f t="shared" si="297"/>
        <v>0.77</v>
      </c>
      <c r="X360" s="101">
        <v>0</v>
      </c>
      <c r="Y360" s="101">
        <v>0</v>
      </c>
      <c r="Z360" s="101">
        <v>0</v>
      </c>
      <c r="AA360" s="101">
        <v>0</v>
      </c>
      <c r="AB360" s="101">
        <v>0</v>
      </c>
      <c r="AC360" s="101">
        <v>0</v>
      </c>
      <c r="AD360" s="101">
        <v>0</v>
      </c>
      <c r="AE360" s="187">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5"/>
        <v>0</v>
      </c>
      <c r="BV360" s="27"/>
      <c r="BW360" s="27"/>
      <c r="BX360" s="27"/>
      <c r="BY360" s="27"/>
      <c r="BZ360" s="27"/>
      <c r="CA360" s="27"/>
      <c r="CB360" s="97"/>
      <c r="CC360" s="97">
        <v>50</v>
      </c>
      <c r="CD360" s="97">
        <v>1000</v>
      </c>
      <c r="CE360" s="97">
        <v>1000</v>
      </c>
      <c r="CF360" s="97">
        <v>1000</v>
      </c>
      <c r="CG360" s="97">
        <v>1000</v>
      </c>
      <c r="CH360" s="97">
        <v>1000</v>
      </c>
      <c r="CI360" s="174"/>
      <c r="CJ360" s="174"/>
      <c r="CK360" s="174"/>
      <c r="CL360" s="174"/>
      <c r="CM360" s="174"/>
      <c r="CN360" s="174"/>
      <c r="CO360" s="174"/>
      <c r="CP360" s="175"/>
      <c r="CQ360" s="175"/>
      <c r="CR360" s="175"/>
      <c r="CS360" s="175"/>
      <c r="CT360" s="175"/>
      <c r="CU360" s="175"/>
      <c r="CV360" s="175"/>
      <c r="CW360" s="166"/>
      <c r="CX360" s="167"/>
      <c r="CY360" s="167"/>
      <c r="CZ360" s="167"/>
      <c r="DA360" s="167"/>
      <c r="DB360" s="167"/>
      <c r="DC360" s="167"/>
      <c r="DD360" s="172"/>
      <c r="DE360" s="172"/>
      <c r="DF360" s="172"/>
      <c r="DG360" s="172"/>
      <c r="DH360" s="172"/>
      <c r="DI360" s="172"/>
      <c r="DJ360" s="172"/>
      <c r="DK360" s="79" t="s">
        <v>1529</v>
      </c>
      <c r="DL360" s="128">
        <v>2000</v>
      </c>
      <c r="DM360" s="128">
        <v>2000</v>
      </c>
      <c r="DN360" s="128">
        <v>2000</v>
      </c>
      <c r="DO360" s="128">
        <v>2000</v>
      </c>
      <c r="DP360" s="128">
        <v>2000</v>
      </c>
      <c r="DQ360" s="128">
        <v>2000</v>
      </c>
      <c r="DR360" s="128">
        <v>2000</v>
      </c>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
      <c r="A361" s="6" t="s">
        <v>1530</v>
      </c>
      <c r="B361" s="6" t="s">
        <v>740</v>
      </c>
      <c r="C361" s="6" t="s">
        <v>788</v>
      </c>
      <c r="D361" s="6" t="s">
        <v>1215</v>
      </c>
      <c r="E361" s="6" t="s">
        <v>1527</v>
      </c>
      <c r="F361" s="6" t="s">
        <v>486</v>
      </c>
      <c r="G361" s="48" t="s">
        <v>1531</v>
      </c>
      <c r="H361" s="48" t="s">
        <v>659</v>
      </c>
      <c r="I361" s="254">
        <f>ROUND(24.8*1.333,2)</f>
        <v>33.06</v>
      </c>
      <c r="J361" s="254">
        <f>ROUND($I$361+($O$361-$I$361)/($O$4-$I$4)*($J$4-$I$4),2)</f>
        <v>31.75</v>
      </c>
      <c r="K361" s="254">
        <f>ROUND($I$361+($O$361-$I$361)/($O$4-$I$4)*($K$4-$I$4),2)</f>
        <v>29.57</v>
      </c>
      <c r="L361" s="254">
        <f>ROUND($I$361+($O$361-$I$361)/($O$4-$I$4)*($L$4-$I$4),2)</f>
        <v>27.38</v>
      </c>
      <c r="M361" s="254">
        <f>ROUND($I$361+($O$361-$I$361)/($O$4-$I$4)*($M$4-$I$4),2)</f>
        <v>25.2</v>
      </c>
      <c r="N361" s="254">
        <f>ROUND($I$361+($O$361-$I$361)/($O$4-$I$4)*($N$4-$I$4),2)</f>
        <v>23.01</v>
      </c>
      <c r="O361" s="254">
        <f t="shared" si="299"/>
        <v>20.83</v>
      </c>
      <c r="P361" s="94">
        <v>0</v>
      </c>
      <c r="Q361" s="254">
        <f t="shared" si="300"/>
        <v>1.32</v>
      </c>
      <c r="R361" s="254">
        <f t="shared" si="297"/>
        <v>1.27</v>
      </c>
      <c r="S361" s="254">
        <f t="shared" si="297"/>
        <v>1.18</v>
      </c>
      <c r="T361" s="254">
        <f t="shared" si="297"/>
        <v>1.1000000000000001</v>
      </c>
      <c r="U361" s="254">
        <f t="shared" si="297"/>
        <v>1.01</v>
      </c>
      <c r="V361" s="254">
        <f t="shared" si="297"/>
        <v>0.92</v>
      </c>
      <c r="W361" s="254">
        <f t="shared" si="297"/>
        <v>0.83</v>
      </c>
      <c r="X361" s="102"/>
      <c r="Y361" s="102"/>
      <c r="Z361" s="102"/>
      <c r="AA361" s="102"/>
      <c r="AB361" s="102"/>
      <c r="AC361" s="102"/>
      <c r="AD361" s="102"/>
      <c r="AE361" s="187">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5"/>
        <v>0</v>
      </c>
      <c r="BV361" s="28"/>
      <c r="BW361" s="28"/>
      <c r="BX361" s="28"/>
      <c r="BY361" s="28"/>
      <c r="BZ361" s="28"/>
      <c r="CA361" s="28"/>
      <c r="CB361" s="99"/>
      <c r="CC361" s="99">
        <v>50</v>
      </c>
      <c r="CD361" s="99">
        <v>1000</v>
      </c>
      <c r="CE361" s="99">
        <v>1000</v>
      </c>
      <c r="CF361" s="99">
        <v>1000</v>
      </c>
      <c r="CG361" s="99">
        <v>1000</v>
      </c>
      <c r="CH361" s="99">
        <v>1000</v>
      </c>
      <c r="CI361" s="176"/>
      <c r="CJ361" s="176"/>
      <c r="CK361" s="176"/>
      <c r="CL361" s="176"/>
      <c r="CM361" s="176"/>
      <c r="CN361" s="176"/>
      <c r="CO361" s="176"/>
      <c r="CP361" s="177"/>
      <c r="CQ361" s="177"/>
      <c r="CR361" s="177"/>
      <c r="CS361" s="177"/>
      <c r="CT361" s="177"/>
      <c r="CU361" s="177"/>
      <c r="CV361" s="177"/>
      <c r="CW361" s="168"/>
      <c r="CX361" s="169"/>
      <c r="CY361" s="169"/>
      <c r="CZ361" s="169"/>
      <c r="DA361" s="169"/>
      <c r="DB361" s="169"/>
      <c r="DC361" s="169"/>
      <c r="DD361" s="173"/>
      <c r="DE361" s="173"/>
      <c r="DF361" s="173"/>
      <c r="DG361" s="173"/>
      <c r="DH361" s="173"/>
      <c r="DI361" s="173"/>
      <c r="DJ361" s="173"/>
      <c r="DK361" s="80" t="s">
        <v>1532</v>
      </c>
      <c r="DL361" s="129"/>
      <c r="DM361" s="129"/>
      <c r="DN361" s="129"/>
      <c r="DO361" s="129"/>
      <c r="DP361" s="129"/>
      <c r="DQ361" s="129"/>
      <c r="DR361" s="129"/>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
      <c r="A362" s="5" t="s">
        <v>1533</v>
      </c>
      <c r="B362" s="5" t="s">
        <v>740</v>
      </c>
      <c r="C362" s="5" t="s">
        <v>788</v>
      </c>
      <c r="D362" s="5" t="s">
        <v>1215</v>
      </c>
      <c r="E362" s="5" t="s">
        <v>1527</v>
      </c>
      <c r="F362" s="5" t="s">
        <v>487</v>
      </c>
      <c r="G362" s="47" t="s">
        <v>1534</v>
      </c>
      <c r="H362" s="47" t="s">
        <v>659</v>
      </c>
      <c r="I362" s="254">
        <f>ROUND(23*1.333,2)</f>
        <v>30.66</v>
      </c>
      <c r="J362" s="254">
        <f>ROUND($I$362+($O$362-$I$362)/($O$4-$I$4)*($J$4-$I$4),2)</f>
        <v>29.45</v>
      </c>
      <c r="K362" s="254">
        <f>ROUND($I$362+($O$362-$I$362)/($O$4-$I$4)*($K$4-$I$4),2)</f>
        <v>27.42</v>
      </c>
      <c r="L362" s="254">
        <f>ROUND($I$362+($O$362-$I$362)/($O$4-$I$4)*($L$4-$I$4),2)</f>
        <v>25.4</v>
      </c>
      <c r="M362" s="254">
        <f>ROUND($I$362+($O$362-$I$362)/($O$4-$I$4)*($M$4-$I$4),2)</f>
        <v>23.37</v>
      </c>
      <c r="N362" s="254">
        <f>ROUND($I$362+($O$362-$I$362)/($O$4-$I$4)*($N$4-$I$4),2)</f>
        <v>21.35</v>
      </c>
      <c r="O362" s="254">
        <f t="shared" si="299"/>
        <v>19.32</v>
      </c>
      <c r="P362" s="93">
        <v>0</v>
      </c>
      <c r="Q362" s="254">
        <f t="shared" si="300"/>
        <v>1.23</v>
      </c>
      <c r="R362" s="254">
        <f t="shared" si="297"/>
        <v>1.18</v>
      </c>
      <c r="S362" s="254">
        <f t="shared" si="297"/>
        <v>1.1000000000000001</v>
      </c>
      <c r="T362" s="254">
        <f t="shared" si="297"/>
        <v>1.02</v>
      </c>
      <c r="U362" s="254">
        <f t="shared" si="297"/>
        <v>0.93</v>
      </c>
      <c r="V362" s="254">
        <f t="shared" si="297"/>
        <v>0.85</v>
      </c>
      <c r="W362" s="254">
        <f t="shared" si="297"/>
        <v>0.77</v>
      </c>
      <c r="X362" s="101">
        <v>0</v>
      </c>
      <c r="Y362" s="101">
        <v>0</v>
      </c>
      <c r="Z362" s="101">
        <v>0</v>
      </c>
      <c r="AA362" s="101">
        <v>0</v>
      </c>
      <c r="AB362" s="101">
        <v>0</v>
      </c>
      <c r="AC362" s="101">
        <v>0</v>
      </c>
      <c r="AD362" s="101">
        <v>0</v>
      </c>
      <c r="AE362" s="187">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5"/>
        <v>0</v>
      </c>
      <c r="BV362" s="27"/>
      <c r="BW362" s="27"/>
      <c r="BX362" s="27"/>
      <c r="BY362" s="27"/>
      <c r="BZ362" s="27"/>
      <c r="CA362" s="27"/>
      <c r="CB362" s="97"/>
      <c r="CC362" s="97">
        <v>50</v>
      </c>
      <c r="CD362" s="97">
        <v>1000</v>
      </c>
      <c r="CE362" s="97">
        <v>1000</v>
      </c>
      <c r="CF362" s="97">
        <v>1000</v>
      </c>
      <c r="CG362" s="97">
        <v>1000</v>
      </c>
      <c r="CH362" s="97">
        <v>1000</v>
      </c>
      <c r="CI362" s="174"/>
      <c r="CJ362" s="174"/>
      <c r="CK362" s="174"/>
      <c r="CL362" s="174"/>
      <c r="CM362" s="174"/>
      <c r="CN362" s="174"/>
      <c r="CO362" s="174"/>
      <c r="CP362" s="175"/>
      <c r="CQ362" s="175"/>
      <c r="CR362" s="175"/>
      <c r="CS362" s="175"/>
      <c r="CT362" s="175"/>
      <c r="CU362" s="175"/>
      <c r="CV362" s="175"/>
      <c r="CW362" s="166"/>
      <c r="CX362" s="167"/>
      <c r="CY362" s="167"/>
      <c r="CZ362" s="167"/>
      <c r="DA362" s="167"/>
      <c r="DB362" s="167"/>
      <c r="DC362" s="167"/>
      <c r="DD362" s="172"/>
      <c r="DE362" s="172"/>
      <c r="DF362" s="172"/>
      <c r="DG362" s="172"/>
      <c r="DH362" s="172"/>
      <c r="DI362" s="172"/>
      <c r="DJ362" s="172"/>
      <c r="DK362" s="79" t="s">
        <v>1529</v>
      </c>
      <c r="DL362" s="128"/>
      <c r="DM362" s="128"/>
      <c r="DN362" s="128"/>
      <c r="DO362" s="128"/>
      <c r="DP362" s="128"/>
      <c r="DQ362" s="128"/>
      <c r="DR362" s="128"/>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x14ac:dyDescent="0.3">
      <c r="A363" s="6" t="s">
        <v>1535</v>
      </c>
      <c r="B363" s="6" t="s">
        <v>740</v>
      </c>
      <c r="C363" s="6" t="s">
        <v>788</v>
      </c>
      <c r="D363" s="6" t="s">
        <v>1215</v>
      </c>
      <c r="E363" s="6" t="s">
        <v>1527</v>
      </c>
      <c r="F363" s="6" t="s">
        <v>487</v>
      </c>
      <c r="G363" s="48" t="s">
        <v>1536</v>
      </c>
      <c r="H363" s="48" t="s">
        <v>659</v>
      </c>
      <c r="I363" s="254">
        <f>ROUND(24.8*1.333,2)</f>
        <v>33.06</v>
      </c>
      <c r="J363" s="254">
        <f>ROUND($I$363+($O$363-$I$363)/($O$4-$I$4)*($J$4-$I$4),2)</f>
        <v>31.75</v>
      </c>
      <c r="K363" s="254">
        <f>ROUND($I$363+($O$363-$I$363)/($O$4-$I$4)*($K$4-$I$4),2)</f>
        <v>29.57</v>
      </c>
      <c r="L363" s="254">
        <f>ROUND($I$363+($O$363-$I$363)/($O$4-$I$4)*($L$4-$I$4),2)</f>
        <v>27.38</v>
      </c>
      <c r="M363" s="254">
        <f>ROUND($I$363+($O$363-$I$363)/($O$4-$I$4)*($M$4-$I$4),2)</f>
        <v>25.2</v>
      </c>
      <c r="N363" s="254">
        <f>ROUND($I$363+($O$363-$I$363)/($O$4-$I$4)*($N$4-$I$4),2)</f>
        <v>23.01</v>
      </c>
      <c r="O363" s="254">
        <f t="shared" si="299"/>
        <v>20.83</v>
      </c>
      <c r="P363" s="94">
        <v>0</v>
      </c>
      <c r="Q363" s="254">
        <f t="shared" si="300"/>
        <v>1.32</v>
      </c>
      <c r="R363" s="254">
        <f t="shared" si="297"/>
        <v>1.27</v>
      </c>
      <c r="S363" s="254">
        <f t="shared" si="297"/>
        <v>1.18</v>
      </c>
      <c r="T363" s="254">
        <f t="shared" si="297"/>
        <v>1.1000000000000001</v>
      </c>
      <c r="U363" s="254">
        <f t="shared" si="297"/>
        <v>1.01</v>
      </c>
      <c r="V363" s="254">
        <f t="shared" si="297"/>
        <v>0.92</v>
      </c>
      <c r="W363" s="254">
        <f t="shared" si="297"/>
        <v>0.83</v>
      </c>
      <c r="X363" s="102"/>
      <c r="Y363" s="102"/>
      <c r="Z363" s="102"/>
      <c r="AA363" s="102"/>
      <c r="AB363" s="102"/>
      <c r="AC363" s="102"/>
      <c r="AD363" s="102"/>
      <c r="AE363" s="187">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5"/>
        <v>0</v>
      </c>
      <c r="BV363" s="28"/>
      <c r="BW363" s="28"/>
      <c r="BX363" s="28"/>
      <c r="BY363" s="28"/>
      <c r="BZ363" s="28"/>
      <c r="CA363" s="28"/>
      <c r="CB363" s="99"/>
      <c r="CC363" s="99">
        <v>50</v>
      </c>
      <c r="CD363" s="99">
        <v>1000</v>
      </c>
      <c r="CE363" s="99">
        <v>1000</v>
      </c>
      <c r="CF363" s="99">
        <v>1000</v>
      </c>
      <c r="CG363" s="99">
        <v>1000</v>
      </c>
      <c r="CH363" s="99">
        <v>1000</v>
      </c>
      <c r="CI363" s="176"/>
      <c r="CJ363" s="176"/>
      <c r="CK363" s="176"/>
      <c r="CL363" s="176"/>
      <c r="CM363" s="176"/>
      <c r="CN363" s="176"/>
      <c r="CO363" s="176"/>
      <c r="CP363" s="177"/>
      <c r="CQ363" s="177"/>
      <c r="CR363" s="177"/>
      <c r="CS363" s="177"/>
      <c r="CT363" s="177"/>
      <c r="CU363" s="177"/>
      <c r="CV363" s="177"/>
      <c r="CW363" s="168"/>
      <c r="CX363" s="169"/>
      <c r="CY363" s="169"/>
      <c r="CZ363" s="169"/>
      <c r="DA363" s="169"/>
      <c r="DB363" s="169"/>
      <c r="DC363" s="169"/>
      <c r="DD363" s="173"/>
      <c r="DE363" s="173"/>
      <c r="DF363" s="173"/>
      <c r="DG363" s="173"/>
      <c r="DH363" s="173"/>
      <c r="DI363" s="173"/>
      <c r="DJ363" s="173"/>
      <c r="DK363" s="80" t="s">
        <v>1532</v>
      </c>
      <c r="DL363" s="129"/>
      <c r="DM363" s="129"/>
      <c r="DN363" s="129"/>
      <c r="DO363" s="129"/>
      <c r="DP363" s="129"/>
      <c r="DQ363" s="129"/>
      <c r="DR363" s="129"/>
      <c r="DS363" s="219"/>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row>
    <row r="364" spans="1:244" s="262" customFormat="1" x14ac:dyDescent="0.3">
      <c r="A364" s="257" t="s">
        <v>1537</v>
      </c>
      <c r="B364" s="257" t="s">
        <v>740</v>
      </c>
      <c r="C364" s="257" t="s">
        <v>788</v>
      </c>
      <c r="D364" s="257" t="s">
        <v>1215</v>
      </c>
      <c r="E364" s="257" t="s">
        <v>1527</v>
      </c>
      <c r="F364" s="257" t="s">
        <v>488</v>
      </c>
      <c r="G364" s="269" t="s">
        <v>1538</v>
      </c>
      <c r="H364" s="269" t="s">
        <v>659</v>
      </c>
      <c r="I364" s="254">
        <f>ROUND(23*1.333+(I368*-EnergyBalance!EG362),2)</f>
        <v>54.9</v>
      </c>
      <c r="J364" s="254">
        <f>ROUND($I364+($O364-$I364)/($O$4-$I$4)*($J$4-$I$4),2)</f>
        <v>52.72</v>
      </c>
      <c r="K364" s="254">
        <f>ROUND($I364+($O364-$I364)/($O$4-$I$4)*($K$4-$I$4),2)</f>
        <v>49.1</v>
      </c>
      <c r="L364" s="254">
        <f>ROUND($I364+($O364-$I364)/($O$4-$I$4)*($L$4-$I$4),2)</f>
        <v>45.47</v>
      </c>
      <c r="M364" s="254">
        <f>ROUND($I364+($O364-$I364)/($O$4-$I$4)*($M$4-$I$4),2)</f>
        <v>41.84</v>
      </c>
      <c r="N364" s="254">
        <f>ROUND($I364+($O364-$I364)/($O$4-$I$4)*($N$4-$I$4),2)</f>
        <v>38.22</v>
      </c>
      <c r="O364" s="254">
        <f t="shared" si="299"/>
        <v>34.590000000000003</v>
      </c>
      <c r="P364" s="270">
        <v>0</v>
      </c>
      <c r="Q364" s="254">
        <f t="shared" si="300"/>
        <v>2.2000000000000002</v>
      </c>
      <c r="R364" s="254">
        <f t="shared" si="297"/>
        <v>2.11</v>
      </c>
      <c r="S364" s="254">
        <f t="shared" si="297"/>
        <v>1.96</v>
      </c>
      <c r="T364" s="254">
        <f t="shared" si="297"/>
        <v>1.82</v>
      </c>
      <c r="U364" s="254">
        <f t="shared" si="297"/>
        <v>1.67</v>
      </c>
      <c r="V364" s="254">
        <f t="shared" si="297"/>
        <v>1.53</v>
      </c>
      <c r="W364" s="254">
        <f t="shared" si="297"/>
        <v>1.38</v>
      </c>
      <c r="X364" s="254">
        <v>0</v>
      </c>
      <c r="Y364" s="254">
        <v>0</v>
      </c>
      <c r="Z364" s="254">
        <v>0</v>
      </c>
      <c r="AA364" s="254">
        <v>0</v>
      </c>
      <c r="AB364" s="254">
        <v>0</v>
      </c>
      <c r="AC364" s="254">
        <v>0</v>
      </c>
      <c r="AD364" s="254">
        <v>0</v>
      </c>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88"/>
      <c r="BC364" s="288"/>
      <c r="BD364" s="288"/>
      <c r="BE364" s="288"/>
      <c r="BF364" s="288"/>
      <c r="BG364" s="288"/>
      <c r="BH364" s="289"/>
      <c r="BI364" s="289"/>
      <c r="BJ364" s="289"/>
      <c r="BK364" s="289"/>
      <c r="BL364" s="276"/>
      <c r="BM364" s="277"/>
      <c r="BN364" s="278">
        <v>0</v>
      </c>
      <c r="BO364" s="270"/>
      <c r="BP364" s="270"/>
      <c r="BQ364" s="270"/>
      <c r="BR364" s="270"/>
      <c r="BS364" s="270"/>
      <c r="BT364" s="270"/>
      <c r="BU364" s="258">
        <f t="shared" ref="BU364:BU367" si="301">IF(BL364=1,BN364,0)</f>
        <v>0</v>
      </c>
      <c r="BV364" s="258"/>
      <c r="BW364" s="258"/>
      <c r="BX364" s="258"/>
      <c r="BY364" s="258"/>
      <c r="BZ364" s="258"/>
      <c r="CA364" s="258"/>
      <c r="CB364" s="245"/>
      <c r="CC364" s="97"/>
      <c r="CD364" s="97"/>
      <c r="CE364" s="97"/>
      <c r="CF364" s="97"/>
      <c r="CG364" s="97"/>
      <c r="CH364" s="97"/>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1529</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2" customFormat="1" x14ac:dyDescent="0.3">
      <c r="A365" s="257" t="s">
        <v>1539</v>
      </c>
      <c r="B365" s="257" t="s">
        <v>740</v>
      </c>
      <c r="C365" s="257" t="s">
        <v>788</v>
      </c>
      <c r="D365" s="257" t="s">
        <v>1215</v>
      </c>
      <c r="E365" s="257" t="s">
        <v>1527</v>
      </c>
      <c r="F365" s="257" t="s">
        <v>488</v>
      </c>
      <c r="G365" s="269" t="s">
        <v>1540</v>
      </c>
      <c r="H365" s="269" t="s">
        <v>659</v>
      </c>
      <c r="I365" s="254">
        <f>ROUND(24.8*1.333+(I373*-EnergyBalance!EI363),2)</f>
        <v>52.76</v>
      </c>
      <c r="J365" s="254">
        <f>ROUND($I365+($O365-$I365)/($O$4-$I$4)*($J$4-$I$4),2)</f>
        <v>50.67</v>
      </c>
      <c r="K365" s="254">
        <f>ROUND($I365+($O365-$I365)/($O$4-$I$4)*($K$4-$I$4),2)</f>
        <v>47.18</v>
      </c>
      <c r="L365" s="254">
        <f>ROUND($I365+($O365-$I365)/($O$4-$I$4)*($L$4-$I$4),2)</f>
        <v>43.7</v>
      </c>
      <c r="M365" s="254">
        <f>ROUND($I365+($O365-$I365)/($O$4-$I$4)*($M$4-$I$4),2)</f>
        <v>40.21</v>
      </c>
      <c r="N365" s="254">
        <f>ROUND($I365+($O365-$I365)/($O$4-$I$4)*($N$4-$I$4),2)</f>
        <v>36.729999999999997</v>
      </c>
      <c r="O365" s="254">
        <f t="shared" si="299"/>
        <v>33.24</v>
      </c>
      <c r="P365" s="270">
        <v>0</v>
      </c>
      <c r="Q365" s="254">
        <f t="shared" si="300"/>
        <v>2.11</v>
      </c>
      <c r="R365" s="254">
        <f t="shared" si="297"/>
        <v>2.0299999999999998</v>
      </c>
      <c r="S365" s="254">
        <f t="shared" si="297"/>
        <v>1.89</v>
      </c>
      <c r="T365" s="254">
        <f t="shared" si="297"/>
        <v>1.75</v>
      </c>
      <c r="U365" s="254">
        <f t="shared" si="297"/>
        <v>1.61</v>
      </c>
      <c r="V365" s="254">
        <f t="shared" si="297"/>
        <v>1.47</v>
      </c>
      <c r="W365" s="254">
        <f t="shared" si="297"/>
        <v>1.33</v>
      </c>
      <c r="X365" s="254"/>
      <c r="Y365" s="254"/>
      <c r="Z365" s="254"/>
      <c r="AA365" s="254"/>
      <c r="AB365" s="254"/>
      <c r="AC365" s="254"/>
      <c r="AD365" s="254"/>
      <c r="AE365" s="187">
        <v>0.08</v>
      </c>
      <c r="AF365" s="270"/>
      <c r="AG365" s="270">
        <v>30</v>
      </c>
      <c r="AH365" s="270">
        <v>30</v>
      </c>
      <c r="AI365" s="271">
        <v>1</v>
      </c>
      <c r="AJ365" s="271" t="s">
        <v>660</v>
      </c>
      <c r="AK365" s="271" t="s">
        <v>745</v>
      </c>
      <c r="AL365" s="271"/>
      <c r="AM365" s="272"/>
      <c r="AN365" s="272"/>
      <c r="AO365" s="272"/>
      <c r="AP365" s="272"/>
      <c r="AQ365" s="272"/>
      <c r="AR365" s="272"/>
      <c r="AS365" s="273"/>
      <c r="AT365" s="273"/>
      <c r="AU365" s="273"/>
      <c r="AV365" s="274"/>
      <c r="AW365" s="274"/>
      <c r="AX365" s="274"/>
      <c r="AY365" s="258" t="s">
        <v>662</v>
      </c>
      <c r="AZ365" s="258"/>
      <c r="BA365" s="258"/>
      <c r="BB365" s="258"/>
      <c r="BC365" s="258"/>
      <c r="BD365" s="258"/>
      <c r="BE365" s="258"/>
      <c r="BF365" s="258"/>
      <c r="BG365" s="258"/>
      <c r="BH365" s="275"/>
      <c r="BI365" s="275"/>
      <c r="BJ365" s="275"/>
      <c r="BK365" s="275"/>
      <c r="BL365" s="276"/>
      <c r="BM365" s="277"/>
      <c r="BN365" s="278">
        <v>0</v>
      </c>
      <c r="BO365" s="270"/>
      <c r="BP365" s="270"/>
      <c r="BQ365" s="270"/>
      <c r="BR365" s="270"/>
      <c r="BS365" s="270"/>
      <c r="BT365" s="270"/>
      <c r="BU365" s="258">
        <f t="shared" si="301"/>
        <v>0</v>
      </c>
      <c r="BV365" s="258"/>
      <c r="BW365" s="258"/>
      <c r="BX365" s="258"/>
      <c r="BY365" s="258"/>
      <c r="BZ365" s="258"/>
      <c r="CA365" s="258"/>
      <c r="CB365" s="245"/>
      <c r="CC365" s="99"/>
      <c r="CD365" s="99"/>
      <c r="CE365" s="99"/>
      <c r="CF365" s="99"/>
      <c r="CG365" s="99"/>
      <c r="CH365" s="99"/>
      <c r="CI365" s="258"/>
      <c r="CJ365" s="258"/>
      <c r="CK365" s="258"/>
      <c r="CL365" s="258"/>
      <c r="CM365" s="258"/>
      <c r="CN365" s="258"/>
      <c r="CO365" s="258"/>
      <c r="CP365" s="259"/>
      <c r="CQ365" s="259"/>
      <c r="CR365" s="259"/>
      <c r="CS365" s="259"/>
      <c r="CT365" s="259"/>
      <c r="CU365" s="259"/>
      <c r="CV365" s="259"/>
      <c r="CW365" s="279"/>
      <c r="CX365" s="280"/>
      <c r="CY365" s="280"/>
      <c r="CZ365" s="280"/>
      <c r="DA365" s="280"/>
      <c r="DB365" s="280"/>
      <c r="DC365" s="280"/>
      <c r="DD365" s="280"/>
      <c r="DE365" s="280"/>
      <c r="DF365" s="280"/>
      <c r="DG365" s="280"/>
      <c r="DH365" s="280"/>
      <c r="DI365" s="280"/>
      <c r="DJ365" s="280"/>
      <c r="DK365" s="266" t="s">
        <v>1532</v>
      </c>
      <c r="DL365" s="279"/>
      <c r="DM365" s="279"/>
      <c r="DN365" s="279"/>
      <c r="DO365" s="279"/>
      <c r="DP365" s="279"/>
      <c r="DQ365" s="279"/>
      <c r="DR365" s="279"/>
      <c r="DS365" s="281"/>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
      <c r="A366" s="5" t="s">
        <v>1541</v>
      </c>
      <c r="B366" s="5" t="s">
        <v>740</v>
      </c>
      <c r="C366" s="5" t="s">
        <v>788</v>
      </c>
      <c r="D366" s="5" t="s">
        <v>1215</v>
      </c>
      <c r="E366" s="5" t="s">
        <v>1502</v>
      </c>
      <c r="F366" s="5" t="s">
        <v>489</v>
      </c>
      <c r="G366" s="47" t="s">
        <v>1542</v>
      </c>
      <c r="H366" s="47" t="s">
        <v>659</v>
      </c>
      <c r="I366" s="254">
        <v>61.176390923174552</v>
      </c>
      <c r="J366" s="254">
        <v>61.176390923174552</v>
      </c>
      <c r="K366" s="254">
        <v>61.176390923174552</v>
      </c>
      <c r="L366" s="254">
        <v>61.176390923174552</v>
      </c>
      <c r="M366" s="254">
        <v>61.176390923174552</v>
      </c>
      <c r="N366" s="254">
        <v>61.176390923174552</v>
      </c>
      <c r="O366" s="254">
        <v>61.176390923174552</v>
      </c>
      <c r="P366" s="93">
        <v>0</v>
      </c>
      <c r="Q366" s="254">
        <f>ROUND(I366*0.03,2)</f>
        <v>1.84</v>
      </c>
      <c r="R366" s="254">
        <f t="shared" ref="R366:W367" si="302">ROUND(J366*0.03,2)</f>
        <v>1.84</v>
      </c>
      <c r="S366" s="254">
        <f t="shared" si="302"/>
        <v>1.84</v>
      </c>
      <c r="T366" s="254">
        <f t="shared" si="302"/>
        <v>1.84</v>
      </c>
      <c r="U366" s="254">
        <f t="shared" si="302"/>
        <v>1.84</v>
      </c>
      <c r="V366" s="254">
        <f t="shared" si="302"/>
        <v>1.84</v>
      </c>
      <c r="W366" s="254">
        <f t="shared" si="302"/>
        <v>1.84</v>
      </c>
      <c r="X366" s="101">
        <v>0</v>
      </c>
      <c r="Y366" s="101">
        <v>0</v>
      </c>
      <c r="Z366" s="101">
        <v>0</v>
      </c>
      <c r="AA366" s="101">
        <v>0</v>
      </c>
      <c r="AB366" s="101">
        <v>0</v>
      </c>
      <c r="AC366" s="101">
        <v>0</v>
      </c>
      <c r="AD366" s="101">
        <v>0</v>
      </c>
      <c r="AE366" s="187">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301"/>
        <v>0</v>
      </c>
      <c r="BV366" s="27"/>
      <c r="BW366" s="27"/>
      <c r="BX366" s="27"/>
      <c r="BY366" s="27"/>
      <c r="BZ366" s="27"/>
      <c r="CA366" s="27"/>
      <c r="CB366" s="97"/>
      <c r="CC366" s="97">
        <v>50</v>
      </c>
      <c r="CD366" s="97">
        <v>100</v>
      </c>
      <c r="CE366" s="97">
        <v>100</v>
      </c>
      <c r="CF366" s="97">
        <v>200</v>
      </c>
      <c r="CG366" s="97">
        <v>200</v>
      </c>
      <c r="CH366" s="97">
        <v>200</v>
      </c>
      <c r="CI366" s="174"/>
      <c r="CJ366" s="174"/>
      <c r="CK366" s="174"/>
      <c r="CL366" s="174"/>
      <c r="CM366" s="174"/>
      <c r="CN366" s="174"/>
      <c r="CO366" s="174"/>
      <c r="CP366" s="175"/>
      <c r="CQ366" s="175"/>
      <c r="CR366" s="175"/>
      <c r="CS366" s="175"/>
      <c r="CT366" s="175"/>
      <c r="CU366" s="175"/>
      <c r="CV366" s="175"/>
      <c r="CW366" s="166"/>
      <c r="CX366" s="167"/>
      <c r="CY366" s="167"/>
      <c r="CZ366" s="167"/>
      <c r="DA366" s="167"/>
      <c r="DB366" s="167"/>
      <c r="DC366" s="167"/>
      <c r="DD366" s="172"/>
      <c r="DE366" s="172"/>
      <c r="DF366" s="172"/>
      <c r="DG366" s="172"/>
      <c r="DH366" s="172"/>
      <c r="DI366" s="172"/>
      <c r="DJ366" s="172"/>
      <c r="DK366" s="79" t="s">
        <v>1543</v>
      </c>
      <c r="DL366" s="128"/>
      <c r="DM366" s="128"/>
      <c r="DN366" s="128"/>
      <c r="DO366" s="128"/>
      <c r="DP366" s="128"/>
      <c r="DQ366" s="128"/>
      <c r="DR366" s="128"/>
      <c r="DS366" s="219"/>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row>
    <row r="367" spans="1:244" s="348" customFormat="1" x14ac:dyDescent="0.3">
      <c r="A367" s="328" t="s">
        <v>1544</v>
      </c>
      <c r="B367" s="328" t="s">
        <v>740</v>
      </c>
      <c r="C367" s="328" t="s">
        <v>788</v>
      </c>
      <c r="D367" s="328" t="s">
        <v>1215</v>
      </c>
      <c r="E367" s="328" t="s">
        <v>1502</v>
      </c>
      <c r="F367" s="328" t="s">
        <v>489</v>
      </c>
      <c r="G367" s="329" t="s">
        <v>1545</v>
      </c>
      <c r="H367" s="329" t="s">
        <v>659</v>
      </c>
      <c r="I367" s="330">
        <v>74.124183794860471</v>
      </c>
      <c r="J367" s="330">
        <v>74.124183794860471</v>
      </c>
      <c r="K367" s="330">
        <v>74.124183794860471</v>
      </c>
      <c r="L367" s="330">
        <v>74.124183794860471</v>
      </c>
      <c r="M367" s="330">
        <v>74.124183794860471</v>
      </c>
      <c r="N367" s="330">
        <v>74.124183794860471</v>
      </c>
      <c r="O367" s="330">
        <v>74.124183794860471</v>
      </c>
      <c r="P367" s="331"/>
      <c r="Q367" s="330">
        <f>ROUND(I367*0.03,2)</f>
        <v>2.2200000000000002</v>
      </c>
      <c r="R367" s="330">
        <f t="shared" si="302"/>
        <v>2.2200000000000002</v>
      </c>
      <c r="S367" s="330">
        <f t="shared" si="302"/>
        <v>2.2200000000000002</v>
      </c>
      <c r="T367" s="330">
        <f t="shared" si="302"/>
        <v>2.2200000000000002</v>
      </c>
      <c r="U367" s="330">
        <f t="shared" si="302"/>
        <v>2.2200000000000002</v>
      </c>
      <c r="V367" s="330">
        <f t="shared" si="302"/>
        <v>2.2200000000000002</v>
      </c>
      <c r="W367" s="330">
        <f t="shared" si="302"/>
        <v>2.2200000000000002</v>
      </c>
      <c r="X367" s="330">
        <v>0</v>
      </c>
      <c r="Y367" s="330">
        <v>0</v>
      </c>
      <c r="Z367" s="330">
        <v>0</v>
      </c>
      <c r="AA367" s="330">
        <v>0</v>
      </c>
      <c r="AB367" s="330">
        <v>0</v>
      </c>
      <c r="AC367" s="330">
        <v>0</v>
      </c>
      <c r="AD367" s="330">
        <v>0</v>
      </c>
      <c r="AE367" s="187">
        <v>0.08</v>
      </c>
      <c r="AF367" s="331"/>
      <c r="AG367" s="331">
        <v>30</v>
      </c>
      <c r="AH367" s="331">
        <v>30</v>
      </c>
      <c r="AI367" s="332">
        <v>1</v>
      </c>
      <c r="AJ367" s="332" t="s">
        <v>660</v>
      </c>
      <c r="AK367" s="332" t="s">
        <v>745</v>
      </c>
      <c r="AL367" s="332"/>
      <c r="AM367" s="333"/>
      <c r="AN367" s="333"/>
      <c r="AO367" s="333"/>
      <c r="AP367" s="333"/>
      <c r="AQ367" s="333"/>
      <c r="AR367" s="333"/>
      <c r="AS367" s="334"/>
      <c r="AT367" s="334"/>
      <c r="AU367" s="334"/>
      <c r="AV367" s="335"/>
      <c r="AW367" s="335"/>
      <c r="AX367" s="335"/>
      <c r="AY367" s="336" t="s">
        <v>662</v>
      </c>
      <c r="AZ367" s="336"/>
      <c r="BA367" s="337"/>
      <c r="BB367" s="338"/>
      <c r="BC367" s="338"/>
      <c r="BD367" s="338"/>
      <c r="BE367" s="338"/>
      <c r="BF367" s="338"/>
      <c r="BG367" s="338"/>
      <c r="BH367" s="339"/>
      <c r="BI367" s="339"/>
      <c r="BJ367" s="339"/>
      <c r="BK367" s="339"/>
      <c r="BL367" s="340"/>
      <c r="BM367" s="341"/>
      <c r="BN367" s="342">
        <v>0</v>
      </c>
      <c r="BO367" s="331"/>
      <c r="BP367" s="331"/>
      <c r="BQ367" s="331"/>
      <c r="BR367" s="331"/>
      <c r="BS367" s="331"/>
      <c r="BT367" s="331"/>
      <c r="BU367" s="336">
        <f t="shared" si="301"/>
        <v>0</v>
      </c>
      <c r="BV367" s="336"/>
      <c r="BW367" s="336"/>
      <c r="BX367" s="336"/>
      <c r="BY367" s="336"/>
      <c r="BZ367" s="336"/>
      <c r="CA367" s="336"/>
      <c r="CB367" s="343"/>
      <c r="CC367" s="343">
        <v>50</v>
      </c>
      <c r="CD367" s="97">
        <v>100</v>
      </c>
      <c r="CE367" s="97">
        <v>100</v>
      </c>
      <c r="CF367" s="97">
        <v>200</v>
      </c>
      <c r="CG367" s="97">
        <v>200</v>
      </c>
      <c r="CH367" s="97">
        <v>200</v>
      </c>
      <c r="CI367" s="336"/>
      <c r="CJ367" s="336"/>
      <c r="CK367" s="336"/>
      <c r="CL367" s="336"/>
      <c r="CM367" s="336"/>
      <c r="CN367" s="336"/>
      <c r="CO367" s="336"/>
      <c r="CP367" s="344"/>
      <c r="CQ367" s="344"/>
      <c r="CR367" s="344"/>
      <c r="CS367" s="344"/>
      <c r="CT367" s="344"/>
      <c r="CU367" s="344"/>
      <c r="CV367" s="344"/>
      <c r="CW367" s="345"/>
      <c r="CX367" s="346"/>
      <c r="CY367" s="346"/>
      <c r="CZ367" s="346"/>
      <c r="DA367" s="346"/>
      <c r="DB367" s="346"/>
      <c r="DC367" s="346"/>
      <c r="DD367" s="346"/>
      <c r="DE367" s="346"/>
      <c r="DF367" s="346"/>
      <c r="DG367" s="346"/>
      <c r="DH367" s="346"/>
      <c r="DI367" s="346"/>
      <c r="DJ367" s="346"/>
      <c r="DK367" s="79" t="s">
        <v>1543</v>
      </c>
      <c r="DL367" s="345"/>
      <c r="DM367" s="345"/>
      <c r="DN367" s="345"/>
      <c r="DO367" s="345"/>
      <c r="DP367" s="345"/>
      <c r="DQ367" s="345"/>
      <c r="DR367" s="345"/>
      <c r="DS367" s="347"/>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
      <c r="A368" s="6" t="s">
        <v>1546</v>
      </c>
      <c r="B368" s="6" t="s">
        <v>740</v>
      </c>
      <c r="C368" s="6" t="s">
        <v>788</v>
      </c>
      <c r="D368" s="6" t="s">
        <v>1215</v>
      </c>
      <c r="E368" s="6" t="s">
        <v>1527</v>
      </c>
      <c r="F368" s="6" t="s">
        <v>489</v>
      </c>
      <c r="G368" s="48" t="s">
        <v>1547</v>
      </c>
      <c r="H368" s="48" t="s">
        <v>659</v>
      </c>
      <c r="I368" s="254">
        <v>15.147669221572489</v>
      </c>
      <c r="J368" s="254">
        <v>15.147669221572489</v>
      </c>
      <c r="K368" s="254">
        <v>15.147669221572489</v>
      </c>
      <c r="L368" s="254">
        <v>15.147669221572489</v>
      </c>
      <c r="M368" s="254">
        <v>15.147669221572489</v>
      </c>
      <c r="N368" s="254">
        <v>15.147669221572489</v>
      </c>
      <c r="O368" s="254">
        <v>15.147669221572489</v>
      </c>
      <c r="P368" s="284">
        <v>0</v>
      </c>
      <c r="Q368" s="254">
        <v>0.37869173053931227</v>
      </c>
      <c r="R368" s="254">
        <v>0.37869173053931227</v>
      </c>
      <c r="S368" s="254">
        <v>0.37869173053931227</v>
      </c>
      <c r="T368" s="254">
        <v>0.37869173053931227</v>
      </c>
      <c r="U368" s="254">
        <v>0.37869173053931227</v>
      </c>
      <c r="V368" s="254">
        <v>0.37869173053931227</v>
      </c>
      <c r="W368" s="254">
        <v>0.37869173053931227</v>
      </c>
      <c r="X368" s="102">
        <v>0</v>
      </c>
      <c r="Y368" s="102">
        <v>0</v>
      </c>
      <c r="Z368" s="102">
        <v>0</v>
      </c>
      <c r="AA368" s="102">
        <v>0</v>
      </c>
      <c r="AB368" s="102">
        <v>0</v>
      </c>
      <c r="AC368" s="102">
        <v>0</v>
      </c>
      <c r="AD368" s="102">
        <v>0</v>
      </c>
      <c r="AE368" s="187">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5"/>
        <v>0</v>
      </c>
      <c r="BV368" s="28"/>
      <c r="BW368" s="28"/>
      <c r="BX368" s="28"/>
      <c r="BY368" s="28"/>
      <c r="BZ368" s="28"/>
      <c r="CA368" s="28"/>
      <c r="CB368" s="99">
        <v>0</v>
      </c>
      <c r="CC368" s="99">
        <v>50</v>
      </c>
      <c r="CD368" s="99">
        <v>1000</v>
      </c>
      <c r="CE368" s="99">
        <v>1000</v>
      </c>
      <c r="CF368" s="99">
        <v>1000</v>
      </c>
      <c r="CG368" s="99">
        <v>1000</v>
      </c>
      <c r="CH368" s="99">
        <v>1000</v>
      </c>
      <c r="CI368" s="176"/>
      <c r="CJ368" s="176"/>
      <c r="CK368" s="176"/>
      <c r="CL368" s="176"/>
      <c r="CM368" s="176"/>
      <c r="CN368" s="176"/>
      <c r="CO368" s="176"/>
      <c r="CP368" s="177"/>
      <c r="CQ368" s="177"/>
      <c r="CR368" s="177"/>
      <c r="CS368" s="177"/>
      <c r="CT368" s="177"/>
      <c r="CU368" s="177"/>
      <c r="CV368" s="177"/>
      <c r="CW368" s="168"/>
      <c r="CX368" s="169"/>
      <c r="CY368" s="169"/>
      <c r="CZ368" s="169"/>
      <c r="DA368" s="169"/>
      <c r="DB368" s="169"/>
      <c r="DC368" s="169"/>
      <c r="DD368" s="173"/>
      <c r="DE368" s="173"/>
      <c r="DF368" s="173"/>
      <c r="DG368" s="173"/>
      <c r="DH368" s="173"/>
      <c r="DI368" s="173"/>
      <c r="DJ368" s="173"/>
      <c r="DK368" s="80" t="s">
        <v>792</v>
      </c>
      <c r="DL368" s="129">
        <v>1000</v>
      </c>
      <c r="DM368" s="129">
        <v>1000</v>
      </c>
      <c r="DN368" s="129">
        <v>1000</v>
      </c>
      <c r="DO368" s="129">
        <v>1000</v>
      </c>
      <c r="DP368" s="129">
        <v>1000</v>
      </c>
      <c r="DQ368" s="129">
        <v>1000</v>
      </c>
      <c r="DR368" s="129">
        <v>1000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x14ac:dyDescent="0.3">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7">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5"/>
        <v>0</v>
      </c>
      <c r="BV369" s="27"/>
      <c r="BW369" s="27"/>
      <c r="BX369" s="27"/>
      <c r="BY369" s="27"/>
      <c r="BZ369" s="27"/>
      <c r="CA369" s="27"/>
      <c r="CB369" s="97"/>
      <c r="CC369" s="97"/>
      <c r="CD369" s="97">
        <v>0</v>
      </c>
      <c r="CE369" s="97">
        <v>0</v>
      </c>
      <c r="CF369" s="97">
        <v>0</v>
      </c>
      <c r="CG369" s="97">
        <v>0</v>
      </c>
      <c r="CH369" s="97">
        <v>0</v>
      </c>
      <c r="CI369" s="174"/>
      <c r="CJ369" s="174"/>
      <c r="CK369" s="174"/>
      <c r="CL369" s="174"/>
      <c r="CM369" s="174"/>
      <c r="CN369" s="174"/>
      <c r="CO369" s="174"/>
      <c r="CP369" s="175"/>
      <c r="CQ369" s="175"/>
      <c r="CR369" s="175"/>
      <c r="CS369" s="175"/>
      <c r="CT369" s="175"/>
      <c r="CU369" s="175"/>
      <c r="CV369" s="175"/>
      <c r="CW369" s="166"/>
      <c r="CX369" s="167"/>
      <c r="CY369" s="167"/>
      <c r="CZ369" s="167"/>
      <c r="DA369" s="167"/>
      <c r="DB369" s="167"/>
      <c r="DC369" s="167"/>
      <c r="DD369" s="172"/>
      <c r="DE369" s="172"/>
      <c r="DF369" s="172"/>
      <c r="DG369" s="172"/>
      <c r="DH369" s="172"/>
      <c r="DI369" s="172"/>
      <c r="DJ369" s="172"/>
      <c r="DK369" s="79" t="s">
        <v>1550</v>
      </c>
      <c r="DL369" s="128">
        <v>500</v>
      </c>
      <c r="DM369" s="128">
        <v>500</v>
      </c>
      <c r="DN369" s="128">
        <v>500</v>
      </c>
      <c r="DO369" s="128">
        <v>500</v>
      </c>
      <c r="DP369" s="128">
        <v>500</v>
      </c>
      <c r="DQ369" s="128">
        <v>500</v>
      </c>
      <c r="DR369" s="128">
        <v>500</v>
      </c>
      <c r="DS369" s="219"/>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row>
    <row r="370" spans="1:244" s="262" customFormat="1" x14ac:dyDescent="0.3">
      <c r="A370" s="257" t="s">
        <v>1551</v>
      </c>
      <c r="B370" s="257" t="s">
        <v>740</v>
      </c>
      <c r="C370" s="257" t="s">
        <v>788</v>
      </c>
      <c r="D370" s="257" t="s">
        <v>1215</v>
      </c>
      <c r="E370" s="257" t="s">
        <v>1477</v>
      </c>
      <c r="F370" s="257" t="s">
        <v>489</v>
      </c>
      <c r="G370" s="393" t="s">
        <v>1552</v>
      </c>
      <c r="H370" s="269" t="s">
        <v>659</v>
      </c>
      <c r="I370" s="283">
        <f>(80.99/3.6)*1.337</f>
        <v>30.078786111111107</v>
      </c>
      <c r="J370" s="283">
        <f t="shared" ref="J370:O370" si="303">(80.99/3.6)*1.337</f>
        <v>30.078786111111107</v>
      </c>
      <c r="K370" s="283">
        <f t="shared" si="303"/>
        <v>30.078786111111107</v>
      </c>
      <c r="L370" s="283">
        <f t="shared" si="303"/>
        <v>30.078786111111107</v>
      </c>
      <c r="M370" s="283">
        <f t="shared" si="303"/>
        <v>30.078786111111107</v>
      </c>
      <c r="N370" s="283">
        <f t="shared" si="303"/>
        <v>30.078786111111107</v>
      </c>
      <c r="O370" s="283">
        <f t="shared" si="303"/>
        <v>30.078786111111107</v>
      </c>
      <c r="P370" s="270">
        <v>0</v>
      </c>
      <c r="Q370" s="254">
        <f>ROUND(I370*0.04,2)</f>
        <v>1.2</v>
      </c>
      <c r="R370" s="254">
        <f t="shared" ref="R370:W370" si="304">ROUND(J370*0.04,2)</f>
        <v>1.2</v>
      </c>
      <c r="S370" s="254">
        <f t="shared" si="304"/>
        <v>1.2</v>
      </c>
      <c r="T370" s="254">
        <f t="shared" si="304"/>
        <v>1.2</v>
      </c>
      <c r="U370" s="254">
        <f t="shared" si="304"/>
        <v>1.2</v>
      </c>
      <c r="V370" s="254">
        <f t="shared" si="304"/>
        <v>1.2</v>
      </c>
      <c r="W370" s="254">
        <f t="shared" si="304"/>
        <v>1.2</v>
      </c>
      <c r="X370" s="254">
        <v>0</v>
      </c>
      <c r="Y370" s="254">
        <v>0</v>
      </c>
      <c r="Z370" s="254">
        <v>0</v>
      </c>
      <c r="AA370" s="254">
        <v>0</v>
      </c>
      <c r="AB370" s="254">
        <v>0</v>
      </c>
      <c r="AC370" s="254">
        <v>0</v>
      </c>
      <c r="AD370" s="254">
        <v>0</v>
      </c>
      <c r="AE370" s="187">
        <v>0.08</v>
      </c>
      <c r="AF370" s="270">
        <v>0</v>
      </c>
      <c r="AG370" s="270">
        <v>30</v>
      </c>
      <c r="AH370" s="270">
        <v>30</v>
      </c>
      <c r="AI370" s="271">
        <v>1</v>
      </c>
      <c r="AJ370" s="271" t="s">
        <v>660</v>
      </c>
      <c r="AK370" s="271" t="s">
        <v>745</v>
      </c>
      <c r="AL370" s="271"/>
      <c r="AM370" s="272"/>
      <c r="AN370" s="272"/>
      <c r="AO370" s="272"/>
      <c r="AP370" s="272"/>
      <c r="AQ370" s="272"/>
      <c r="AR370" s="272"/>
      <c r="AS370" s="273"/>
      <c r="AT370" s="273"/>
      <c r="AU370" s="273"/>
      <c r="AV370" s="274"/>
      <c r="AW370" s="274"/>
      <c r="AX370" s="274"/>
      <c r="AY370" s="258" t="s">
        <v>662</v>
      </c>
      <c r="AZ370" s="258"/>
      <c r="BA370" s="258"/>
      <c r="BB370" s="258"/>
      <c r="BC370" s="258"/>
      <c r="BD370" s="258"/>
      <c r="BE370" s="258"/>
      <c r="BF370" s="258"/>
      <c r="BG370" s="258"/>
      <c r="BH370" s="275"/>
      <c r="BI370" s="275"/>
      <c r="BJ370" s="275"/>
      <c r="BK370" s="275"/>
      <c r="BL370" s="276"/>
      <c r="BM370" s="277"/>
      <c r="BN370" s="278">
        <v>0</v>
      </c>
      <c r="BO370" s="270"/>
      <c r="BP370" s="270"/>
      <c r="BQ370" s="270"/>
      <c r="BR370" s="270"/>
      <c r="BS370" s="270"/>
      <c r="BT370" s="270"/>
      <c r="BU370" s="258">
        <f t="shared" ref="BU370" si="305">IF(BL370=1,BN370,0)</f>
        <v>0</v>
      </c>
      <c r="BV370" s="258"/>
      <c r="BW370" s="258"/>
      <c r="BX370" s="258"/>
      <c r="BY370" s="258"/>
      <c r="BZ370" s="258"/>
      <c r="CA370" s="258"/>
      <c r="CB370" s="245">
        <v>10</v>
      </c>
      <c r="CC370" s="245">
        <v>200</v>
      </c>
      <c r="CD370" s="390">
        <v>1000</v>
      </c>
      <c r="CE370" s="390">
        <v>1000</v>
      </c>
      <c r="CF370" s="390">
        <v>1000</v>
      </c>
      <c r="CG370" s="390">
        <v>1000</v>
      </c>
      <c r="CH370" s="390">
        <v>1000</v>
      </c>
      <c r="CI370" s="258"/>
      <c r="CJ370" s="258"/>
      <c r="CK370" s="258"/>
      <c r="CL370" s="258"/>
      <c r="CM370" s="258"/>
      <c r="CN370" s="258"/>
      <c r="CO370" s="258"/>
      <c r="CP370" s="259"/>
      <c r="CQ370" s="259"/>
      <c r="CR370" s="259"/>
      <c r="CS370" s="259"/>
      <c r="CT370" s="259"/>
      <c r="CU370" s="259"/>
      <c r="CV370" s="259"/>
      <c r="CW370" s="279"/>
      <c r="CX370" s="280"/>
      <c r="CY370" s="280"/>
      <c r="CZ370" s="280"/>
      <c r="DA370" s="280"/>
      <c r="DB370" s="280"/>
      <c r="DC370" s="280"/>
      <c r="DD370" s="280"/>
      <c r="DE370" s="280"/>
      <c r="DF370" s="280"/>
      <c r="DG370" s="280"/>
      <c r="DH370" s="280"/>
      <c r="DI370" s="280"/>
      <c r="DJ370" s="280"/>
      <c r="DK370" s="266" t="s">
        <v>1553</v>
      </c>
      <c r="DL370" s="279">
        <v>1000</v>
      </c>
      <c r="DM370" s="279">
        <v>1000</v>
      </c>
      <c r="DN370" s="279">
        <v>1000</v>
      </c>
      <c r="DO370" s="279">
        <v>1000</v>
      </c>
      <c r="DP370" s="279">
        <v>1000</v>
      </c>
      <c r="DQ370" s="279">
        <v>1000</v>
      </c>
      <c r="DR370" s="279">
        <v>1000</v>
      </c>
      <c r="DS370" s="281"/>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
      <c r="A371" s="6" t="s">
        <v>1554</v>
      </c>
      <c r="B371" s="6" t="s">
        <v>740</v>
      </c>
      <c r="C371" s="6" t="s">
        <v>788</v>
      </c>
      <c r="D371" s="6" t="s">
        <v>1215</v>
      </c>
      <c r="E371" s="6" t="s">
        <v>1527</v>
      </c>
      <c r="F371" s="6" t="s">
        <v>490</v>
      </c>
      <c r="G371" s="48" t="s">
        <v>1555</v>
      </c>
      <c r="H371" s="48" t="s">
        <v>659</v>
      </c>
      <c r="I371" s="254">
        <v>11.589384376846876</v>
      </c>
      <c r="J371" s="254">
        <v>11.589384376846876</v>
      </c>
      <c r="K371" s="254">
        <v>11.589384376846876</v>
      </c>
      <c r="L371" s="254">
        <v>11.589384376846876</v>
      </c>
      <c r="M371" s="254">
        <v>11.589384376846876</v>
      </c>
      <c r="N371" s="254">
        <v>11.589384376846876</v>
      </c>
      <c r="O371" s="254">
        <v>11.589384376846876</v>
      </c>
      <c r="P371" s="94">
        <v>0</v>
      </c>
      <c r="Q371" s="254">
        <v>0.28973460942117191</v>
      </c>
      <c r="R371" s="254">
        <v>0.28973460942117191</v>
      </c>
      <c r="S371" s="254">
        <v>0.28973460942117191</v>
      </c>
      <c r="T371" s="254">
        <v>0.28973460942117191</v>
      </c>
      <c r="U371" s="254">
        <v>0.28973460942117191</v>
      </c>
      <c r="V371" s="254">
        <v>0.28973460942117191</v>
      </c>
      <c r="W371" s="254">
        <v>0.28973460942117191</v>
      </c>
      <c r="X371" s="102"/>
      <c r="Y371" s="102"/>
      <c r="Z371" s="102"/>
      <c r="AA371" s="102"/>
      <c r="AB371" s="102"/>
      <c r="AC371" s="102"/>
      <c r="AD371" s="102"/>
      <c r="AE371" s="187">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5"/>
        <v>0</v>
      </c>
      <c r="BV371" s="28"/>
      <c r="BW371" s="28"/>
      <c r="BX371" s="28"/>
      <c r="BY371" s="28"/>
      <c r="BZ371" s="28"/>
      <c r="CA371" s="28"/>
      <c r="CB371" s="245">
        <v>10</v>
      </c>
      <c r="CC371" s="245">
        <v>50</v>
      </c>
      <c r="CD371" s="245">
        <v>250</v>
      </c>
      <c r="CE371" s="245">
        <v>500</v>
      </c>
      <c r="CF371" s="245">
        <v>1000</v>
      </c>
      <c r="CG371" s="245">
        <v>1000</v>
      </c>
      <c r="CH371" s="245">
        <v>1000</v>
      </c>
      <c r="CI371" s="258"/>
      <c r="CJ371" s="176"/>
      <c r="CK371" s="176"/>
      <c r="CL371" s="176"/>
      <c r="CM371" s="176"/>
      <c r="CN371" s="176"/>
      <c r="CO371" s="176"/>
      <c r="CP371" s="177"/>
      <c r="CQ371" s="177"/>
      <c r="CR371" s="177"/>
      <c r="CS371" s="177"/>
      <c r="CT371" s="177"/>
      <c r="CU371" s="177"/>
      <c r="CV371" s="177"/>
      <c r="CW371" s="168"/>
      <c r="CX371" s="169"/>
      <c r="CY371" s="169"/>
      <c r="CZ371" s="169"/>
      <c r="DA371" s="169"/>
      <c r="DB371" s="169"/>
      <c r="DC371" s="169"/>
      <c r="DD371" s="173"/>
      <c r="DE371" s="173"/>
      <c r="DF371" s="173"/>
      <c r="DG371" s="173"/>
      <c r="DH371" s="173"/>
      <c r="DI371" s="173"/>
      <c r="DJ371" s="173"/>
      <c r="DK371" s="80" t="s">
        <v>1556</v>
      </c>
      <c r="DL371" s="129">
        <v>1000</v>
      </c>
      <c r="DM371" s="129">
        <v>1000</v>
      </c>
      <c r="DN371" s="129">
        <v>1000</v>
      </c>
      <c r="DO371" s="129">
        <v>1000</v>
      </c>
      <c r="DP371" s="129">
        <v>1000</v>
      </c>
      <c r="DQ371" s="129">
        <v>1000</v>
      </c>
      <c r="DR371" s="129">
        <v>1000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x14ac:dyDescent="0.3">
      <c r="A372" s="5" t="s">
        <v>1557</v>
      </c>
      <c r="B372" s="5" t="s">
        <v>740</v>
      </c>
      <c r="C372" s="5" t="s">
        <v>788</v>
      </c>
      <c r="D372" s="5" t="s">
        <v>1215</v>
      </c>
      <c r="E372" s="5" t="s">
        <v>1527</v>
      </c>
      <c r="F372" s="5" t="s">
        <v>490</v>
      </c>
      <c r="G372" s="47" t="s">
        <v>1558</v>
      </c>
      <c r="H372" s="47" t="s">
        <v>659</v>
      </c>
      <c r="I372" s="254">
        <f>23/'Data Sources'!I9</f>
        <v>23.985197520584698</v>
      </c>
      <c r="J372" s="254">
        <f>I372</f>
        <v>23.985197520584698</v>
      </c>
      <c r="K372" s="254">
        <f t="shared" ref="K372:O372" si="306">J372</f>
        <v>23.985197520584698</v>
      </c>
      <c r="L372" s="254">
        <f t="shared" si="306"/>
        <v>23.985197520584698</v>
      </c>
      <c r="M372" s="254">
        <f t="shared" si="306"/>
        <v>23.985197520584698</v>
      </c>
      <c r="N372" s="254">
        <f t="shared" si="306"/>
        <v>23.985197520584698</v>
      </c>
      <c r="O372" s="254">
        <f t="shared" si="306"/>
        <v>23.985197520584698</v>
      </c>
      <c r="P372" s="93">
        <v>0</v>
      </c>
      <c r="Q372" s="254">
        <f t="shared" ref="Q372" si="307">ROUND(I372*0.04,2)</f>
        <v>0.96</v>
      </c>
      <c r="R372" s="254">
        <f t="shared" ref="R372" si="308">ROUND(J372*0.04,2)</f>
        <v>0.96</v>
      </c>
      <c r="S372" s="254">
        <f t="shared" ref="S372" si="309">ROUND(K372*0.04,2)</f>
        <v>0.96</v>
      </c>
      <c r="T372" s="254">
        <f t="shared" ref="T372" si="310">ROUND(L372*0.04,2)</f>
        <v>0.96</v>
      </c>
      <c r="U372" s="254">
        <f t="shared" ref="U372" si="311">ROUND(M372*0.04,2)</f>
        <v>0.96</v>
      </c>
      <c r="V372" s="254">
        <f t="shared" ref="V372" si="312">ROUND(N372*0.04,2)</f>
        <v>0.96</v>
      </c>
      <c r="W372" s="254">
        <f t="shared" ref="W372" si="313">ROUND(O372*0.04,2)</f>
        <v>0.96</v>
      </c>
      <c r="X372" s="101">
        <v>0</v>
      </c>
      <c r="Y372" s="101">
        <v>0</v>
      </c>
      <c r="Z372" s="101">
        <v>0</v>
      </c>
      <c r="AA372" s="101">
        <v>0</v>
      </c>
      <c r="AB372" s="101">
        <v>0</v>
      </c>
      <c r="AC372" s="101">
        <v>0</v>
      </c>
      <c r="AD372" s="101">
        <v>0</v>
      </c>
      <c r="AE372" s="187">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5"/>
        <v>0</v>
      </c>
      <c r="BV372" s="27"/>
      <c r="BW372" s="27"/>
      <c r="BX372" s="27"/>
      <c r="BY372" s="27"/>
      <c r="BZ372" s="27"/>
      <c r="CA372" s="27"/>
      <c r="CB372" s="97">
        <v>0</v>
      </c>
      <c r="CC372" s="97">
        <v>0</v>
      </c>
      <c r="CD372" s="97"/>
      <c r="CE372" s="97"/>
      <c r="CF372" s="97">
        <v>250</v>
      </c>
      <c r="CG372" s="97">
        <v>500</v>
      </c>
      <c r="CH372" s="97">
        <v>1000</v>
      </c>
      <c r="CI372" s="174"/>
      <c r="CJ372" s="174"/>
      <c r="CK372" s="174"/>
      <c r="CL372" s="174"/>
      <c r="CM372" s="174"/>
      <c r="CN372" s="174"/>
      <c r="CO372" s="174"/>
      <c r="CP372" s="175"/>
      <c r="CQ372" s="175"/>
      <c r="CR372" s="175"/>
      <c r="CS372" s="175"/>
      <c r="CT372" s="175"/>
      <c r="CU372" s="175"/>
      <c r="CV372" s="175"/>
      <c r="CW372" s="166"/>
      <c r="CX372" s="167"/>
      <c r="CY372" s="167"/>
      <c r="CZ372" s="167"/>
      <c r="DA372" s="167"/>
      <c r="DB372" s="167"/>
      <c r="DC372" s="167"/>
      <c r="DD372" s="172"/>
      <c r="DE372" s="172"/>
      <c r="DF372" s="172"/>
      <c r="DG372" s="172"/>
      <c r="DH372" s="172"/>
      <c r="DI372" s="172"/>
      <c r="DJ372" s="172"/>
      <c r="DK372" s="79" t="s">
        <v>1559</v>
      </c>
      <c r="DL372" s="128">
        <v>500</v>
      </c>
      <c r="DM372" s="128">
        <v>500</v>
      </c>
      <c r="DN372" s="128">
        <v>500</v>
      </c>
      <c r="DO372" s="128">
        <v>500</v>
      </c>
      <c r="DP372" s="128">
        <v>500</v>
      </c>
      <c r="DQ372" s="128">
        <v>500</v>
      </c>
      <c r="DR372" s="128">
        <v>500</v>
      </c>
      <c r="DS372" s="219"/>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row>
    <row r="373" spans="1:244" s="311" customFormat="1" x14ac:dyDescent="0.3">
      <c r="A373" s="291" t="s">
        <v>1560</v>
      </c>
      <c r="B373" s="291" t="s">
        <v>740</v>
      </c>
      <c r="C373" s="291" t="s">
        <v>788</v>
      </c>
      <c r="D373" s="291" t="s">
        <v>1215</v>
      </c>
      <c r="E373" s="291" t="s">
        <v>1527</v>
      </c>
      <c r="F373" s="291" t="s">
        <v>490</v>
      </c>
      <c r="G373" s="292" t="s">
        <v>1561</v>
      </c>
      <c r="H373" s="292" t="s">
        <v>659</v>
      </c>
      <c r="I373" s="293">
        <f>ROUND(11*1.054,2)</f>
        <v>11.59</v>
      </c>
      <c r="J373" s="293">
        <f>ROUND($I$372+($O$372-$I$372)/($O$4-$I$4)*($J$4-$I$4),2)</f>
        <v>23.99</v>
      </c>
      <c r="K373" s="293">
        <f>ROUND($I$372+($O$372-$I$372)/($O$4-$I$4)*($K$4-$I$4),2)</f>
        <v>23.99</v>
      </c>
      <c r="L373" s="293">
        <f>ROUND($I$372+($O$372-$I$372)/($O$4-$I$4)*($L$4-$I$4),2)</f>
        <v>23.99</v>
      </c>
      <c r="M373" s="293">
        <f>ROUND($I$372+($O$372-$I$372)/($O$4-$I$4)*($M$4-$I$4),2)</f>
        <v>23.99</v>
      </c>
      <c r="N373" s="293">
        <f>ROUND($I$372+($O$372-$I$372)/($O$4-$I$4)*($N$4-$I$4),2)</f>
        <v>23.99</v>
      </c>
      <c r="O373" s="293">
        <f>ROUND(7*1.054,2)</f>
        <v>7.38</v>
      </c>
      <c r="P373" s="294">
        <v>0</v>
      </c>
      <c r="Q373" s="293">
        <f t="shared" ref="Q373" si="314">ROUND(I373*0.04,2)</f>
        <v>0.46</v>
      </c>
      <c r="R373" s="293">
        <f t="shared" ref="R373" si="315">ROUND(J373*0.04,2)</f>
        <v>0.96</v>
      </c>
      <c r="S373" s="293">
        <f t="shared" ref="S373" si="316">ROUND(K373*0.04,2)</f>
        <v>0.96</v>
      </c>
      <c r="T373" s="293">
        <f t="shared" ref="T373" si="317">ROUND(L373*0.04,2)</f>
        <v>0.96</v>
      </c>
      <c r="U373" s="293">
        <f t="shared" ref="U373" si="318">ROUND(M373*0.04,2)</f>
        <v>0.96</v>
      </c>
      <c r="V373" s="293">
        <f t="shared" ref="V373" si="319">ROUND(N373*0.04,2)</f>
        <v>0.96</v>
      </c>
      <c r="W373" s="293">
        <f t="shared" ref="W373" si="320">ROUND(O373*0.04,2)</f>
        <v>0.3</v>
      </c>
      <c r="X373" s="293">
        <v>0</v>
      </c>
      <c r="Y373" s="293">
        <v>0</v>
      </c>
      <c r="Z373" s="293">
        <v>0</v>
      </c>
      <c r="AA373" s="293">
        <v>0</v>
      </c>
      <c r="AB373" s="293">
        <v>0</v>
      </c>
      <c r="AC373" s="293">
        <v>0</v>
      </c>
      <c r="AD373" s="293">
        <v>0</v>
      </c>
      <c r="AE373" s="187">
        <v>0.08</v>
      </c>
      <c r="AF373" s="294">
        <v>0</v>
      </c>
      <c r="AG373" s="294">
        <v>30</v>
      </c>
      <c r="AH373" s="294">
        <v>30</v>
      </c>
      <c r="AI373" s="295">
        <v>1</v>
      </c>
      <c r="AJ373" s="295" t="s">
        <v>660</v>
      </c>
      <c r="AK373" s="295" t="s">
        <v>745</v>
      </c>
      <c r="AL373" s="295"/>
      <c r="AM373" s="296"/>
      <c r="AN373" s="296"/>
      <c r="AO373" s="296"/>
      <c r="AP373" s="296"/>
      <c r="AQ373" s="296"/>
      <c r="AR373" s="296"/>
      <c r="AS373" s="297"/>
      <c r="AT373" s="297"/>
      <c r="AU373" s="297"/>
      <c r="AV373" s="298"/>
      <c r="AW373" s="298"/>
      <c r="AX373" s="298"/>
      <c r="AY373" s="299" t="s">
        <v>662</v>
      </c>
      <c r="AZ373" s="299"/>
      <c r="BA373" s="299"/>
      <c r="BB373" s="300"/>
      <c r="BC373" s="300"/>
      <c r="BD373" s="300"/>
      <c r="BE373" s="300"/>
      <c r="BF373" s="300"/>
      <c r="BG373" s="300"/>
      <c r="BH373" s="301"/>
      <c r="BI373" s="301"/>
      <c r="BJ373" s="301"/>
      <c r="BK373" s="301"/>
      <c r="BL373" s="302"/>
      <c r="BM373" s="303"/>
      <c r="BN373" s="304">
        <v>0</v>
      </c>
      <c r="BO373" s="294"/>
      <c r="BP373" s="294"/>
      <c r="BQ373" s="294"/>
      <c r="BR373" s="294"/>
      <c r="BS373" s="294"/>
      <c r="BT373" s="294"/>
      <c r="BU373" s="299">
        <f t="shared" ref="BU373" si="321">IF(BL373=1,BN373,0)</f>
        <v>0</v>
      </c>
      <c r="BV373" s="299"/>
      <c r="BW373" s="299"/>
      <c r="BX373" s="299"/>
      <c r="BY373" s="299"/>
      <c r="BZ373" s="299"/>
      <c r="CA373" s="299"/>
      <c r="CB373" s="305">
        <v>0</v>
      </c>
      <c r="CC373" s="245">
        <v>0</v>
      </c>
      <c r="CD373" s="245">
        <v>0</v>
      </c>
      <c r="CE373" s="245">
        <v>0</v>
      </c>
      <c r="CF373" s="245">
        <v>0</v>
      </c>
      <c r="CG373" s="245">
        <v>0</v>
      </c>
      <c r="CH373" s="245">
        <v>0</v>
      </c>
      <c r="CI373" s="299"/>
      <c r="CJ373" s="299"/>
      <c r="CK373" s="299"/>
      <c r="CL373" s="299"/>
      <c r="CM373" s="299"/>
      <c r="CN373" s="299"/>
      <c r="CO373" s="299"/>
      <c r="CP373" s="306"/>
      <c r="CQ373" s="306"/>
      <c r="CR373" s="306"/>
      <c r="CS373" s="306"/>
      <c r="CT373" s="306"/>
      <c r="CU373" s="306"/>
      <c r="CV373" s="306"/>
      <c r="CW373" s="307"/>
      <c r="CX373" s="308"/>
      <c r="CY373" s="308"/>
      <c r="CZ373" s="308"/>
      <c r="DA373" s="308"/>
      <c r="DB373" s="308"/>
      <c r="DC373" s="308"/>
      <c r="DD373" s="308"/>
      <c r="DE373" s="308"/>
      <c r="DF373" s="308"/>
      <c r="DG373" s="308"/>
      <c r="DH373" s="308"/>
      <c r="DI373" s="308"/>
      <c r="DJ373" s="308"/>
      <c r="DK373" s="309" t="s">
        <v>1559</v>
      </c>
      <c r="DL373" s="307">
        <v>500</v>
      </c>
      <c r="DM373" s="307">
        <v>500</v>
      </c>
      <c r="DN373" s="307">
        <v>500</v>
      </c>
      <c r="DO373" s="307">
        <v>500</v>
      </c>
      <c r="DP373" s="307">
        <v>500</v>
      </c>
      <c r="DQ373" s="307">
        <v>500</v>
      </c>
      <c r="DR373" s="307">
        <v>500</v>
      </c>
      <c r="DS373" s="310"/>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7">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5"/>
        <v>940</v>
      </c>
      <c r="BV374" s="28"/>
      <c r="BW374" s="28"/>
      <c r="BX374" s="28"/>
      <c r="BY374" s="28"/>
      <c r="BZ374" s="28"/>
      <c r="CA374" s="28"/>
      <c r="CB374" s="99">
        <v>940</v>
      </c>
      <c r="CC374" s="99">
        <f>CB374-BO374</f>
        <v>400</v>
      </c>
      <c r="CD374" s="99">
        <f t="shared" ref="CD374:CE374" si="322">CC374-BP374</f>
        <v>200</v>
      </c>
      <c r="CE374" s="99">
        <f t="shared" si="322"/>
        <v>0</v>
      </c>
      <c r="CF374" s="99">
        <v>0</v>
      </c>
      <c r="CG374" s="99">
        <v>0</v>
      </c>
      <c r="CH374" s="99"/>
      <c r="CI374" s="176"/>
      <c r="CJ374" s="176"/>
      <c r="CK374" s="176"/>
      <c r="CL374" s="176"/>
      <c r="CM374" s="176"/>
      <c r="CN374" s="176"/>
      <c r="CO374" s="176"/>
      <c r="CP374" s="177"/>
      <c r="CQ374" s="177"/>
      <c r="CR374" s="177"/>
      <c r="CS374" s="177"/>
      <c r="CT374" s="177"/>
      <c r="CU374" s="177"/>
      <c r="CV374" s="177"/>
      <c r="CW374" s="168"/>
      <c r="CX374" s="169"/>
      <c r="CY374" s="169"/>
      <c r="CZ374" s="169"/>
      <c r="DA374" s="169"/>
      <c r="DB374" s="169"/>
      <c r="DC374" s="169"/>
      <c r="DD374" s="173"/>
      <c r="DE374" s="173"/>
      <c r="DF374" s="173"/>
      <c r="DG374" s="173"/>
      <c r="DH374" s="173"/>
      <c r="DI374" s="173"/>
      <c r="DJ374" s="173"/>
      <c r="DK374" s="80" t="s">
        <v>415</v>
      </c>
      <c r="DL374" s="129">
        <v>400</v>
      </c>
      <c r="DM374" s="129">
        <v>400</v>
      </c>
      <c r="DN374" s="129">
        <v>400</v>
      </c>
      <c r="DO374" s="129">
        <v>400</v>
      </c>
      <c r="DP374" s="129">
        <v>400</v>
      </c>
      <c r="DQ374" s="129">
        <v>400</v>
      </c>
      <c r="DR374" s="129">
        <v>400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7">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6">
        <v>100</v>
      </c>
      <c r="CC375" s="97">
        <v>1000</v>
      </c>
      <c r="CD375" s="97">
        <v>1000</v>
      </c>
      <c r="CE375" s="97">
        <v>1000</v>
      </c>
      <c r="CF375" s="97">
        <v>1000</v>
      </c>
      <c r="CG375" s="97">
        <v>1000</v>
      </c>
      <c r="CH375" s="97">
        <v>1000</v>
      </c>
      <c r="CI375" s="174"/>
      <c r="CJ375" s="174"/>
      <c r="CK375" s="174"/>
      <c r="CL375" s="174"/>
      <c r="CM375" s="174"/>
      <c r="CN375" s="174"/>
      <c r="CO375" s="174"/>
      <c r="CP375" s="175"/>
      <c r="CQ375" s="175"/>
      <c r="CR375" s="175"/>
      <c r="CS375" s="175"/>
      <c r="CT375" s="175"/>
      <c r="CU375" s="175"/>
      <c r="CV375" s="175"/>
      <c r="CW375" s="166"/>
      <c r="CX375" s="167"/>
      <c r="CY375" s="167"/>
      <c r="CZ375" s="167"/>
      <c r="DA375" s="167"/>
      <c r="DB375" s="167"/>
      <c r="DC375" s="167"/>
      <c r="DD375" s="172"/>
      <c r="DE375" s="172"/>
      <c r="DF375" s="172"/>
      <c r="DG375" s="172"/>
      <c r="DH375" s="172"/>
      <c r="DI375" s="172"/>
      <c r="DJ375" s="172"/>
      <c r="DK375" s="79" t="s">
        <v>415</v>
      </c>
      <c r="DL375" s="128">
        <v>1000</v>
      </c>
      <c r="DM375" s="128">
        <v>1000</v>
      </c>
      <c r="DN375" s="128">
        <v>1000</v>
      </c>
      <c r="DO375" s="128">
        <v>1000</v>
      </c>
      <c r="DP375" s="128">
        <v>1000</v>
      </c>
      <c r="DQ375" s="128">
        <v>1000</v>
      </c>
      <c r="DR375" s="128">
        <v>1000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
      <c r="A376" s="226" t="s">
        <v>1568</v>
      </c>
      <c r="B376" s="226" t="s">
        <v>740</v>
      </c>
      <c r="C376" s="226" t="s">
        <v>817</v>
      </c>
      <c r="D376" s="226" t="s">
        <v>1471</v>
      </c>
      <c r="E376" s="226" t="s">
        <v>1569</v>
      </c>
      <c r="F376" s="226" t="s">
        <v>491</v>
      </c>
      <c r="G376" s="230" t="s">
        <v>1570</v>
      </c>
      <c r="H376" s="227"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7">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5"/>
        <v>0</v>
      </c>
      <c r="BV376" s="28"/>
      <c r="BW376" s="28"/>
      <c r="BX376" s="28"/>
      <c r="BY376" s="28"/>
      <c r="BZ376" s="28"/>
      <c r="CA376" s="28"/>
      <c r="CB376" s="186">
        <v>2000</v>
      </c>
      <c r="CC376" s="186">
        <v>1500</v>
      </c>
      <c r="CD376" s="186">
        <v>1500</v>
      </c>
      <c r="CE376" s="186">
        <v>1500</v>
      </c>
      <c r="CF376" s="186">
        <v>1500</v>
      </c>
      <c r="CG376" s="186">
        <v>1500</v>
      </c>
      <c r="CH376" s="186">
        <v>1500</v>
      </c>
      <c r="CI376" s="176"/>
      <c r="CJ376" s="176"/>
      <c r="CK376" s="176"/>
      <c r="CL376" s="176"/>
      <c r="CM376" s="176"/>
      <c r="CN376" s="176"/>
      <c r="CO376" s="176"/>
      <c r="CP376" s="177"/>
      <c r="CQ376" s="177"/>
      <c r="CR376" s="177"/>
      <c r="CS376" s="177"/>
      <c r="CT376" s="177"/>
      <c r="CU376" s="177"/>
      <c r="CV376" s="177"/>
      <c r="CW376" s="168"/>
      <c r="CX376" s="169"/>
      <c r="CY376" s="169"/>
      <c r="CZ376" s="169"/>
      <c r="DA376" s="169"/>
      <c r="DB376" s="169"/>
      <c r="DC376" s="169"/>
      <c r="DD376" s="173"/>
      <c r="DE376" s="173"/>
      <c r="DF376" s="173"/>
      <c r="DG376" s="173"/>
      <c r="DH376" s="173"/>
      <c r="DI376" s="173"/>
      <c r="DJ376" s="173"/>
      <c r="DK376" s="80" t="s">
        <v>1572</v>
      </c>
      <c r="DL376" s="129">
        <v>2000</v>
      </c>
      <c r="DM376" s="129">
        <v>2000</v>
      </c>
      <c r="DN376" s="129">
        <v>2000</v>
      </c>
      <c r="DO376" s="129">
        <v>2000</v>
      </c>
      <c r="DP376" s="129">
        <v>2000</v>
      </c>
      <c r="DQ376" s="129">
        <v>2000</v>
      </c>
      <c r="DR376" s="129">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7">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5"/>
        <v>390</v>
      </c>
      <c r="BV377" s="27"/>
      <c r="BW377" s="27"/>
      <c r="BX377" s="27"/>
      <c r="BY377" s="27"/>
      <c r="BZ377" s="27"/>
      <c r="CA377" s="27"/>
      <c r="CB377" s="97">
        <v>390</v>
      </c>
      <c r="CC377" s="97">
        <v>2000</v>
      </c>
      <c r="CD377" s="97">
        <v>2000</v>
      </c>
      <c r="CE377" s="97">
        <v>2000</v>
      </c>
      <c r="CF377" s="97">
        <v>2000</v>
      </c>
      <c r="CG377" s="97">
        <v>2000</v>
      </c>
      <c r="CH377" s="97">
        <v>2000</v>
      </c>
      <c r="CI377" s="174"/>
      <c r="CJ377" s="174"/>
      <c r="CK377" s="174"/>
      <c r="CL377" s="174"/>
      <c r="CM377" s="174"/>
      <c r="CN377" s="174"/>
      <c r="CO377" s="174"/>
      <c r="CP377" s="175"/>
      <c r="CQ377" s="175"/>
      <c r="CR377" s="175"/>
      <c r="CS377" s="175"/>
      <c r="CT377" s="175"/>
      <c r="CU377" s="175"/>
      <c r="CV377" s="175"/>
      <c r="CW377" s="166"/>
      <c r="CX377" s="167"/>
      <c r="CY377" s="167"/>
      <c r="CZ377" s="167"/>
      <c r="DA377" s="167"/>
      <c r="DB377" s="167"/>
      <c r="DC377" s="167"/>
      <c r="DD377" s="172"/>
      <c r="DE377" s="172"/>
      <c r="DF377" s="172"/>
      <c r="DG377" s="172"/>
      <c r="DH377" s="172"/>
      <c r="DI377" s="172"/>
      <c r="DJ377" s="172"/>
      <c r="DK377" s="79" t="s">
        <v>415</v>
      </c>
      <c r="DL377" s="128">
        <v>2000</v>
      </c>
      <c r="DM377" s="128">
        <v>2000</v>
      </c>
      <c r="DN377" s="128">
        <v>2000</v>
      </c>
      <c r="DO377" s="128">
        <v>2000</v>
      </c>
      <c r="DP377" s="128">
        <v>2000</v>
      </c>
      <c r="DQ377" s="128">
        <v>2000</v>
      </c>
      <c r="DR377" s="128">
        <v>2000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7">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23">BP378</f>
        <v>56.666666666666664</v>
      </c>
      <c r="BR378" s="94">
        <f t="shared" si="323"/>
        <v>56.666666666666664</v>
      </c>
      <c r="BS378" s="94">
        <f t="shared" si="323"/>
        <v>56.666666666666664</v>
      </c>
      <c r="BT378" s="94">
        <f t="shared" si="323"/>
        <v>56.666666666666664</v>
      </c>
      <c r="BU378" s="28">
        <f t="shared" si="295"/>
        <v>0</v>
      </c>
      <c r="BV378" s="28"/>
      <c r="BW378" s="28"/>
      <c r="BX378" s="28"/>
      <c r="BY378" s="28"/>
      <c r="BZ378" s="28"/>
      <c r="CA378" s="28"/>
      <c r="CB378" s="99">
        <v>1000</v>
      </c>
      <c r="CC378" s="99">
        <v>1000</v>
      </c>
      <c r="CD378" s="99">
        <v>1000</v>
      </c>
      <c r="CE378" s="99">
        <v>1000</v>
      </c>
      <c r="CF378" s="99">
        <v>1000</v>
      </c>
      <c r="CG378" s="99">
        <v>1000</v>
      </c>
      <c r="CH378" s="99">
        <v>1000</v>
      </c>
      <c r="CI378" s="176"/>
      <c r="CJ378" s="176"/>
      <c r="CK378" s="176"/>
      <c r="CL378" s="176"/>
      <c r="CM378" s="176"/>
      <c r="CN378" s="176"/>
      <c r="CO378" s="176"/>
      <c r="CP378" s="177"/>
      <c r="CQ378" s="177"/>
      <c r="CR378" s="177"/>
      <c r="CS378" s="177"/>
      <c r="CT378" s="177"/>
      <c r="CU378" s="177"/>
      <c r="CV378" s="177"/>
      <c r="CW378" s="168"/>
      <c r="CX378" s="169"/>
      <c r="CY378" s="169"/>
      <c r="CZ378" s="169"/>
      <c r="DA378" s="169"/>
      <c r="DB378" s="169"/>
      <c r="DC378" s="169"/>
      <c r="DD378" s="173"/>
      <c r="DE378" s="173"/>
      <c r="DF378" s="173"/>
      <c r="DG378" s="173"/>
      <c r="DH378" s="173"/>
      <c r="DI378" s="173"/>
      <c r="DJ378" s="173"/>
      <c r="DK378" s="80" t="s">
        <v>415</v>
      </c>
      <c r="DL378" s="129">
        <v>1000</v>
      </c>
      <c r="DM378" s="129">
        <v>1000</v>
      </c>
      <c r="DN378" s="129">
        <v>1000</v>
      </c>
      <c r="DO378" s="129">
        <v>1000</v>
      </c>
      <c r="DP378" s="129">
        <v>1000</v>
      </c>
      <c r="DQ378" s="129">
        <v>1000</v>
      </c>
      <c r="DR378" s="129">
        <v>1000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7">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4">BP379</f>
        <v>91.666666666666671</v>
      </c>
      <c r="BR379" s="93">
        <f t="shared" si="324"/>
        <v>91.666666666666671</v>
      </c>
      <c r="BS379" s="93">
        <f t="shared" si="324"/>
        <v>91.666666666666671</v>
      </c>
      <c r="BT379" s="93">
        <f t="shared" si="324"/>
        <v>91.666666666666671</v>
      </c>
      <c r="BU379" s="27">
        <f t="shared" si="295"/>
        <v>0</v>
      </c>
      <c r="BV379" s="27"/>
      <c r="BW379" s="27"/>
      <c r="BX379" s="27"/>
      <c r="BY379" s="27"/>
      <c r="BZ379" s="27"/>
      <c r="CA379" s="27"/>
      <c r="CB379" s="186">
        <v>1000</v>
      </c>
      <c r="CC379" s="186">
        <v>1000</v>
      </c>
      <c r="CD379" s="186">
        <v>1000</v>
      </c>
      <c r="CE379" s="186">
        <v>1000</v>
      </c>
      <c r="CF379" s="186">
        <v>1000</v>
      </c>
      <c r="CG379" s="186">
        <v>1000</v>
      </c>
      <c r="CH379" s="186">
        <v>1000</v>
      </c>
      <c r="CI379" s="174"/>
      <c r="CJ379" s="174"/>
      <c r="CK379" s="174"/>
      <c r="CL379" s="174"/>
      <c r="CM379" s="174"/>
      <c r="CN379" s="174"/>
      <c r="CO379" s="174"/>
      <c r="CP379" s="175"/>
      <c r="CQ379" s="175"/>
      <c r="CR379" s="175"/>
      <c r="CS379" s="175"/>
      <c r="CT379" s="175"/>
      <c r="CU379" s="175"/>
      <c r="CV379" s="175"/>
      <c r="CW379" s="166"/>
      <c r="CX379" s="167"/>
      <c r="CY379" s="167"/>
      <c r="CZ379" s="167"/>
      <c r="DA379" s="167"/>
      <c r="DB379" s="167"/>
      <c r="DC379" s="167"/>
      <c r="DD379" s="172"/>
      <c r="DE379" s="172"/>
      <c r="DF379" s="172"/>
      <c r="DG379" s="172"/>
      <c r="DH379" s="172"/>
      <c r="DI379" s="172"/>
      <c r="DJ379" s="172"/>
      <c r="DK379" s="79" t="s">
        <v>415</v>
      </c>
      <c r="DL379" s="128">
        <v>2000</v>
      </c>
      <c r="DM379" s="128">
        <v>2000</v>
      </c>
      <c r="DN379" s="128">
        <v>2000</v>
      </c>
      <c r="DO379" s="128">
        <v>2000</v>
      </c>
      <c r="DP379" s="128">
        <v>2000</v>
      </c>
      <c r="DQ379" s="128">
        <v>2000</v>
      </c>
      <c r="DR379" s="128">
        <v>2000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7">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5"/>
        <v>0</v>
      </c>
      <c r="BV380" s="28"/>
      <c r="BW380" s="28"/>
      <c r="BX380" s="28"/>
      <c r="BY380" s="28"/>
      <c r="BZ380" s="28"/>
      <c r="CA380" s="28"/>
      <c r="CB380" s="186">
        <v>1000</v>
      </c>
      <c r="CC380" s="186">
        <v>1000</v>
      </c>
      <c r="CD380" s="186">
        <v>1000</v>
      </c>
      <c r="CE380" s="186">
        <v>1000</v>
      </c>
      <c r="CF380" s="186">
        <v>1000</v>
      </c>
      <c r="CG380" s="186">
        <v>1000</v>
      </c>
      <c r="CH380" s="186">
        <v>1000</v>
      </c>
      <c r="CI380" s="176"/>
      <c r="CJ380" s="176"/>
      <c r="CK380" s="176"/>
      <c r="CL380" s="176"/>
      <c r="CM380" s="176"/>
      <c r="CN380" s="176"/>
      <c r="CO380" s="176"/>
      <c r="CP380" s="177"/>
      <c r="CQ380" s="177"/>
      <c r="CR380" s="177"/>
      <c r="CS380" s="177"/>
      <c r="CT380" s="177"/>
      <c r="CU380" s="177"/>
      <c r="CV380" s="177"/>
      <c r="CW380" s="168"/>
      <c r="CX380" s="169"/>
      <c r="CY380" s="169"/>
      <c r="CZ380" s="169"/>
      <c r="DA380" s="169"/>
      <c r="DB380" s="169"/>
      <c r="DC380" s="169"/>
      <c r="DD380" s="173"/>
      <c r="DE380" s="173"/>
      <c r="DF380" s="173"/>
      <c r="DG380" s="173"/>
      <c r="DH380" s="173"/>
      <c r="DI380" s="173"/>
      <c r="DJ380" s="173"/>
      <c r="DK380" s="80" t="s">
        <v>415</v>
      </c>
      <c r="DL380" s="129">
        <v>3500</v>
      </c>
      <c r="DM380" s="129">
        <v>3500</v>
      </c>
      <c r="DN380" s="129">
        <v>3500</v>
      </c>
      <c r="DO380" s="129">
        <v>3500</v>
      </c>
      <c r="DP380" s="129">
        <v>3500</v>
      </c>
      <c r="DQ380" s="129">
        <v>3500</v>
      </c>
      <c r="DR380" s="129">
        <v>3500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7">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5"/>
        <v>14.6</v>
      </c>
      <c r="BV381" s="27"/>
      <c r="BW381" s="27"/>
      <c r="BX381" s="27"/>
      <c r="BY381" s="27"/>
      <c r="BZ381" s="27"/>
      <c r="CA381" s="27"/>
      <c r="CB381" s="97">
        <v>14.6</v>
      </c>
      <c r="CC381" s="97">
        <v>1000</v>
      </c>
      <c r="CD381" s="97">
        <v>1000</v>
      </c>
      <c r="CE381" s="97">
        <v>1000</v>
      </c>
      <c r="CF381" s="97">
        <v>1000</v>
      </c>
      <c r="CG381" s="97">
        <v>1000</v>
      </c>
      <c r="CH381" s="97">
        <v>1000</v>
      </c>
      <c r="CI381" s="174"/>
      <c r="CJ381" s="174"/>
      <c r="CK381" s="174"/>
      <c r="CL381" s="174"/>
      <c r="CM381" s="174"/>
      <c r="CN381" s="174"/>
      <c r="CO381" s="174"/>
      <c r="CP381" s="175"/>
      <c r="CQ381" s="175"/>
      <c r="CR381" s="175"/>
      <c r="CS381" s="175"/>
      <c r="CT381" s="175"/>
      <c r="CU381" s="175"/>
      <c r="CV381" s="175"/>
      <c r="CW381" s="166"/>
      <c r="CX381" s="167"/>
      <c r="CY381" s="167"/>
      <c r="CZ381" s="167"/>
      <c r="DA381" s="167"/>
      <c r="DB381" s="167"/>
      <c r="DC381" s="167"/>
      <c r="DD381" s="172"/>
      <c r="DE381" s="172"/>
      <c r="DF381" s="172"/>
      <c r="DG381" s="172"/>
      <c r="DH381" s="172"/>
      <c r="DI381" s="172"/>
      <c r="DJ381" s="172"/>
      <c r="DK381" s="79" t="s">
        <v>415</v>
      </c>
      <c r="DL381" s="128">
        <v>1000</v>
      </c>
      <c r="DM381" s="128">
        <v>1000</v>
      </c>
      <c r="DN381" s="128">
        <v>1000</v>
      </c>
      <c r="DO381" s="128">
        <v>1000</v>
      </c>
      <c r="DP381" s="128">
        <v>1000</v>
      </c>
      <c r="DQ381" s="128">
        <v>1000</v>
      </c>
      <c r="DR381" s="128">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7">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5"/>
        <v>0</v>
      </c>
      <c r="BV382" s="28"/>
      <c r="BW382" s="28"/>
      <c r="BX382" s="28"/>
      <c r="BY382" s="28"/>
      <c r="BZ382" s="28"/>
      <c r="CA382" s="28"/>
      <c r="CB382" s="99"/>
      <c r="CC382" s="99">
        <v>1000</v>
      </c>
      <c r="CD382" s="99">
        <v>1000</v>
      </c>
      <c r="CE382" s="99">
        <v>1000</v>
      </c>
      <c r="CF382" s="99">
        <v>1000</v>
      </c>
      <c r="CG382" s="99">
        <v>1000</v>
      </c>
      <c r="CH382" s="99">
        <v>1000</v>
      </c>
      <c r="CI382" s="176"/>
      <c r="CJ382" s="176"/>
      <c r="CK382" s="176"/>
      <c r="CL382" s="176"/>
      <c r="CM382" s="176"/>
      <c r="CN382" s="176"/>
      <c r="CO382" s="176"/>
      <c r="CP382" s="177"/>
      <c r="CQ382" s="177"/>
      <c r="CR382" s="177"/>
      <c r="CS382" s="177"/>
      <c r="CT382" s="177"/>
      <c r="CU382" s="177"/>
      <c r="CV382" s="177"/>
      <c r="CW382" s="168"/>
      <c r="CX382" s="169"/>
      <c r="CY382" s="169"/>
      <c r="CZ382" s="169"/>
      <c r="DA382" s="169"/>
      <c r="DB382" s="169"/>
      <c r="DC382" s="169"/>
      <c r="DD382" s="173"/>
      <c r="DE382" s="173"/>
      <c r="DF382" s="173"/>
      <c r="DG382" s="173"/>
      <c r="DH382" s="173"/>
      <c r="DI382" s="173"/>
      <c r="DJ382" s="173"/>
      <c r="DK382" s="80" t="s">
        <v>415</v>
      </c>
      <c r="DL382" s="129">
        <v>1000</v>
      </c>
      <c r="DM382" s="129">
        <v>1000</v>
      </c>
      <c r="DN382" s="129">
        <v>1000</v>
      </c>
      <c r="DO382" s="129">
        <v>1000</v>
      </c>
      <c r="DP382" s="129">
        <v>1000</v>
      </c>
      <c r="DQ382" s="129">
        <v>1000</v>
      </c>
      <c r="DR382" s="129">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7">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5"/>
        <v>0</v>
      </c>
      <c r="BV383" s="27"/>
      <c r="BW383" s="27"/>
      <c r="BX383" s="27"/>
      <c r="BY383" s="27"/>
      <c r="BZ383" s="27"/>
      <c r="CA383" s="27"/>
      <c r="CB383" s="97"/>
      <c r="CC383" s="97">
        <v>1000</v>
      </c>
      <c r="CD383" s="97">
        <v>1000</v>
      </c>
      <c r="CE383" s="97">
        <v>1000</v>
      </c>
      <c r="CF383" s="97">
        <v>1000</v>
      </c>
      <c r="CG383" s="97">
        <v>1000</v>
      </c>
      <c r="CH383" s="97">
        <v>1000</v>
      </c>
      <c r="CI383" s="174"/>
      <c r="CJ383" s="174"/>
      <c r="CK383" s="174"/>
      <c r="CL383" s="174"/>
      <c r="CM383" s="174"/>
      <c r="CN383" s="174"/>
      <c r="CO383" s="174"/>
      <c r="CP383" s="175"/>
      <c r="CQ383" s="175"/>
      <c r="CR383" s="175"/>
      <c r="CS383" s="175"/>
      <c r="CT383" s="175"/>
      <c r="CU383" s="175"/>
      <c r="CV383" s="175"/>
      <c r="CW383" s="166"/>
      <c r="CX383" s="167"/>
      <c r="CY383" s="167"/>
      <c r="CZ383" s="167"/>
      <c r="DA383" s="167"/>
      <c r="DB383" s="167"/>
      <c r="DC383" s="167"/>
      <c r="DD383" s="172"/>
      <c r="DE383" s="172"/>
      <c r="DF383" s="172"/>
      <c r="DG383" s="172"/>
      <c r="DH383" s="172"/>
      <c r="DI383" s="172"/>
      <c r="DJ383" s="172"/>
      <c r="DK383" s="79" t="s">
        <v>415</v>
      </c>
      <c r="DL383" s="128">
        <v>1000</v>
      </c>
      <c r="DM383" s="128">
        <v>1000</v>
      </c>
      <c r="DN383" s="128">
        <v>1000</v>
      </c>
      <c r="DO383" s="128">
        <v>1000</v>
      </c>
      <c r="DP383" s="128">
        <v>1000</v>
      </c>
      <c r="DQ383" s="128">
        <v>1000</v>
      </c>
      <c r="DR383" s="128">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7">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5"/>
        <v>0</v>
      </c>
      <c r="BV384" s="28"/>
      <c r="BW384" s="28"/>
      <c r="BX384" s="28"/>
      <c r="BY384" s="28"/>
      <c r="BZ384" s="28"/>
      <c r="CA384" s="28"/>
      <c r="CB384" s="99">
        <v>0</v>
      </c>
      <c r="CC384" s="99">
        <v>250</v>
      </c>
      <c r="CD384" s="99">
        <v>500</v>
      </c>
      <c r="CE384" s="99">
        <v>1000</v>
      </c>
      <c r="CF384" s="99">
        <v>1000</v>
      </c>
      <c r="CG384" s="99">
        <v>1000</v>
      </c>
      <c r="CH384" s="99">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t="s">
        <v>415</v>
      </c>
      <c r="DL384" s="129">
        <v>1000</v>
      </c>
      <c r="DM384" s="129">
        <v>1000</v>
      </c>
      <c r="DN384" s="129">
        <v>1000</v>
      </c>
      <c r="DO384" s="129">
        <v>1000</v>
      </c>
      <c r="DP384" s="129">
        <v>1000</v>
      </c>
      <c r="DQ384" s="129">
        <v>1000</v>
      </c>
      <c r="DR384" s="129">
        <v>1000</v>
      </c>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
      <c r="A385" s="391"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2">
        <v>0</v>
      </c>
      <c r="Y385" s="392">
        <v>0</v>
      </c>
      <c r="Z385" s="392">
        <v>0</v>
      </c>
      <c r="AA385" s="392">
        <v>0</v>
      </c>
      <c r="AB385" s="392">
        <v>0</v>
      </c>
      <c r="AC385" s="392">
        <v>0</v>
      </c>
      <c r="AD385" s="392">
        <v>0</v>
      </c>
      <c r="AE385" s="187">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6">
        <v>1000</v>
      </c>
      <c r="CD385" s="186">
        <v>1000</v>
      </c>
      <c r="CE385" s="186">
        <v>1000</v>
      </c>
      <c r="CF385" s="186">
        <v>1000</v>
      </c>
      <c r="CG385" s="186">
        <v>1000</v>
      </c>
      <c r="CH385" s="186">
        <v>1000</v>
      </c>
      <c r="CI385" s="176"/>
      <c r="CJ385" s="176"/>
      <c r="CK385" s="176"/>
      <c r="CL385" s="176"/>
      <c r="CM385" s="176"/>
      <c r="CN385" s="176"/>
      <c r="CO385" s="176"/>
      <c r="CP385" s="177"/>
      <c r="CQ385" s="177"/>
      <c r="CR385" s="177"/>
      <c r="CS385" s="177"/>
      <c r="CT385" s="177"/>
      <c r="CU385" s="177"/>
      <c r="CV385" s="177"/>
      <c r="CW385" s="168"/>
      <c r="CX385" s="169"/>
      <c r="CY385" s="169"/>
      <c r="CZ385" s="169"/>
      <c r="DA385" s="169"/>
      <c r="DB385" s="169"/>
      <c r="DC385" s="169"/>
      <c r="DD385" s="173"/>
      <c r="DE385" s="173"/>
      <c r="DF385" s="173"/>
      <c r="DG385" s="173"/>
      <c r="DH385" s="173"/>
      <c r="DI385" s="173"/>
      <c r="DJ385" s="173"/>
      <c r="DK385" s="80"/>
      <c r="DL385" s="129"/>
      <c r="DM385" s="129"/>
      <c r="DN385" s="129"/>
      <c r="DO385" s="129"/>
      <c r="DP385" s="129"/>
      <c r="DQ385" s="129"/>
      <c r="DR385" s="129"/>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7">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5"/>
        <v>0</v>
      </c>
      <c r="BV386" s="27"/>
      <c r="BW386" s="27"/>
      <c r="BX386" s="27"/>
      <c r="BY386" s="27"/>
      <c r="BZ386" s="27"/>
      <c r="CA386" s="27"/>
      <c r="CB386" s="186">
        <v>1000</v>
      </c>
      <c r="CC386" s="186">
        <v>1000</v>
      </c>
      <c r="CD386" s="186">
        <v>1000</v>
      </c>
      <c r="CE386" s="186">
        <v>1000</v>
      </c>
      <c r="CF386" s="186">
        <v>1000</v>
      </c>
      <c r="CG386" s="186">
        <v>1000</v>
      </c>
      <c r="CH386" s="186">
        <v>1000</v>
      </c>
      <c r="CI386" s="174"/>
      <c r="CJ386" s="174"/>
      <c r="CK386" s="174"/>
      <c r="CL386" s="174"/>
      <c r="CM386" s="174"/>
      <c r="CN386" s="174"/>
      <c r="CO386" s="174"/>
      <c r="CP386" s="175"/>
      <c r="CQ386" s="175"/>
      <c r="CR386" s="175"/>
      <c r="CS386" s="175"/>
      <c r="CT386" s="175"/>
      <c r="CU386" s="175"/>
      <c r="CV386" s="175"/>
      <c r="CW386" s="166"/>
      <c r="CX386" s="167"/>
      <c r="CY386" s="167"/>
      <c r="CZ386" s="167"/>
      <c r="DA386" s="167"/>
      <c r="DB386" s="167"/>
      <c r="DC386" s="167"/>
      <c r="DD386" s="172"/>
      <c r="DE386" s="172"/>
      <c r="DF386" s="172"/>
      <c r="DG386" s="172"/>
      <c r="DH386" s="172"/>
      <c r="DI386" s="172"/>
      <c r="DJ386" s="172"/>
      <c r="DK386" s="79" t="s">
        <v>415</v>
      </c>
      <c r="DL386" s="128">
        <v>3500</v>
      </c>
      <c r="DM386" s="128">
        <v>3500</v>
      </c>
      <c r="DN386" s="128">
        <v>3500</v>
      </c>
      <c r="DO386" s="128">
        <v>3500</v>
      </c>
      <c r="DP386" s="128">
        <v>3500</v>
      </c>
      <c r="DQ386" s="128">
        <v>3500</v>
      </c>
      <c r="DR386" s="128">
        <v>3500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
      <c r="A387" s="226" t="s">
        <v>1595</v>
      </c>
      <c r="B387" s="226" t="s">
        <v>740</v>
      </c>
      <c r="C387" s="226" t="s">
        <v>817</v>
      </c>
      <c r="D387" s="226" t="s">
        <v>1471</v>
      </c>
      <c r="E387" s="226" t="s">
        <v>1569</v>
      </c>
      <c r="F387" s="226" t="s">
        <v>495</v>
      </c>
      <c r="G387" s="230" t="s">
        <v>1596</v>
      </c>
      <c r="H387" s="227"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7">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5"/>
        <v>0</v>
      </c>
      <c r="BV387" s="28"/>
      <c r="BW387" s="28"/>
      <c r="BX387" s="28"/>
      <c r="BY387" s="28"/>
      <c r="BZ387" s="28"/>
      <c r="CA387" s="28"/>
      <c r="CB387" s="186">
        <v>1000</v>
      </c>
      <c r="CC387" s="186">
        <v>1000</v>
      </c>
      <c r="CD387" s="186">
        <v>1000</v>
      </c>
      <c r="CE387" s="186">
        <v>1000</v>
      </c>
      <c r="CF387" s="186">
        <v>1000</v>
      </c>
      <c r="CG387" s="186">
        <v>1000</v>
      </c>
      <c r="CH387" s="186">
        <v>1000</v>
      </c>
      <c r="CI387" s="176"/>
      <c r="CJ387" s="176"/>
      <c r="CK387" s="176"/>
      <c r="CL387" s="176"/>
      <c r="CM387" s="176"/>
      <c r="CN387" s="176"/>
      <c r="CO387" s="176"/>
      <c r="CP387" s="177"/>
      <c r="CQ387" s="177"/>
      <c r="CR387" s="177"/>
      <c r="CS387" s="177"/>
      <c r="CT387" s="177"/>
      <c r="CU387" s="177"/>
      <c r="CV387" s="177"/>
      <c r="CW387" s="168"/>
      <c r="CX387" s="169"/>
      <c r="CY387" s="169"/>
      <c r="CZ387" s="169"/>
      <c r="DA387" s="169"/>
      <c r="DB387" s="169"/>
      <c r="DC387" s="169"/>
      <c r="DD387" s="173"/>
      <c r="DE387" s="173"/>
      <c r="DF387" s="173"/>
      <c r="DG387" s="173"/>
      <c r="DH387" s="173"/>
      <c r="DI387" s="173"/>
      <c r="DJ387" s="173"/>
      <c r="DK387" s="80" t="s">
        <v>415</v>
      </c>
      <c r="DL387" s="129">
        <v>2000</v>
      </c>
      <c r="DM387" s="129">
        <v>2000</v>
      </c>
      <c r="DN387" s="129">
        <v>2000</v>
      </c>
      <c r="DO387" s="129">
        <v>2000</v>
      </c>
      <c r="DP387" s="129">
        <v>2000</v>
      </c>
      <c r="DQ387" s="129">
        <v>2000</v>
      </c>
      <c r="DR387" s="129">
        <v>2000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
      <c r="A388" s="5" t="s">
        <v>1597</v>
      </c>
      <c r="B388" s="5" t="s">
        <v>740</v>
      </c>
      <c r="C388" s="5" t="s">
        <v>788</v>
      </c>
      <c r="D388" s="5" t="s">
        <v>497</v>
      </c>
      <c r="E388" s="5" t="s">
        <v>1477</v>
      </c>
      <c r="F388" s="5" t="s">
        <v>496</v>
      </c>
      <c r="G388" s="47" t="s">
        <v>1598</v>
      </c>
      <c r="H388" s="47" t="s">
        <v>659</v>
      </c>
      <c r="I388" s="254">
        <f>19*1.054</f>
        <v>20.026</v>
      </c>
      <c r="J388" s="254">
        <f t="shared" ref="J388:O388" si="325">19*1.054</f>
        <v>20.026</v>
      </c>
      <c r="K388" s="254">
        <f t="shared" si="325"/>
        <v>20.026</v>
      </c>
      <c r="L388" s="254">
        <f t="shared" si="325"/>
        <v>20.026</v>
      </c>
      <c r="M388" s="254">
        <f t="shared" si="325"/>
        <v>20.026</v>
      </c>
      <c r="N388" s="254">
        <f t="shared" si="325"/>
        <v>20.026</v>
      </c>
      <c r="O388" s="254">
        <f t="shared" si="325"/>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7">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5"/>
        <v>0</v>
      </c>
      <c r="BV388" s="27"/>
      <c r="BW388" s="27"/>
      <c r="BX388" s="27"/>
      <c r="BY388" s="27"/>
      <c r="BZ388" s="27"/>
      <c r="CA388" s="27"/>
      <c r="CB388" s="97">
        <v>200</v>
      </c>
      <c r="CC388" s="97">
        <v>200</v>
      </c>
      <c r="CD388" s="97">
        <v>200</v>
      </c>
      <c r="CE388" s="97">
        <v>200</v>
      </c>
      <c r="CF388" s="97">
        <v>200</v>
      </c>
      <c r="CG388" s="97">
        <v>200</v>
      </c>
      <c r="CH388" s="97">
        <v>200</v>
      </c>
      <c r="CI388" s="174"/>
      <c r="CJ388" s="174"/>
      <c r="CK388" s="174"/>
      <c r="CL388" s="174"/>
      <c r="CM388" s="174"/>
      <c r="CN388" s="174"/>
      <c r="CO388" s="174"/>
      <c r="CP388" s="175"/>
      <c r="CQ388" s="175"/>
      <c r="CR388" s="175"/>
      <c r="CS388" s="175"/>
      <c r="CT388" s="175"/>
      <c r="CU388" s="175"/>
      <c r="CV388" s="175"/>
      <c r="CW388" s="166"/>
      <c r="CX388" s="167"/>
      <c r="CY388" s="167"/>
      <c r="CZ388" s="167"/>
      <c r="DA388" s="167"/>
      <c r="DB388" s="167"/>
      <c r="DC388" s="167"/>
      <c r="DD388" s="172"/>
      <c r="DE388" s="172"/>
      <c r="DF388" s="172"/>
      <c r="DG388" s="172"/>
      <c r="DH388" s="172"/>
      <c r="DI388" s="172"/>
      <c r="DJ388" s="172"/>
      <c r="DK388" s="79" t="s">
        <v>1599</v>
      </c>
      <c r="DL388" s="128">
        <v>200</v>
      </c>
      <c r="DM388" s="128">
        <v>200</v>
      </c>
      <c r="DN388" s="128">
        <v>200</v>
      </c>
      <c r="DO388" s="128">
        <v>200</v>
      </c>
      <c r="DP388" s="128">
        <v>200</v>
      </c>
      <c r="DQ388" s="128">
        <v>200</v>
      </c>
      <c r="DR388" s="128">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
      <c r="A389" s="6" t="s">
        <v>1600</v>
      </c>
      <c r="B389" s="6" t="s">
        <v>740</v>
      </c>
      <c r="C389" s="6" t="s">
        <v>788</v>
      </c>
      <c r="D389" s="6" t="s">
        <v>497</v>
      </c>
      <c r="E389" s="6" t="s">
        <v>1477</v>
      </c>
      <c r="F389" s="6" t="s">
        <v>496</v>
      </c>
      <c r="G389" s="48" t="s">
        <v>1601</v>
      </c>
      <c r="H389" s="48" t="s">
        <v>659</v>
      </c>
      <c r="I389" s="254">
        <f>22.4*1.054</f>
        <v>23.6096</v>
      </c>
      <c r="J389" s="254">
        <f t="shared" ref="J389:O389" si="326">22.4*1.054</f>
        <v>23.6096</v>
      </c>
      <c r="K389" s="254">
        <f t="shared" si="326"/>
        <v>23.6096</v>
      </c>
      <c r="L389" s="254">
        <f t="shared" si="326"/>
        <v>23.6096</v>
      </c>
      <c r="M389" s="254">
        <f t="shared" si="326"/>
        <v>23.6096</v>
      </c>
      <c r="N389" s="254">
        <f t="shared" si="326"/>
        <v>23.6096</v>
      </c>
      <c r="O389" s="254">
        <f t="shared" si="326"/>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7">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5"/>
        <v>0</v>
      </c>
      <c r="BV389" s="28"/>
      <c r="BW389" s="28"/>
      <c r="BX389" s="28"/>
      <c r="BY389" s="28"/>
      <c r="BZ389" s="28"/>
      <c r="CA389" s="28"/>
      <c r="CB389" s="99"/>
      <c r="CC389" s="99">
        <v>50</v>
      </c>
      <c r="CD389" s="99">
        <v>100</v>
      </c>
      <c r="CE389" s="99">
        <v>200</v>
      </c>
      <c r="CF389" s="99">
        <v>200</v>
      </c>
      <c r="CG389" s="99">
        <v>200</v>
      </c>
      <c r="CH389" s="99">
        <v>200</v>
      </c>
      <c r="CI389" s="176"/>
      <c r="CJ389" s="176"/>
      <c r="CK389" s="176"/>
      <c r="CL389" s="176"/>
      <c r="CM389" s="176"/>
      <c r="CN389" s="176"/>
      <c r="CO389" s="176"/>
      <c r="CP389" s="177"/>
      <c r="CQ389" s="177"/>
      <c r="CR389" s="177"/>
      <c r="CS389" s="177"/>
      <c r="CT389" s="177"/>
      <c r="CU389" s="177"/>
      <c r="CV389" s="177"/>
      <c r="CW389" s="168"/>
      <c r="CX389" s="169"/>
      <c r="CY389" s="169"/>
      <c r="CZ389" s="169"/>
      <c r="DA389" s="169"/>
      <c r="DB389" s="169"/>
      <c r="DC389" s="169"/>
      <c r="DD389" s="173"/>
      <c r="DE389" s="173"/>
      <c r="DF389" s="173"/>
      <c r="DG389" s="173"/>
      <c r="DH389" s="173"/>
      <c r="DI389" s="173"/>
      <c r="DJ389" s="173"/>
      <c r="DK389" s="80" t="s">
        <v>1599</v>
      </c>
      <c r="DL389" s="129">
        <v>200</v>
      </c>
      <c r="DM389" s="129">
        <v>200</v>
      </c>
      <c r="DN389" s="129">
        <v>200</v>
      </c>
      <c r="DO389" s="129">
        <v>200</v>
      </c>
      <c r="DP389" s="129">
        <v>200</v>
      </c>
      <c r="DQ389" s="129">
        <v>200</v>
      </c>
      <c r="DR389" s="129">
        <v>200</v>
      </c>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7">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5"/>
        <v>0</v>
      </c>
      <c r="BV390" s="27"/>
      <c r="BW390" s="27"/>
      <c r="BX390" s="27"/>
      <c r="BY390" s="27"/>
      <c r="BZ390" s="27"/>
      <c r="CA390" s="27"/>
      <c r="CB390" s="97"/>
      <c r="CC390" s="97"/>
      <c r="CD390" s="97"/>
      <c r="CE390" s="97"/>
      <c r="CF390" s="97"/>
      <c r="CG390" s="97"/>
      <c r="CH390" s="97"/>
      <c r="CI390" s="174"/>
      <c r="CJ390" s="174"/>
      <c r="CK390" s="174"/>
      <c r="CL390" s="174"/>
      <c r="CM390" s="174"/>
      <c r="CN390" s="174"/>
      <c r="CO390" s="174"/>
      <c r="CP390" s="175"/>
      <c r="CQ390" s="175"/>
      <c r="CR390" s="175"/>
      <c r="CS390" s="175"/>
      <c r="CT390" s="175"/>
      <c r="CU390" s="175"/>
      <c r="CV390" s="175"/>
      <c r="CW390" s="166"/>
      <c r="CX390" s="167"/>
      <c r="CY390" s="167"/>
      <c r="CZ390" s="167"/>
      <c r="DA390" s="167"/>
      <c r="DB390" s="167"/>
      <c r="DC390" s="167"/>
      <c r="DD390" s="172"/>
      <c r="DE390" s="172"/>
      <c r="DF390" s="172"/>
      <c r="DG390" s="172"/>
      <c r="DH390" s="172"/>
      <c r="DI390" s="172"/>
      <c r="DJ390" s="172"/>
      <c r="DK390" s="79" t="s">
        <v>1605</v>
      </c>
      <c r="DL390" s="128"/>
      <c r="DM390" s="128"/>
      <c r="DN390" s="128"/>
      <c r="DO390" s="128"/>
      <c r="DP390" s="128"/>
      <c r="DQ390" s="128"/>
      <c r="DR390" s="128"/>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
      <c r="A391" s="6" t="s">
        <v>1606</v>
      </c>
      <c r="B391" s="6" t="s">
        <v>740</v>
      </c>
      <c r="C391" s="6" t="s">
        <v>788</v>
      </c>
      <c r="D391" s="6" t="s">
        <v>497</v>
      </c>
      <c r="E391" s="6" t="s">
        <v>1527</v>
      </c>
      <c r="F391" s="6" t="s">
        <v>496</v>
      </c>
      <c r="G391" s="222" t="s">
        <v>1607</v>
      </c>
      <c r="H391" s="48" t="s">
        <v>1608</v>
      </c>
      <c r="I391" s="185">
        <f>1400*107.3/100</f>
        <v>1502.2</v>
      </c>
      <c r="J391" s="102">
        <f>($L$391-$I$391)/($L$4-$I$4)*(J4-I4)+I391</f>
        <v>1284.8671586715868</v>
      </c>
      <c r="K391" s="185">
        <v>560.42435424354244</v>
      </c>
      <c r="L391" s="102">
        <f>($M$391-$K$391)/($M$4-$K$4)*(L4-K4)+K391</f>
        <v>560.42435424354244</v>
      </c>
      <c r="M391" s="185">
        <f>K391</f>
        <v>560.42435424354244</v>
      </c>
      <c r="N391" s="102">
        <f>($O$391-$M$391)/($O$4-$M$4)*(N4-M4)+M391</f>
        <v>560.42435424354244</v>
      </c>
      <c r="O391" s="185">
        <f>K391</f>
        <v>560.42435424354244</v>
      </c>
      <c r="P391" s="94"/>
      <c r="Q391" s="185">
        <f>I391*0.05</f>
        <v>75.11</v>
      </c>
      <c r="R391" s="185">
        <f t="shared" ref="R391" si="327">J391*0.05</f>
        <v>64.243357933579347</v>
      </c>
      <c r="S391" s="185">
        <v>11.20848708487085</v>
      </c>
      <c r="T391" s="185">
        <v>11.20848708487085</v>
      </c>
      <c r="U391" s="185">
        <v>11.20848708487085</v>
      </c>
      <c r="V391" s="185">
        <v>11.20848708487085</v>
      </c>
      <c r="W391" s="185">
        <v>11.20848708487085</v>
      </c>
      <c r="X391" s="185">
        <f>0.23*I391/(0.0036*70000)</f>
        <v>1.3710555555555557</v>
      </c>
      <c r="Y391" s="185">
        <f>0.23*J391/(0.0036*80000)</f>
        <v>1.0261091892168923</v>
      </c>
      <c r="Z391" s="185">
        <f>0.23*K391/(0.0036*92000)</f>
        <v>0.38918357933579334</v>
      </c>
      <c r="AA391" s="185">
        <f>0.23*L391/(0.0036*94500)</f>
        <v>0.37888771744860306</v>
      </c>
      <c r="AB391" s="185">
        <f>0.23*M391/(0.0036*94500)</f>
        <v>0.37888771744860306</v>
      </c>
      <c r="AC391" s="185">
        <f>0.23*N391/(0.0036*101500)</f>
        <v>0.35275753003835458</v>
      </c>
      <c r="AD391" s="185">
        <f>0.23*O391/(0.0036*101500)</f>
        <v>0.35275753003835458</v>
      </c>
      <c r="AE391" s="187">
        <v>0.08</v>
      </c>
      <c r="AF391" s="94">
        <v>0</v>
      </c>
      <c r="AG391" s="94">
        <v>19</v>
      </c>
      <c r="AH391" s="94">
        <v>19</v>
      </c>
      <c r="AI391" s="17">
        <v>31.536000000000001</v>
      </c>
      <c r="AJ391" s="385" t="s">
        <v>765</v>
      </c>
      <c r="AK391" s="385" t="s">
        <v>745</v>
      </c>
      <c r="AL391" s="17"/>
      <c r="AM391" s="61"/>
      <c r="AN391" s="61"/>
      <c r="AO391" s="61"/>
      <c r="AP391" s="61"/>
      <c r="AQ391" s="61"/>
      <c r="AR391" s="61"/>
      <c r="AS391" s="190">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5"/>
        <v>0</v>
      </c>
      <c r="BV391" s="28"/>
      <c r="BW391" s="28"/>
      <c r="BX391" s="28"/>
      <c r="BY391" s="28"/>
      <c r="BZ391" s="28"/>
      <c r="CA391" s="28"/>
      <c r="CB391" s="99">
        <v>0</v>
      </c>
      <c r="CC391" s="99">
        <v>1000</v>
      </c>
      <c r="CD391" s="99">
        <v>1000</v>
      </c>
      <c r="CE391" s="99">
        <v>1000</v>
      </c>
      <c r="CF391" s="99">
        <v>1000</v>
      </c>
      <c r="CG391" s="99">
        <v>1000</v>
      </c>
      <c r="CH391" s="99">
        <v>1000</v>
      </c>
      <c r="CI391" s="176"/>
      <c r="CJ391" s="176"/>
      <c r="CK391" s="176"/>
      <c r="CL391" s="176"/>
      <c r="CM391" s="176"/>
      <c r="CN391" s="176"/>
      <c r="CO391" s="176"/>
      <c r="CP391" s="177"/>
      <c r="CQ391" s="177"/>
      <c r="CR391" s="177"/>
      <c r="CS391" s="177"/>
      <c r="CT391" s="177"/>
      <c r="CU391" s="177"/>
      <c r="CV391" s="177"/>
      <c r="CW391" s="168"/>
      <c r="CX391" s="169"/>
      <c r="CY391" s="169"/>
      <c r="CZ391" s="169"/>
      <c r="DA391" s="169"/>
      <c r="DB391" s="169"/>
      <c r="DC391" s="169"/>
      <c r="DD391" s="173"/>
      <c r="DE391" s="173"/>
      <c r="DF391" s="173"/>
      <c r="DG391" s="173"/>
      <c r="DH391" s="173"/>
      <c r="DI391" s="173"/>
      <c r="DJ391" s="173"/>
      <c r="DK391" s="201" t="s">
        <v>1609</v>
      </c>
      <c r="DL391" s="129">
        <v>1000</v>
      </c>
      <c r="DM391" s="129">
        <v>1000</v>
      </c>
      <c r="DN391" s="129">
        <v>1000</v>
      </c>
      <c r="DO391" s="129">
        <v>1000</v>
      </c>
      <c r="DP391" s="129">
        <v>1000</v>
      </c>
      <c r="DQ391" s="129">
        <v>1000</v>
      </c>
      <c r="DR391" s="129">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
      <c r="A392" s="5" t="s">
        <v>1610</v>
      </c>
      <c r="B392" s="5" t="s">
        <v>740</v>
      </c>
      <c r="C392" s="5" t="s">
        <v>788</v>
      </c>
      <c r="D392" s="5" t="s">
        <v>497</v>
      </c>
      <c r="E392" s="5" t="s">
        <v>1527</v>
      </c>
      <c r="F392" s="5" t="s">
        <v>496</v>
      </c>
      <c r="G392" s="222" t="s">
        <v>1611</v>
      </c>
      <c r="H392" s="47" t="s">
        <v>1608</v>
      </c>
      <c r="I392" s="185">
        <f>1800*107.3/100</f>
        <v>1931.4</v>
      </c>
      <c r="J392" s="102">
        <f>($L$342-$I$342)/($L$4-$I$4)*(J53-I53)+I392</f>
        <v>1931.4</v>
      </c>
      <c r="K392" s="185">
        <f>829.5</f>
        <v>829.5</v>
      </c>
      <c r="L392" s="102">
        <f>($O$391-$K$391)/($O$4-$K$4)*(L4-K4)+K392</f>
        <v>829.5</v>
      </c>
      <c r="M392" s="102">
        <f>($O$391-$K$391)/($O$4-$K$4)*(M4-L4)+L392</f>
        <v>829.5</v>
      </c>
      <c r="N392" s="102">
        <f>($O$391-$K$391)/($O$4-$K$4)*(N4-M4)+M392</f>
        <v>829.5</v>
      </c>
      <c r="O392" s="185">
        <f>K392</f>
        <v>829.5</v>
      </c>
      <c r="P392" s="93"/>
      <c r="Q392" s="185">
        <f>I392*0.02</f>
        <v>38.628</v>
      </c>
      <c r="R392" s="185">
        <f t="shared" ref="R392:W392" si="328">J392*0.02</f>
        <v>38.628</v>
      </c>
      <c r="S392" s="185">
        <f t="shared" si="328"/>
        <v>16.59</v>
      </c>
      <c r="T392" s="185">
        <f t="shared" si="328"/>
        <v>16.59</v>
      </c>
      <c r="U392" s="185">
        <f t="shared" si="328"/>
        <v>16.59</v>
      </c>
      <c r="V392" s="185">
        <f t="shared" si="328"/>
        <v>16.59</v>
      </c>
      <c r="W392" s="185">
        <f t="shared" si="328"/>
        <v>16.59</v>
      </c>
      <c r="X392" s="185">
        <f>0.37*I392/(0.0036*55000)</f>
        <v>3.6091818181818183</v>
      </c>
      <c r="Y392" s="185">
        <f>0.37*J392/(0.0036*65500)</f>
        <v>3.030610687022901</v>
      </c>
      <c r="Z392" s="185">
        <f>0.37*K392/(0.0036*77500)</f>
        <v>1.1000537634408603</v>
      </c>
      <c r="AA392" s="185">
        <f t="shared" ref="AA392" si="329">0.37*L392/(0.0036*77500)</f>
        <v>1.1000537634408603</v>
      </c>
      <c r="AB392" s="185">
        <f>0.37*M392/(0.0036*90000)</f>
        <v>0.94726851851851857</v>
      </c>
      <c r="AC392" s="185">
        <f>0.37*N392/(0.0036*90000)</f>
        <v>0.94726851851851857</v>
      </c>
      <c r="AD392" s="185">
        <f>0.37*O392/(0.0036*105000)</f>
        <v>0.81194444444444447</v>
      </c>
      <c r="AE392" s="187">
        <v>0.08</v>
      </c>
      <c r="AF392" s="93">
        <v>0</v>
      </c>
      <c r="AG392" s="93">
        <v>20</v>
      </c>
      <c r="AH392" s="93">
        <v>20</v>
      </c>
      <c r="AI392" s="16">
        <v>31.536000000000001</v>
      </c>
      <c r="AJ392" s="16" t="s">
        <v>765</v>
      </c>
      <c r="AK392" s="16" t="s">
        <v>745</v>
      </c>
      <c r="AL392" s="16"/>
      <c r="AM392" s="60"/>
      <c r="AN392" s="60"/>
      <c r="AO392" s="60"/>
      <c r="AP392" s="60"/>
      <c r="AQ392" s="60"/>
      <c r="AR392" s="60"/>
      <c r="AS392" s="190">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5"/>
        <v>0</v>
      </c>
      <c r="BV392" s="27"/>
      <c r="BW392" s="27"/>
      <c r="BX392" s="27"/>
      <c r="BY392" s="27"/>
      <c r="BZ392" s="27"/>
      <c r="CA392" s="27"/>
      <c r="CB392" s="97">
        <v>0</v>
      </c>
      <c r="CC392" s="97">
        <v>1000</v>
      </c>
      <c r="CD392" s="97">
        <v>1000</v>
      </c>
      <c r="CE392" s="97">
        <v>1000</v>
      </c>
      <c r="CF392" s="97">
        <v>1000</v>
      </c>
      <c r="CG392" s="97">
        <v>1000</v>
      </c>
      <c r="CH392" s="97">
        <v>1000</v>
      </c>
      <c r="CI392" s="174"/>
      <c r="CJ392" s="174"/>
      <c r="CK392" s="174"/>
      <c r="CL392" s="174"/>
      <c r="CM392" s="174"/>
      <c r="CN392" s="174"/>
      <c r="CO392" s="174"/>
      <c r="CP392" s="175"/>
      <c r="CQ392" s="175"/>
      <c r="CR392" s="175"/>
      <c r="CS392" s="175"/>
      <c r="CT392" s="175"/>
      <c r="CU392" s="175"/>
      <c r="CV392" s="175"/>
      <c r="CW392" s="166"/>
      <c r="CX392" s="167"/>
      <c r="CY392" s="167"/>
      <c r="CZ392" s="167"/>
      <c r="DA392" s="167"/>
      <c r="DB392" s="167"/>
      <c r="DC392" s="167"/>
      <c r="DD392" s="172"/>
      <c r="DE392" s="172"/>
      <c r="DF392" s="172"/>
      <c r="DG392" s="172"/>
      <c r="DH392" s="172"/>
      <c r="DI392" s="172"/>
      <c r="DJ392" s="172"/>
      <c r="DK392" s="201" t="s">
        <v>1612</v>
      </c>
      <c r="DL392" s="128">
        <v>1000</v>
      </c>
      <c r="DM392" s="128">
        <v>1000</v>
      </c>
      <c r="DN392" s="128">
        <v>1000</v>
      </c>
      <c r="DO392" s="128">
        <v>1000</v>
      </c>
      <c r="DP392" s="128">
        <v>1000</v>
      </c>
      <c r="DQ392" s="128">
        <v>1000</v>
      </c>
      <c r="DR392" s="128">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
      <c r="A393" s="6" t="s">
        <v>1613</v>
      </c>
      <c r="B393" s="6" t="s">
        <v>740</v>
      </c>
      <c r="C393" s="6" t="s">
        <v>788</v>
      </c>
      <c r="D393" s="6" t="s">
        <v>497</v>
      </c>
      <c r="E393" s="6" t="s">
        <v>1527</v>
      </c>
      <c r="F393" s="6" t="s">
        <v>496</v>
      </c>
      <c r="G393" s="222" t="s">
        <v>1614</v>
      </c>
      <c r="H393" s="48" t="s">
        <v>1608</v>
      </c>
      <c r="I393" s="185">
        <f>2900</f>
        <v>2900</v>
      </c>
      <c r="J393" s="102">
        <v>3000</v>
      </c>
      <c r="K393" s="102">
        <v>2200</v>
      </c>
      <c r="L393" s="102">
        <v>1800</v>
      </c>
      <c r="M393" s="102">
        <v>1500</v>
      </c>
      <c r="N393" s="102">
        <v>1300</v>
      </c>
      <c r="O393" s="185">
        <f>K393</f>
        <v>2200</v>
      </c>
      <c r="P393" s="94"/>
      <c r="Q393" s="185">
        <f>I393*0.12</f>
        <v>348</v>
      </c>
      <c r="R393" s="185">
        <f t="shared" ref="R393:W393" si="330">J393*0.12</f>
        <v>360</v>
      </c>
      <c r="S393" s="185">
        <f t="shared" si="330"/>
        <v>264</v>
      </c>
      <c r="T393" s="185">
        <f t="shared" si="330"/>
        <v>216</v>
      </c>
      <c r="U393" s="185">
        <f t="shared" si="330"/>
        <v>180</v>
      </c>
      <c r="V393" s="185">
        <f t="shared" si="330"/>
        <v>156</v>
      </c>
      <c r="W393" s="185">
        <f t="shared" si="330"/>
        <v>264</v>
      </c>
      <c r="X393" s="185">
        <f>0.68*I393/(0.0036*21250)</f>
        <v>25.777777777777782</v>
      </c>
      <c r="Y393" s="185">
        <f>0.68*J393/(0.0036*34500)</f>
        <v>16.425120772946862</v>
      </c>
      <c r="Z393" s="185">
        <f>0.68*K393/(0.0036*50000)</f>
        <v>8.3111111111111118</v>
      </c>
      <c r="AA393" s="185">
        <f>0.68*L393/(0.0036*50000)</f>
        <v>6.8</v>
      </c>
      <c r="AB393" s="185">
        <f>0.68*M393/(0.0036*64500)</f>
        <v>4.3927648578811374</v>
      </c>
      <c r="AC393" s="185">
        <f>0.68*N393/(0.0036*64500)</f>
        <v>3.8070628768303192</v>
      </c>
      <c r="AD393" s="185">
        <f>0.68*O393/(0.0036*82500)</f>
        <v>5.0370370370370372</v>
      </c>
      <c r="AE393" s="187">
        <v>0.08</v>
      </c>
      <c r="AF393" s="94">
        <v>0</v>
      </c>
      <c r="AG393" s="94">
        <v>20</v>
      </c>
      <c r="AH393" s="94">
        <v>20</v>
      </c>
      <c r="AI393" s="17">
        <v>31.536000000000001</v>
      </c>
      <c r="AJ393" s="17" t="s">
        <v>765</v>
      </c>
      <c r="AK393" s="17" t="s">
        <v>745</v>
      </c>
      <c r="AL393" s="17"/>
      <c r="AM393" s="61"/>
      <c r="AN393" s="61"/>
      <c r="AO393" s="61"/>
      <c r="AP393" s="61"/>
      <c r="AQ393" s="61"/>
      <c r="AR393" s="61"/>
      <c r="AS393" s="190">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5"/>
        <v>0</v>
      </c>
      <c r="BV393" s="28"/>
      <c r="BW393" s="28"/>
      <c r="BX393" s="28"/>
      <c r="BY393" s="28"/>
      <c r="BZ393" s="28"/>
      <c r="CA393" s="28"/>
      <c r="CB393" s="99">
        <v>0</v>
      </c>
      <c r="CC393" s="186">
        <v>1000</v>
      </c>
      <c r="CD393" s="186">
        <v>1000</v>
      </c>
      <c r="CE393" s="186">
        <v>1000</v>
      </c>
      <c r="CF393" s="186">
        <v>1000</v>
      </c>
      <c r="CG393" s="186">
        <v>1000</v>
      </c>
      <c r="CH393" s="186">
        <v>1000</v>
      </c>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201" t="s">
        <v>1615</v>
      </c>
      <c r="DL393" s="129">
        <v>1000</v>
      </c>
      <c r="DM393" s="129">
        <v>1000</v>
      </c>
      <c r="DN393" s="129">
        <v>1000</v>
      </c>
      <c r="DO393" s="129">
        <v>1000</v>
      </c>
      <c r="DP393" s="129">
        <v>1000</v>
      </c>
      <c r="DQ393" s="129">
        <v>1000</v>
      </c>
      <c r="DR393" s="129">
        <v>1000</v>
      </c>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
      <c r="A394" s="6" t="s">
        <v>1616</v>
      </c>
      <c r="B394" s="6" t="s">
        <v>740</v>
      </c>
      <c r="C394" s="6" t="s">
        <v>788</v>
      </c>
      <c r="D394" s="6" t="s">
        <v>497</v>
      </c>
      <c r="E394" s="6" t="s">
        <v>1477</v>
      </c>
      <c r="F394" s="6" t="s">
        <v>496</v>
      </c>
      <c r="G394" s="222" t="s">
        <v>1617</v>
      </c>
      <c r="H394" s="48" t="s">
        <v>659</v>
      </c>
      <c r="I394" s="185">
        <f>20.708</f>
        <v>20.707999999999998</v>
      </c>
      <c r="J394" s="102">
        <f>I394</f>
        <v>20.707999999999998</v>
      </c>
      <c r="K394" s="102">
        <f t="shared" ref="K394:O394" si="331">J394</f>
        <v>20.707999999999998</v>
      </c>
      <c r="L394" s="102">
        <f t="shared" si="331"/>
        <v>20.707999999999998</v>
      </c>
      <c r="M394" s="102">
        <f t="shared" si="331"/>
        <v>20.707999999999998</v>
      </c>
      <c r="N394" s="102">
        <f t="shared" si="331"/>
        <v>20.707999999999998</v>
      </c>
      <c r="O394" s="102">
        <f t="shared" si="331"/>
        <v>20.707999999999998</v>
      </c>
      <c r="P394" s="94"/>
      <c r="Q394" s="185">
        <f>0.05*I394</f>
        <v>1.0353999999999999</v>
      </c>
      <c r="R394" s="185">
        <f t="shared" ref="R394:W394" si="332">0.05*J394</f>
        <v>1.0353999999999999</v>
      </c>
      <c r="S394" s="185">
        <f t="shared" si="332"/>
        <v>1.0353999999999999</v>
      </c>
      <c r="T394" s="185">
        <f t="shared" si="332"/>
        <v>1.0353999999999999</v>
      </c>
      <c r="U394" s="185">
        <f t="shared" si="332"/>
        <v>1.0353999999999999</v>
      </c>
      <c r="V394" s="185">
        <f t="shared" si="332"/>
        <v>1.0353999999999999</v>
      </c>
      <c r="W394" s="185">
        <f t="shared" si="332"/>
        <v>1.0353999999999999</v>
      </c>
      <c r="X394" s="185">
        <v>0</v>
      </c>
      <c r="Y394" s="185">
        <v>0</v>
      </c>
      <c r="Z394" s="185">
        <v>0</v>
      </c>
      <c r="AA394" s="185">
        <v>0</v>
      </c>
      <c r="AB394" s="185">
        <v>0</v>
      </c>
      <c r="AC394" s="185">
        <v>0</v>
      </c>
      <c r="AD394" s="185">
        <v>0</v>
      </c>
      <c r="AE394" s="187">
        <v>0.08</v>
      </c>
      <c r="AF394" s="94"/>
      <c r="AG394" s="94">
        <v>20</v>
      </c>
      <c r="AH394" s="94">
        <v>20</v>
      </c>
      <c r="AI394" s="17">
        <v>1</v>
      </c>
      <c r="AJ394" s="16" t="s">
        <v>660</v>
      </c>
      <c r="AK394" s="17" t="s">
        <v>745</v>
      </c>
      <c r="AL394" s="17"/>
      <c r="AM394" s="61"/>
      <c r="AN394" s="61"/>
      <c r="AO394" s="61"/>
      <c r="AP394" s="61"/>
      <c r="AQ394" s="61"/>
      <c r="AR394" s="61"/>
      <c r="AS394" s="190"/>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5"/>
        <v>0</v>
      </c>
      <c r="BV394" s="28"/>
      <c r="BW394" s="28"/>
      <c r="BX394" s="28"/>
      <c r="BY394" s="28"/>
      <c r="BZ394" s="28"/>
      <c r="CA394" s="28"/>
      <c r="CB394" s="99"/>
      <c r="CC394" s="186"/>
      <c r="CD394" s="186"/>
      <c r="CE394" s="186"/>
      <c r="CF394" s="186"/>
      <c r="CG394" s="186"/>
      <c r="CH394" s="186"/>
      <c r="CI394" s="176"/>
      <c r="CJ394" s="176"/>
      <c r="CK394" s="176"/>
      <c r="CL394" s="176"/>
      <c r="CM394" s="176"/>
      <c r="CN394" s="176"/>
      <c r="CO394" s="176"/>
      <c r="CP394" s="177"/>
      <c r="CQ394" s="177"/>
      <c r="CR394" s="177"/>
      <c r="CS394" s="177"/>
      <c r="CT394" s="177"/>
      <c r="CU394" s="177"/>
      <c r="CV394" s="177"/>
      <c r="CW394" s="168"/>
      <c r="CX394" s="169"/>
      <c r="CY394" s="169"/>
      <c r="CZ394" s="169"/>
      <c r="DA394" s="169"/>
      <c r="DB394" s="169"/>
      <c r="DC394" s="169"/>
      <c r="DD394" s="173"/>
      <c r="DE394" s="173"/>
      <c r="DF394" s="173"/>
      <c r="DG394" s="173"/>
      <c r="DH394" s="173"/>
      <c r="DI394" s="173"/>
      <c r="DJ394" s="173"/>
      <c r="DK394" s="80" t="s">
        <v>792</v>
      </c>
      <c r="DL394" s="129"/>
      <c r="DM394" s="129"/>
      <c r="DN394" s="129"/>
      <c r="DO394" s="129"/>
      <c r="DP394" s="129"/>
      <c r="DQ394" s="129"/>
      <c r="DR394" s="129"/>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7">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5"/>
        <v>0</v>
      </c>
      <c r="BV395" s="27"/>
      <c r="BW395" s="27"/>
      <c r="BX395" s="27"/>
      <c r="BY395" s="27"/>
      <c r="BZ395" s="27"/>
      <c r="CA395" s="27"/>
      <c r="CB395" s="97">
        <v>100</v>
      </c>
      <c r="CC395" s="97">
        <v>100</v>
      </c>
      <c r="CD395" s="97">
        <v>100</v>
      </c>
      <c r="CE395" s="97">
        <v>1000</v>
      </c>
      <c r="CF395" s="97">
        <v>1000</v>
      </c>
      <c r="CG395" s="97">
        <v>1000</v>
      </c>
      <c r="CH395" s="97">
        <v>1000</v>
      </c>
      <c r="CI395" s="174"/>
      <c r="CJ395" s="174"/>
      <c r="CK395" s="174"/>
      <c r="CL395" s="174"/>
      <c r="CM395" s="174"/>
      <c r="CN395" s="174"/>
      <c r="CO395" s="174"/>
      <c r="CP395" s="175"/>
      <c r="CQ395" s="175"/>
      <c r="CR395" s="175"/>
      <c r="CS395" s="175"/>
      <c r="CT395" s="175"/>
      <c r="CU395" s="175"/>
      <c r="CV395" s="175"/>
      <c r="CW395" s="166"/>
      <c r="CX395" s="167"/>
      <c r="CY395" s="167"/>
      <c r="CZ395" s="167"/>
      <c r="DA395" s="167"/>
      <c r="DB395" s="167"/>
      <c r="DC395" s="167"/>
      <c r="DD395" s="172"/>
      <c r="DE395" s="172"/>
      <c r="DF395" s="172"/>
      <c r="DG395" s="172"/>
      <c r="DH395" s="172"/>
      <c r="DI395" s="172"/>
      <c r="DJ395" s="172"/>
      <c r="DK395" s="79" t="s">
        <v>415</v>
      </c>
      <c r="DL395" s="128">
        <v>1000</v>
      </c>
      <c r="DM395" s="128">
        <v>1000</v>
      </c>
      <c r="DN395" s="128">
        <v>1000</v>
      </c>
      <c r="DO395" s="128">
        <v>1000</v>
      </c>
      <c r="DP395" s="128">
        <v>1000</v>
      </c>
      <c r="DQ395" s="128">
        <v>1000</v>
      </c>
      <c r="DR395" s="128">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7">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5"/>
        <v>0</v>
      </c>
      <c r="BV396" s="28"/>
      <c r="BW396" s="28"/>
      <c r="BX396" s="28"/>
      <c r="BY396" s="28"/>
      <c r="BZ396" s="28"/>
      <c r="CA396" s="28"/>
      <c r="CB396" s="99">
        <v>100</v>
      </c>
      <c r="CC396" s="99">
        <v>100</v>
      </c>
      <c r="CD396" s="99">
        <v>100</v>
      </c>
      <c r="CE396" s="99">
        <v>1000</v>
      </c>
      <c r="CF396" s="99">
        <v>1000</v>
      </c>
      <c r="CG396" s="99">
        <v>1000</v>
      </c>
      <c r="CH396" s="99">
        <v>1000</v>
      </c>
      <c r="CI396" s="176"/>
      <c r="CJ396" s="176"/>
      <c r="CK396" s="176"/>
      <c r="CL396" s="176"/>
      <c r="CM396" s="176"/>
      <c r="CN396" s="176"/>
      <c r="CO396" s="176"/>
      <c r="CP396" s="177"/>
      <c r="CQ396" s="177"/>
      <c r="CR396" s="177"/>
      <c r="CS396" s="177"/>
      <c r="CT396" s="177"/>
      <c r="CU396" s="177"/>
      <c r="CV396" s="177"/>
      <c r="CW396" s="168"/>
      <c r="CX396" s="169"/>
      <c r="CY396" s="169"/>
      <c r="CZ396" s="169"/>
      <c r="DA396" s="169"/>
      <c r="DB396" s="169"/>
      <c r="DC396" s="169"/>
      <c r="DD396" s="173"/>
      <c r="DE396" s="173"/>
      <c r="DF396" s="173"/>
      <c r="DG396" s="173"/>
      <c r="DH396" s="173"/>
      <c r="DI396" s="173"/>
      <c r="DJ396" s="173"/>
      <c r="DK396" s="80" t="s">
        <v>415</v>
      </c>
      <c r="DL396" s="129">
        <v>1000</v>
      </c>
      <c r="DM396" s="129">
        <v>1000</v>
      </c>
      <c r="DN396" s="129">
        <v>1000</v>
      </c>
      <c r="DO396" s="129">
        <v>1000</v>
      </c>
      <c r="DP396" s="129">
        <v>1000</v>
      </c>
      <c r="DQ396" s="129">
        <v>1000</v>
      </c>
      <c r="DR396" s="129">
        <v>1000</v>
      </c>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
      <c r="A397" s="224" t="s">
        <v>1622</v>
      </c>
      <c r="B397" s="224" t="s">
        <v>740</v>
      </c>
      <c r="C397" s="224" t="s">
        <v>817</v>
      </c>
      <c r="D397" s="224" t="s">
        <v>497</v>
      </c>
      <c r="E397" s="224" t="s">
        <v>1623</v>
      </c>
      <c r="F397" s="224" t="s">
        <v>496</v>
      </c>
      <c r="G397" s="230" t="s">
        <v>1624</v>
      </c>
      <c r="H397" s="225"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7">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5"/>
        <v>0</v>
      </c>
      <c r="BV397" s="27"/>
      <c r="BW397" s="27"/>
      <c r="BX397" s="27"/>
      <c r="BY397" s="27"/>
      <c r="BZ397" s="27"/>
      <c r="CA397" s="27"/>
      <c r="CB397" s="245"/>
      <c r="CC397" s="245"/>
      <c r="CD397" s="245"/>
      <c r="CE397" s="245"/>
      <c r="CF397" s="245"/>
      <c r="CG397" s="245"/>
      <c r="CH397" s="245"/>
      <c r="CI397" s="174"/>
      <c r="CJ397" s="174"/>
      <c r="CK397" s="174"/>
      <c r="CL397" s="174"/>
      <c r="CM397" s="174"/>
      <c r="CN397" s="174"/>
      <c r="CO397" s="174"/>
      <c r="CP397" s="175"/>
      <c r="CQ397" s="175"/>
      <c r="CR397" s="198"/>
      <c r="CS397" s="198"/>
      <c r="CT397" s="198"/>
      <c r="CU397" s="198"/>
      <c r="CV397" s="198"/>
      <c r="CW397" s="166"/>
      <c r="CX397" s="167"/>
      <c r="CY397" s="167"/>
      <c r="CZ397" s="167"/>
      <c r="DA397" s="167"/>
      <c r="DB397" s="167"/>
      <c r="DC397" s="167"/>
      <c r="DD397" s="172"/>
      <c r="DE397" s="172"/>
      <c r="DF397" s="172"/>
      <c r="DG397" s="172"/>
      <c r="DH397" s="172"/>
      <c r="DI397" s="172"/>
      <c r="DJ397" s="172"/>
      <c r="DK397" s="79"/>
      <c r="DL397" s="128"/>
      <c r="DM397" s="128"/>
      <c r="DN397" s="128"/>
      <c r="DO397" s="128"/>
      <c r="DP397" s="128"/>
      <c r="DQ397" s="128"/>
      <c r="DR397" s="128"/>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33">-1*Y397</f>
        <v>-36.696375663840492</v>
      </c>
      <c r="Z398" s="102">
        <f t="shared" si="333"/>
        <v>-35.652211990524748</v>
      </c>
      <c r="AA398" s="102">
        <f t="shared" si="333"/>
        <v>-35.305390850647534</v>
      </c>
      <c r="AB398" s="102">
        <f t="shared" si="333"/>
        <v>-34.953149010318384</v>
      </c>
      <c r="AC398" s="102">
        <f t="shared" si="333"/>
        <v>-34.426874126525668</v>
      </c>
      <c r="AD398" s="102">
        <f t="shared" si="333"/>
        <v>-33.904554540008832</v>
      </c>
      <c r="AE398" s="187">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5"/>
        <v>0</v>
      </c>
      <c r="BV398" s="282"/>
      <c r="BW398" s="282"/>
      <c r="BX398" s="282"/>
      <c r="BY398" s="282"/>
      <c r="BZ398" s="282"/>
      <c r="CA398" s="282"/>
      <c r="CB398" s="245"/>
      <c r="CC398" s="245"/>
      <c r="CD398" s="245"/>
      <c r="CE398" s="245"/>
      <c r="CF398" s="245"/>
      <c r="CG398" s="245"/>
      <c r="CH398" s="245"/>
      <c r="CI398" s="176"/>
      <c r="CJ398" s="176"/>
      <c r="CK398" s="176"/>
      <c r="CL398" s="176"/>
      <c r="CM398" s="176"/>
      <c r="CN398" s="176"/>
      <c r="CO398" s="176"/>
      <c r="CP398" s="177"/>
      <c r="CQ398" s="177"/>
      <c r="CR398" s="177"/>
      <c r="CS398" s="177"/>
      <c r="CT398" s="177"/>
      <c r="CU398" s="177"/>
      <c r="CV398" s="177"/>
      <c r="CW398" s="168"/>
      <c r="CX398" s="169"/>
      <c r="CY398" s="169"/>
      <c r="CZ398" s="169"/>
      <c r="DA398" s="169"/>
      <c r="DB398" s="169"/>
      <c r="DC398" s="169"/>
      <c r="DD398" s="173"/>
      <c r="DE398" s="173"/>
      <c r="DF398" s="173"/>
      <c r="DG398" s="173"/>
      <c r="DH398" s="173"/>
      <c r="DI398" s="173"/>
      <c r="DJ398" s="173"/>
      <c r="DK398" s="80"/>
      <c r="DL398" s="129"/>
      <c r="DM398" s="129"/>
      <c r="DN398" s="129"/>
      <c r="DO398" s="129"/>
      <c r="DP398" s="129"/>
      <c r="DQ398" s="129"/>
      <c r="DR398" s="129"/>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
      <c r="A399" s="224" t="s">
        <v>1628</v>
      </c>
      <c r="B399" s="224" t="s">
        <v>740</v>
      </c>
      <c r="C399" s="224" t="s">
        <v>817</v>
      </c>
      <c r="D399" s="224" t="s">
        <v>497</v>
      </c>
      <c r="E399" s="224" t="s">
        <v>1626</v>
      </c>
      <c r="F399" s="224" t="s">
        <v>496</v>
      </c>
      <c r="G399" s="230" t="s">
        <v>1629</v>
      </c>
      <c r="H399" s="225"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7">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4">IF(BL399=1,BN399,0)</f>
        <v>0</v>
      </c>
      <c r="BV399" s="27"/>
      <c r="BW399" s="27"/>
      <c r="BX399" s="27"/>
      <c r="BY399" s="27"/>
      <c r="BZ399" s="27"/>
      <c r="CA399" s="27"/>
      <c r="CB399" s="99"/>
      <c r="CC399" s="99"/>
      <c r="CD399" s="99"/>
      <c r="CE399" s="99"/>
      <c r="CF399" s="99"/>
      <c r="CG399" s="99"/>
      <c r="CH399" s="99"/>
      <c r="CI399" s="174"/>
      <c r="CJ399" s="174"/>
      <c r="CK399" s="174"/>
      <c r="CL399" s="174"/>
      <c r="CM399" s="174"/>
      <c r="CN399" s="174"/>
      <c r="CO399" s="174"/>
      <c r="CP399" s="175"/>
      <c r="CQ399" s="175"/>
      <c r="CR399" s="198"/>
      <c r="CS399" s="198"/>
      <c r="CT399" s="198"/>
      <c r="CU399" s="198"/>
      <c r="CV399" s="198"/>
      <c r="CW399" s="166"/>
      <c r="CX399" s="167"/>
      <c r="CY399" s="167"/>
      <c r="CZ399" s="167"/>
      <c r="DA399" s="167"/>
      <c r="DB399" s="167"/>
      <c r="DC399" s="167"/>
      <c r="DD399" s="172"/>
      <c r="DE399" s="172"/>
      <c r="DF399" s="172"/>
      <c r="DG399" s="172"/>
      <c r="DH399" s="172"/>
      <c r="DI399" s="172"/>
      <c r="DJ399" s="172"/>
      <c r="DK399" s="79"/>
      <c r="DL399" s="128"/>
      <c r="DM399" s="128"/>
      <c r="DN399" s="128"/>
      <c r="DO399" s="128"/>
      <c r="DP399" s="128"/>
      <c r="DQ399" s="128"/>
      <c r="DR399" s="128"/>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7">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5"/>
        <v>0</v>
      </c>
      <c r="BV400" s="27"/>
      <c r="BW400" s="27"/>
      <c r="BX400" s="27"/>
      <c r="BY400" s="27"/>
      <c r="BZ400" s="27"/>
      <c r="CA400" s="27"/>
      <c r="CB400" s="186">
        <v>1000</v>
      </c>
      <c r="CC400" s="186">
        <v>1000</v>
      </c>
      <c r="CD400" s="186">
        <v>1000</v>
      </c>
      <c r="CE400" s="186">
        <v>1000</v>
      </c>
      <c r="CF400" s="186">
        <v>1000</v>
      </c>
      <c r="CG400" s="186">
        <v>1000</v>
      </c>
      <c r="CH400" s="186">
        <v>1000</v>
      </c>
      <c r="CI400" s="174"/>
      <c r="CJ400" s="174"/>
      <c r="CK400" s="174"/>
      <c r="CL400" s="174"/>
      <c r="CM400" s="174"/>
      <c r="CN400" s="174"/>
      <c r="CO400" s="174"/>
      <c r="CP400" s="175"/>
      <c r="CQ400" s="175"/>
      <c r="CR400" s="175"/>
      <c r="CS400" s="175"/>
      <c r="CT400" s="175"/>
      <c r="CU400" s="175"/>
      <c r="CV400" s="175"/>
      <c r="CW400" s="166"/>
      <c r="CX400" s="167"/>
      <c r="CY400" s="167"/>
      <c r="CZ400" s="167"/>
      <c r="DA400" s="167"/>
      <c r="DB400" s="167"/>
      <c r="DC400" s="167"/>
      <c r="DD400" s="172"/>
      <c r="DE400" s="172"/>
      <c r="DF400" s="172"/>
      <c r="DG400" s="172"/>
      <c r="DH400" s="172"/>
      <c r="DI400" s="172"/>
      <c r="DJ400" s="172"/>
      <c r="DK400" s="79" t="s">
        <v>415</v>
      </c>
      <c r="DL400" s="128">
        <v>3500</v>
      </c>
      <c r="DM400" s="128">
        <v>3500</v>
      </c>
      <c r="DN400" s="128">
        <v>3500</v>
      </c>
      <c r="DO400" s="128">
        <v>3500</v>
      </c>
      <c r="DP400" s="128">
        <v>3500</v>
      </c>
      <c r="DQ400" s="128">
        <v>3500</v>
      </c>
      <c r="DR400" s="128">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7">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5"/>
        <v>0</v>
      </c>
      <c r="BV401" s="28"/>
      <c r="BW401" s="28"/>
      <c r="BX401" s="28"/>
      <c r="BY401" s="28"/>
      <c r="BZ401" s="28"/>
      <c r="CA401" s="28"/>
      <c r="CB401" s="186">
        <v>1000</v>
      </c>
      <c r="CC401" s="186">
        <v>1000</v>
      </c>
      <c r="CD401" s="186">
        <v>1000</v>
      </c>
      <c r="CE401" s="186">
        <v>1000</v>
      </c>
      <c r="CF401" s="186">
        <v>1000</v>
      </c>
      <c r="CG401" s="186">
        <v>1000</v>
      </c>
      <c r="CH401" s="186">
        <v>1000</v>
      </c>
      <c r="CI401" s="176"/>
      <c r="CJ401" s="176"/>
      <c r="CK401" s="176"/>
      <c r="CL401" s="176"/>
      <c r="CM401" s="176"/>
      <c r="CN401" s="176"/>
      <c r="CO401" s="176"/>
      <c r="CP401" s="177"/>
      <c r="CQ401" s="177"/>
      <c r="CR401" s="177"/>
      <c r="CS401" s="177"/>
      <c r="CT401" s="177"/>
      <c r="CU401" s="177"/>
      <c r="CV401" s="177"/>
      <c r="CW401" s="168"/>
      <c r="CX401" s="169"/>
      <c r="CY401" s="169"/>
      <c r="CZ401" s="169"/>
      <c r="DA401" s="169"/>
      <c r="DB401" s="169"/>
      <c r="DC401" s="169"/>
      <c r="DD401" s="173"/>
      <c r="DE401" s="173"/>
      <c r="DF401" s="173"/>
      <c r="DG401" s="173"/>
      <c r="DH401" s="173"/>
      <c r="DI401" s="173"/>
      <c r="DJ401" s="173"/>
      <c r="DK401" s="80" t="s">
        <v>415</v>
      </c>
      <c r="DL401" s="129">
        <v>3500</v>
      </c>
      <c r="DM401" s="129">
        <v>3500</v>
      </c>
      <c r="DN401" s="129">
        <v>3500</v>
      </c>
      <c r="DO401" s="129">
        <v>3500</v>
      </c>
      <c r="DP401" s="129">
        <v>3500</v>
      </c>
      <c r="DQ401" s="129">
        <v>3500</v>
      </c>
      <c r="DR401" s="129">
        <v>3500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7">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5"/>
        <v>0</v>
      </c>
      <c r="BV402" s="27"/>
      <c r="BW402" s="27"/>
      <c r="BX402" s="27"/>
      <c r="BY402" s="27"/>
      <c r="BZ402" s="27"/>
      <c r="CA402" s="27"/>
      <c r="CB402" s="97">
        <f t="shared" ref="CB402:CH402" si="335">DL402</f>
        <v>60</v>
      </c>
      <c r="CC402" s="186">
        <v>60</v>
      </c>
      <c r="CD402" s="390">
        <v>250</v>
      </c>
      <c r="CE402" s="390">
        <v>250</v>
      </c>
      <c r="CF402" s="97">
        <v>250</v>
      </c>
      <c r="CG402" s="97">
        <f t="shared" si="335"/>
        <v>500</v>
      </c>
      <c r="CH402" s="97">
        <f t="shared" si="335"/>
        <v>500</v>
      </c>
      <c r="CI402" s="174"/>
      <c r="CJ402" s="174"/>
      <c r="CK402" s="174"/>
      <c r="CL402" s="174"/>
      <c r="CM402" s="174"/>
      <c r="CN402" s="174"/>
      <c r="CO402" s="174"/>
      <c r="CP402" s="175"/>
      <c r="CQ402" s="175"/>
      <c r="CR402" s="175"/>
      <c r="CS402" s="175"/>
      <c r="CT402" s="175"/>
      <c r="CU402" s="175"/>
      <c r="CV402" s="175"/>
      <c r="CW402" s="166"/>
      <c r="CX402" s="167"/>
      <c r="CY402" s="167"/>
      <c r="CZ402" s="167"/>
      <c r="DA402" s="167"/>
      <c r="DB402" s="167"/>
      <c r="DC402" s="167"/>
      <c r="DD402" s="172"/>
      <c r="DE402" s="172"/>
      <c r="DF402" s="172"/>
      <c r="DG402" s="172"/>
      <c r="DH402" s="172"/>
      <c r="DI402" s="172"/>
      <c r="DJ402" s="172"/>
      <c r="DK402" s="79" t="s">
        <v>1637</v>
      </c>
      <c r="DL402" s="128">
        <v>60</v>
      </c>
      <c r="DM402" s="128">
        <v>60</v>
      </c>
      <c r="DN402" s="128">
        <v>500</v>
      </c>
      <c r="DO402" s="128">
        <v>500</v>
      </c>
      <c r="DP402" s="128">
        <v>500</v>
      </c>
      <c r="DQ402" s="128">
        <v>500</v>
      </c>
      <c r="DR402" s="128">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7">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5"/>
        <v>0</v>
      </c>
      <c r="BV403" s="28"/>
      <c r="BW403" s="28"/>
      <c r="BX403" s="28"/>
      <c r="BY403" s="28"/>
      <c r="BZ403" s="28"/>
      <c r="CA403" s="28"/>
      <c r="CB403" s="99"/>
      <c r="CC403" s="99">
        <v>30</v>
      </c>
      <c r="CD403" s="390">
        <v>250</v>
      </c>
      <c r="CE403" s="390">
        <v>250</v>
      </c>
      <c r="CF403" s="99">
        <v>250</v>
      </c>
      <c r="CG403" s="99">
        <v>500</v>
      </c>
      <c r="CH403" s="99">
        <v>500</v>
      </c>
      <c r="CI403" s="176"/>
      <c r="CJ403" s="176"/>
      <c r="CK403" s="176"/>
      <c r="CL403" s="176"/>
      <c r="CM403" s="176"/>
      <c r="CN403" s="176"/>
      <c r="CO403" s="176"/>
      <c r="CP403" s="177"/>
      <c r="CQ403" s="177"/>
      <c r="CR403" s="177"/>
      <c r="CS403" s="177"/>
      <c r="CT403" s="177"/>
      <c r="CU403" s="177"/>
      <c r="CV403" s="177"/>
      <c r="CW403" s="168"/>
      <c r="CX403" s="169"/>
      <c r="CY403" s="169"/>
      <c r="CZ403" s="169"/>
      <c r="DA403" s="169"/>
      <c r="DB403" s="169"/>
      <c r="DC403" s="169"/>
      <c r="DD403" s="173"/>
      <c r="DE403" s="173"/>
      <c r="DF403" s="173"/>
      <c r="DG403" s="173"/>
      <c r="DH403" s="173"/>
      <c r="DI403" s="173"/>
      <c r="DJ403" s="173"/>
      <c r="DK403" s="80" t="s">
        <v>1637</v>
      </c>
      <c r="DL403" s="129">
        <v>60</v>
      </c>
      <c r="DM403" s="129">
        <v>60</v>
      </c>
      <c r="DN403" s="129">
        <v>250</v>
      </c>
      <c r="DO403" s="129">
        <v>500</v>
      </c>
      <c r="DP403" s="129">
        <v>500</v>
      </c>
      <c r="DQ403" s="129">
        <v>500</v>
      </c>
      <c r="DR403" s="129">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x14ac:dyDescent="0.3">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6">J404</f>
        <v>21.242000000000001</v>
      </c>
      <c r="L404" s="101">
        <f t="shared" si="336"/>
        <v>21.242000000000001</v>
      </c>
      <c r="M404" s="101">
        <f t="shared" si="336"/>
        <v>21.242000000000001</v>
      </c>
      <c r="N404" s="101">
        <f t="shared" si="336"/>
        <v>21.242000000000001</v>
      </c>
      <c r="O404" s="101">
        <f t="shared" si="336"/>
        <v>21.242000000000001</v>
      </c>
      <c r="P404" s="93">
        <v>0</v>
      </c>
      <c r="Q404" s="101">
        <f>I404*0.05</f>
        <v>1.0621</v>
      </c>
      <c r="R404" s="101">
        <f t="shared" ref="R404:W404" si="337">J404*0.05</f>
        <v>1.0621</v>
      </c>
      <c r="S404" s="101">
        <f t="shared" si="337"/>
        <v>1.0621</v>
      </c>
      <c r="T404" s="101">
        <f t="shared" si="337"/>
        <v>1.0621</v>
      </c>
      <c r="U404" s="101">
        <f t="shared" si="337"/>
        <v>1.0621</v>
      </c>
      <c r="V404" s="101">
        <f t="shared" si="337"/>
        <v>1.0621</v>
      </c>
      <c r="W404" s="101">
        <f t="shared" si="337"/>
        <v>1.0621</v>
      </c>
      <c r="X404" s="101">
        <v>0</v>
      </c>
      <c r="Y404" s="101">
        <v>0</v>
      </c>
      <c r="Z404" s="101">
        <v>0</v>
      </c>
      <c r="AA404" s="101">
        <v>0</v>
      </c>
      <c r="AB404" s="101">
        <v>0</v>
      </c>
      <c r="AC404" s="101">
        <v>0</v>
      </c>
      <c r="AD404" s="101">
        <v>0</v>
      </c>
      <c r="AE404" s="187">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5"/>
        <v>0</v>
      </c>
      <c r="BV404" s="27"/>
      <c r="BW404" s="27"/>
      <c r="BX404" s="27"/>
      <c r="BY404" s="27"/>
      <c r="BZ404" s="27"/>
      <c r="CA404" s="27"/>
      <c r="CB404" s="97"/>
      <c r="CC404" s="97"/>
      <c r="CD404" s="97"/>
      <c r="CE404" s="97"/>
      <c r="CF404" s="97"/>
      <c r="CG404" s="97"/>
      <c r="CH404" s="97"/>
      <c r="CI404" s="174"/>
      <c r="CJ404" s="174"/>
      <c r="CK404" s="174"/>
      <c r="CL404" s="174"/>
      <c r="CM404" s="174"/>
      <c r="CN404" s="174"/>
      <c r="CO404" s="174"/>
      <c r="CP404" s="175"/>
      <c r="CQ404" s="175"/>
      <c r="CR404" s="175"/>
      <c r="CS404" s="175"/>
      <c r="CT404" s="175"/>
      <c r="CU404" s="175"/>
      <c r="CV404" s="175"/>
      <c r="CW404" s="166"/>
      <c r="CX404" s="167"/>
      <c r="CY404" s="167"/>
      <c r="CZ404" s="167"/>
      <c r="DA404" s="167"/>
      <c r="DB404" s="167"/>
      <c r="DC404" s="167"/>
      <c r="DD404" s="172"/>
      <c r="DE404" s="172"/>
      <c r="DF404" s="172"/>
      <c r="DG404" s="172"/>
      <c r="DH404" s="172"/>
      <c r="DI404" s="172"/>
      <c r="DJ404" s="172"/>
      <c r="DK404" s="79" t="s">
        <v>1637</v>
      </c>
      <c r="DL404" s="128">
        <v>60</v>
      </c>
      <c r="DM404" s="128">
        <v>60</v>
      </c>
      <c r="DN404" s="128">
        <v>100</v>
      </c>
      <c r="DO404" s="128">
        <v>250</v>
      </c>
      <c r="DP404" s="128">
        <v>500</v>
      </c>
      <c r="DQ404" s="128">
        <v>500</v>
      </c>
      <c r="DR404" s="128">
        <v>500</v>
      </c>
      <c r="DS404" s="219"/>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row>
    <row r="405" spans="1:244" s="311" customFormat="1" x14ac:dyDescent="0.3">
      <c r="A405" s="291" t="s">
        <v>1642</v>
      </c>
      <c r="B405" s="291" t="s">
        <v>740</v>
      </c>
      <c r="C405" s="291" t="s">
        <v>788</v>
      </c>
      <c r="D405" s="291" t="s">
        <v>503</v>
      </c>
      <c r="E405" s="291" t="s">
        <v>503</v>
      </c>
      <c r="F405" s="291" t="s">
        <v>503</v>
      </c>
      <c r="G405" s="292" t="s">
        <v>1643</v>
      </c>
      <c r="H405" s="292" t="s">
        <v>659</v>
      </c>
      <c r="I405" s="293">
        <f>I404</f>
        <v>21.242000000000001</v>
      </c>
      <c r="J405" s="293">
        <f>J404</f>
        <v>21.242000000000001</v>
      </c>
      <c r="K405" s="293">
        <f t="shared" ref="K405:O405" si="338">K404</f>
        <v>21.242000000000001</v>
      </c>
      <c r="L405" s="293">
        <f t="shared" si="338"/>
        <v>21.242000000000001</v>
      </c>
      <c r="M405" s="293">
        <f t="shared" si="338"/>
        <v>21.242000000000001</v>
      </c>
      <c r="N405" s="293">
        <f t="shared" si="338"/>
        <v>21.242000000000001</v>
      </c>
      <c r="O405" s="293">
        <f t="shared" si="338"/>
        <v>21.242000000000001</v>
      </c>
      <c r="P405" s="294">
        <v>0</v>
      </c>
      <c r="Q405" s="293">
        <f>Q404</f>
        <v>1.0621</v>
      </c>
      <c r="R405" s="293">
        <f t="shared" ref="R405:W405" si="339">R404</f>
        <v>1.0621</v>
      </c>
      <c r="S405" s="293">
        <f t="shared" si="339"/>
        <v>1.0621</v>
      </c>
      <c r="T405" s="293">
        <f t="shared" si="339"/>
        <v>1.0621</v>
      </c>
      <c r="U405" s="293">
        <f t="shared" si="339"/>
        <v>1.0621</v>
      </c>
      <c r="V405" s="293">
        <f t="shared" si="339"/>
        <v>1.0621</v>
      </c>
      <c r="W405" s="293">
        <f t="shared" si="339"/>
        <v>1.0621</v>
      </c>
      <c r="X405" s="293">
        <v>0</v>
      </c>
      <c r="Y405" s="293">
        <v>0</v>
      </c>
      <c r="Z405" s="293">
        <v>0</v>
      </c>
      <c r="AA405" s="293">
        <v>0</v>
      </c>
      <c r="AB405" s="293">
        <v>0</v>
      </c>
      <c r="AC405" s="293">
        <v>0</v>
      </c>
      <c r="AD405" s="293">
        <v>0</v>
      </c>
      <c r="AE405" s="187">
        <v>0.08</v>
      </c>
      <c r="AF405" s="294">
        <v>0</v>
      </c>
      <c r="AG405" s="94">
        <v>25</v>
      </c>
      <c r="AH405" s="94">
        <v>25</v>
      </c>
      <c r="AI405" s="295">
        <v>1</v>
      </c>
      <c r="AJ405" s="295" t="s">
        <v>660</v>
      </c>
      <c r="AK405" s="295" t="s">
        <v>745</v>
      </c>
      <c r="AL405" s="295"/>
      <c r="AM405" s="296"/>
      <c r="AN405" s="296"/>
      <c r="AO405" s="296"/>
      <c r="AP405" s="296"/>
      <c r="AQ405" s="296"/>
      <c r="AR405" s="296"/>
      <c r="AS405" s="297"/>
      <c r="AT405" s="297"/>
      <c r="AU405" s="297"/>
      <c r="AV405" s="298"/>
      <c r="AW405" s="298"/>
      <c r="AX405" s="298"/>
      <c r="AY405" s="299" t="s">
        <v>662</v>
      </c>
      <c r="AZ405" s="299"/>
      <c r="BA405" s="299"/>
      <c r="BB405" s="300"/>
      <c r="BC405" s="300"/>
      <c r="BD405" s="300"/>
      <c r="BE405" s="300"/>
      <c r="BF405" s="300"/>
      <c r="BG405" s="300"/>
      <c r="BH405" s="301"/>
      <c r="BI405" s="301"/>
      <c r="BJ405" s="301"/>
      <c r="BK405" s="301"/>
      <c r="BL405" s="302"/>
      <c r="BM405" s="303"/>
      <c r="BN405" s="304">
        <v>0</v>
      </c>
      <c r="BO405" s="294"/>
      <c r="BP405" s="294"/>
      <c r="BQ405" s="294"/>
      <c r="BR405" s="294"/>
      <c r="BS405" s="294"/>
      <c r="BT405" s="294"/>
      <c r="BU405" s="299">
        <f t="shared" ref="BU405" si="340">IF(BL405=1,BN405,0)</f>
        <v>0</v>
      </c>
      <c r="BV405" s="299"/>
      <c r="BW405" s="299"/>
      <c r="BX405" s="299"/>
      <c r="BY405" s="299"/>
      <c r="BZ405" s="299"/>
      <c r="CA405" s="299"/>
      <c r="CB405" s="305"/>
      <c r="CC405" s="305">
        <v>0</v>
      </c>
      <c r="CD405" s="305">
        <v>0</v>
      </c>
      <c r="CE405" s="305">
        <v>0</v>
      </c>
      <c r="CF405" s="305">
        <v>0</v>
      </c>
      <c r="CG405" s="305">
        <v>0</v>
      </c>
      <c r="CH405" s="305">
        <v>0</v>
      </c>
      <c r="CI405" s="299"/>
      <c r="CJ405" s="299"/>
      <c r="CK405" s="299"/>
      <c r="CL405" s="299"/>
      <c r="CM405" s="299"/>
      <c r="CN405" s="299"/>
      <c r="CO405" s="299"/>
      <c r="CP405" s="306"/>
      <c r="CQ405" s="306"/>
      <c r="CR405" s="306"/>
      <c r="CS405" s="306"/>
      <c r="CT405" s="306"/>
      <c r="CU405" s="306"/>
      <c r="CV405" s="306"/>
      <c r="CW405" s="307"/>
      <c r="CX405" s="308"/>
      <c r="CY405" s="308"/>
      <c r="CZ405" s="308"/>
      <c r="DA405" s="308"/>
      <c r="DB405" s="308"/>
      <c r="DC405" s="308"/>
      <c r="DD405" s="308"/>
      <c r="DE405" s="308"/>
      <c r="DF405" s="308"/>
      <c r="DG405" s="308"/>
      <c r="DH405" s="308"/>
      <c r="DI405" s="308"/>
      <c r="DJ405" s="308"/>
      <c r="DK405" s="309" t="s">
        <v>1637</v>
      </c>
      <c r="DL405" s="307">
        <v>60</v>
      </c>
      <c r="DM405" s="307">
        <v>60</v>
      </c>
      <c r="DN405" s="307">
        <v>100</v>
      </c>
      <c r="DO405" s="307">
        <v>250</v>
      </c>
      <c r="DP405" s="307">
        <v>500</v>
      </c>
      <c r="DQ405" s="307">
        <v>500</v>
      </c>
      <c r="DR405" s="307">
        <v>500</v>
      </c>
      <c r="DS405" s="310"/>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7">
        <v>0.08</v>
      </c>
      <c r="AF406" s="94">
        <v>0</v>
      </c>
      <c r="AG406" s="94">
        <v>19</v>
      </c>
      <c r="AH406" s="94">
        <v>19</v>
      </c>
      <c r="AI406" s="17">
        <v>1</v>
      </c>
      <c r="AJ406" s="385" t="s">
        <v>660</v>
      </c>
      <c r="AK406" s="17" t="s">
        <v>745</v>
      </c>
      <c r="AL406" s="17"/>
      <c r="AM406" s="61"/>
      <c r="AN406" s="61"/>
      <c r="AO406" s="61"/>
      <c r="AP406" s="61"/>
      <c r="AQ406" s="61"/>
      <c r="AR406" s="61"/>
      <c r="AS406" s="64"/>
      <c r="AT406" s="64"/>
      <c r="AU406" s="64"/>
      <c r="AV406" s="132"/>
      <c r="AW406" s="132"/>
      <c r="AX406" s="132"/>
      <c r="AY406" s="299" t="s">
        <v>662</v>
      </c>
      <c r="AZ406" s="299"/>
      <c r="BA406" s="299"/>
      <c r="BB406" s="300"/>
      <c r="BC406" s="300"/>
      <c r="BD406" s="300"/>
      <c r="BE406" s="300"/>
      <c r="BF406" s="28"/>
      <c r="BG406" s="28"/>
      <c r="BH406" s="106"/>
      <c r="BI406" s="106"/>
      <c r="BJ406" s="106"/>
      <c r="BK406" s="106"/>
      <c r="BL406" s="137"/>
      <c r="BM406" s="123"/>
      <c r="BN406" s="139">
        <v>0</v>
      </c>
      <c r="BO406" s="94"/>
      <c r="BP406" s="94"/>
      <c r="BQ406" s="94"/>
      <c r="BR406" s="94"/>
      <c r="BS406" s="94"/>
      <c r="BT406" s="94"/>
      <c r="BU406" s="28">
        <f t="shared" si="295"/>
        <v>0</v>
      </c>
      <c r="BV406" s="28"/>
      <c r="BW406" s="28"/>
      <c r="BX406" s="28"/>
      <c r="BY406" s="28"/>
      <c r="BZ406" s="28"/>
      <c r="CA406" s="28"/>
      <c r="CB406" s="245">
        <v>0</v>
      </c>
      <c r="CC406" s="97">
        <v>50</v>
      </c>
      <c r="CD406" s="390">
        <v>250</v>
      </c>
      <c r="CE406" s="390">
        <v>250</v>
      </c>
      <c r="CF406" s="97">
        <v>250</v>
      </c>
      <c r="CG406" s="97">
        <v>500</v>
      </c>
      <c r="CH406" s="97">
        <v>1000</v>
      </c>
      <c r="CI406" s="176"/>
      <c r="CJ406" s="176"/>
      <c r="CK406" s="176"/>
      <c r="CL406" s="176"/>
      <c r="CM406" s="176"/>
      <c r="CN406" s="176"/>
      <c r="CO406" s="176"/>
      <c r="CP406" s="177"/>
      <c r="CQ406" s="177"/>
      <c r="CR406" s="177"/>
      <c r="CS406" s="177"/>
      <c r="CT406" s="177"/>
      <c r="CU406" s="177"/>
      <c r="CV406" s="177"/>
      <c r="CW406" s="168"/>
      <c r="CX406" s="169"/>
      <c r="CY406" s="169"/>
      <c r="CZ406" s="169"/>
      <c r="DA406" s="169"/>
      <c r="DB406" s="169"/>
      <c r="DC406" s="169"/>
      <c r="DD406" s="173"/>
      <c r="DE406" s="173"/>
      <c r="DF406" s="173"/>
      <c r="DG406" s="173"/>
      <c r="DH406" s="173"/>
      <c r="DI406" s="173"/>
      <c r="DJ406" s="173"/>
      <c r="DK406" s="80" t="s">
        <v>1637</v>
      </c>
      <c r="DL406" s="129">
        <v>60</v>
      </c>
      <c r="DM406" s="129">
        <v>60</v>
      </c>
      <c r="DN406" s="129">
        <v>100</v>
      </c>
      <c r="DO406" s="129">
        <v>200</v>
      </c>
      <c r="DP406" s="129">
        <v>300</v>
      </c>
      <c r="DQ406" s="129">
        <v>400</v>
      </c>
      <c r="DR406" s="129">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7">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9" t="s">
        <v>662</v>
      </c>
      <c r="AZ407" s="299"/>
      <c r="BA407" s="299"/>
      <c r="BB407" s="300"/>
      <c r="BC407" s="300"/>
      <c r="BD407" s="300"/>
      <c r="BE407" s="300"/>
      <c r="BF407" s="30"/>
      <c r="BG407" s="30"/>
      <c r="BH407" s="107"/>
      <c r="BI407" s="107"/>
      <c r="BJ407" s="107"/>
      <c r="BK407" s="107"/>
      <c r="BL407" s="136"/>
      <c r="BM407" s="122"/>
      <c r="BN407" s="138">
        <v>0</v>
      </c>
      <c r="BO407" s="93"/>
      <c r="BP407" s="93"/>
      <c r="BQ407" s="93"/>
      <c r="BR407" s="93"/>
      <c r="BS407" s="93"/>
      <c r="BT407" s="93"/>
      <c r="BU407" s="27">
        <f t="shared" si="295"/>
        <v>0</v>
      </c>
      <c r="BV407" s="27"/>
      <c r="BW407" s="27"/>
      <c r="BX407" s="27"/>
      <c r="BY407" s="27"/>
      <c r="BZ407" s="27"/>
      <c r="CA407" s="27"/>
      <c r="CB407" s="97">
        <v>0</v>
      </c>
      <c r="CC407" s="97">
        <v>0</v>
      </c>
      <c r="CD407" s="97">
        <v>0</v>
      </c>
      <c r="CE407" s="97">
        <v>0</v>
      </c>
      <c r="CF407" s="97">
        <v>0</v>
      </c>
      <c r="CG407" s="97">
        <v>0</v>
      </c>
      <c r="CH407" s="97"/>
      <c r="CI407" s="174"/>
      <c r="CJ407" s="174"/>
      <c r="CK407" s="174"/>
      <c r="CL407" s="174"/>
      <c r="CM407" s="174"/>
      <c r="CN407" s="174"/>
      <c r="CO407" s="174"/>
      <c r="CP407" s="175"/>
      <c r="CQ407" s="175"/>
      <c r="CR407" s="175"/>
      <c r="CS407" s="175"/>
      <c r="CT407" s="175"/>
      <c r="CU407" s="175"/>
      <c r="CV407" s="175"/>
      <c r="CW407" s="166"/>
      <c r="CX407" s="167"/>
      <c r="CY407" s="167"/>
      <c r="CZ407" s="167"/>
      <c r="DA407" s="167"/>
      <c r="DB407" s="167"/>
      <c r="DC407" s="167"/>
      <c r="DD407" s="172"/>
      <c r="DE407" s="172"/>
      <c r="DF407" s="172"/>
      <c r="DG407" s="172"/>
      <c r="DH407" s="172"/>
      <c r="DI407" s="172"/>
      <c r="DJ407" s="172"/>
      <c r="DK407" s="79" t="s">
        <v>1637</v>
      </c>
      <c r="DL407" s="128">
        <v>60</v>
      </c>
      <c r="DM407" s="128">
        <v>60</v>
      </c>
      <c r="DN407" s="128">
        <v>100</v>
      </c>
      <c r="DO407" s="128">
        <v>200</v>
      </c>
      <c r="DP407" s="128">
        <v>300</v>
      </c>
      <c r="DQ407" s="128">
        <v>400</v>
      </c>
      <c r="DR407" s="128">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
      <c r="A408" s="226" t="s">
        <v>1648</v>
      </c>
      <c r="B408" s="226" t="s">
        <v>740</v>
      </c>
      <c r="C408" s="226" t="s">
        <v>817</v>
      </c>
      <c r="D408" s="226" t="s">
        <v>503</v>
      </c>
      <c r="E408" s="226" t="s">
        <v>1649</v>
      </c>
      <c r="F408" s="226" t="s">
        <v>503</v>
      </c>
      <c r="G408" s="230" t="s">
        <v>1650</v>
      </c>
      <c r="H408" s="227"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7">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f t="shared" ref="BU408" si="341">IF(BL408=1,BN408,0)</f>
        <v>0</v>
      </c>
      <c r="BV408" s="28"/>
      <c r="BW408" s="28"/>
      <c r="BX408" s="28"/>
      <c r="BY408" s="28"/>
      <c r="BZ408" s="28"/>
      <c r="CA408" s="28"/>
      <c r="CB408" s="99"/>
      <c r="CC408" s="99"/>
      <c r="CD408" s="99"/>
      <c r="CE408" s="99"/>
      <c r="CF408" s="99"/>
      <c r="CG408" s="99"/>
      <c r="CH408" s="186"/>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1637</v>
      </c>
      <c r="DL408" s="129">
        <v>60</v>
      </c>
      <c r="DM408" s="129">
        <v>60</v>
      </c>
      <c r="DN408" s="129">
        <v>100</v>
      </c>
      <c r="DO408" s="129">
        <v>200</v>
      </c>
      <c r="DP408" s="129">
        <v>300</v>
      </c>
      <c r="DQ408" s="129">
        <v>400</v>
      </c>
      <c r="DR408" s="129">
        <v>500</v>
      </c>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
      <c r="A409" s="226" t="s">
        <v>1651</v>
      </c>
      <c r="B409" s="226" t="s">
        <v>740</v>
      </c>
      <c r="C409" s="226" t="s">
        <v>788</v>
      </c>
      <c r="D409" s="226" t="s">
        <v>503</v>
      </c>
      <c r="E409" s="226" t="s">
        <v>503</v>
      </c>
      <c r="F409" s="226" t="s">
        <v>503</v>
      </c>
      <c r="G409" s="230" t="s">
        <v>1652</v>
      </c>
      <c r="H409" s="227"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7">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9" t="s">
        <v>662</v>
      </c>
      <c r="AZ409" s="299"/>
      <c r="BA409" s="299"/>
      <c r="BB409" s="300"/>
      <c r="BC409" s="300"/>
      <c r="BD409" s="300"/>
      <c r="BE409" s="300"/>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90">
        <v>250</v>
      </c>
      <c r="CE409" s="390">
        <v>250</v>
      </c>
      <c r="CF409" s="99">
        <f t="shared" ref="CF409:CH409" si="342">CF402</f>
        <v>250</v>
      </c>
      <c r="CG409" s="99">
        <f t="shared" si="342"/>
        <v>500</v>
      </c>
      <c r="CH409" s="99">
        <f t="shared" si="342"/>
        <v>500</v>
      </c>
      <c r="CI409" s="176"/>
      <c r="CJ409" s="176"/>
      <c r="CK409" s="192"/>
      <c r="CL409" s="192"/>
      <c r="CM409" s="192"/>
      <c r="CN409" s="192"/>
      <c r="CO409" s="192"/>
      <c r="CP409" s="198"/>
      <c r="CQ409" s="198"/>
      <c r="CR409" s="198"/>
      <c r="CS409" s="198"/>
      <c r="CT409" s="198"/>
      <c r="CU409" s="198"/>
      <c r="CV409" s="198"/>
      <c r="CW409" s="168"/>
      <c r="CX409" s="169"/>
      <c r="CY409" s="169"/>
      <c r="CZ409" s="169"/>
      <c r="DA409" s="169"/>
      <c r="DB409" s="169"/>
      <c r="DC409" s="169"/>
      <c r="DD409" s="173"/>
      <c r="DE409" s="173"/>
      <c r="DF409" s="173"/>
      <c r="DG409" s="173"/>
      <c r="DH409" s="173"/>
      <c r="DI409" s="173"/>
      <c r="DJ409" s="173"/>
      <c r="DK409" s="80" t="s">
        <v>792</v>
      </c>
      <c r="DL409" s="129"/>
      <c r="DM409" s="129"/>
      <c r="DN409" s="129"/>
      <c r="DO409" s="129"/>
      <c r="DP409" s="129"/>
      <c r="DQ409" s="129"/>
      <c r="DR409" s="129"/>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7">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5"/>
        <v>0</v>
      </c>
      <c r="BV410" s="27"/>
      <c r="BW410" s="27"/>
      <c r="BX410" s="27"/>
      <c r="BY410" s="27"/>
      <c r="BZ410" s="27"/>
      <c r="CA410" s="27"/>
      <c r="CB410" s="97">
        <v>1000</v>
      </c>
      <c r="CC410" s="97">
        <v>1000</v>
      </c>
      <c r="CD410" s="97">
        <v>1000</v>
      </c>
      <c r="CE410" s="97">
        <v>1000</v>
      </c>
      <c r="CF410" s="97">
        <v>1000</v>
      </c>
      <c r="CG410" s="97">
        <v>1000</v>
      </c>
      <c r="CH410" s="97">
        <v>1000</v>
      </c>
      <c r="CI410" s="174"/>
      <c r="CJ410" s="174"/>
      <c r="CK410" s="174"/>
      <c r="CL410" s="174"/>
      <c r="CM410" s="174"/>
      <c r="CN410" s="174"/>
      <c r="CO410" s="174"/>
      <c r="CP410" s="175"/>
      <c r="CQ410" s="175"/>
      <c r="CR410" s="175"/>
      <c r="CS410" s="175"/>
      <c r="CT410" s="175"/>
      <c r="CU410" s="175"/>
      <c r="CV410" s="175"/>
      <c r="CW410" s="166"/>
      <c r="CX410" s="167"/>
      <c r="CY410" s="167"/>
      <c r="CZ410" s="167"/>
      <c r="DA410" s="167"/>
      <c r="DB410" s="167"/>
      <c r="DC410" s="167"/>
      <c r="DD410" s="172"/>
      <c r="DE410" s="172"/>
      <c r="DF410" s="172"/>
      <c r="DG410" s="172"/>
      <c r="DH410" s="172"/>
      <c r="DI410" s="172"/>
      <c r="DJ410" s="172"/>
      <c r="DK410" s="79" t="s">
        <v>415</v>
      </c>
      <c r="DL410" s="128">
        <v>1000</v>
      </c>
      <c r="DM410" s="128">
        <v>1000</v>
      </c>
      <c r="DN410" s="128">
        <v>1000</v>
      </c>
      <c r="DO410" s="128">
        <v>1000</v>
      </c>
      <c r="DP410" s="128">
        <v>1000</v>
      </c>
      <c r="DQ410" s="128">
        <v>1000</v>
      </c>
      <c r="DR410" s="128">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7">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5"/>
        <v>0</v>
      </c>
      <c r="BV411" s="28"/>
      <c r="BW411" s="28"/>
      <c r="BX411" s="28"/>
      <c r="BY411" s="28"/>
      <c r="BZ411" s="28"/>
      <c r="CA411" s="28"/>
      <c r="CB411" s="99">
        <v>1000</v>
      </c>
      <c r="CC411" s="99">
        <v>1000</v>
      </c>
      <c r="CD411" s="99">
        <v>1000</v>
      </c>
      <c r="CE411" s="99">
        <v>1000</v>
      </c>
      <c r="CF411" s="99">
        <v>1000</v>
      </c>
      <c r="CG411" s="99">
        <v>1000</v>
      </c>
      <c r="CH411" s="99">
        <v>1000</v>
      </c>
      <c r="CI411" s="176"/>
      <c r="CJ411" s="176"/>
      <c r="CK411" s="176"/>
      <c r="CL411" s="176"/>
      <c r="CM411" s="176"/>
      <c r="CN411" s="176"/>
      <c r="CO411" s="176"/>
      <c r="CP411" s="177"/>
      <c r="CQ411" s="177"/>
      <c r="CR411" s="177"/>
      <c r="CS411" s="177"/>
      <c r="CT411" s="177"/>
      <c r="CU411" s="177"/>
      <c r="CV411" s="177"/>
      <c r="CW411" s="168"/>
      <c r="CX411" s="169"/>
      <c r="CY411" s="169"/>
      <c r="CZ411" s="169"/>
      <c r="DA411" s="169"/>
      <c r="DB411" s="169"/>
      <c r="DC411" s="169"/>
      <c r="DD411" s="173"/>
      <c r="DE411" s="173"/>
      <c r="DF411" s="173"/>
      <c r="DG411" s="173"/>
      <c r="DH411" s="173"/>
      <c r="DI411" s="173"/>
      <c r="DJ411" s="173"/>
      <c r="DK411" s="80" t="s">
        <v>415</v>
      </c>
      <c r="DL411" s="129">
        <v>1000</v>
      </c>
      <c r="DM411" s="129">
        <v>1000</v>
      </c>
      <c r="DN411" s="129">
        <v>1000</v>
      </c>
      <c r="DO411" s="129">
        <v>1000</v>
      </c>
      <c r="DP411" s="129">
        <v>1000</v>
      </c>
      <c r="DQ411" s="129">
        <v>1000</v>
      </c>
      <c r="DR411" s="129">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7">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5"/>
        <v>0</v>
      </c>
      <c r="BV412" s="27"/>
      <c r="BW412" s="27"/>
      <c r="BX412" s="27"/>
      <c r="BY412" s="27"/>
      <c r="BZ412" s="27"/>
      <c r="CA412" s="27"/>
      <c r="CB412" s="97">
        <v>1000</v>
      </c>
      <c r="CC412" s="97">
        <v>1000</v>
      </c>
      <c r="CD412" s="97">
        <v>1000</v>
      </c>
      <c r="CE412" s="97">
        <v>1000</v>
      </c>
      <c r="CF412" s="97">
        <v>1000</v>
      </c>
      <c r="CG412" s="97">
        <v>1000</v>
      </c>
      <c r="CH412" s="97">
        <v>1000</v>
      </c>
      <c r="CI412" s="174"/>
      <c r="CJ412" s="174"/>
      <c r="CK412" s="174"/>
      <c r="CL412" s="174"/>
      <c r="CM412" s="174"/>
      <c r="CN412" s="174"/>
      <c r="CO412" s="174"/>
      <c r="CP412" s="175"/>
      <c r="CQ412" s="175"/>
      <c r="CR412" s="175"/>
      <c r="CS412" s="175"/>
      <c r="CT412" s="175"/>
      <c r="CU412" s="175"/>
      <c r="CV412" s="175"/>
      <c r="CW412" s="166"/>
      <c r="CX412" s="167"/>
      <c r="CY412" s="167"/>
      <c r="CZ412" s="167"/>
      <c r="DA412" s="167"/>
      <c r="DB412" s="167"/>
      <c r="DC412" s="167"/>
      <c r="DD412" s="172"/>
      <c r="DE412" s="172"/>
      <c r="DF412" s="172"/>
      <c r="DG412" s="172"/>
      <c r="DH412" s="172"/>
      <c r="DI412" s="172"/>
      <c r="DJ412" s="172"/>
      <c r="DK412" s="79" t="s">
        <v>415</v>
      </c>
      <c r="DL412" s="128">
        <v>1000</v>
      </c>
      <c r="DM412" s="128">
        <v>1000</v>
      </c>
      <c r="DN412" s="128">
        <v>1000</v>
      </c>
      <c r="DO412" s="128">
        <v>1000</v>
      </c>
      <c r="DP412" s="128">
        <v>1000</v>
      </c>
      <c r="DQ412" s="128">
        <v>1000</v>
      </c>
      <c r="DR412" s="128">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
      <c r="A413" s="226" t="s">
        <v>1660</v>
      </c>
      <c r="B413" s="226" t="s">
        <v>740</v>
      </c>
      <c r="C413" s="226" t="s">
        <v>817</v>
      </c>
      <c r="D413" s="226" t="s">
        <v>1471</v>
      </c>
      <c r="E413" s="226" t="s">
        <v>1569</v>
      </c>
      <c r="F413" s="226" t="s">
        <v>468</v>
      </c>
      <c r="G413" s="230" t="s">
        <v>1661</v>
      </c>
      <c r="H413" s="227"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7">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5"/>
        <v>0</v>
      </c>
      <c r="BV413" s="28"/>
      <c r="BW413" s="28"/>
      <c r="BX413" s="28"/>
      <c r="BY413" s="28"/>
      <c r="BZ413" s="28"/>
      <c r="CA413" s="28"/>
      <c r="CB413" s="99">
        <v>1000</v>
      </c>
      <c r="CC413" s="99">
        <v>1000</v>
      </c>
      <c r="CD413" s="99">
        <v>1000</v>
      </c>
      <c r="CE413" s="99">
        <v>1000</v>
      </c>
      <c r="CF413" s="99">
        <v>1000</v>
      </c>
      <c r="CG413" s="99">
        <v>1000</v>
      </c>
      <c r="CH413" s="99">
        <v>1000</v>
      </c>
      <c r="CI413" s="176"/>
      <c r="CJ413" s="176"/>
      <c r="CK413" s="176"/>
      <c r="CL413" s="176"/>
      <c r="CM413" s="176"/>
      <c r="CN413" s="176"/>
      <c r="CO413" s="176"/>
      <c r="CP413" s="177"/>
      <c r="CQ413" s="177"/>
      <c r="CR413" s="177"/>
      <c r="CS413" s="177"/>
      <c r="CT413" s="177"/>
      <c r="CU413" s="177"/>
      <c r="CV413" s="177"/>
      <c r="CW413" s="168"/>
      <c r="CX413" s="169"/>
      <c r="CY413" s="169"/>
      <c r="CZ413" s="169"/>
      <c r="DA413" s="169"/>
      <c r="DB413" s="169"/>
      <c r="DC413" s="169"/>
      <c r="DD413" s="173"/>
      <c r="DE413" s="173"/>
      <c r="DF413" s="173"/>
      <c r="DG413" s="173"/>
      <c r="DH413" s="173"/>
      <c r="DI413" s="173"/>
      <c r="DJ413" s="173"/>
      <c r="DK413" s="80" t="s">
        <v>1572</v>
      </c>
      <c r="DL413" s="129">
        <v>1000</v>
      </c>
      <c r="DM413" s="129">
        <v>1000</v>
      </c>
      <c r="DN413" s="129">
        <v>1000</v>
      </c>
      <c r="DO413" s="129">
        <v>1000</v>
      </c>
      <c r="DP413" s="129">
        <v>1000</v>
      </c>
      <c r="DQ413" s="129">
        <v>1000</v>
      </c>
      <c r="DR413" s="129">
        <v>1000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
      <c r="A414" s="226" t="s">
        <v>1662</v>
      </c>
      <c r="B414" s="226" t="s">
        <v>740</v>
      </c>
      <c r="C414" s="226" t="s">
        <v>817</v>
      </c>
      <c r="D414" s="226" t="s">
        <v>1471</v>
      </c>
      <c r="E414" s="226" t="s">
        <v>1569</v>
      </c>
      <c r="F414" s="226" t="s">
        <v>505</v>
      </c>
      <c r="G414" s="230" t="s">
        <v>1663</v>
      </c>
      <c r="H414" s="227"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7">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5"/>
        <v>0</v>
      </c>
      <c r="BV414" s="27"/>
      <c r="BW414" s="27"/>
      <c r="BX414" s="27"/>
      <c r="BY414" s="27"/>
      <c r="BZ414" s="27"/>
      <c r="CA414" s="27"/>
      <c r="CB414" s="186">
        <v>3000</v>
      </c>
      <c r="CC414" s="186">
        <v>3000</v>
      </c>
      <c r="CD414" s="186">
        <v>3000</v>
      </c>
      <c r="CE414" s="186">
        <v>3000</v>
      </c>
      <c r="CF414" s="186">
        <v>3000</v>
      </c>
      <c r="CG414" s="186">
        <v>3000</v>
      </c>
      <c r="CH414" s="186">
        <v>3000</v>
      </c>
      <c r="CI414" s="174"/>
      <c r="CJ414" s="174"/>
      <c r="CK414" s="174"/>
      <c r="CL414" s="174"/>
      <c r="CM414" s="174"/>
      <c r="CN414" s="174"/>
      <c r="CO414" s="174"/>
      <c r="CP414" s="175"/>
      <c r="CQ414" s="175"/>
      <c r="CR414" s="175"/>
      <c r="CS414" s="175"/>
      <c r="CT414" s="175"/>
      <c r="CU414" s="175"/>
      <c r="CV414" s="175"/>
      <c r="CW414" s="166"/>
      <c r="CX414" s="167"/>
      <c r="CY414" s="167"/>
      <c r="CZ414" s="167"/>
      <c r="DA414" s="167"/>
      <c r="DB414" s="167"/>
      <c r="DC414" s="167"/>
      <c r="DD414" s="172"/>
      <c r="DE414" s="172"/>
      <c r="DF414" s="172"/>
      <c r="DG414" s="172"/>
      <c r="DH414" s="172"/>
      <c r="DI414" s="172"/>
      <c r="DJ414" s="172"/>
      <c r="DK414" s="79" t="s">
        <v>1572</v>
      </c>
      <c r="DL414" s="128">
        <v>8000</v>
      </c>
      <c r="DM414" s="128">
        <v>8000</v>
      </c>
      <c r="DN414" s="128">
        <v>8000</v>
      </c>
      <c r="DO414" s="128">
        <v>8000</v>
      </c>
      <c r="DP414" s="128">
        <v>8000</v>
      </c>
      <c r="DQ414" s="128">
        <v>8000</v>
      </c>
      <c r="DR414" s="128">
        <v>8000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7">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5"/>
        <v>0</v>
      </c>
      <c r="BV415" s="28"/>
      <c r="BW415" s="28"/>
      <c r="BX415" s="28"/>
      <c r="BY415" s="28"/>
      <c r="BZ415" s="28"/>
      <c r="CA415" s="28"/>
      <c r="CB415" s="99">
        <v>1500</v>
      </c>
      <c r="CC415" s="99">
        <v>1250</v>
      </c>
      <c r="CD415" s="99">
        <v>1000</v>
      </c>
      <c r="CE415" s="99">
        <v>750</v>
      </c>
      <c r="CF415" s="99">
        <v>500</v>
      </c>
      <c r="CG415" s="99">
        <v>250</v>
      </c>
      <c r="CH415" s="99">
        <v>100</v>
      </c>
      <c r="CI415" s="176"/>
      <c r="CJ415" s="176"/>
      <c r="CK415" s="176"/>
      <c r="CL415" s="176"/>
      <c r="CM415" s="176"/>
      <c r="CN415" s="176"/>
      <c r="CO415" s="176"/>
      <c r="CP415" s="177"/>
      <c r="CQ415" s="177"/>
      <c r="CR415" s="177"/>
      <c r="CS415" s="177"/>
      <c r="CT415" s="177"/>
      <c r="CU415" s="177"/>
      <c r="CV415" s="177"/>
      <c r="CW415" s="168"/>
      <c r="CX415" s="169"/>
      <c r="CY415" s="169"/>
      <c r="CZ415" s="169"/>
      <c r="DA415" s="169"/>
      <c r="DB415" s="169"/>
      <c r="DC415" s="169"/>
      <c r="DD415" s="173"/>
      <c r="DE415" s="173"/>
      <c r="DF415" s="173"/>
      <c r="DG415" s="173"/>
      <c r="DH415" s="173"/>
      <c r="DI415" s="173"/>
      <c r="DJ415" s="173"/>
      <c r="DK415" s="80" t="s">
        <v>415</v>
      </c>
      <c r="DL415" s="129">
        <v>1000</v>
      </c>
      <c r="DM415" s="129">
        <v>1000</v>
      </c>
      <c r="DN415" s="129">
        <v>1000</v>
      </c>
      <c r="DO415" s="129">
        <v>1000</v>
      </c>
      <c r="DP415" s="129">
        <v>1000</v>
      </c>
      <c r="DQ415" s="129">
        <v>1000</v>
      </c>
      <c r="DR415" s="129">
        <v>1000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7">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43">IF(BL416=1,BN416,0)</f>
        <v>0</v>
      </c>
      <c r="BV416" s="27"/>
      <c r="BW416" s="27"/>
      <c r="BX416" s="27"/>
      <c r="BY416" s="27"/>
      <c r="BZ416" s="27"/>
      <c r="CA416" s="27"/>
      <c r="CB416" s="186">
        <v>500</v>
      </c>
      <c r="CC416" s="186">
        <v>500</v>
      </c>
      <c r="CD416" s="186">
        <v>500</v>
      </c>
      <c r="CE416" s="186">
        <v>500</v>
      </c>
      <c r="CF416" s="186">
        <v>500</v>
      </c>
      <c r="CG416" s="186">
        <v>500</v>
      </c>
      <c r="CH416" s="186">
        <v>500</v>
      </c>
      <c r="CI416" s="174"/>
      <c r="CJ416" s="174"/>
      <c r="CK416" s="174"/>
      <c r="CL416" s="174"/>
      <c r="CM416" s="174"/>
      <c r="CN416" s="174"/>
      <c r="CO416" s="174"/>
      <c r="CP416" s="175"/>
      <c r="CQ416" s="175"/>
      <c r="CR416" s="175"/>
      <c r="CS416" s="175"/>
      <c r="CT416" s="175"/>
      <c r="CU416" s="175"/>
      <c r="CV416" s="175"/>
      <c r="CW416" s="166"/>
      <c r="CX416" s="167"/>
      <c r="CY416" s="167"/>
      <c r="CZ416" s="167"/>
      <c r="DA416" s="167"/>
      <c r="DB416" s="167"/>
      <c r="DC416" s="167"/>
      <c r="DD416" s="172"/>
      <c r="DE416" s="172"/>
      <c r="DF416" s="172"/>
      <c r="DG416" s="172"/>
      <c r="DH416" s="172"/>
      <c r="DI416" s="172"/>
      <c r="DJ416" s="172"/>
      <c r="DK416" s="79" t="s">
        <v>1521</v>
      </c>
      <c r="DL416" s="128">
        <v>5000</v>
      </c>
      <c r="DM416" s="128">
        <v>5000</v>
      </c>
      <c r="DN416" s="128">
        <v>5000</v>
      </c>
      <c r="DO416" s="128">
        <v>5000</v>
      </c>
      <c r="DP416" s="128">
        <v>5000</v>
      </c>
      <c r="DQ416" s="128">
        <v>5000</v>
      </c>
      <c r="DR416" s="128">
        <v>5000</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43"/>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6"/>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
      <c r="A418" s="6" t="s">
        <v>1669</v>
      </c>
      <c r="B418" s="6" t="s">
        <v>740</v>
      </c>
      <c r="C418" s="6" t="s">
        <v>817</v>
      </c>
      <c r="D418" s="6" t="s">
        <v>1135</v>
      </c>
      <c r="E418" s="6" t="s">
        <v>441</v>
      </c>
      <c r="F418" s="6" t="s">
        <v>512</v>
      </c>
      <c r="G418" s="48" t="s">
        <v>1670</v>
      </c>
      <c r="H418" s="48" t="s">
        <v>1671</v>
      </c>
      <c r="I418" s="228">
        <v>0</v>
      </c>
      <c r="J418" s="228">
        <v>0</v>
      </c>
      <c r="K418" s="228">
        <v>0</v>
      </c>
      <c r="L418" s="228">
        <v>0</v>
      </c>
      <c r="M418" s="228">
        <v>0</v>
      </c>
      <c r="N418" s="228">
        <v>0</v>
      </c>
      <c r="O418" s="228">
        <v>0</v>
      </c>
      <c r="P418" s="94">
        <v>0</v>
      </c>
      <c r="Q418" s="228">
        <v>0</v>
      </c>
      <c r="R418" s="228">
        <v>0</v>
      </c>
      <c r="S418" s="228">
        <v>0</v>
      </c>
      <c r="T418" s="228">
        <v>0</v>
      </c>
      <c r="U418" s="228">
        <v>0</v>
      </c>
      <c r="V418" s="228">
        <v>0</v>
      </c>
      <c r="W418" s="228">
        <v>0</v>
      </c>
      <c r="X418" s="228">
        <v>427.07920102674001</v>
      </c>
      <c r="Y418" s="228">
        <v>427.07920102674001</v>
      </c>
      <c r="Z418" s="228">
        <v>427.07920102674001</v>
      </c>
      <c r="AA418" s="228">
        <v>427.07920102674001</v>
      </c>
      <c r="AB418" s="228">
        <v>427.07920102674001</v>
      </c>
      <c r="AC418" s="228">
        <v>427.07920102674001</v>
      </c>
      <c r="AD418" s="228">
        <v>427.07920102674001</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43"/>
        <v>0</v>
      </c>
      <c r="BV418" s="98">
        <v>0</v>
      </c>
      <c r="BW418" s="98"/>
      <c r="BX418" s="98"/>
      <c r="BY418" s="98"/>
      <c r="BZ418" s="98"/>
      <c r="CA418" s="98"/>
      <c r="CB418" s="377">
        <v>0.623</v>
      </c>
      <c r="CC418" s="377">
        <v>1</v>
      </c>
      <c r="CD418" s="377">
        <v>1</v>
      </c>
      <c r="CE418" s="377">
        <v>1</v>
      </c>
      <c r="CF418" s="377">
        <v>1</v>
      </c>
      <c r="CG418" s="377">
        <v>1</v>
      </c>
      <c r="CH418" s="377">
        <v>1</v>
      </c>
      <c r="CI418" s="177"/>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c r="DL418" s="129"/>
      <c r="DM418" s="129"/>
      <c r="DN418" s="129"/>
      <c r="DO418" s="129"/>
      <c r="DP418" s="129"/>
      <c r="DQ418" s="129"/>
      <c r="DR418" s="129"/>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
      <c r="A419" s="257"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7">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43"/>
        <v>0</v>
      </c>
      <c r="BV419" s="28"/>
      <c r="BW419" s="28"/>
      <c r="BX419" s="28"/>
      <c r="BY419" s="28"/>
      <c r="BZ419" s="28"/>
      <c r="CA419" s="28"/>
      <c r="CB419" s="365">
        <v>15</v>
      </c>
      <c r="CC419" s="365">
        <f>SUM(CD419,CB419)/2</f>
        <v>15.55</v>
      </c>
      <c r="CD419" s="365">
        <v>16.100000000000001</v>
      </c>
      <c r="CE419" s="365">
        <f>SUM(CF419,CD419)/2</f>
        <v>17.399999999999999</v>
      </c>
      <c r="CF419" s="365">
        <v>18.7</v>
      </c>
      <c r="CG419" s="365">
        <f>SUM(CH419,CF419)/2</f>
        <v>16.774999999999999</v>
      </c>
      <c r="CH419" s="365">
        <f>19.8*0.75</f>
        <v>14.850000000000001</v>
      </c>
      <c r="CI419" s="176"/>
      <c r="CJ419" s="176"/>
      <c r="CK419" s="176"/>
      <c r="CL419" s="176"/>
      <c r="CM419" s="176"/>
      <c r="CN419" s="176"/>
      <c r="CO419" s="176"/>
      <c r="CP419" s="177"/>
      <c r="CQ419" s="177"/>
      <c r="CR419" s="177"/>
      <c r="CS419" s="177"/>
      <c r="CT419" s="177"/>
      <c r="CU419" s="177"/>
      <c r="CV419" s="177"/>
      <c r="CW419" s="168"/>
      <c r="CX419" s="169"/>
      <c r="CY419" s="169"/>
      <c r="CZ419" s="169"/>
      <c r="DA419" s="169"/>
      <c r="DB419" s="169"/>
      <c r="DC419" s="169"/>
      <c r="DD419" s="173"/>
      <c r="DE419" s="173"/>
      <c r="DF419" s="173"/>
      <c r="DG419" s="173"/>
      <c r="DH419" s="173"/>
      <c r="DI419" s="173"/>
      <c r="DJ419" s="173"/>
      <c r="DK419" s="80" t="s">
        <v>1674</v>
      </c>
      <c r="DL419" s="129">
        <v>60</v>
      </c>
      <c r="DM419" s="129">
        <v>60</v>
      </c>
      <c r="DN419" s="129">
        <v>60</v>
      </c>
      <c r="DO419" s="129">
        <v>60</v>
      </c>
      <c r="DP419" s="129">
        <v>60</v>
      </c>
      <c r="DQ419" s="129">
        <v>60</v>
      </c>
      <c r="DR419" s="129">
        <v>60</v>
      </c>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
      <c r="A420" s="229" t="s">
        <v>1675</v>
      </c>
      <c r="B420" s="226"/>
      <c r="C420" s="226" t="s">
        <v>817</v>
      </c>
      <c r="D420" s="226" t="s">
        <v>1498</v>
      </c>
      <c r="E420" s="226" t="s">
        <v>504</v>
      </c>
      <c r="F420" s="226" t="s">
        <v>516</v>
      </c>
      <c r="G420" s="230" t="s">
        <v>1676</v>
      </c>
      <c r="H420" s="227"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7">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43"/>
        <v>0</v>
      </c>
      <c r="BV420" s="27"/>
      <c r="BW420" s="27"/>
      <c r="BX420" s="27"/>
      <c r="BY420" s="27"/>
      <c r="BZ420" s="27"/>
      <c r="CA420" s="27"/>
      <c r="CB420" s="365"/>
      <c r="CC420" s="365">
        <f>(($CH$420-$CB$420)/($CH$5-$CB$5))*(CC$5-CB$5)+CB420</f>
        <v>65.53125</v>
      </c>
      <c r="CD420" s="365">
        <f>(($CH$420-$CB$420)/($CH$5-$CB$5))*(CD$5-CC$5)+CC420</f>
        <v>174.75</v>
      </c>
      <c r="CE420" s="365">
        <f>(($CH$420-$CB$420)/($CH$5-$CB$5))*(CE$5-CD$5)+CD420</f>
        <v>283.96875</v>
      </c>
      <c r="CF420" s="365">
        <f>(($CH$420-$CB$420)/($CH$5-$CB$5))*(CF$5-CE$5)+CE420</f>
        <v>393.1875</v>
      </c>
      <c r="CG420" s="365">
        <f>(($CH$420-$CB$420)/($CH$5-$CB$5))*(CG$5-CF$5)+CF420</f>
        <v>502.40625</v>
      </c>
      <c r="CH420" s="365">
        <f>(558+1073)/2*0.75</f>
        <v>611.625</v>
      </c>
      <c r="CI420" s="174"/>
      <c r="CJ420" s="174"/>
      <c r="CK420" s="174"/>
      <c r="CL420" s="174"/>
      <c r="CM420" s="174"/>
      <c r="CN420" s="174"/>
      <c r="CO420" s="174"/>
      <c r="CP420" s="175"/>
      <c r="CQ420" s="175"/>
      <c r="CR420" s="175"/>
      <c r="CS420" s="175"/>
      <c r="CT420" s="175"/>
      <c r="CU420" s="175"/>
      <c r="CV420" s="175"/>
      <c r="CW420" s="166"/>
      <c r="CX420" s="167"/>
      <c r="CY420" s="167"/>
      <c r="CZ420" s="167"/>
      <c r="DA420" s="167"/>
      <c r="DB420" s="167"/>
      <c r="DC420" s="167"/>
      <c r="DD420" s="172"/>
      <c r="DE420" s="172"/>
      <c r="DF420" s="172"/>
      <c r="DG420" s="172"/>
      <c r="DH420" s="172"/>
      <c r="DI420" s="172"/>
      <c r="DJ420" s="172"/>
      <c r="DK420" s="79" t="s">
        <v>1677</v>
      </c>
      <c r="DL420" s="128"/>
      <c r="DM420" s="128"/>
      <c r="DN420" s="128"/>
      <c r="DO420" s="128"/>
      <c r="DP420" s="128"/>
      <c r="DQ420" s="128"/>
      <c r="DR420" s="128"/>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
      <c r="A421" s="229" t="s">
        <v>1678</v>
      </c>
      <c r="B421" s="226"/>
      <c r="C421" s="226" t="s">
        <v>817</v>
      </c>
      <c r="D421" s="226" t="s">
        <v>1498</v>
      </c>
      <c r="E421" s="226" t="s">
        <v>504</v>
      </c>
      <c r="F421" s="226" t="s">
        <v>516</v>
      </c>
      <c r="G421" s="230" t="s">
        <v>1679</v>
      </c>
      <c r="H421" s="227"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7">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4">IF(BL421=1,BN421,0)</f>
        <v>0</v>
      </c>
      <c r="BV421" s="28"/>
      <c r="BW421" s="28"/>
      <c r="BX421" s="28"/>
      <c r="BY421" s="28"/>
      <c r="BZ421" s="28"/>
      <c r="CA421" s="28"/>
      <c r="CB421" s="365"/>
      <c r="CC421" s="365"/>
      <c r="CD421" s="365"/>
      <c r="CE421" s="365"/>
      <c r="CF421" s="365"/>
      <c r="CG421" s="365"/>
      <c r="CH421" s="365"/>
      <c r="CI421" s="176"/>
      <c r="CJ421" s="176"/>
      <c r="CK421" s="176"/>
      <c r="CL421" s="176"/>
      <c r="CM421" s="176"/>
      <c r="CN421" s="176"/>
      <c r="CO421" s="176"/>
      <c r="CP421" s="177"/>
      <c r="CQ421" s="177"/>
      <c r="CR421" s="177"/>
      <c r="CS421" s="177"/>
      <c r="CT421" s="177"/>
      <c r="CU421" s="177"/>
      <c r="CV421" s="177"/>
      <c r="CW421" s="168"/>
      <c r="CX421" s="169"/>
      <c r="CY421" s="169"/>
      <c r="CZ421" s="169"/>
      <c r="DA421" s="169"/>
      <c r="DB421" s="169"/>
      <c r="DC421" s="169"/>
      <c r="DD421" s="173"/>
      <c r="DE421" s="173"/>
      <c r="DF421" s="173"/>
      <c r="DG421" s="173"/>
      <c r="DH421" s="173"/>
      <c r="DI421" s="173"/>
      <c r="DJ421" s="173"/>
      <c r="DK421" s="79" t="s">
        <v>1677</v>
      </c>
      <c r="DL421" s="129"/>
      <c r="DM421" s="129"/>
      <c r="DN421" s="129"/>
      <c r="DO421" s="129"/>
      <c r="DP421" s="129"/>
      <c r="DQ421" s="129"/>
      <c r="DR421" s="129"/>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
      <c r="A422" s="257"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7">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43"/>
        <v>0</v>
      </c>
      <c r="BV422" s="27"/>
      <c r="BW422" s="27"/>
      <c r="BX422" s="27"/>
      <c r="BY422" s="27"/>
      <c r="BZ422" s="27"/>
      <c r="CA422" s="27"/>
      <c r="CB422" s="365">
        <v>11.7</v>
      </c>
      <c r="CC422" s="365">
        <f>SUM(CD422,CB422)/2</f>
        <v>16.799999999999997</v>
      </c>
      <c r="CD422" s="365">
        <v>21.9</v>
      </c>
      <c r="CE422" s="365">
        <f>SUM(CF422,CD422)/2</f>
        <v>20.75</v>
      </c>
      <c r="CF422" s="365">
        <v>19.600000000000001</v>
      </c>
      <c r="CG422" s="365">
        <f>SUM(CH422,CF422)/2</f>
        <v>18.350000000000001</v>
      </c>
      <c r="CH422" s="365">
        <v>17.100000000000001</v>
      </c>
      <c r="CI422" s="174"/>
      <c r="CJ422" s="174"/>
      <c r="CK422" s="174"/>
      <c r="CL422" s="174"/>
      <c r="CM422" s="174"/>
      <c r="CN422" s="174"/>
      <c r="CO422" s="174"/>
      <c r="CP422" s="175"/>
      <c r="CQ422" s="175"/>
      <c r="CR422" s="175"/>
      <c r="CS422" s="175"/>
      <c r="CT422" s="175"/>
      <c r="CU422" s="175"/>
      <c r="CV422" s="175"/>
      <c r="CW422" s="166"/>
      <c r="CX422" s="167"/>
      <c r="CY422" s="167"/>
      <c r="CZ422" s="167"/>
      <c r="DA422" s="167"/>
      <c r="DB422" s="167"/>
      <c r="DC422" s="167"/>
      <c r="DD422" s="172"/>
      <c r="DE422" s="172"/>
      <c r="DF422" s="172"/>
      <c r="DG422" s="172"/>
      <c r="DH422" s="172"/>
      <c r="DI422" s="172"/>
      <c r="DJ422" s="172"/>
      <c r="DK422" s="79" t="s">
        <v>1674</v>
      </c>
      <c r="DL422" s="128">
        <v>23</v>
      </c>
      <c r="DM422" s="128">
        <v>23</v>
      </c>
      <c r="DN422" s="128">
        <v>23</v>
      </c>
      <c r="DO422" s="128">
        <v>23</v>
      </c>
      <c r="DP422" s="128">
        <v>23</v>
      </c>
      <c r="DQ422" s="128">
        <v>23</v>
      </c>
      <c r="DR422" s="128">
        <v>23</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
      <c r="A423" s="257"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7">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43"/>
        <v>0</v>
      </c>
      <c r="BV423" s="28"/>
      <c r="BW423" s="28"/>
      <c r="BX423" s="28"/>
      <c r="BY423" s="28"/>
      <c r="BZ423" s="28"/>
      <c r="CA423" s="28"/>
      <c r="CB423" s="365">
        <v>5.3</v>
      </c>
      <c r="CC423" s="365">
        <f t="shared" ref="CC423:CG429" si="345">ROUND((CB423+CD423)/2,2)</f>
        <v>5.3</v>
      </c>
      <c r="CD423" s="365">
        <v>5.3</v>
      </c>
      <c r="CE423" s="365">
        <f t="shared" ref="CE423:CE429" si="346">ROUND((CD423+CF423)/2,2)</f>
        <v>5.5</v>
      </c>
      <c r="CF423" s="365">
        <v>5.7</v>
      </c>
      <c r="CG423" s="365">
        <f t="shared" ref="CG423:CG429" si="347">ROUND((CF423+CH423)/2,2)</f>
        <v>5.95</v>
      </c>
      <c r="CH423" s="365">
        <v>6.2</v>
      </c>
      <c r="CI423" s="176"/>
      <c r="CJ423" s="176"/>
      <c r="CK423" s="176"/>
      <c r="CL423" s="176"/>
      <c r="CM423" s="176"/>
      <c r="CN423" s="176"/>
      <c r="CO423" s="176"/>
      <c r="CP423" s="177"/>
      <c r="CQ423" s="177"/>
      <c r="CR423" s="177"/>
      <c r="CS423" s="177"/>
      <c r="CT423" s="177"/>
      <c r="CU423" s="177"/>
      <c r="CV423" s="177"/>
      <c r="CW423" s="168"/>
      <c r="CX423" s="169"/>
      <c r="CY423" s="169"/>
      <c r="CZ423" s="169"/>
      <c r="DA423" s="169"/>
      <c r="DB423" s="169"/>
      <c r="DC423" s="169"/>
      <c r="DD423" s="173"/>
      <c r="DE423" s="173"/>
      <c r="DF423" s="173"/>
      <c r="DG423" s="173"/>
      <c r="DH423" s="173"/>
      <c r="DI423" s="173"/>
      <c r="DJ423" s="173"/>
      <c r="DK423" s="80" t="s">
        <v>1674</v>
      </c>
      <c r="DL423" s="129">
        <v>9.52</v>
      </c>
      <c r="DM423" s="129">
        <v>9.52</v>
      </c>
      <c r="DN423" s="129">
        <v>9.52</v>
      </c>
      <c r="DO423" s="129">
        <v>9.52</v>
      </c>
      <c r="DP423" s="129">
        <v>9.52</v>
      </c>
      <c r="DQ423" s="129">
        <v>9.52</v>
      </c>
      <c r="DR423" s="129">
        <v>9.52</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
      <c r="A424" s="257"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7">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43"/>
        <v>0</v>
      </c>
      <c r="BV424" s="27"/>
      <c r="BW424" s="27"/>
      <c r="BX424" s="27"/>
      <c r="BY424" s="27"/>
      <c r="BZ424" s="27"/>
      <c r="CA424" s="27"/>
      <c r="CB424" s="365">
        <v>0.3</v>
      </c>
      <c r="CC424" s="365">
        <f t="shared" si="345"/>
        <v>0.35</v>
      </c>
      <c r="CD424" s="365">
        <v>0.4</v>
      </c>
      <c r="CE424" s="365">
        <f t="shared" si="345"/>
        <v>0.4</v>
      </c>
      <c r="CF424" s="365">
        <v>0.4</v>
      </c>
      <c r="CG424" s="365">
        <f t="shared" si="345"/>
        <v>0.45</v>
      </c>
      <c r="CH424" s="365">
        <v>0.5</v>
      </c>
      <c r="CI424" s="174"/>
      <c r="CJ424" s="174"/>
      <c r="CK424" s="174"/>
      <c r="CL424" s="174"/>
      <c r="CM424" s="174"/>
      <c r="CN424" s="174"/>
      <c r="CO424" s="174"/>
      <c r="CP424" s="175"/>
      <c r="CQ424" s="175"/>
      <c r="CR424" s="175"/>
      <c r="CS424" s="175"/>
      <c r="CT424" s="175"/>
      <c r="CU424" s="175"/>
      <c r="CV424" s="175"/>
      <c r="CW424" s="166"/>
      <c r="CX424" s="167"/>
      <c r="CY424" s="167"/>
      <c r="CZ424" s="167"/>
      <c r="DA424" s="167"/>
      <c r="DB424" s="167"/>
      <c r="DC424" s="167"/>
      <c r="DD424" s="172"/>
      <c r="DE424" s="172"/>
      <c r="DF424" s="172"/>
      <c r="DG424" s="172"/>
      <c r="DH424" s="172"/>
      <c r="DI424" s="172"/>
      <c r="DJ424" s="172"/>
      <c r="DK424" s="79" t="s">
        <v>1674</v>
      </c>
      <c r="DL424" s="128">
        <v>5.6</v>
      </c>
      <c r="DM424" s="128">
        <v>5.6</v>
      </c>
      <c r="DN424" s="128">
        <v>5.6</v>
      </c>
      <c r="DO424" s="128">
        <v>5.6</v>
      </c>
      <c r="DP424" s="128">
        <v>5.6</v>
      </c>
      <c r="DQ424" s="128">
        <v>5.6</v>
      </c>
      <c r="DR424" s="128">
        <v>5.6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
      <c r="A425" s="257"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7">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43"/>
        <v>0</v>
      </c>
      <c r="BV425" s="28"/>
      <c r="BW425" s="28"/>
      <c r="BX425" s="28"/>
      <c r="BY425" s="28"/>
      <c r="BZ425" s="28"/>
      <c r="CA425" s="28"/>
      <c r="CB425" s="390">
        <v>71.900000000000006</v>
      </c>
      <c r="CC425" s="365">
        <f>SUM(CD425,CB425)/2</f>
        <v>71.900000000000006</v>
      </c>
      <c r="CD425" s="365">
        <v>71.900000000000006</v>
      </c>
      <c r="CE425" s="365">
        <f>SUM(CF425,CD425)/2</f>
        <v>71.900000000000006</v>
      </c>
      <c r="CF425" s="365">
        <v>71.900000000000006</v>
      </c>
      <c r="CG425" s="365">
        <f>SUM(CH425,CF425)/2</f>
        <v>71.900000000000006</v>
      </c>
      <c r="CH425" s="365">
        <v>71.900000000000006</v>
      </c>
      <c r="CI425" s="176"/>
      <c r="CJ425" s="176"/>
      <c r="CK425" s="176"/>
      <c r="CL425" s="176"/>
      <c r="CM425" s="176"/>
      <c r="CN425" s="176"/>
      <c r="CO425" s="176"/>
      <c r="CP425" s="177"/>
      <c r="CQ425" s="177"/>
      <c r="CR425" s="177"/>
      <c r="CS425" s="177"/>
      <c r="CT425" s="177"/>
      <c r="CU425" s="177"/>
      <c r="CV425" s="177"/>
      <c r="CW425" s="168"/>
      <c r="CX425" s="169"/>
      <c r="CY425" s="169"/>
      <c r="CZ425" s="169"/>
      <c r="DA425" s="169"/>
      <c r="DB425" s="169"/>
      <c r="DC425" s="169"/>
      <c r="DD425" s="173"/>
      <c r="DE425" s="173"/>
      <c r="DF425" s="173"/>
      <c r="DG425" s="173"/>
      <c r="DH425" s="173"/>
      <c r="DI425" s="173"/>
      <c r="DJ425" s="173"/>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
      <c r="A426" s="257"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7">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43"/>
        <v>0</v>
      </c>
      <c r="BV426" s="27"/>
      <c r="BW426" s="27"/>
      <c r="BX426" s="27"/>
      <c r="BY426" s="27"/>
      <c r="BZ426" s="27"/>
      <c r="CA426" s="27"/>
      <c r="CB426" s="365">
        <v>14.2</v>
      </c>
      <c r="CC426" s="365">
        <f>SUM(CD426,CB426)/2</f>
        <v>17.549999999999997</v>
      </c>
      <c r="CD426" s="365">
        <v>20.9</v>
      </c>
      <c r="CE426" s="365">
        <f>SUM(CF426,CD426)/2</f>
        <v>19.25</v>
      </c>
      <c r="CF426" s="365">
        <v>17.600000000000001</v>
      </c>
      <c r="CG426" s="365">
        <f>SUM(CH426,CF426)/2</f>
        <v>16</v>
      </c>
      <c r="CH426" s="365">
        <v>14.4</v>
      </c>
      <c r="CI426" s="174"/>
      <c r="CJ426" s="174"/>
      <c r="CK426" s="174"/>
      <c r="CL426" s="174"/>
      <c r="CM426" s="174"/>
      <c r="CN426" s="174"/>
      <c r="CO426" s="174"/>
      <c r="CP426" s="175"/>
      <c r="CQ426" s="175"/>
      <c r="CR426" s="175"/>
      <c r="CS426" s="175"/>
      <c r="CT426" s="175"/>
      <c r="CU426" s="175"/>
      <c r="CV426" s="175"/>
      <c r="CW426" s="166"/>
      <c r="CX426" s="167"/>
      <c r="CY426" s="167"/>
      <c r="CZ426" s="167"/>
      <c r="DA426" s="167"/>
      <c r="DB426" s="167"/>
      <c r="DC426" s="167"/>
      <c r="DD426" s="172"/>
      <c r="DE426" s="172"/>
      <c r="DF426" s="172"/>
      <c r="DG426" s="172"/>
      <c r="DH426" s="172"/>
      <c r="DI426" s="172"/>
      <c r="DJ426" s="172"/>
      <c r="DK426" s="79" t="s">
        <v>1674</v>
      </c>
      <c r="DL426" s="128">
        <v>15.79</v>
      </c>
      <c r="DM426" s="128">
        <v>15.79</v>
      </c>
      <c r="DN426" s="128">
        <v>15.79</v>
      </c>
      <c r="DO426" s="128">
        <v>15.79</v>
      </c>
      <c r="DP426" s="128">
        <v>15.79</v>
      </c>
      <c r="DQ426" s="128">
        <v>15.79</v>
      </c>
      <c r="DR426" s="128">
        <v>15.79</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
      <c r="A427" s="257"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7">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43"/>
        <v>0</v>
      </c>
      <c r="BV427" s="28"/>
      <c r="BW427" s="28"/>
      <c r="BX427" s="28"/>
      <c r="BY427" s="28"/>
      <c r="BZ427" s="28"/>
      <c r="CA427" s="28"/>
      <c r="CB427" s="305"/>
      <c r="CC427" s="305"/>
      <c r="CD427" s="305"/>
      <c r="CE427" s="305"/>
      <c r="CF427" s="305"/>
      <c r="CG427" s="305"/>
      <c r="CH427" s="305"/>
      <c r="CI427" s="176"/>
      <c r="CJ427" s="176"/>
      <c r="CK427" s="176"/>
      <c r="CL427" s="176"/>
      <c r="CM427" s="176"/>
      <c r="CN427" s="176"/>
      <c r="CO427" s="176"/>
      <c r="CP427" s="177"/>
      <c r="CQ427" s="177"/>
      <c r="CR427" s="177"/>
      <c r="CS427" s="177"/>
      <c r="CT427" s="177"/>
      <c r="CU427" s="177"/>
      <c r="CV427" s="177"/>
      <c r="CW427" s="168"/>
      <c r="CX427" s="169"/>
      <c r="CY427" s="169"/>
      <c r="CZ427" s="169"/>
      <c r="DA427" s="169"/>
      <c r="DB427" s="169"/>
      <c r="DC427" s="169"/>
      <c r="DD427" s="173"/>
      <c r="DE427" s="173"/>
      <c r="DF427" s="173"/>
      <c r="DG427" s="173"/>
      <c r="DH427" s="173"/>
      <c r="DI427" s="173"/>
      <c r="DJ427" s="173"/>
      <c r="DK427" s="80" t="s">
        <v>1674</v>
      </c>
      <c r="DL427" s="129">
        <v>0.62</v>
      </c>
      <c r="DM427" s="129">
        <v>0.62</v>
      </c>
      <c r="DN427" s="129">
        <v>0.62</v>
      </c>
      <c r="DO427" s="129">
        <v>0.62</v>
      </c>
      <c r="DP427" s="129">
        <v>0.62</v>
      </c>
      <c r="DQ427" s="129">
        <v>0.62</v>
      </c>
      <c r="DR427" s="129">
        <v>0.62</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7">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43"/>
        <v>0</v>
      </c>
      <c r="BV428" s="27"/>
      <c r="BW428" s="27"/>
      <c r="BX428" s="27"/>
      <c r="BY428" s="27"/>
      <c r="BZ428" s="27"/>
      <c r="CA428" s="27"/>
      <c r="CB428" s="365">
        <v>0.1</v>
      </c>
      <c r="CC428" s="365">
        <f>SUM(CD428,CB428)/2</f>
        <v>0.1</v>
      </c>
      <c r="CD428" s="365">
        <v>0.1</v>
      </c>
      <c r="CE428" s="365">
        <f>SUM(CF428,CD428)/2</f>
        <v>0.1</v>
      </c>
      <c r="CF428" s="365">
        <v>0.1</v>
      </c>
      <c r="CG428" s="365">
        <f>SUM(CH428,CF428)/2</f>
        <v>0.1</v>
      </c>
      <c r="CH428" s="365">
        <v>0.1</v>
      </c>
      <c r="CI428" s="174"/>
      <c r="CJ428" s="174"/>
      <c r="CK428" s="174"/>
      <c r="CL428" s="174"/>
      <c r="CM428" s="174"/>
      <c r="CN428" s="174"/>
      <c r="CO428" s="174"/>
      <c r="CP428" s="175"/>
      <c r="CQ428" s="175"/>
      <c r="CR428" s="175"/>
      <c r="CS428" s="175"/>
      <c r="CT428" s="175"/>
      <c r="CU428" s="175"/>
      <c r="CV428" s="175"/>
      <c r="CW428" s="166"/>
      <c r="CX428" s="167"/>
      <c r="CY428" s="167"/>
      <c r="CZ428" s="167"/>
      <c r="DA428" s="167"/>
      <c r="DB428" s="167"/>
      <c r="DC428" s="167"/>
      <c r="DD428" s="172"/>
      <c r="DE428" s="172"/>
      <c r="DF428" s="172"/>
      <c r="DG428" s="172"/>
      <c r="DH428" s="172"/>
      <c r="DI428" s="172"/>
      <c r="DJ428" s="172"/>
      <c r="DK428" s="79" t="s">
        <v>1674</v>
      </c>
      <c r="DL428" s="128">
        <v>0.01</v>
      </c>
      <c r="DM428" s="128">
        <v>0.01</v>
      </c>
      <c r="DN428" s="128">
        <v>0.01</v>
      </c>
      <c r="DO428" s="128">
        <v>0.01</v>
      </c>
      <c r="DP428" s="128">
        <v>0.01</v>
      </c>
      <c r="DQ428" s="128">
        <v>0.01</v>
      </c>
      <c r="DR428" s="128">
        <v>0.01</v>
      </c>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
      <c r="A429" s="229" t="s">
        <v>1687</v>
      </c>
      <c r="B429" s="226"/>
      <c r="C429" s="226" t="s">
        <v>817</v>
      </c>
      <c r="D429" s="226" t="s">
        <v>1498</v>
      </c>
      <c r="E429" s="226" t="s">
        <v>1499</v>
      </c>
      <c r="F429" s="226" t="s">
        <v>523</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3"/>
        <v>0</v>
      </c>
      <c r="BV429" s="28"/>
      <c r="BW429" s="28"/>
      <c r="BX429" s="28"/>
      <c r="BY429" s="28"/>
      <c r="BZ429" s="28"/>
      <c r="CA429" s="28"/>
      <c r="CB429" s="365">
        <f>67.2-CB428</f>
        <v>67.100000000000009</v>
      </c>
      <c r="CC429" s="365">
        <f t="shared" si="345"/>
        <v>66.95</v>
      </c>
      <c r="CD429" s="365">
        <f>66.9-CD428</f>
        <v>66.800000000000011</v>
      </c>
      <c r="CE429" s="365">
        <f t="shared" si="346"/>
        <v>58.95</v>
      </c>
      <c r="CF429" s="365">
        <f>51.2-CF428</f>
        <v>51.1</v>
      </c>
      <c r="CG429" s="365">
        <f t="shared" si="347"/>
        <v>44.65</v>
      </c>
      <c r="CH429" s="365">
        <f>38.3-CH428</f>
        <v>38.199999999999996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t="s">
        <v>1674</v>
      </c>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
      <c r="A430" s="391" t="s">
        <v>1689</v>
      </c>
      <c r="B430" s="226"/>
      <c r="C430" s="226" t="s">
        <v>817</v>
      </c>
      <c r="D430" s="226" t="s">
        <v>1498</v>
      </c>
      <c r="E430" s="226" t="s">
        <v>1499</v>
      </c>
      <c r="F430" s="226" t="s">
        <v>524</v>
      </c>
      <c r="G430" s="230" t="s">
        <v>1690</v>
      </c>
      <c r="H430" s="227"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2">
        <f>22*(104/105.4)/1.1195</f>
        <v>19.390602846045564</v>
      </c>
      <c r="Y430" s="392">
        <f t="shared" ref="Y430:AD430" si="348">22*(104/105.4)/1.1195</f>
        <v>19.390602846045564</v>
      </c>
      <c r="Z430" s="392">
        <f t="shared" si="348"/>
        <v>19.390602846045564</v>
      </c>
      <c r="AA430" s="392">
        <f t="shared" si="348"/>
        <v>19.390602846045564</v>
      </c>
      <c r="AB430" s="392">
        <f t="shared" si="348"/>
        <v>19.390602846045564</v>
      </c>
      <c r="AC430" s="392">
        <f t="shared" si="348"/>
        <v>19.390602846045564</v>
      </c>
      <c r="AD430" s="392">
        <f t="shared" si="348"/>
        <v>19.390602846045564</v>
      </c>
      <c r="AE430" s="187">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43"/>
        <v>0</v>
      </c>
      <c r="BV430" s="28"/>
      <c r="BW430" s="28"/>
      <c r="BX430" s="28"/>
      <c r="BY430" s="28"/>
      <c r="BZ430" s="28"/>
      <c r="CA430" s="28"/>
      <c r="CB430" s="365">
        <v>1</v>
      </c>
      <c r="CC430" s="365">
        <f>SUM(CD430,CB430)/2</f>
        <v>36.450000000000003</v>
      </c>
      <c r="CD430" s="365">
        <v>71.900000000000006</v>
      </c>
      <c r="CE430" s="365">
        <f>SUM(CF430,CD430)/2</f>
        <v>71.900000000000006</v>
      </c>
      <c r="CF430" s="365">
        <v>71.900000000000006</v>
      </c>
      <c r="CG430" s="365">
        <f>SUM(CH430,CF430)/2</f>
        <v>71.900000000000006</v>
      </c>
      <c r="CH430" s="365">
        <v>71.900000000000006</v>
      </c>
      <c r="CI430" s="176"/>
      <c r="CJ430" s="176"/>
      <c r="CK430" s="176"/>
      <c r="CL430" s="176"/>
      <c r="CM430" s="176"/>
      <c r="CN430" s="176"/>
      <c r="CO430" s="176"/>
      <c r="CP430" s="177"/>
      <c r="CQ430" s="177"/>
      <c r="CR430" s="177"/>
      <c r="CS430" s="177"/>
      <c r="CT430" s="177"/>
      <c r="CU430" s="177"/>
      <c r="CV430" s="177"/>
      <c r="CW430" s="168"/>
      <c r="CX430" s="169"/>
      <c r="CY430" s="169"/>
      <c r="CZ430" s="169"/>
      <c r="DA430" s="169"/>
      <c r="DB430" s="169"/>
      <c r="DC430" s="169"/>
      <c r="DD430" s="173"/>
      <c r="DE430" s="173"/>
      <c r="DF430" s="173"/>
      <c r="DG430" s="173"/>
      <c r="DH430" s="173"/>
      <c r="DI430" s="173"/>
      <c r="DJ430" s="173"/>
      <c r="DK430" s="80"/>
      <c r="DL430" s="129"/>
      <c r="DM430" s="129"/>
      <c r="DN430" s="129"/>
      <c r="DO430" s="129"/>
      <c r="DP430" s="129"/>
      <c r="DQ430" s="129"/>
      <c r="DR430" s="129"/>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7">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43"/>
        <v>0</v>
      </c>
      <c r="BV431" s="27"/>
      <c r="BW431" s="27"/>
      <c r="BX431" s="27"/>
      <c r="BY431" s="27"/>
      <c r="BZ431" s="27"/>
      <c r="CA431" s="27"/>
      <c r="CB431" s="186">
        <v>1000</v>
      </c>
      <c r="CC431" s="186">
        <v>1000</v>
      </c>
      <c r="CD431" s="186">
        <v>1000</v>
      </c>
      <c r="CE431" s="186">
        <v>1000</v>
      </c>
      <c r="CF431" s="186">
        <v>1000</v>
      </c>
      <c r="CG431" s="186">
        <v>1000</v>
      </c>
      <c r="CH431" s="186">
        <v>1000</v>
      </c>
      <c r="CI431" s="174"/>
      <c r="CJ431" s="174"/>
      <c r="CK431" s="174"/>
      <c r="CL431" s="174"/>
      <c r="CM431" s="174"/>
      <c r="CN431" s="174"/>
      <c r="CO431" s="174"/>
      <c r="CP431" s="175"/>
      <c r="CQ431" s="175"/>
      <c r="CR431" s="175"/>
      <c r="CS431" s="175"/>
      <c r="CT431" s="175"/>
      <c r="CU431" s="175"/>
      <c r="CV431" s="175"/>
      <c r="CW431" s="166"/>
      <c r="CX431" s="167"/>
      <c r="CY431" s="167"/>
      <c r="CZ431" s="167"/>
      <c r="DA431" s="167"/>
      <c r="DB431" s="167"/>
      <c r="DC431" s="167"/>
      <c r="DD431" s="172"/>
      <c r="DE431" s="172"/>
      <c r="DF431" s="172"/>
      <c r="DG431" s="172"/>
      <c r="DH431" s="172"/>
      <c r="DI431" s="172"/>
      <c r="DJ431" s="172"/>
      <c r="DK431" s="79" t="s">
        <v>415</v>
      </c>
      <c r="DL431" s="128">
        <v>5000</v>
      </c>
      <c r="DM431" s="128">
        <v>5000</v>
      </c>
      <c r="DN431" s="128">
        <v>5000</v>
      </c>
      <c r="DO431" s="128">
        <v>5000</v>
      </c>
      <c r="DP431" s="128">
        <v>5000</v>
      </c>
      <c r="DQ431" s="128">
        <v>5000</v>
      </c>
      <c r="DR431" s="128">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7">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43"/>
        <v>0</v>
      </c>
      <c r="BV432" s="28"/>
      <c r="BW432" s="28"/>
      <c r="BX432" s="28"/>
      <c r="BY432" s="28"/>
      <c r="BZ432" s="28"/>
      <c r="CA432" s="28"/>
      <c r="CB432" s="186">
        <v>1000</v>
      </c>
      <c r="CC432" s="186">
        <v>1000</v>
      </c>
      <c r="CD432" s="186">
        <v>1000</v>
      </c>
      <c r="CE432" s="186">
        <v>1000</v>
      </c>
      <c r="CF432" s="186">
        <v>1000</v>
      </c>
      <c r="CG432" s="186">
        <v>1000</v>
      </c>
      <c r="CH432" s="186">
        <v>1000</v>
      </c>
      <c r="CI432" s="176"/>
      <c r="CJ432" s="176"/>
      <c r="CK432" s="176"/>
      <c r="CL432" s="176"/>
      <c r="CM432" s="176"/>
      <c r="CN432" s="176"/>
      <c r="CO432" s="176"/>
      <c r="CP432" s="177"/>
      <c r="CQ432" s="177"/>
      <c r="CR432" s="177"/>
      <c r="CS432" s="177"/>
      <c r="CT432" s="177"/>
      <c r="CU432" s="177"/>
      <c r="CV432" s="177"/>
      <c r="CW432" s="168"/>
      <c r="CX432" s="169"/>
      <c r="CY432" s="169"/>
      <c r="CZ432" s="169"/>
      <c r="DA432" s="169"/>
      <c r="DB432" s="169"/>
      <c r="DC432" s="169"/>
      <c r="DD432" s="173"/>
      <c r="DE432" s="173"/>
      <c r="DF432" s="173"/>
      <c r="DG432" s="173"/>
      <c r="DH432" s="173"/>
      <c r="DI432" s="173"/>
      <c r="DJ432" s="173"/>
      <c r="DK432" s="80" t="s">
        <v>415</v>
      </c>
      <c r="DL432" s="129">
        <v>5000</v>
      </c>
      <c r="DM432" s="129">
        <v>5000</v>
      </c>
      <c r="DN432" s="129">
        <v>5000</v>
      </c>
      <c r="DO432" s="129">
        <v>5000</v>
      </c>
      <c r="DP432" s="129">
        <v>5000</v>
      </c>
      <c r="DQ432" s="129">
        <v>5000</v>
      </c>
      <c r="DR432" s="129">
        <v>5000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7">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43"/>
        <v>0</v>
      </c>
      <c r="BV433" s="27"/>
      <c r="BW433" s="27"/>
      <c r="BX433" s="27"/>
      <c r="BY433" s="27"/>
      <c r="BZ433" s="27"/>
      <c r="CA433" s="27"/>
      <c r="CB433" s="97">
        <v>1000</v>
      </c>
      <c r="CC433" s="97">
        <f t="shared" ref="CC433:CC434" si="349">ROUND((CB433+CD433)/2,2)</f>
        <v>1000</v>
      </c>
      <c r="CD433" s="97">
        <v>1000</v>
      </c>
      <c r="CE433" s="97">
        <f t="shared" ref="CE433:CE434" si="350">ROUND((CD433+CF433)/2,2)</f>
        <v>1000</v>
      </c>
      <c r="CF433" s="97">
        <f t="shared" ref="CF433:CF434" si="351">ROUND((CD433+CH433)/2,2)</f>
        <v>1000</v>
      </c>
      <c r="CG433" s="97">
        <f t="shared" ref="CG433:CG434" si="352">ROUND((CF433+CH433)/2,2)</f>
        <v>1000</v>
      </c>
      <c r="CH433" s="97">
        <v>1000</v>
      </c>
      <c r="CI433" s="174"/>
      <c r="CJ433" s="174"/>
      <c r="CK433" s="174"/>
      <c r="CL433" s="174"/>
      <c r="CM433" s="174"/>
      <c r="CN433" s="174"/>
      <c r="CO433" s="174"/>
      <c r="CP433" s="175"/>
      <c r="CQ433" s="175"/>
      <c r="CR433" s="175"/>
      <c r="CS433" s="175"/>
      <c r="CT433" s="175"/>
      <c r="CU433" s="175"/>
      <c r="CV433" s="175"/>
      <c r="CW433" s="166"/>
      <c r="CX433" s="167"/>
      <c r="CY433" s="167"/>
      <c r="CZ433" s="167"/>
      <c r="DA433" s="167"/>
      <c r="DB433" s="167"/>
      <c r="DC433" s="167"/>
      <c r="DD433" s="172"/>
      <c r="DE433" s="172"/>
      <c r="DF433" s="172"/>
      <c r="DG433" s="172"/>
      <c r="DH433" s="172"/>
      <c r="DI433" s="172"/>
      <c r="DJ433" s="172"/>
      <c r="DK433" s="79" t="s">
        <v>415</v>
      </c>
      <c r="DL433" s="128">
        <v>1000</v>
      </c>
      <c r="DM433" s="128">
        <v>1000</v>
      </c>
      <c r="DN433" s="128">
        <v>1000</v>
      </c>
      <c r="DO433" s="128">
        <v>1000</v>
      </c>
      <c r="DP433" s="128">
        <v>1000</v>
      </c>
      <c r="DQ433" s="128">
        <v>1000</v>
      </c>
      <c r="DR433" s="128">
        <v>1000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7">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43"/>
        <v>0</v>
      </c>
      <c r="BV434" s="28"/>
      <c r="BW434" s="28"/>
      <c r="BX434" s="28"/>
      <c r="BY434" s="28"/>
      <c r="BZ434" s="28"/>
      <c r="CA434" s="28"/>
      <c r="CB434" s="99">
        <v>20</v>
      </c>
      <c r="CC434" s="99">
        <f t="shared" si="349"/>
        <v>35</v>
      </c>
      <c r="CD434" s="99">
        <v>50</v>
      </c>
      <c r="CE434" s="99">
        <f t="shared" si="350"/>
        <v>87.5</v>
      </c>
      <c r="CF434" s="99">
        <f t="shared" si="351"/>
        <v>125</v>
      </c>
      <c r="CG434" s="99">
        <f t="shared" si="352"/>
        <v>162.5</v>
      </c>
      <c r="CH434" s="99">
        <v>200</v>
      </c>
      <c r="CI434" s="176"/>
      <c r="CJ434" s="176"/>
      <c r="CK434" s="176"/>
      <c r="CL434" s="176"/>
      <c r="CM434" s="176"/>
      <c r="CN434" s="176"/>
      <c r="CO434" s="176"/>
      <c r="CP434" s="177"/>
      <c r="CQ434" s="177"/>
      <c r="CR434" s="177"/>
      <c r="CS434" s="177"/>
      <c r="CT434" s="177"/>
      <c r="CU434" s="177"/>
      <c r="CV434" s="177"/>
      <c r="CW434" s="168"/>
      <c r="CX434" s="169"/>
      <c r="CY434" s="169"/>
      <c r="CZ434" s="169"/>
      <c r="DA434" s="169"/>
      <c r="DB434" s="169"/>
      <c r="DC434" s="169"/>
      <c r="DD434" s="173"/>
      <c r="DE434" s="173"/>
      <c r="DF434" s="173"/>
      <c r="DG434" s="173"/>
      <c r="DH434" s="173"/>
      <c r="DI434" s="173"/>
      <c r="DJ434" s="173"/>
      <c r="DK434" s="80" t="s">
        <v>415</v>
      </c>
      <c r="DL434" s="129">
        <v>200</v>
      </c>
      <c r="DM434" s="129">
        <v>200</v>
      </c>
      <c r="DN434" s="129">
        <v>200</v>
      </c>
      <c r="DO434" s="129">
        <v>200</v>
      </c>
      <c r="DP434" s="129">
        <v>200</v>
      </c>
      <c r="DQ434" s="129">
        <v>200</v>
      </c>
      <c r="DR434" s="129">
        <v>200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7">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43"/>
        <v>0</v>
      </c>
      <c r="BV435" s="27"/>
      <c r="BW435" s="27"/>
      <c r="BX435" s="27"/>
      <c r="BY435" s="27"/>
      <c r="BZ435" s="27"/>
      <c r="CA435" s="27"/>
      <c r="CB435" s="97">
        <v>500</v>
      </c>
      <c r="CC435" s="97">
        <v>500</v>
      </c>
      <c r="CD435" s="97">
        <v>500</v>
      </c>
      <c r="CE435" s="97">
        <v>500</v>
      </c>
      <c r="CF435" s="97">
        <v>500</v>
      </c>
      <c r="CG435" s="97">
        <v>500</v>
      </c>
      <c r="CH435" s="97">
        <v>500</v>
      </c>
      <c r="CI435" s="174"/>
      <c r="CJ435" s="174"/>
      <c r="CK435" s="174"/>
      <c r="CL435" s="174"/>
      <c r="CM435" s="174"/>
      <c r="CN435" s="174"/>
      <c r="CO435" s="174"/>
      <c r="CP435" s="175"/>
      <c r="CQ435" s="175"/>
      <c r="CR435" s="175"/>
      <c r="CS435" s="175"/>
      <c r="CT435" s="175"/>
      <c r="CU435" s="175"/>
      <c r="CV435" s="175"/>
      <c r="CW435" s="166"/>
      <c r="CX435" s="167"/>
      <c r="CY435" s="167"/>
      <c r="CZ435" s="167"/>
      <c r="DA435" s="167"/>
      <c r="DB435" s="167"/>
      <c r="DC435" s="167"/>
      <c r="DD435" s="172"/>
      <c r="DE435" s="172"/>
      <c r="DF435" s="172"/>
      <c r="DG435" s="172"/>
      <c r="DH435" s="172"/>
      <c r="DI435" s="172"/>
      <c r="DJ435" s="172"/>
      <c r="DK435" s="79" t="s">
        <v>415</v>
      </c>
      <c r="DL435" s="128">
        <v>500</v>
      </c>
      <c r="DM435" s="128">
        <v>500</v>
      </c>
      <c r="DN435" s="128">
        <v>500</v>
      </c>
      <c r="DO435" s="128">
        <v>500</v>
      </c>
      <c r="DP435" s="128">
        <v>500</v>
      </c>
      <c r="DQ435" s="128">
        <v>500</v>
      </c>
      <c r="DR435" s="128">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7">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43"/>
        <v>0</v>
      </c>
      <c r="BV436" s="28"/>
      <c r="BW436" s="28"/>
      <c r="BX436" s="28"/>
      <c r="BY436" s="28"/>
      <c r="BZ436" s="28"/>
      <c r="CA436" s="28"/>
      <c r="CB436" s="186">
        <v>500</v>
      </c>
      <c r="CC436" s="186">
        <v>500</v>
      </c>
      <c r="CD436" s="186">
        <v>500</v>
      </c>
      <c r="CE436" s="186">
        <v>500</v>
      </c>
      <c r="CF436" s="186">
        <v>500</v>
      </c>
      <c r="CG436" s="186">
        <v>500</v>
      </c>
      <c r="CH436" s="186">
        <v>500</v>
      </c>
      <c r="CI436" s="176"/>
      <c r="CJ436" s="176"/>
      <c r="CK436" s="176"/>
      <c r="CL436" s="176"/>
      <c r="CM436" s="176"/>
      <c r="CN436" s="176"/>
      <c r="CO436" s="176"/>
      <c r="CP436" s="177"/>
      <c r="CQ436" s="177"/>
      <c r="CR436" s="177"/>
      <c r="CS436" s="177"/>
      <c r="CT436" s="177"/>
      <c r="CU436" s="177"/>
      <c r="CV436" s="177"/>
      <c r="CW436" s="168"/>
      <c r="CX436" s="169"/>
      <c r="CY436" s="169"/>
      <c r="CZ436" s="169"/>
      <c r="DA436" s="169"/>
      <c r="DB436" s="169"/>
      <c r="DC436" s="169"/>
      <c r="DD436" s="173"/>
      <c r="DE436" s="173"/>
      <c r="DF436" s="173"/>
      <c r="DG436" s="173"/>
      <c r="DH436" s="173"/>
      <c r="DI436" s="173"/>
      <c r="DJ436" s="173"/>
      <c r="DK436" s="80" t="s">
        <v>415</v>
      </c>
      <c r="DL436" s="129">
        <v>500</v>
      </c>
      <c r="DM436" s="129">
        <v>500</v>
      </c>
      <c r="DN436" s="129">
        <v>500</v>
      </c>
      <c r="DO436" s="129">
        <v>500</v>
      </c>
      <c r="DP436" s="129">
        <v>500</v>
      </c>
      <c r="DQ436" s="129">
        <v>500</v>
      </c>
      <c r="DR436" s="129">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3"/>
        <v>0</v>
      </c>
      <c r="BV437" s="27"/>
      <c r="BW437" s="27"/>
      <c r="BX437" s="27"/>
      <c r="BY437" s="27"/>
      <c r="BZ437" s="27"/>
      <c r="CA437" s="27"/>
      <c r="CB437" s="186">
        <v>500</v>
      </c>
      <c r="CC437" s="186">
        <v>500</v>
      </c>
      <c r="CD437" s="186">
        <v>500</v>
      </c>
      <c r="CE437" s="186">
        <v>500</v>
      </c>
      <c r="CF437" s="186">
        <v>500</v>
      </c>
      <c r="CG437" s="186">
        <v>500</v>
      </c>
      <c r="CH437" s="186">
        <v>500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3"/>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7">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3"/>
        <v>0</v>
      </c>
      <c r="BV439" s="27"/>
      <c r="BW439" s="27"/>
      <c r="BX439" s="27"/>
      <c r="BY439" s="27"/>
      <c r="BZ439" s="27"/>
      <c r="CA439" s="27"/>
      <c r="CB439" s="186">
        <v>50</v>
      </c>
      <c r="CC439" s="186">
        <v>50</v>
      </c>
      <c r="CD439" s="186">
        <v>50</v>
      </c>
      <c r="CE439" s="186">
        <v>50</v>
      </c>
      <c r="CF439" s="186">
        <v>50</v>
      </c>
      <c r="CG439" s="186">
        <v>50</v>
      </c>
      <c r="CH439" s="186">
        <v>50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t="s">
        <v>415</v>
      </c>
      <c r="DL439" s="128">
        <v>500</v>
      </c>
      <c r="DM439" s="128">
        <v>500</v>
      </c>
      <c r="DN439" s="128">
        <v>500</v>
      </c>
      <c r="DO439" s="128">
        <v>500</v>
      </c>
      <c r="DP439" s="128">
        <v>500</v>
      </c>
      <c r="DQ439" s="128">
        <v>500</v>
      </c>
      <c r="DR439" s="128">
        <v>500</v>
      </c>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53">Y441*0.1</f>
        <v>6.4098324994561686</v>
      </c>
      <c r="Z440" s="101">
        <f t="shared" si="353"/>
        <v>6.4098324994561686</v>
      </c>
      <c r="AA440" s="101">
        <f t="shared" si="353"/>
        <v>6.4098324994561686</v>
      </c>
      <c r="AB440" s="101">
        <f t="shared" si="353"/>
        <v>6.4098324994561686</v>
      </c>
      <c r="AC440" s="101">
        <f t="shared" si="353"/>
        <v>6.4098324994561686</v>
      </c>
      <c r="AD440" s="101">
        <f t="shared" si="353"/>
        <v>6.4098324994561686</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3"/>
        <v>0</v>
      </c>
      <c r="BV440" s="27"/>
      <c r="BW440" s="27"/>
      <c r="BX440" s="27"/>
      <c r="BY440" s="27"/>
      <c r="BZ440" s="27"/>
      <c r="CA440" s="27"/>
      <c r="CB440" s="186">
        <v>10</v>
      </c>
      <c r="CC440" s="186">
        <v>10</v>
      </c>
      <c r="CD440" s="186">
        <v>10</v>
      </c>
      <c r="CE440" s="186">
        <v>10</v>
      </c>
      <c r="CF440" s="186">
        <v>10</v>
      </c>
      <c r="CG440" s="186">
        <v>10</v>
      </c>
      <c r="CH440" s="186">
        <v>10</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43"/>
        <v>0</v>
      </c>
      <c r="BV441" s="27"/>
      <c r="BW441" s="27"/>
      <c r="BX441" s="27"/>
      <c r="BY441" s="27"/>
      <c r="BZ441" s="27"/>
      <c r="CA441" s="27"/>
      <c r="CB441" s="186">
        <v>0.55100000000000005</v>
      </c>
      <c r="CC441" s="186">
        <v>0.55100000000000005</v>
      </c>
      <c r="CD441" s="186">
        <v>0.55100000000000005</v>
      </c>
      <c r="CE441" s="186">
        <v>0.55100000000000005</v>
      </c>
      <c r="CF441" s="186">
        <v>0.55100000000000005</v>
      </c>
      <c r="CG441" s="186">
        <v>0.55100000000000005</v>
      </c>
      <c r="CH441" s="186">
        <v>0.55100000000000005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7">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5</v>
      </c>
      <c r="CC442" s="186">
        <v>5</v>
      </c>
      <c r="CD442" s="186">
        <v>5</v>
      </c>
      <c r="CE442" s="186">
        <v>5</v>
      </c>
      <c r="CF442" s="186">
        <v>5</v>
      </c>
      <c r="CG442" s="186">
        <v>5</v>
      </c>
      <c r="CH442" s="186">
        <v>5</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x14ac:dyDescent="0.3">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4">J443</f>
        <v>106.72488960075711</v>
      </c>
      <c r="L443" s="101">
        <f t="shared" si="354"/>
        <v>106.72488960075711</v>
      </c>
      <c r="M443" s="101">
        <f t="shared" si="354"/>
        <v>106.72488960075711</v>
      </c>
      <c r="N443" s="101">
        <f t="shared" si="354"/>
        <v>106.72488960075711</v>
      </c>
      <c r="O443" s="101">
        <f t="shared" si="354"/>
        <v>106.72488960075711</v>
      </c>
      <c r="P443" s="93"/>
      <c r="Q443" s="101">
        <f>I443*0.05</f>
        <v>5.3362444800378555</v>
      </c>
      <c r="R443" s="101">
        <f t="shared" ref="R443:W443" si="355">J443*0.05</f>
        <v>5.3362444800378555</v>
      </c>
      <c r="S443" s="101">
        <f t="shared" si="355"/>
        <v>5.3362444800378555</v>
      </c>
      <c r="T443" s="101">
        <f t="shared" si="355"/>
        <v>5.3362444800378555</v>
      </c>
      <c r="U443" s="101">
        <f t="shared" si="355"/>
        <v>5.3362444800378555</v>
      </c>
      <c r="V443" s="101">
        <f t="shared" si="355"/>
        <v>5.3362444800378555</v>
      </c>
      <c r="W443" s="101">
        <f t="shared" si="355"/>
        <v>5.3362444800378555</v>
      </c>
      <c r="X443" s="101">
        <v>0</v>
      </c>
      <c r="Y443" s="101">
        <v>0</v>
      </c>
      <c r="Z443" s="101">
        <v>0</v>
      </c>
      <c r="AA443" s="101">
        <v>0</v>
      </c>
      <c r="AB443" s="101">
        <v>0</v>
      </c>
      <c r="AC443" s="101">
        <v>0</v>
      </c>
      <c r="AD443" s="101">
        <v>0</v>
      </c>
      <c r="AE443" s="187">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6">
        <v>7</v>
      </c>
      <c r="CC443" s="186">
        <f>CB443</f>
        <v>7</v>
      </c>
      <c r="CD443" s="186">
        <f t="shared" ref="CD443:CH443" si="356">CC443</f>
        <v>7</v>
      </c>
      <c r="CE443" s="186">
        <f t="shared" si="356"/>
        <v>7</v>
      </c>
      <c r="CF443" s="186">
        <f t="shared" si="356"/>
        <v>7</v>
      </c>
      <c r="CG443" s="186">
        <f t="shared" si="356"/>
        <v>7</v>
      </c>
      <c r="CH443" s="186">
        <f t="shared" si="356"/>
        <v>7</v>
      </c>
      <c r="CI443" s="174"/>
      <c r="CJ443" s="174"/>
      <c r="CK443" s="174"/>
      <c r="CL443" s="174"/>
      <c r="CM443" s="174"/>
      <c r="CN443" s="174"/>
      <c r="CO443" s="174"/>
      <c r="CP443" s="175"/>
      <c r="CQ443" s="175"/>
      <c r="CR443" s="175"/>
      <c r="CS443" s="175"/>
      <c r="CT443" s="175"/>
      <c r="CU443" s="175"/>
      <c r="CV443" s="175"/>
      <c r="CW443" s="166"/>
      <c r="CX443" s="167"/>
      <c r="CY443" s="167"/>
      <c r="CZ443" s="167"/>
      <c r="DA443" s="167"/>
      <c r="DB443" s="167"/>
      <c r="DC443" s="167"/>
      <c r="DD443" s="172"/>
      <c r="DE443" s="172"/>
      <c r="DF443" s="172"/>
      <c r="DG443" s="172"/>
      <c r="DH443" s="172"/>
      <c r="DI443" s="172"/>
      <c r="DJ443" s="172"/>
      <c r="DK443" s="79"/>
      <c r="DL443" s="128"/>
      <c r="DM443" s="128"/>
      <c r="DN443" s="128"/>
      <c r="DO443" s="128"/>
      <c r="DP443" s="128"/>
      <c r="DQ443" s="128"/>
      <c r="DR443" s="128"/>
      <c r="DS443" s="219"/>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s="212" customFormat="1" x14ac:dyDescent="0.3">
      <c r="A444" s="212" t="s">
        <v>2050</v>
      </c>
      <c r="C444" s="6" t="s">
        <v>817</v>
      </c>
      <c r="D444" s="212" t="s">
        <v>419</v>
      </c>
      <c r="E444" s="212" t="s">
        <v>2051</v>
      </c>
      <c r="F444" s="212" t="s">
        <v>2024</v>
      </c>
      <c r="G444" s="357" t="s">
        <v>2052</v>
      </c>
      <c r="H444" s="357" t="s">
        <v>2053</v>
      </c>
      <c r="I444" s="212">
        <v>0</v>
      </c>
      <c r="J444" s="212">
        <v>0</v>
      </c>
      <c r="K444" s="212">
        <v>0</v>
      </c>
      <c r="L444" s="212">
        <v>0</v>
      </c>
      <c r="M444" s="212">
        <v>0</v>
      </c>
      <c r="N444" s="212">
        <v>0</v>
      </c>
      <c r="O444" s="212">
        <v>0</v>
      </c>
      <c r="Q444" s="212">
        <v>0</v>
      </c>
      <c r="R444" s="212">
        <v>0</v>
      </c>
      <c r="S444" s="212">
        <v>0</v>
      </c>
      <c r="T444" s="212">
        <v>0</v>
      </c>
      <c r="U444" s="212">
        <v>0</v>
      </c>
      <c r="V444" s="212">
        <v>0</v>
      </c>
      <c r="W444" s="212">
        <v>0</v>
      </c>
      <c r="X444" s="212">
        <f>[1]Commodity_prices_MEUR2019!C$42</f>
        <v>9.6087766700829214</v>
      </c>
      <c r="Y444" s="212">
        <f>[1]Commodity_prices_MEUR2019!D$42</f>
        <v>9.6087766700829214</v>
      </c>
      <c r="Z444" s="212">
        <f>[1]Commodity_prices_MEUR2019!E$42</f>
        <v>9.6087766700829214</v>
      </c>
      <c r="AA444" s="212">
        <f>[1]Commodity_prices_MEUR2019!F$42</f>
        <v>9.6087766700829214</v>
      </c>
      <c r="AB444" s="212">
        <f>[1]Commodity_prices_MEUR2019!G$42</f>
        <v>9.6087766700829214</v>
      </c>
      <c r="AC444" s="212">
        <f>[1]Commodity_prices_MEUR2019!H$42</f>
        <v>9.6087766700829214</v>
      </c>
      <c r="AD444" s="212">
        <f>[1]Commodity_prices_MEUR2019!I$42</f>
        <v>9.6087766700829214</v>
      </c>
      <c r="AE444" s="187">
        <v>0.08</v>
      </c>
      <c r="AG444" s="212">
        <v>1</v>
      </c>
      <c r="AH444" s="212">
        <v>1</v>
      </c>
      <c r="AI444" s="212">
        <v>1</v>
      </c>
      <c r="AJ444" s="212" t="s">
        <v>662</v>
      </c>
      <c r="AK444" s="212" t="s">
        <v>745</v>
      </c>
      <c r="AY444" s="212" t="s">
        <v>662</v>
      </c>
      <c r="BN444" s="212">
        <v>11</v>
      </c>
      <c r="BU444" s="212">
        <v>0</v>
      </c>
      <c r="CB444" s="212">
        <f>16.3-11.019</f>
        <v>5.2810000000000006</v>
      </c>
      <c r="CC444" s="212">
        <f t="shared" ref="CC444:CH444" si="357">16.3-11.019</f>
        <v>5.2810000000000006</v>
      </c>
      <c r="CD444" s="212">
        <f t="shared" si="357"/>
        <v>5.2810000000000006</v>
      </c>
      <c r="CE444" s="212">
        <f t="shared" si="357"/>
        <v>5.2810000000000006</v>
      </c>
      <c r="CF444" s="212">
        <f t="shared" si="357"/>
        <v>5.2810000000000006</v>
      </c>
      <c r="CG444" s="212">
        <f t="shared" si="357"/>
        <v>5.2810000000000006</v>
      </c>
      <c r="CH444" s="212">
        <f t="shared" si="357"/>
        <v>5.2810000000000006</v>
      </c>
      <c r="CW444" s="357"/>
      <c r="CX444" s="357"/>
      <c r="CY444" s="357"/>
      <c r="CZ444" s="357"/>
      <c r="DA444" s="357"/>
      <c r="DB444" s="357"/>
      <c r="DC444" s="357"/>
      <c r="DD444" s="357"/>
      <c r="DE444" s="357"/>
      <c r="DF444" s="357"/>
      <c r="DG444" s="357"/>
      <c r="DH444" s="357"/>
      <c r="DI444" s="357"/>
      <c r="DJ444" s="357"/>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
      <c r="A445" s="212" t="s">
        <v>2054</v>
      </c>
      <c r="B445" s="212"/>
      <c r="C445" s="5" t="s">
        <v>817</v>
      </c>
      <c r="D445" s="212" t="s">
        <v>419</v>
      </c>
      <c r="E445" s="212" t="s">
        <v>2051</v>
      </c>
      <c r="F445" s="212" t="s">
        <v>2032</v>
      </c>
      <c r="G445" s="357" t="s">
        <v>2055</v>
      </c>
      <c r="H445" s="357" t="s">
        <v>2056</v>
      </c>
      <c r="I445" s="212">
        <v>0</v>
      </c>
      <c r="J445" s="212">
        <v>0</v>
      </c>
      <c r="K445" s="212">
        <v>0</v>
      </c>
      <c r="L445" s="212">
        <v>0</v>
      </c>
      <c r="M445" s="212">
        <v>0</v>
      </c>
      <c r="N445" s="212">
        <v>0</v>
      </c>
      <c r="O445" s="212">
        <v>0</v>
      </c>
      <c r="P445" s="212"/>
      <c r="Q445" s="212">
        <v>0</v>
      </c>
      <c r="R445" s="212">
        <v>0</v>
      </c>
      <c r="S445" s="212">
        <v>0</v>
      </c>
      <c r="T445" s="212">
        <v>0</v>
      </c>
      <c r="U445" s="212">
        <v>0</v>
      </c>
      <c r="V445" s="212">
        <v>0</v>
      </c>
      <c r="W445" s="212">
        <v>0</v>
      </c>
      <c r="X445" s="212">
        <f>X444/2</f>
        <v>4.8043883350414607</v>
      </c>
      <c r="Y445" s="212">
        <f t="shared" ref="Y445:AD445" si="358">Y444/2</f>
        <v>4.8043883350414607</v>
      </c>
      <c r="Z445" s="212">
        <f t="shared" si="358"/>
        <v>4.8043883350414607</v>
      </c>
      <c r="AA445" s="212">
        <f t="shared" si="358"/>
        <v>4.8043883350414607</v>
      </c>
      <c r="AB445" s="212">
        <f t="shared" si="358"/>
        <v>4.8043883350414607</v>
      </c>
      <c r="AC445" s="212">
        <f t="shared" si="358"/>
        <v>4.8043883350414607</v>
      </c>
      <c r="AD445" s="212">
        <f t="shared" si="358"/>
        <v>4.8043883350414607</v>
      </c>
      <c r="AE445" s="187">
        <v>0.08</v>
      </c>
      <c r="AF445" s="212"/>
      <c r="AG445" s="212">
        <v>1</v>
      </c>
      <c r="AH445" s="212">
        <v>1</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0</v>
      </c>
      <c r="BO445" s="212"/>
      <c r="BP445" s="212"/>
      <c r="BQ445" s="212"/>
      <c r="BR445" s="212"/>
      <c r="BS445" s="212"/>
      <c r="BT445" s="212"/>
      <c r="BU445" s="212">
        <v>0</v>
      </c>
      <c r="BV445" s="212"/>
      <c r="BW445" s="212"/>
      <c r="BX445" s="212"/>
      <c r="BY445" s="212"/>
      <c r="BZ445" s="212"/>
      <c r="CA445" s="212"/>
      <c r="CB445" s="212">
        <v>0.02</v>
      </c>
      <c r="CC445" s="212">
        <v>0.02</v>
      </c>
      <c r="CD445" s="212">
        <v>0.02</v>
      </c>
      <c r="CE445" s="212">
        <v>0.02</v>
      </c>
      <c r="CF445" s="212">
        <v>0.02</v>
      </c>
      <c r="CG445" s="212">
        <v>0.02</v>
      </c>
      <c r="CH445" s="212">
        <v>0.02</v>
      </c>
      <c r="CI445" s="212"/>
      <c r="CJ445" s="212"/>
      <c r="CK445" s="212"/>
      <c r="CL445" s="212"/>
      <c r="CM445" s="212"/>
      <c r="CN445" s="212"/>
      <c r="CO445" s="212"/>
      <c r="CP445" s="212"/>
      <c r="CQ445" s="212"/>
      <c r="CR445" s="212"/>
      <c r="CS445" s="212"/>
      <c r="CT445" s="212"/>
      <c r="CU445" s="212"/>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
      <c r="A446" s="212" t="s">
        <v>2057</v>
      </c>
      <c r="B446" s="212" t="s">
        <v>740</v>
      </c>
      <c r="C446" s="212" t="s">
        <v>655</v>
      </c>
      <c r="D446" s="212" t="s">
        <v>741</v>
      </c>
      <c r="E446" s="212" t="s">
        <v>2058</v>
      </c>
      <c r="F446" s="212" t="s">
        <v>2019</v>
      </c>
      <c r="G446" s="357" t="s">
        <v>2059</v>
      </c>
      <c r="H446" s="357" t="s">
        <v>2060</v>
      </c>
      <c r="I446" s="397">
        <f>(7.78*((30*2400*8760)/10^9)*(138/115)/78.8)</f>
        <v>7.4725912690355334E-2</v>
      </c>
      <c r="J446" s="397">
        <f t="shared" ref="J446:O446" si="359">(7.78*((30*2400*8760)/10^9)*(138/115)/78.8)</f>
        <v>7.4725912690355334E-2</v>
      </c>
      <c r="K446" s="397">
        <f t="shared" si="359"/>
        <v>7.4725912690355334E-2</v>
      </c>
      <c r="L446" s="397">
        <f t="shared" si="359"/>
        <v>7.4725912690355334E-2</v>
      </c>
      <c r="M446" s="397">
        <f t="shared" si="359"/>
        <v>7.4725912690355334E-2</v>
      </c>
      <c r="N446" s="397">
        <f t="shared" si="359"/>
        <v>7.4725912690355334E-2</v>
      </c>
      <c r="O446" s="397">
        <f t="shared" si="359"/>
        <v>7.4725912690355334E-2</v>
      </c>
      <c r="P446" s="212"/>
      <c r="Q446" s="212">
        <f>I446*0.05</f>
        <v>3.736295634517767E-3</v>
      </c>
      <c r="R446" s="212">
        <f t="shared" ref="R446:W448" si="360">J446*0.05</f>
        <v>3.736295634517767E-3</v>
      </c>
      <c r="S446" s="212">
        <f t="shared" si="360"/>
        <v>3.736295634517767E-3</v>
      </c>
      <c r="T446" s="212">
        <f t="shared" si="360"/>
        <v>3.736295634517767E-3</v>
      </c>
      <c r="U446" s="212">
        <f t="shared" si="360"/>
        <v>3.736295634517767E-3</v>
      </c>
      <c r="V446" s="212">
        <f t="shared" si="360"/>
        <v>3.736295634517767E-3</v>
      </c>
      <c r="W446" s="212">
        <f t="shared" si="360"/>
        <v>3.736295634517767E-3</v>
      </c>
      <c r="X446" s="212">
        <v>0</v>
      </c>
      <c r="Y446" s="212">
        <v>0</v>
      </c>
      <c r="Z446" s="212">
        <v>0</v>
      </c>
      <c r="AA446" s="212">
        <v>0</v>
      </c>
      <c r="AB446" s="212">
        <v>0</v>
      </c>
      <c r="AC446" s="212">
        <v>0</v>
      </c>
      <c r="AD446" s="212">
        <v>0</v>
      </c>
      <c r="AE446" s="187">
        <v>0.08</v>
      </c>
      <c r="AF446" s="212"/>
      <c r="AG446" s="212">
        <v>30</v>
      </c>
      <c r="AH446" s="212">
        <v>30</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v>31.2</v>
      </c>
      <c r="BO446" s="212"/>
      <c r="BP446" s="212"/>
      <c r="BQ446" s="212"/>
      <c r="BR446" s="212"/>
      <c r="BS446" s="212"/>
      <c r="BT446" s="212"/>
      <c r="BU446" s="212">
        <v>0</v>
      </c>
      <c r="BV446" s="212"/>
      <c r="BW446" s="212"/>
      <c r="BX446" s="212"/>
      <c r="BY446" s="212"/>
      <c r="BZ446" s="212"/>
      <c r="CA446" s="212"/>
      <c r="CB446" s="398">
        <v>35</v>
      </c>
      <c r="CC446" s="398">
        <v>35</v>
      </c>
      <c r="CD446" s="398">
        <v>35</v>
      </c>
      <c r="CE446" s="398">
        <v>35</v>
      </c>
      <c r="CF446" s="398">
        <v>35</v>
      </c>
      <c r="CG446" s="398">
        <v>35</v>
      </c>
      <c r="CH446" s="398">
        <v>35</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
      <c r="A447" s="212" t="s">
        <v>2061</v>
      </c>
      <c r="B447" s="212" t="s">
        <v>740</v>
      </c>
      <c r="C447" s="212" t="s">
        <v>655</v>
      </c>
      <c r="D447" s="212" t="s">
        <v>741</v>
      </c>
      <c r="E447" s="212" t="s">
        <v>2058</v>
      </c>
      <c r="F447" s="212" t="s">
        <v>2019</v>
      </c>
      <c r="G447" s="357" t="s">
        <v>2062</v>
      </c>
      <c r="H447" s="357" t="s">
        <v>2060</v>
      </c>
      <c r="I447" s="212">
        <f>I446*2</f>
        <v>0.14945182538071067</v>
      </c>
      <c r="J447" s="212">
        <f t="shared" ref="J447:O447" si="361">J446*2</f>
        <v>0.14945182538071067</v>
      </c>
      <c r="K447" s="212">
        <f t="shared" si="361"/>
        <v>0.14945182538071067</v>
      </c>
      <c r="L447" s="212">
        <f t="shared" si="361"/>
        <v>0.14945182538071067</v>
      </c>
      <c r="M447" s="212">
        <f t="shared" si="361"/>
        <v>0.14945182538071067</v>
      </c>
      <c r="N447" s="212">
        <f t="shared" si="361"/>
        <v>0.14945182538071067</v>
      </c>
      <c r="O447" s="212">
        <f t="shared" si="361"/>
        <v>0.14945182538071067</v>
      </c>
      <c r="P447" s="212"/>
      <c r="Q447" s="212">
        <f>I447*0.05</f>
        <v>7.4725912690355341E-3</v>
      </c>
      <c r="R447" s="212">
        <f t="shared" si="360"/>
        <v>7.4725912690355341E-3</v>
      </c>
      <c r="S447" s="212">
        <f t="shared" si="360"/>
        <v>7.4725912690355341E-3</v>
      </c>
      <c r="T447" s="212">
        <f t="shared" si="360"/>
        <v>7.4725912690355341E-3</v>
      </c>
      <c r="U447" s="212">
        <f t="shared" si="360"/>
        <v>7.4725912690355341E-3</v>
      </c>
      <c r="V447" s="212">
        <f t="shared" si="360"/>
        <v>7.4725912690355341E-3</v>
      </c>
      <c r="W447" s="212">
        <f t="shared" si="360"/>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(350*10^3*2.4)/10^6*0.1</f>
        <v>8.4000000000000005E-2</v>
      </c>
      <c r="CD447" s="399">
        <f>(350*10^3*2.4*2)/10^6*0.1</f>
        <v>0.16800000000000001</v>
      </c>
      <c r="CE447" s="399">
        <f>CD447*1.25</f>
        <v>0.21000000000000002</v>
      </c>
      <c r="CF447" s="399">
        <f>CD447*1.5</f>
        <v>0.252</v>
      </c>
      <c r="CG447" s="399">
        <f>CD447*1.75</f>
        <v>0.29400000000000004</v>
      </c>
      <c r="CH447" s="399">
        <f>(350*10^3*2.4*4)/10^6*0.1</f>
        <v>0.33600000000000002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
      <c r="A448" s="212" t="s">
        <v>2063</v>
      </c>
      <c r="B448" s="212" t="s">
        <v>740</v>
      </c>
      <c r="C448" s="212" t="s">
        <v>655</v>
      </c>
      <c r="D448" s="212" t="s">
        <v>741</v>
      </c>
      <c r="E448" s="212" t="s">
        <v>2058</v>
      </c>
      <c r="F448" s="212" t="s">
        <v>2019</v>
      </c>
      <c r="G448" s="357" t="s">
        <v>2064</v>
      </c>
      <c r="H448" s="357" t="s">
        <v>2060</v>
      </c>
      <c r="I448" s="212">
        <f>2*I446</f>
        <v>0.14945182538071067</v>
      </c>
      <c r="J448" s="212">
        <f t="shared" ref="J448:O448" si="362">2*J446</f>
        <v>0.14945182538071067</v>
      </c>
      <c r="K448" s="212">
        <f t="shared" si="362"/>
        <v>0.14945182538071067</v>
      </c>
      <c r="L448" s="212">
        <f t="shared" si="362"/>
        <v>0.14945182538071067</v>
      </c>
      <c r="M448" s="212">
        <f t="shared" si="362"/>
        <v>0.14945182538071067</v>
      </c>
      <c r="N448" s="212">
        <f t="shared" si="362"/>
        <v>0.14945182538071067</v>
      </c>
      <c r="O448" s="212">
        <f t="shared" si="362"/>
        <v>0.14945182538071067</v>
      </c>
      <c r="P448" s="212"/>
      <c r="Q448" s="212">
        <f>I448*0.05</f>
        <v>7.4725912690355341E-3</v>
      </c>
      <c r="R448" s="212">
        <f t="shared" si="360"/>
        <v>7.4725912690355341E-3</v>
      </c>
      <c r="S448" s="212">
        <f t="shared" si="360"/>
        <v>7.4725912690355341E-3</v>
      </c>
      <c r="T448" s="212">
        <f t="shared" si="360"/>
        <v>7.4725912690355341E-3</v>
      </c>
      <c r="U448" s="212">
        <f t="shared" si="360"/>
        <v>7.4725912690355341E-3</v>
      </c>
      <c r="V448" s="212">
        <f t="shared" si="360"/>
        <v>7.4725912690355341E-3</v>
      </c>
      <c r="W448" s="212">
        <f t="shared" si="360"/>
        <v>7.4725912690355341E-3</v>
      </c>
      <c r="X448" s="212">
        <v>0</v>
      </c>
      <c r="Y448" s="212">
        <v>0</v>
      </c>
      <c r="Z448" s="212">
        <v>0</v>
      </c>
      <c r="AA448" s="212">
        <v>0</v>
      </c>
      <c r="AB448" s="212">
        <v>0</v>
      </c>
      <c r="AC448" s="212">
        <v>0</v>
      </c>
      <c r="AD448" s="212">
        <v>0</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c r="BO448" s="212"/>
      <c r="BP448" s="212"/>
      <c r="BQ448" s="212"/>
      <c r="BR448" s="212"/>
      <c r="BS448" s="212"/>
      <c r="BT448" s="212"/>
      <c r="BU448" s="212">
        <v>0</v>
      </c>
      <c r="BV448" s="212"/>
      <c r="BW448" s="212"/>
      <c r="BX448" s="212"/>
      <c r="BY448" s="212"/>
      <c r="BZ448" s="212"/>
      <c r="CA448" s="212"/>
      <c r="CB448" s="399">
        <v>0</v>
      </c>
      <c r="CC448" s="399">
        <f>(75*10^3*6)/10^6*0.1</f>
        <v>4.5000000000000005E-2</v>
      </c>
      <c r="CD448" s="399">
        <f t="shared" ref="CD448:CH448" si="363">(75*10^3*6)/10^6*0.1</f>
        <v>4.5000000000000005E-2</v>
      </c>
      <c r="CE448" s="399">
        <f t="shared" si="363"/>
        <v>4.5000000000000005E-2</v>
      </c>
      <c r="CF448" s="399">
        <f t="shared" si="363"/>
        <v>4.5000000000000005E-2</v>
      </c>
      <c r="CG448" s="399">
        <f t="shared" si="363"/>
        <v>4.5000000000000005E-2</v>
      </c>
      <c r="CH448" s="399">
        <f t="shared" si="363"/>
        <v>4.5000000000000005E-2</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
      <c r="A449" s="244" t="s">
        <v>2065</v>
      </c>
      <c r="B449" s="244"/>
      <c r="C449" s="6" t="s">
        <v>817</v>
      </c>
      <c r="D449" s="244" t="s">
        <v>419</v>
      </c>
      <c r="E449" s="244" t="s">
        <v>1699</v>
      </c>
      <c r="F449" s="212" t="s">
        <v>2026</v>
      </c>
      <c r="G449" s="212" t="s">
        <v>2066</v>
      </c>
      <c r="H449" s="357" t="s">
        <v>2067</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[1]Commodity_prices_MEUR2019!C$44</f>
        <v>16.297184400363882</v>
      </c>
      <c r="Y449" s="212">
        <f>[1]Commodity_prices_MEUR2019!D$44</f>
        <v>16.297184400363882</v>
      </c>
      <c r="Z449" s="212">
        <f>[1]Commodity_prices_MEUR2019!E$44</f>
        <v>16.297184400363882</v>
      </c>
      <c r="AA449" s="212">
        <f>[1]Commodity_prices_MEUR2019!F$44</f>
        <v>16.297184400363882</v>
      </c>
      <c r="AB449" s="212">
        <f>[1]Commodity_prices_MEUR2019!G$44</f>
        <v>16.297184400363882</v>
      </c>
      <c r="AC449" s="212">
        <f>[1]Commodity_prices_MEUR2019!H$44</f>
        <v>16.297184400363882</v>
      </c>
      <c r="AD449" s="212">
        <f>[1]Commodity_prices_MEUR2019!I$44</f>
        <v>16.297184400363882</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v>10</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
      <c r="A450" s="244" t="s">
        <v>2068</v>
      </c>
      <c r="B450" s="244"/>
      <c r="C450" s="5" t="s">
        <v>817</v>
      </c>
      <c r="D450" s="244" t="s">
        <v>419</v>
      </c>
      <c r="E450" s="244" t="s">
        <v>1699</v>
      </c>
      <c r="F450" s="212" t="s">
        <v>2028</v>
      </c>
      <c r="G450" s="212" t="s">
        <v>2069</v>
      </c>
      <c r="H450" s="357" t="s">
        <v>2070</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[1]Commodity_prices_MEUR2019!C$45</f>
        <v>9.3342401937948374</v>
      </c>
      <c r="Y450" s="212">
        <f>[1]Commodity_prices_MEUR2019!D$45</f>
        <v>9.3342401937948374</v>
      </c>
      <c r="Z450" s="212">
        <f>[1]Commodity_prices_MEUR2019!E$45</f>
        <v>9.3342401937948374</v>
      </c>
      <c r="AA450" s="212">
        <f>[1]Commodity_prices_MEUR2019!F$45</f>
        <v>9.3342401937948374</v>
      </c>
      <c r="AB450" s="212">
        <f>[1]Commodity_prices_MEUR2019!G$45</f>
        <v>9.3342401937948374</v>
      </c>
      <c r="AC450" s="212">
        <f>[1]Commodity_prices_MEUR2019!H$45</f>
        <v>9.3342401937948374</v>
      </c>
      <c r="AD450" s="212">
        <f>[1]Commodity_prices_MEUR2019!I$45</f>
        <v>9.3342401937948374</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f>15*0.992</f>
        <v>14.879999999999999</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
      <c r="A451" s="212" t="s">
        <v>2071</v>
      </c>
      <c r="B451" s="212"/>
      <c r="C451" s="6" t="s">
        <v>817</v>
      </c>
      <c r="D451" s="212" t="s">
        <v>419</v>
      </c>
      <c r="E451" s="212" t="s">
        <v>1699</v>
      </c>
      <c r="F451" s="212" t="s">
        <v>2030</v>
      </c>
      <c r="G451" s="212" t="s">
        <v>2072</v>
      </c>
      <c r="H451" s="357" t="s">
        <v>2073</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[1]Commodity_prices_MEUR2019!C$46</f>
        <v>77.053237678188765</v>
      </c>
      <c r="Y451" s="212">
        <f>[1]Commodity_prices_MEUR2019!D$46</f>
        <v>77.053237678188765</v>
      </c>
      <c r="Z451" s="212">
        <f>[1]Commodity_prices_MEUR2019!E$46</f>
        <v>77.053237678188765</v>
      </c>
      <c r="AA451" s="212">
        <f>[1]Commodity_prices_MEUR2019!F$46</f>
        <v>77.053237678188765</v>
      </c>
      <c r="AB451" s="212">
        <f>[1]Commodity_prices_MEUR2019!G$46</f>
        <v>77.053237678188765</v>
      </c>
      <c r="AC451" s="212">
        <f>[1]Commodity_prices_MEUR2019!H$46</f>
        <v>77.053237678188765</v>
      </c>
      <c r="AD451" s="212">
        <f>[1]Commodity_prices_MEUR2019!I$46</f>
        <v>77.053237678188765</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4.5</v>
      </c>
      <c r="BO451" s="212"/>
      <c r="BP451" s="212"/>
      <c r="BQ451" s="212"/>
      <c r="BR451" s="212"/>
      <c r="BS451" s="212"/>
      <c r="BT451" s="212"/>
      <c r="BU451" s="212">
        <v>0</v>
      </c>
      <c r="BV451" s="212"/>
      <c r="BW451" s="212"/>
      <c r="BX451" s="212"/>
      <c r="BY451" s="212"/>
      <c r="BZ451" s="212"/>
      <c r="CA451" s="212"/>
      <c r="CB451" s="398">
        <v>35</v>
      </c>
      <c r="CC451" s="398">
        <v>35</v>
      </c>
      <c r="CD451" s="398">
        <v>35</v>
      </c>
      <c r="CE451" s="398">
        <v>35</v>
      </c>
      <c r="CF451" s="398">
        <v>35</v>
      </c>
      <c r="CG451" s="398">
        <v>35</v>
      </c>
      <c r="CH451" s="398">
        <v>35</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
      <c r="A452" s="212" t="s">
        <v>2074</v>
      </c>
      <c r="B452" s="212"/>
      <c r="C452" s="5" t="s">
        <v>817</v>
      </c>
      <c r="D452" s="212" t="s">
        <v>419</v>
      </c>
      <c r="E452" s="212" t="s">
        <v>2051</v>
      </c>
      <c r="F452" s="212" t="s">
        <v>2030</v>
      </c>
      <c r="G452" s="357" t="s">
        <v>2075</v>
      </c>
      <c r="H452" s="357" t="s">
        <v>2073</v>
      </c>
      <c r="I452" s="212">
        <v>0</v>
      </c>
      <c r="J452" s="212">
        <v>0</v>
      </c>
      <c r="K452" s="212">
        <v>0</v>
      </c>
      <c r="L452" s="212">
        <v>0</v>
      </c>
      <c r="M452" s="212">
        <v>0</v>
      </c>
      <c r="N452" s="212">
        <v>0</v>
      </c>
      <c r="O452" s="212">
        <v>0</v>
      </c>
      <c r="P452" s="212"/>
      <c r="Q452" s="212">
        <v>0</v>
      </c>
      <c r="R452" s="212">
        <v>0</v>
      </c>
      <c r="S452" s="212">
        <v>0</v>
      </c>
      <c r="T452" s="212">
        <v>0</v>
      </c>
      <c r="U452" s="212">
        <v>0</v>
      </c>
      <c r="V452" s="212">
        <v>0</v>
      </c>
      <c r="W452" s="212">
        <v>0</v>
      </c>
      <c r="X452" s="212">
        <f>[1]Commodity_prices_MEUR2019!C$47</f>
        <v>183.02431752538899</v>
      </c>
      <c r="Y452" s="212">
        <f>[1]Commodity_prices_MEUR2019!D$47</f>
        <v>183.02431752538899</v>
      </c>
      <c r="Z452" s="212">
        <f>[1]Commodity_prices_MEUR2019!E$47</f>
        <v>183.02431752538899</v>
      </c>
      <c r="AA452" s="212">
        <f>[1]Commodity_prices_MEUR2019!F$47</f>
        <v>183.02431752538899</v>
      </c>
      <c r="AB452" s="212">
        <f>[1]Commodity_prices_MEUR2019!G$47</f>
        <v>183.02431752538899</v>
      </c>
      <c r="AC452" s="212">
        <f>[1]Commodity_prices_MEUR2019!H$47</f>
        <v>183.02431752538899</v>
      </c>
      <c r="AD452" s="212">
        <f>[1]Commodity_prices_MEUR2019!I$47</f>
        <v>183.02431752538899</v>
      </c>
      <c r="AE452" s="187">
        <v>0.08</v>
      </c>
      <c r="AF452" s="212"/>
      <c r="AG452" s="212">
        <v>1</v>
      </c>
      <c r="AH452" s="212">
        <v>1</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v>0</v>
      </c>
      <c r="CC452" s="398">
        <v>0</v>
      </c>
      <c r="CD452" s="398">
        <v>0</v>
      </c>
      <c r="CE452" s="398">
        <v>0</v>
      </c>
      <c r="CF452" s="398">
        <v>0</v>
      </c>
      <c r="CG452" s="398">
        <v>0</v>
      </c>
      <c r="CH452" s="398">
        <v>0</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
      <c r="A453" s="1" t="s">
        <v>2076</v>
      </c>
      <c r="B453" s="244"/>
      <c r="C453" s="244" t="s">
        <v>419</v>
      </c>
      <c r="D453" s="244" t="s">
        <v>419</v>
      </c>
      <c r="E453" s="1" t="s">
        <v>2077</v>
      </c>
      <c r="F453" s="1" t="s">
        <v>2024</v>
      </c>
      <c r="G453" s="49" t="s">
        <v>2078</v>
      </c>
      <c r="H453" s="357" t="s">
        <v>2053</v>
      </c>
      <c r="I453" s="400">
        <f>(147.67+83.73+14.73)/10^6*(10^6/100)</f>
        <v>2.4612999999999996</v>
      </c>
      <c r="J453" s="400">
        <f t="shared" ref="J453:O453" si="364">(147.67+83.73+14.73)/10^6*(10^6/100)</f>
        <v>2.4612999999999996</v>
      </c>
      <c r="K453" s="400">
        <f t="shared" si="364"/>
        <v>2.4612999999999996</v>
      </c>
      <c r="L453" s="400">
        <f t="shared" si="364"/>
        <v>2.4612999999999996</v>
      </c>
      <c r="M453" s="400">
        <f t="shared" si="364"/>
        <v>2.4612999999999996</v>
      </c>
      <c r="N453" s="400">
        <f t="shared" si="364"/>
        <v>2.4612999999999996</v>
      </c>
      <c r="O453" s="400">
        <f t="shared" si="364"/>
        <v>2.4612999999999996</v>
      </c>
      <c r="P453" s="212"/>
      <c r="Q453" s="212">
        <f>I453*0.05</f>
        <v>0.12306499999999998</v>
      </c>
      <c r="R453" s="212">
        <f t="shared" ref="R453:W460" si="365">J453*0.05</f>
        <v>0.12306499999999998</v>
      </c>
      <c r="S453" s="212">
        <f t="shared" si="365"/>
        <v>0.12306499999999998</v>
      </c>
      <c r="T453" s="212">
        <f t="shared" si="365"/>
        <v>0.12306499999999998</v>
      </c>
      <c r="U453" s="212">
        <f t="shared" si="365"/>
        <v>0.12306499999999998</v>
      </c>
      <c r="V453" s="212">
        <f t="shared" si="365"/>
        <v>0.12306499999999998</v>
      </c>
      <c r="W453" s="212">
        <f t="shared" si="365"/>
        <v>0.12306499999999998</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398"/>
      <c r="CC453" s="398"/>
      <c r="CD453" s="398">
        <f t="shared" ref="CD453:CH453" si="366">CD444</f>
        <v>5.2810000000000006</v>
      </c>
      <c r="CE453" s="398">
        <f t="shared" si="366"/>
        <v>5.2810000000000006</v>
      </c>
      <c r="CF453" s="398">
        <f t="shared" si="366"/>
        <v>5.2810000000000006</v>
      </c>
      <c r="CG453" s="398">
        <f t="shared" si="366"/>
        <v>5.2810000000000006</v>
      </c>
      <c r="CH453" s="398">
        <f t="shared" si="366"/>
        <v>5.2810000000000006</v>
      </c>
      <c r="CI453" s="212"/>
      <c r="CJ453" s="212"/>
      <c r="CK453" s="212"/>
      <c r="CL453" s="212"/>
      <c r="CM453" s="212"/>
      <c r="CN453" s="212"/>
      <c r="CO453" s="212"/>
      <c r="CP453" s="398"/>
      <c r="CQ453" s="398"/>
      <c r="CR453" s="398"/>
      <c r="CS453" s="398"/>
      <c r="CT453" s="398"/>
      <c r="CU453" s="398"/>
      <c r="CV453" s="212"/>
      <c r="CW453" s="357"/>
      <c r="CX453" s="357"/>
      <c r="CY453" s="357"/>
      <c r="CZ453" s="357"/>
      <c r="DA453" s="357"/>
      <c r="DB453" s="357"/>
      <c r="DC453" s="357"/>
      <c r="DD453" s="357"/>
      <c r="DE453" s="357"/>
      <c r="DF453" s="357"/>
      <c r="DG453" s="357"/>
      <c r="DH453" s="357"/>
      <c r="DI453" s="357"/>
      <c r="DJ453" s="357"/>
      <c r="DK453" s="212"/>
      <c r="DL453" s="357"/>
      <c r="DM453" s="357"/>
      <c r="DN453" s="357"/>
      <c r="DO453" s="357"/>
      <c r="DP453" s="357"/>
      <c r="DQ453" s="357"/>
      <c r="DR453" s="357"/>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
      <c r="A454" s="1" t="s">
        <v>2079</v>
      </c>
      <c r="B454" s="244"/>
      <c r="C454" s="244" t="s">
        <v>419</v>
      </c>
      <c r="D454" s="244" t="s">
        <v>419</v>
      </c>
      <c r="E454" s="1" t="s">
        <v>2077</v>
      </c>
      <c r="F454" s="1" t="s">
        <v>2032</v>
      </c>
      <c r="G454" s="49" t="s">
        <v>2080</v>
      </c>
      <c r="H454" s="357" t="s">
        <v>2081</v>
      </c>
      <c r="I454" s="400">
        <f>(((1.651+1.68+0.9)*1.15)/0.115)*1.26/1.6549</f>
        <v>32.213789352830979</v>
      </c>
      <c r="J454" s="400">
        <f t="shared" ref="J454:O454" si="367">(((1.651+1.68+0.9)*1.15)/0.115)*1.26/1.6549</f>
        <v>32.213789352830979</v>
      </c>
      <c r="K454" s="400">
        <f t="shared" si="367"/>
        <v>32.213789352830979</v>
      </c>
      <c r="L454" s="400">
        <f t="shared" si="367"/>
        <v>32.213789352830979</v>
      </c>
      <c r="M454" s="400">
        <f t="shared" si="367"/>
        <v>32.213789352830979</v>
      </c>
      <c r="N454" s="400">
        <f t="shared" si="367"/>
        <v>32.213789352830979</v>
      </c>
      <c r="O454" s="400">
        <f t="shared" si="367"/>
        <v>32.213789352830979</v>
      </c>
      <c r="P454" s="212"/>
      <c r="Q454" s="401">
        <f>(0.2064/0.115)*1.26/1.6549</f>
        <v>1.3665031645153916</v>
      </c>
      <c r="R454" s="401">
        <f t="shared" ref="R454:W454" si="368">(0.2064/0.115)*1.26/1.6549</f>
        <v>1.3665031645153916</v>
      </c>
      <c r="S454" s="401">
        <f t="shared" si="368"/>
        <v>1.3665031645153916</v>
      </c>
      <c r="T454" s="401">
        <f t="shared" si="368"/>
        <v>1.3665031645153916</v>
      </c>
      <c r="U454" s="401">
        <f t="shared" si="368"/>
        <v>1.3665031645153916</v>
      </c>
      <c r="V454" s="401">
        <f t="shared" si="368"/>
        <v>1.3665031645153916</v>
      </c>
      <c r="W454" s="401">
        <f t="shared" si="368"/>
        <v>1.3665031645153916</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[2]Activities!E$74*[2]EnergyBalance!$CH$442*-1*0.1</f>
        <v>1.6196960000000002</v>
      </c>
      <c r="CE454" s="402">
        <f>[2]Activities!F$74*[2]EnergyBalance!$CH$442*-1*0.15</f>
        <v>2.4295439999999999</v>
      </c>
      <c r="CF454" s="402">
        <f>[2]Activities!G$74*[2]EnergyBalance!$CH$442*-1*0.2</f>
        <v>3.2393920000000005</v>
      </c>
      <c r="CG454" s="402">
        <f>[2]Activities!H$74*[2]EnergyBalance!$CH$442*-1*0.25</f>
        <v>4.0492400000000002</v>
      </c>
      <c r="CH454" s="402">
        <f>[2]Activities!I$74*[2]EnergyBalance!$CH$442*-1*0.3</f>
        <v>4.8590879999999999</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
      <c r="A455" s="1" t="s">
        <v>2082</v>
      </c>
      <c r="B455" s="244"/>
      <c r="C455" s="244" t="s">
        <v>419</v>
      </c>
      <c r="D455" s="244" t="s">
        <v>419</v>
      </c>
      <c r="E455" s="1" t="s">
        <v>2077</v>
      </c>
      <c r="F455" s="1" t="s">
        <v>2032</v>
      </c>
      <c r="G455" s="49" t="s">
        <v>2083</v>
      </c>
      <c r="H455" s="357" t="s">
        <v>2081</v>
      </c>
      <c r="I455" s="400">
        <f>I454+35</f>
        <v>67.213789352830986</v>
      </c>
      <c r="J455" s="400">
        <f t="shared" ref="J455:O455" si="369">J454+35</f>
        <v>67.213789352830986</v>
      </c>
      <c r="K455" s="400">
        <f t="shared" si="369"/>
        <v>67.213789352830986</v>
      </c>
      <c r="L455" s="400">
        <f t="shared" si="369"/>
        <v>67.213789352830986</v>
      </c>
      <c r="M455" s="400">
        <f t="shared" si="369"/>
        <v>67.213789352830986</v>
      </c>
      <c r="N455" s="400">
        <f t="shared" si="369"/>
        <v>67.213789352830986</v>
      </c>
      <c r="O455" s="400">
        <f t="shared" si="369"/>
        <v>67.213789352830986</v>
      </c>
      <c r="P455" s="212"/>
      <c r="Q455" s="401">
        <f>Q454+1.1</f>
        <v>2.4665031645153919</v>
      </c>
      <c r="R455" s="401">
        <f t="shared" ref="R455:W455" si="370">R454+1.1</f>
        <v>2.4665031645153919</v>
      </c>
      <c r="S455" s="401">
        <f t="shared" si="370"/>
        <v>2.4665031645153919</v>
      </c>
      <c r="T455" s="401">
        <f t="shared" si="370"/>
        <v>2.4665031645153919</v>
      </c>
      <c r="U455" s="401">
        <f t="shared" si="370"/>
        <v>2.4665031645153919</v>
      </c>
      <c r="V455" s="401">
        <f t="shared" si="370"/>
        <v>2.4665031645153919</v>
      </c>
      <c r="W455" s="401">
        <f t="shared" si="370"/>
        <v>2.4665031645153919</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[2]Activities!E$74*[2]EnergyBalance!$CI$442*-1*0.1</f>
        <v>0.49280400000000002</v>
      </c>
      <c r="CE455" s="402">
        <f>[2]Activities!F$74*[2]EnergyBalance!$CI$442*-1*0.15</f>
        <v>0.73920600000000003</v>
      </c>
      <c r="CF455" s="402">
        <f>[2]Activities!G$74*[2]EnergyBalance!$CI$442*-1*0.2</f>
        <v>0.98560800000000004</v>
      </c>
      <c r="CG455" s="402">
        <f>[2]Activities!H$74*[2]EnergyBalance!$CI$442*-1*0.25</f>
        <v>1.23201</v>
      </c>
      <c r="CH455" s="402">
        <f>[2]Activities!I$74*[2]EnergyBalance!$CI$442*-1*0.3</f>
        <v>1.4784120000000001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
      <c r="A456" s="1" t="s">
        <v>2084</v>
      </c>
      <c r="B456" s="244"/>
      <c r="C456" s="244" t="s">
        <v>419</v>
      </c>
      <c r="D456" s="244" t="s">
        <v>419</v>
      </c>
      <c r="E456" s="1" t="s">
        <v>2077</v>
      </c>
      <c r="F456" s="1" t="s">
        <v>2024</v>
      </c>
      <c r="G456" s="49" t="s">
        <v>2085</v>
      </c>
      <c r="H456" s="357" t="s">
        <v>2053</v>
      </c>
      <c r="I456" s="400">
        <f>(((1.684+1.632+1.2079+1.666)*1.15)/0.115)*1.26/1.6549</f>
        <v>47.128370294277588</v>
      </c>
      <c r="J456" s="400">
        <f t="shared" ref="J456:O456" si="371">(((1.684+1.632+1.2079+1.666)*1.15)/0.115)*1.26/1.6549</f>
        <v>47.128370294277588</v>
      </c>
      <c r="K456" s="400">
        <f t="shared" si="371"/>
        <v>47.128370294277588</v>
      </c>
      <c r="L456" s="400">
        <f t="shared" si="371"/>
        <v>47.128370294277588</v>
      </c>
      <c r="M456" s="400">
        <f t="shared" si="371"/>
        <v>47.128370294277588</v>
      </c>
      <c r="N456" s="400">
        <f t="shared" si="371"/>
        <v>47.128370294277588</v>
      </c>
      <c r="O456" s="400">
        <f t="shared" si="371"/>
        <v>47.128370294277588</v>
      </c>
      <c r="P456" s="212"/>
      <c r="Q456" s="401">
        <f>(0.296/0.115)*1.26/1.6549</f>
        <v>1.9597138405840886</v>
      </c>
      <c r="R456" s="401">
        <f t="shared" ref="R456:W456" si="372">(0.296/0.115)*1.26/1.6549</f>
        <v>1.9597138405840886</v>
      </c>
      <c r="S456" s="401">
        <f t="shared" si="372"/>
        <v>1.9597138405840886</v>
      </c>
      <c r="T456" s="401">
        <f t="shared" si="372"/>
        <v>1.9597138405840886</v>
      </c>
      <c r="U456" s="401">
        <f t="shared" si="372"/>
        <v>1.9597138405840886</v>
      </c>
      <c r="V456" s="401">
        <f t="shared" si="372"/>
        <v>1.9597138405840886</v>
      </c>
      <c r="W456" s="401">
        <f t="shared" si="372"/>
        <v>1.9597138405840886</v>
      </c>
      <c r="X456" s="212">
        <v>0</v>
      </c>
      <c r="Y456" s="212">
        <v>0</v>
      </c>
      <c r="Z456" s="212">
        <v>0</v>
      </c>
      <c r="AA456" s="212">
        <v>0</v>
      </c>
      <c r="AB456" s="212">
        <v>0</v>
      </c>
      <c r="AC456" s="212">
        <v>0</v>
      </c>
      <c r="AD456" s="212">
        <v>0</v>
      </c>
      <c r="AE456" s="187">
        <v>0.08</v>
      </c>
      <c r="AF456" s="212"/>
      <c r="AG456" s="212">
        <v>10</v>
      </c>
      <c r="AH456" s="212">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[2]Activities!E$74*[2]EnergyBalance!$CH$442*-1*0.5</f>
        <v>8.0984800000000003</v>
      </c>
      <c r="CE456" s="402">
        <f>(CF456+CD456)/2</f>
        <v>10.123100000000001</v>
      </c>
      <c r="CF456" s="402">
        <f>(CH456+CD456)/2</f>
        <v>12.14772</v>
      </c>
      <c r="CG456" s="402">
        <f>(CH456+CF456)/2</f>
        <v>14.17234</v>
      </c>
      <c r="CH456" s="402">
        <f>[2]Activities!I$74*-1*[2]EnergyBalance!$CH$442</f>
        <v>16.196960000000001</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
      <c r="A457" s="1" t="s">
        <v>2086</v>
      </c>
      <c r="B457" s="244"/>
      <c r="C457" s="244" t="s">
        <v>419</v>
      </c>
      <c r="D457" s="244" t="s">
        <v>419</v>
      </c>
      <c r="E457" s="1" t="s">
        <v>2077</v>
      </c>
      <c r="F457" s="1" t="s">
        <v>2032</v>
      </c>
      <c r="G457" s="49" t="s">
        <v>2087</v>
      </c>
      <c r="H457" s="357" t="s">
        <v>2081</v>
      </c>
      <c r="I457" s="400">
        <f>I455</f>
        <v>67.213789352830986</v>
      </c>
      <c r="J457" s="400">
        <f t="shared" ref="J457:O457" si="373">J455</f>
        <v>67.213789352830986</v>
      </c>
      <c r="K457" s="400">
        <f t="shared" si="373"/>
        <v>67.213789352830986</v>
      </c>
      <c r="L457" s="400">
        <f t="shared" si="373"/>
        <v>67.213789352830986</v>
      </c>
      <c r="M457" s="400">
        <f t="shared" si="373"/>
        <v>67.213789352830986</v>
      </c>
      <c r="N457" s="400">
        <f t="shared" si="373"/>
        <v>67.213789352830986</v>
      </c>
      <c r="O457" s="400">
        <f t="shared" si="373"/>
        <v>67.213789352830986</v>
      </c>
      <c r="P457" s="212"/>
      <c r="Q457" s="401">
        <f>Q455</f>
        <v>2.4665031645153919</v>
      </c>
      <c r="R457" s="401">
        <f t="shared" ref="R457:W457" si="374">R455</f>
        <v>2.4665031645153919</v>
      </c>
      <c r="S457" s="401">
        <f t="shared" si="374"/>
        <v>2.4665031645153919</v>
      </c>
      <c r="T457" s="401">
        <f t="shared" si="374"/>
        <v>2.4665031645153919</v>
      </c>
      <c r="U457" s="401">
        <f t="shared" si="374"/>
        <v>2.4665031645153919</v>
      </c>
      <c r="V457" s="401">
        <f t="shared" si="374"/>
        <v>2.4665031645153919</v>
      </c>
      <c r="W457" s="401">
        <f t="shared" si="374"/>
        <v>2.4665031645153919</v>
      </c>
      <c r="X457" s="212">
        <v>0</v>
      </c>
      <c r="Y457" s="212">
        <v>0</v>
      </c>
      <c r="Z457" s="212">
        <v>0</v>
      </c>
      <c r="AA457" s="212">
        <v>0</v>
      </c>
      <c r="AB457" s="212">
        <v>0</v>
      </c>
      <c r="AC457" s="212">
        <v>0</v>
      </c>
      <c r="AD457" s="212">
        <v>0</v>
      </c>
      <c r="AE457" s="187">
        <v>0.08</v>
      </c>
      <c r="AF457" s="212"/>
      <c r="AG457" s="212">
        <f>AG455</f>
        <v>10</v>
      </c>
      <c r="AH457" s="212">
        <f>AH455</f>
        <v>10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402"/>
      <c r="CC457" s="402"/>
      <c r="CD457" s="402">
        <f>[2]Activities!E39*0.2</f>
        <v>0.371</v>
      </c>
      <c r="CE457" s="402">
        <f>[2]Activities!F39*0.25</f>
        <v>0.46375</v>
      </c>
      <c r="CF457" s="402">
        <f>[2]Activities!G39*0.3</f>
        <v>0.55649999999999999</v>
      </c>
      <c r="CG457" s="402">
        <f>[2]Activities!H39*0.4</f>
        <v>0.74199999999999999</v>
      </c>
      <c r="CH457" s="402">
        <f>[2]Activities!I39*0.5</f>
        <v>0.92749999999999999</v>
      </c>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
      <c r="A458" s="1" t="s">
        <v>2088</v>
      </c>
      <c r="B458" s="1" t="s">
        <v>740</v>
      </c>
      <c r="C458" s="1" t="s">
        <v>655</v>
      </c>
      <c r="D458" s="1" t="s">
        <v>741</v>
      </c>
      <c r="E458" s="1" t="s">
        <v>2058</v>
      </c>
      <c r="F458" s="1" t="s">
        <v>2019</v>
      </c>
      <c r="G458" s="49" t="s">
        <v>2089</v>
      </c>
      <c r="H458" s="357" t="s">
        <v>2060</v>
      </c>
      <c r="I458" s="397">
        <f>I446</f>
        <v>7.4725912690355334E-2</v>
      </c>
      <c r="J458" s="397">
        <f t="shared" ref="J458:O458" si="375">J446</f>
        <v>7.4725912690355334E-2</v>
      </c>
      <c r="K458" s="397">
        <f t="shared" si="375"/>
        <v>7.4725912690355334E-2</v>
      </c>
      <c r="L458" s="397">
        <f t="shared" si="375"/>
        <v>7.4725912690355334E-2</v>
      </c>
      <c r="M458" s="397">
        <f t="shared" si="375"/>
        <v>7.4725912690355334E-2</v>
      </c>
      <c r="N458" s="397">
        <f t="shared" si="375"/>
        <v>7.4725912690355334E-2</v>
      </c>
      <c r="O458" s="397">
        <f t="shared" si="375"/>
        <v>7.4725912690355334E-2</v>
      </c>
      <c r="P458" s="212"/>
      <c r="Q458" s="212">
        <f>I458*0.05</f>
        <v>3.736295634517767E-3</v>
      </c>
      <c r="R458" s="212">
        <f t="shared" si="365"/>
        <v>3.736295634517767E-3</v>
      </c>
      <c r="S458" s="212">
        <f t="shared" si="365"/>
        <v>3.736295634517767E-3</v>
      </c>
      <c r="T458" s="212">
        <f t="shared" si="365"/>
        <v>3.736295634517767E-3</v>
      </c>
      <c r="U458" s="212">
        <f t="shared" si="365"/>
        <v>3.736295634517767E-3</v>
      </c>
      <c r="V458" s="212">
        <f t="shared" si="365"/>
        <v>3.736295634517767E-3</v>
      </c>
      <c r="W458" s="212">
        <f t="shared" si="365"/>
        <v>3.736295634517767E-3</v>
      </c>
      <c r="X458" s="212">
        <v>0</v>
      </c>
      <c r="Y458" s="212">
        <v>0</v>
      </c>
      <c r="Z458" s="212">
        <v>0</v>
      </c>
      <c r="AA458" s="212">
        <v>0</v>
      </c>
      <c r="AB458" s="212">
        <v>0</v>
      </c>
      <c r="AC458" s="212">
        <v>0</v>
      </c>
      <c r="AD458" s="212">
        <v>0</v>
      </c>
      <c r="AE458" s="187">
        <v>0.08</v>
      </c>
      <c r="AF458" s="212"/>
      <c r="AG458" s="212">
        <v>30</v>
      </c>
      <c r="AH458" s="212">
        <v>30</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v>0</v>
      </c>
      <c r="BO458" s="212"/>
      <c r="BP458" s="212"/>
      <c r="BQ458" s="212"/>
      <c r="BR458" s="212"/>
      <c r="BS458" s="212"/>
      <c r="BT458" s="212"/>
      <c r="BU458" s="212">
        <v>0</v>
      </c>
      <c r="BV458" s="212"/>
      <c r="BW458" s="212"/>
      <c r="BX458" s="212"/>
      <c r="BY458" s="212"/>
      <c r="BZ458" s="212"/>
      <c r="CA458" s="212"/>
      <c r="CB458" s="398">
        <f>[3]Activities!C74</f>
        <v>31.2</v>
      </c>
      <c r="CC458" s="398">
        <f>[3]Activities!D74</f>
        <v>33.799999999999997</v>
      </c>
      <c r="CD458" s="398">
        <f>[3]Activities!E74</f>
        <v>33.799999999999997</v>
      </c>
      <c r="CE458" s="398">
        <f>[3]Activities!F74</f>
        <v>33.799999999999997</v>
      </c>
      <c r="CF458" s="398">
        <f>[3]Activities!G74</f>
        <v>33.799999999999997</v>
      </c>
      <c r="CG458" s="398">
        <f>[3]Activities!H74</f>
        <v>33.799999999999997</v>
      </c>
      <c r="CH458" s="398">
        <f>[3]Activities!I74</f>
        <v>33.799999999999997</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
      <c r="A459" s="1" t="s">
        <v>2090</v>
      </c>
      <c r="B459" s="1" t="s">
        <v>740</v>
      </c>
      <c r="C459" s="1" t="s">
        <v>655</v>
      </c>
      <c r="D459" s="1" t="s">
        <v>741</v>
      </c>
      <c r="E459" s="1" t="s">
        <v>741</v>
      </c>
      <c r="F459" s="1" t="s">
        <v>331</v>
      </c>
      <c r="G459" s="49" t="s">
        <v>2091</v>
      </c>
      <c r="H459" s="357" t="s">
        <v>744</v>
      </c>
      <c r="I459" s="403">
        <f>I35*2</f>
        <v>1101</v>
      </c>
      <c r="J459" s="403">
        <f t="shared" ref="J459:O459" si="376">J35*2</f>
        <v>1101</v>
      </c>
      <c r="K459" s="403">
        <f t="shared" si="376"/>
        <v>1101</v>
      </c>
      <c r="L459" s="403">
        <f t="shared" si="376"/>
        <v>1101</v>
      </c>
      <c r="M459" s="403">
        <f t="shared" si="376"/>
        <v>1101</v>
      </c>
      <c r="N459" s="403">
        <f t="shared" si="376"/>
        <v>1101</v>
      </c>
      <c r="O459" s="403">
        <f t="shared" si="376"/>
        <v>1101</v>
      </c>
      <c r="P459" s="212"/>
      <c r="Q459" s="404">
        <f>I459*0.05</f>
        <v>55.050000000000004</v>
      </c>
      <c r="R459" s="404">
        <f t="shared" si="365"/>
        <v>55.050000000000004</v>
      </c>
      <c r="S459" s="404">
        <f t="shared" si="365"/>
        <v>55.050000000000004</v>
      </c>
      <c r="T459" s="404">
        <f t="shared" si="365"/>
        <v>55.050000000000004</v>
      </c>
      <c r="U459" s="404">
        <f t="shared" si="365"/>
        <v>55.050000000000004</v>
      </c>
      <c r="V459" s="404">
        <f t="shared" si="365"/>
        <v>55.050000000000004</v>
      </c>
      <c r="W459" s="404">
        <f t="shared" si="365"/>
        <v>55.050000000000004</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[3]Activities!C18*((0.69-0.65)/0.65)</f>
        <v>0.37803076923076845</v>
      </c>
      <c r="CC459" s="405">
        <f>[3]Activities!D18*((0.69-0.65)/0.65)</f>
        <v>0.37803076923076845</v>
      </c>
      <c r="CD459" s="405">
        <f>[3]Activities!E18*((0.69-0.65)/0.65)</f>
        <v>0.37803076923076845</v>
      </c>
      <c r="CE459" s="405">
        <f>[3]Activities!F18*((0.69-0.65)/0.65)</f>
        <v>0.37803076923076845</v>
      </c>
      <c r="CF459" s="405">
        <f>[3]Activities!G18*((0.69-0.65)/0.65)</f>
        <v>0.37803076923076845</v>
      </c>
      <c r="CG459" s="405">
        <f>[3]Activities!H18*((0.69-0.65)/0.65)</f>
        <v>0.37803076923076845</v>
      </c>
      <c r="CH459" s="405">
        <f>[3]Activities!I18*((0.69-0.65)/0.65)</f>
        <v>0.37803076923076845</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
      <c r="A460" s="1" t="s">
        <v>2092</v>
      </c>
      <c r="B460" s="1" t="s">
        <v>740</v>
      </c>
      <c r="C460" s="1" t="s">
        <v>655</v>
      </c>
      <c r="D460" s="1" t="s">
        <v>741</v>
      </c>
      <c r="E460" s="1" t="s">
        <v>741</v>
      </c>
      <c r="F460" s="1" t="s">
        <v>367</v>
      </c>
      <c r="G460" s="49" t="s">
        <v>2093</v>
      </c>
      <c r="H460" s="357" t="s">
        <v>917</v>
      </c>
      <c r="I460" s="403">
        <f>I102*2</f>
        <v>9479.3131424477615</v>
      </c>
      <c r="J460" s="403">
        <f t="shared" ref="J460:O460" si="377">J102*2</f>
        <v>9479.3131424477615</v>
      </c>
      <c r="K460" s="403">
        <f t="shared" si="377"/>
        <v>9479.3131424477615</v>
      </c>
      <c r="L460" s="403">
        <f t="shared" si="377"/>
        <v>9479.3131424477615</v>
      </c>
      <c r="M460" s="403">
        <f t="shared" si="377"/>
        <v>9479.3131424477615</v>
      </c>
      <c r="N460" s="403">
        <f t="shared" si="377"/>
        <v>9479.3131424477615</v>
      </c>
      <c r="O460" s="403">
        <f t="shared" si="377"/>
        <v>9479.3131424477615</v>
      </c>
      <c r="P460" s="212"/>
      <c r="Q460" s="404">
        <f>I460*0.05</f>
        <v>473.96565712238811</v>
      </c>
      <c r="R460" s="404">
        <f t="shared" si="365"/>
        <v>473.96565712238811</v>
      </c>
      <c r="S460" s="404">
        <f t="shared" si="365"/>
        <v>473.96565712238811</v>
      </c>
      <c r="T460" s="404">
        <f t="shared" si="365"/>
        <v>473.96565712238811</v>
      </c>
      <c r="U460" s="404">
        <f t="shared" si="365"/>
        <v>473.96565712238811</v>
      </c>
      <c r="V460" s="404">
        <f t="shared" si="365"/>
        <v>473.96565712238811</v>
      </c>
      <c r="W460" s="404">
        <f t="shared" si="365"/>
        <v>473.96565712238811</v>
      </c>
      <c r="X460" s="212">
        <v>0</v>
      </c>
      <c r="Y460" s="212">
        <v>0</v>
      </c>
      <c r="Z460" s="212">
        <v>0</v>
      </c>
      <c r="AA460" s="212">
        <v>0</v>
      </c>
      <c r="AB460" s="212">
        <v>0</v>
      </c>
      <c r="AC460" s="212">
        <v>0</v>
      </c>
      <c r="AD460" s="212">
        <v>0</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405">
        <f>[3]Activities!C36*(0.95-0.9)/0.9</f>
        <v>5.1111111111111045E-2</v>
      </c>
      <c r="CC460" s="405">
        <f>[3]Activities!D36*(0.95-0.9)/0.9</f>
        <v>5.1111111111111045E-2</v>
      </c>
      <c r="CD460" s="405">
        <f>[3]Activities!E36*(0.95-0.9)/0.9</f>
        <v>5.1111111111111045E-2</v>
      </c>
      <c r="CE460" s="405">
        <f>[3]Activities!F36*(0.95-0.9)/0.9</f>
        <v>5.1111111111111045E-2</v>
      </c>
      <c r="CF460" s="405">
        <f>[3]Activities!G36*(0.95-0.9)/0.9</f>
        <v>5.1111111111111045E-2</v>
      </c>
      <c r="CG460" s="405">
        <f>[3]Activities!H36*(0.95-0.9)/0.9</f>
        <v>5.1111111111111045E-2</v>
      </c>
      <c r="CH460" s="405">
        <f>[3]Activities!I36*(0.95-0.9)/0.9</f>
        <v>5.1111111111111045E-2</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
      <c r="A461" s="1" t="s">
        <v>2094</v>
      </c>
      <c r="C461" s="1" t="s">
        <v>817</v>
      </c>
      <c r="D461" s="1" t="s">
        <v>419</v>
      </c>
      <c r="E461" s="1" t="s">
        <v>2051</v>
      </c>
      <c r="F461" s="1" t="s">
        <v>2039</v>
      </c>
      <c r="G461" s="49" t="s">
        <v>2095</v>
      </c>
      <c r="H461" s="357" t="s">
        <v>917</v>
      </c>
      <c r="I461" s="212">
        <v>0</v>
      </c>
      <c r="J461" s="212">
        <v>0</v>
      </c>
      <c r="K461" s="212">
        <v>0</v>
      </c>
      <c r="L461" s="212">
        <v>0</v>
      </c>
      <c r="M461" s="212">
        <v>0</v>
      </c>
      <c r="N461" s="212">
        <v>0</v>
      </c>
      <c r="O461" s="212">
        <v>0</v>
      </c>
      <c r="P461" s="212"/>
      <c r="Q461" s="212">
        <v>0</v>
      </c>
      <c r="R461" s="212">
        <v>0</v>
      </c>
      <c r="S461" s="212">
        <v>0</v>
      </c>
      <c r="T461" s="212">
        <v>0</v>
      </c>
      <c r="U461" s="212">
        <v>0</v>
      </c>
      <c r="V461" s="212">
        <v>0</v>
      </c>
      <c r="W461" s="212">
        <v>0</v>
      </c>
      <c r="X461" s="212">
        <f>[1]Commodity_prices_MEUR2019!C$50</f>
        <v>62.502804434920336</v>
      </c>
      <c r="Y461" s="212">
        <f>[1]Commodity_prices_MEUR2019!D$50</f>
        <v>62.502804434920336</v>
      </c>
      <c r="Z461" s="212">
        <f>[1]Commodity_prices_MEUR2019!E$50</f>
        <v>62.502804434920336</v>
      </c>
      <c r="AA461" s="212">
        <f>[1]Commodity_prices_MEUR2019!F$50</f>
        <v>62.502804434920336</v>
      </c>
      <c r="AB461" s="212">
        <f>[1]Commodity_prices_MEUR2019!G$50</f>
        <v>62.502804434920336</v>
      </c>
      <c r="AC461" s="212">
        <f>[1]Commodity_prices_MEUR2019!H$50</f>
        <v>62.502804434920336</v>
      </c>
      <c r="AD461" s="212">
        <f>[1]Commodity_prices_MEUR2019!I$50</f>
        <v>62.502804434920336</v>
      </c>
      <c r="AE461" s="187">
        <v>0.08</v>
      </c>
      <c r="AF461" s="212"/>
      <c r="AG461" s="212">
        <v>1</v>
      </c>
      <c r="AH461" s="212">
        <v>1</v>
      </c>
      <c r="AI461" s="212">
        <v>1</v>
      </c>
      <c r="AJ461" s="212" t="s">
        <v>662</v>
      </c>
      <c r="AK461" s="212" t="s">
        <v>745</v>
      </c>
      <c r="AL461" s="212"/>
      <c r="AM461" s="212"/>
      <c r="AN461" s="212"/>
      <c r="AO461" s="212"/>
      <c r="AP461" s="212"/>
      <c r="AQ461" s="212"/>
      <c r="AR461" s="212"/>
      <c r="AS461" s="212"/>
      <c r="AT461" s="212"/>
      <c r="AU461" s="212"/>
      <c r="AV461" s="212"/>
      <c r="AW461" s="212"/>
      <c r="AX461" s="212"/>
      <c r="AY461" s="212" t="s">
        <v>662</v>
      </c>
      <c r="AZ461" s="212"/>
      <c r="BA461" s="212"/>
      <c r="BB461" s="212"/>
      <c r="BC461" s="212"/>
      <c r="BD461" s="212"/>
      <c r="BE461" s="212"/>
      <c r="BF461" s="212"/>
      <c r="BG461" s="212"/>
      <c r="BH461" s="212"/>
      <c r="BI461" s="212"/>
      <c r="BJ461" s="212"/>
      <c r="BK461" s="212"/>
      <c r="BL461" s="212"/>
      <c r="BM461" s="212"/>
      <c r="BN461" s="212"/>
      <c r="BO461" s="212"/>
      <c r="BP461" s="212"/>
      <c r="BQ461" s="212"/>
      <c r="BR461" s="212"/>
      <c r="BS461" s="212"/>
      <c r="BT461" s="212"/>
      <c r="BU461" s="212"/>
      <c r="BV461" s="212"/>
      <c r="BW461" s="212"/>
      <c r="BX461" s="212"/>
      <c r="BY461" s="212"/>
      <c r="BZ461" s="212"/>
      <c r="CA461" s="212"/>
      <c r="CB461" s="398">
        <f>1.35</f>
        <v>1.35</v>
      </c>
      <c r="CC461" s="398">
        <f t="shared" ref="CC461:CH461" si="378">1.35</f>
        <v>1.35</v>
      </c>
      <c r="CD461" s="398">
        <f t="shared" si="378"/>
        <v>1.35</v>
      </c>
      <c r="CE461" s="398">
        <f t="shared" si="378"/>
        <v>1.35</v>
      </c>
      <c r="CF461" s="398">
        <f t="shared" si="378"/>
        <v>1.35</v>
      </c>
      <c r="CG461" s="398">
        <f t="shared" si="378"/>
        <v>1.35</v>
      </c>
      <c r="CH461" s="398">
        <f t="shared" si="378"/>
        <v>1.35</v>
      </c>
      <c r="CI461" s="212"/>
      <c r="CJ461" s="212"/>
      <c r="CK461" s="212"/>
      <c r="CL461" s="212"/>
      <c r="CM461" s="212"/>
      <c r="CN461" s="212"/>
      <c r="CO461" s="212"/>
      <c r="CP461" s="398"/>
      <c r="CQ461" s="398"/>
      <c r="CR461" s="398"/>
      <c r="CS461" s="398"/>
      <c r="CT461" s="398"/>
      <c r="CU461" s="398"/>
      <c r="CV461" s="212"/>
      <c r="CW461" s="357"/>
      <c r="CX461" s="357"/>
      <c r="CY461" s="357"/>
      <c r="CZ461" s="357"/>
      <c r="DA461" s="357"/>
      <c r="DB461" s="357"/>
      <c r="DC461" s="357"/>
      <c r="DD461" s="357"/>
      <c r="DE461" s="357"/>
      <c r="DF461" s="357"/>
      <c r="DG461" s="357"/>
      <c r="DH461" s="357"/>
      <c r="DI461" s="357"/>
      <c r="DJ461" s="357"/>
      <c r="DK461" s="212"/>
      <c r="DL461" s="357"/>
      <c r="DM461" s="357"/>
      <c r="DN461" s="357"/>
      <c r="DO461" s="357"/>
      <c r="DP461" s="357"/>
      <c r="DQ461" s="357"/>
      <c r="DR461" s="357"/>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7">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43"/>
        <v>0</v>
      </c>
      <c r="BV462" s="28"/>
      <c r="BW462" s="28"/>
      <c r="BX462" s="28"/>
      <c r="BY462" s="28"/>
      <c r="BZ462" s="28"/>
      <c r="CA462" s="28"/>
      <c r="CB462" s="99">
        <v>15</v>
      </c>
      <c r="CC462" s="99">
        <v>15</v>
      </c>
      <c r="CD462" s="99">
        <v>15</v>
      </c>
      <c r="CE462" s="99">
        <f t="shared" ref="CE462:CE499" si="379">ROUND((CD462+CF462)/2,2)</f>
        <v>15</v>
      </c>
      <c r="CF462" s="99">
        <f t="shared" ref="CF462:CF499" si="380">ROUND((CD462+CH462)/2,2)</f>
        <v>15</v>
      </c>
      <c r="CG462" s="99">
        <f t="shared" ref="CG462:CG499" si="381">ROUND((CF462+CH462)/2,2)</f>
        <v>15</v>
      </c>
      <c r="CH462" s="99">
        <v>15</v>
      </c>
      <c r="CI462" s="176"/>
      <c r="CJ462" s="176"/>
      <c r="CK462" s="176"/>
      <c r="CL462" s="176"/>
      <c r="CM462" s="176"/>
      <c r="CN462" s="176"/>
      <c r="CO462" s="176"/>
      <c r="CP462" s="177"/>
      <c r="CQ462" s="177"/>
      <c r="CR462" s="177"/>
      <c r="CS462" s="177"/>
      <c r="CT462" s="177"/>
      <c r="CU462" s="177"/>
      <c r="CV462" s="177"/>
      <c r="CW462" s="168"/>
      <c r="CX462" s="169"/>
      <c r="CY462" s="169"/>
      <c r="CZ462" s="169"/>
      <c r="DA462" s="169"/>
      <c r="DB462" s="169"/>
      <c r="DC462" s="169"/>
      <c r="DD462" s="173"/>
      <c r="DE462" s="173"/>
      <c r="DF462" s="173"/>
      <c r="DG462" s="173"/>
      <c r="DH462" s="173"/>
      <c r="DI462" s="173"/>
      <c r="DJ462" s="173"/>
      <c r="DK462" s="80" t="s">
        <v>415</v>
      </c>
      <c r="DL462" s="129"/>
      <c r="DM462" s="129"/>
      <c r="DN462" s="129"/>
      <c r="DO462" s="129"/>
      <c r="DP462" s="129"/>
      <c r="DQ462" s="129"/>
      <c r="DR462" s="129"/>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7">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43"/>
        <v>0</v>
      </c>
      <c r="BV463" s="27"/>
      <c r="BW463" s="27"/>
      <c r="BX463" s="27"/>
      <c r="BY463" s="27"/>
      <c r="BZ463" s="27"/>
      <c r="CA463" s="27"/>
      <c r="CB463" s="97">
        <v>0</v>
      </c>
      <c r="CC463" s="186">
        <v>1</v>
      </c>
      <c r="CD463" s="186">
        <v>2</v>
      </c>
      <c r="CE463" s="186">
        <v>3</v>
      </c>
      <c r="CF463" s="186">
        <v>4</v>
      </c>
      <c r="CG463" s="186">
        <v>5</v>
      </c>
      <c r="CH463" s="186">
        <f>CH462/3</f>
        <v>5</v>
      </c>
      <c r="CI463" s="174"/>
      <c r="CJ463" s="174"/>
      <c r="CK463" s="174"/>
      <c r="CL463" s="174"/>
      <c r="CM463" s="174"/>
      <c r="CN463" s="174"/>
      <c r="CO463" s="174"/>
      <c r="CP463" s="175"/>
      <c r="CQ463" s="175"/>
      <c r="CR463" s="175"/>
      <c r="CS463" s="175"/>
      <c r="CT463" s="175"/>
      <c r="CU463" s="175"/>
      <c r="CV463" s="175"/>
      <c r="CW463" s="166"/>
      <c r="CX463" s="167"/>
      <c r="CY463" s="167"/>
      <c r="CZ463" s="167"/>
      <c r="DA463" s="167"/>
      <c r="DB463" s="167"/>
      <c r="DC463" s="167"/>
      <c r="DD463" s="172"/>
      <c r="DE463" s="172"/>
      <c r="DF463" s="172"/>
      <c r="DG463" s="172"/>
      <c r="DH463" s="172"/>
      <c r="DI463" s="172"/>
      <c r="DJ463" s="172"/>
      <c r="DK463" s="79" t="s">
        <v>415</v>
      </c>
      <c r="DL463" s="128"/>
      <c r="DM463" s="128"/>
      <c r="DN463" s="128"/>
      <c r="DO463" s="128"/>
      <c r="DP463" s="128"/>
      <c r="DQ463" s="128"/>
      <c r="DR463" s="128"/>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7">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82">IF(BL464=1,BN464,0)</f>
        <v>0</v>
      </c>
      <c r="BV464" s="28"/>
      <c r="BW464" s="28"/>
      <c r="BX464" s="28"/>
      <c r="BY464" s="28"/>
      <c r="BZ464" s="28"/>
      <c r="CA464" s="28"/>
      <c r="CB464" s="99">
        <v>20</v>
      </c>
      <c r="CC464" s="99">
        <v>20</v>
      </c>
      <c r="CD464" s="99">
        <v>20</v>
      </c>
      <c r="CE464" s="99">
        <f t="shared" si="379"/>
        <v>20</v>
      </c>
      <c r="CF464" s="99">
        <f t="shared" si="380"/>
        <v>20</v>
      </c>
      <c r="CG464" s="99">
        <f t="shared" si="381"/>
        <v>20</v>
      </c>
      <c r="CH464" s="99">
        <v>20</v>
      </c>
      <c r="CI464" s="176"/>
      <c r="CJ464" s="176"/>
      <c r="CK464" s="176"/>
      <c r="CL464" s="176"/>
      <c r="CM464" s="176"/>
      <c r="CN464" s="176"/>
      <c r="CO464" s="176"/>
      <c r="CP464" s="177"/>
      <c r="CQ464" s="177"/>
      <c r="CR464" s="177"/>
      <c r="CS464" s="177"/>
      <c r="CT464" s="177"/>
      <c r="CU464" s="177"/>
      <c r="CV464" s="177"/>
      <c r="CW464" s="168"/>
      <c r="CX464" s="169"/>
      <c r="CY464" s="169"/>
      <c r="CZ464" s="169"/>
      <c r="DA464" s="169"/>
      <c r="DB464" s="169"/>
      <c r="DC464" s="169"/>
      <c r="DD464" s="173"/>
      <c r="DE464" s="173"/>
      <c r="DF464" s="173"/>
      <c r="DG464" s="173"/>
      <c r="DH464" s="173"/>
      <c r="DI464" s="173"/>
      <c r="DJ464" s="173"/>
      <c r="DK464" s="80" t="s">
        <v>415</v>
      </c>
      <c r="DL464" s="129"/>
      <c r="DM464" s="129"/>
      <c r="DN464" s="129"/>
      <c r="DO464" s="129"/>
      <c r="DP464" s="129"/>
      <c r="DQ464" s="129"/>
      <c r="DR464" s="129"/>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7">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83">IF(BL465=1,BN465,0)</f>
        <v>0</v>
      </c>
      <c r="BV465" s="27"/>
      <c r="BW465" s="27"/>
      <c r="BX465" s="27"/>
      <c r="BY465" s="27"/>
      <c r="BZ465" s="27"/>
      <c r="CA465" s="27"/>
      <c r="CB465" s="97"/>
      <c r="CC465" s="186">
        <v>1</v>
      </c>
      <c r="CD465" s="186">
        <v>2</v>
      </c>
      <c r="CE465" s="186">
        <v>3</v>
      </c>
      <c r="CF465" s="186">
        <v>4</v>
      </c>
      <c r="CG465" s="186">
        <v>5</v>
      </c>
      <c r="CH465" s="186">
        <f>CH464/3</f>
        <v>6.666666666666667</v>
      </c>
      <c r="CI465" s="174"/>
      <c r="CJ465" s="174"/>
      <c r="CK465" s="174"/>
      <c r="CL465" s="174"/>
      <c r="CM465" s="174"/>
      <c r="CN465" s="174"/>
      <c r="CO465" s="174"/>
      <c r="CP465" s="175"/>
      <c r="CQ465" s="175"/>
      <c r="CR465" s="175"/>
      <c r="CS465" s="175"/>
      <c r="CT465" s="175"/>
      <c r="CU465" s="175"/>
      <c r="CV465" s="175"/>
      <c r="CW465" s="166"/>
      <c r="CX465" s="167"/>
      <c r="CY465" s="167"/>
      <c r="CZ465" s="167"/>
      <c r="DA465" s="167"/>
      <c r="DB465" s="167"/>
      <c r="DC465" s="167"/>
      <c r="DD465" s="172"/>
      <c r="DE465" s="172"/>
      <c r="DF465" s="172"/>
      <c r="DG465" s="172"/>
      <c r="DH465" s="172"/>
      <c r="DI465" s="172"/>
      <c r="DJ465" s="172"/>
      <c r="DK465" s="79" t="s">
        <v>415</v>
      </c>
      <c r="DL465" s="128"/>
      <c r="DM465" s="128"/>
      <c r="DN465" s="128"/>
      <c r="DO465" s="128"/>
      <c r="DP465" s="128"/>
      <c r="DQ465" s="128"/>
      <c r="DR465" s="128"/>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7">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83"/>
        <v>0</v>
      </c>
      <c r="BV466" s="28"/>
      <c r="BW466" s="28"/>
      <c r="BX466" s="28"/>
      <c r="BY466" s="28"/>
      <c r="BZ466" s="28"/>
      <c r="CA466" s="28"/>
      <c r="CB466" s="99">
        <v>15</v>
      </c>
      <c r="CC466" s="99">
        <v>15</v>
      </c>
      <c r="CD466" s="99">
        <v>15</v>
      </c>
      <c r="CE466" s="99">
        <f t="shared" si="379"/>
        <v>15</v>
      </c>
      <c r="CF466" s="99">
        <f t="shared" si="380"/>
        <v>15</v>
      </c>
      <c r="CG466" s="99">
        <f t="shared" si="381"/>
        <v>15</v>
      </c>
      <c r="CH466" s="99">
        <v>15</v>
      </c>
      <c r="CI466" s="176"/>
      <c r="CJ466" s="176"/>
      <c r="CK466" s="176"/>
      <c r="CL466" s="176"/>
      <c r="CM466" s="176"/>
      <c r="CN466" s="176"/>
      <c r="CO466" s="176"/>
      <c r="CP466" s="177"/>
      <c r="CQ466" s="177"/>
      <c r="CR466" s="177"/>
      <c r="CS466" s="177"/>
      <c r="CT466" s="177"/>
      <c r="CU466" s="177"/>
      <c r="CV466" s="177"/>
      <c r="CW466" s="168"/>
      <c r="CX466" s="169"/>
      <c r="CY466" s="169"/>
      <c r="CZ466" s="169"/>
      <c r="DA466" s="169"/>
      <c r="DB466" s="169"/>
      <c r="DC466" s="169"/>
      <c r="DD466" s="173"/>
      <c r="DE466" s="173"/>
      <c r="DF466" s="173"/>
      <c r="DG466" s="173"/>
      <c r="DH466" s="173"/>
      <c r="DI466" s="173"/>
      <c r="DJ466" s="173"/>
      <c r="DK466" s="80" t="s">
        <v>415</v>
      </c>
      <c r="DL466" s="129"/>
      <c r="DM466" s="129"/>
      <c r="DN466" s="129"/>
      <c r="DO466" s="129"/>
      <c r="DP466" s="129"/>
      <c r="DQ466" s="129"/>
      <c r="DR466" s="129"/>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7">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83"/>
        <v>0</v>
      </c>
      <c r="BV467" s="27"/>
      <c r="BW467" s="27"/>
      <c r="BX467" s="27"/>
      <c r="BY467" s="27"/>
      <c r="BZ467" s="27"/>
      <c r="CA467" s="27"/>
      <c r="CB467" s="97"/>
      <c r="CC467" s="186">
        <v>1</v>
      </c>
      <c r="CD467" s="186">
        <v>2</v>
      </c>
      <c r="CE467" s="186">
        <v>3</v>
      </c>
      <c r="CF467" s="186">
        <v>4</v>
      </c>
      <c r="CG467" s="186">
        <v>5</v>
      </c>
      <c r="CH467" s="186">
        <f>CH466/3</f>
        <v>5</v>
      </c>
      <c r="CI467" s="174"/>
      <c r="CJ467" s="174"/>
      <c r="CK467" s="174"/>
      <c r="CL467" s="174"/>
      <c r="CM467" s="174"/>
      <c r="CN467" s="174"/>
      <c r="CO467" s="174"/>
      <c r="CP467" s="175"/>
      <c r="CQ467" s="175"/>
      <c r="CR467" s="175"/>
      <c r="CS467" s="175"/>
      <c r="CT467" s="175"/>
      <c r="CU467" s="175"/>
      <c r="CV467" s="175"/>
      <c r="CW467" s="166"/>
      <c r="CX467" s="167"/>
      <c r="CY467" s="167"/>
      <c r="CZ467" s="167"/>
      <c r="DA467" s="167"/>
      <c r="DB467" s="167"/>
      <c r="DC467" s="167"/>
      <c r="DD467" s="172"/>
      <c r="DE467" s="172"/>
      <c r="DF467" s="172"/>
      <c r="DG467" s="172"/>
      <c r="DH467" s="172"/>
      <c r="DI467" s="172"/>
      <c r="DJ467" s="172"/>
      <c r="DK467" s="79" t="s">
        <v>415</v>
      </c>
      <c r="DL467" s="128"/>
      <c r="DM467" s="128"/>
      <c r="DN467" s="128"/>
      <c r="DO467" s="128"/>
      <c r="DP467" s="128"/>
      <c r="DQ467" s="128"/>
      <c r="DR467" s="128"/>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7">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43"/>
        <v>0</v>
      </c>
      <c r="BV468" s="28"/>
      <c r="BW468" s="28"/>
      <c r="BX468" s="28"/>
      <c r="BY468" s="28"/>
      <c r="BZ468" s="28"/>
      <c r="CA468" s="28"/>
      <c r="CB468" s="99">
        <v>20</v>
      </c>
      <c r="CC468" s="99">
        <v>20</v>
      </c>
      <c r="CD468" s="99">
        <v>20</v>
      </c>
      <c r="CE468" s="99">
        <f t="shared" si="379"/>
        <v>20</v>
      </c>
      <c r="CF468" s="99">
        <f t="shared" si="380"/>
        <v>20</v>
      </c>
      <c r="CG468" s="99">
        <f t="shared" si="381"/>
        <v>20</v>
      </c>
      <c r="CH468" s="99">
        <v>20</v>
      </c>
      <c r="CI468" s="176"/>
      <c r="CJ468" s="176"/>
      <c r="CK468" s="176"/>
      <c r="CL468" s="176"/>
      <c r="CM468" s="176"/>
      <c r="CN468" s="176"/>
      <c r="CO468" s="176"/>
      <c r="CP468" s="177"/>
      <c r="CQ468" s="177"/>
      <c r="CR468" s="177"/>
      <c r="CS468" s="177"/>
      <c r="CT468" s="177"/>
      <c r="CU468" s="177"/>
      <c r="CV468" s="177"/>
      <c r="CW468" s="168"/>
      <c r="CX468" s="169"/>
      <c r="CY468" s="169"/>
      <c r="CZ468" s="169"/>
      <c r="DA468" s="169"/>
      <c r="DB468" s="169"/>
      <c r="DC468" s="169"/>
      <c r="DD468" s="173"/>
      <c r="DE468" s="173"/>
      <c r="DF468" s="173"/>
      <c r="DG468" s="173"/>
      <c r="DH468" s="173"/>
      <c r="DI468" s="173"/>
      <c r="DJ468" s="173"/>
      <c r="DK468" s="80" t="s">
        <v>415</v>
      </c>
      <c r="DL468" s="129"/>
      <c r="DM468" s="129"/>
      <c r="DN468" s="129"/>
      <c r="DO468" s="129"/>
      <c r="DP468" s="129"/>
      <c r="DQ468" s="129"/>
      <c r="DR468" s="129"/>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7">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43"/>
        <v>0</v>
      </c>
      <c r="BV469" s="27"/>
      <c r="BW469" s="27"/>
      <c r="BX469" s="27"/>
      <c r="BY469" s="27"/>
      <c r="BZ469" s="27"/>
      <c r="CA469" s="27"/>
      <c r="CB469" s="97">
        <v>0.435</v>
      </c>
      <c r="CC469" s="97">
        <v>0.5918589138024728</v>
      </c>
      <c r="CD469" s="97">
        <v>0.6</v>
      </c>
      <c r="CE469" s="97">
        <f t="shared" si="379"/>
        <v>0.56999999999999995</v>
      </c>
      <c r="CF469" s="97">
        <f t="shared" si="380"/>
        <v>0.53</v>
      </c>
      <c r="CG469" s="97">
        <f t="shared" si="381"/>
        <v>0.5</v>
      </c>
      <c r="CH469" s="97">
        <v>0.46</v>
      </c>
      <c r="CI469" s="174"/>
      <c r="CJ469" s="174"/>
      <c r="CK469" s="174"/>
      <c r="CL469" s="174"/>
      <c r="CM469" s="174"/>
      <c r="CN469" s="174"/>
      <c r="CO469" s="174"/>
      <c r="CP469" s="175"/>
      <c r="CQ469" s="175"/>
      <c r="CR469" s="175"/>
      <c r="CS469" s="175"/>
      <c r="CT469" s="175"/>
      <c r="CU469" s="175"/>
      <c r="CV469" s="175"/>
      <c r="CW469" s="166"/>
      <c r="CX469" s="167"/>
      <c r="CY469" s="167"/>
      <c r="CZ469" s="167"/>
      <c r="DA469" s="167"/>
      <c r="DB469" s="167"/>
      <c r="DC469" s="167"/>
      <c r="DD469" s="172"/>
      <c r="DE469" s="172"/>
      <c r="DF469" s="172"/>
      <c r="DG469" s="172"/>
      <c r="DH469" s="172"/>
      <c r="DI469" s="172"/>
      <c r="DJ469" s="172"/>
      <c r="DK469" s="79" t="s">
        <v>415</v>
      </c>
      <c r="DL469" s="128"/>
      <c r="DM469" s="128"/>
      <c r="DN469" s="128"/>
      <c r="DO469" s="128"/>
      <c r="DP469" s="128"/>
      <c r="DQ469" s="128"/>
      <c r="DR469" s="128"/>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7">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43"/>
        <v>0</v>
      </c>
      <c r="BV470" s="28"/>
      <c r="BW470" s="28"/>
      <c r="BX470" s="28"/>
      <c r="BY470" s="28"/>
      <c r="BZ470" s="28"/>
      <c r="CA470" s="28"/>
      <c r="CB470" s="99">
        <v>0.34799999999999998</v>
      </c>
      <c r="CC470" s="99">
        <v>0.46201918535185454</v>
      </c>
      <c r="CD470" s="99">
        <v>0.5</v>
      </c>
      <c r="CE470" s="99">
        <f t="shared" si="379"/>
        <v>0.47</v>
      </c>
      <c r="CF470" s="99">
        <f t="shared" si="380"/>
        <v>0.43</v>
      </c>
      <c r="CG470" s="99">
        <f t="shared" si="381"/>
        <v>0.4</v>
      </c>
      <c r="CH470" s="99">
        <v>0.36</v>
      </c>
      <c r="CI470" s="176"/>
      <c r="CJ470" s="176"/>
      <c r="CK470" s="176"/>
      <c r="CL470" s="176"/>
      <c r="CM470" s="176"/>
      <c r="CN470" s="176"/>
      <c r="CO470" s="176"/>
      <c r="CP470" s="177"/>
      <c r="CQ470" s="177"/>
      <c r="CR470" s="177"/>
      <c r="CS470" s="177"/>
      <c r="CT470" s="177"/>
      <c r="CU470" s="177"/>
      <c r="CV470" s="177"/>
      <c r="CW470" s="168"/>
      <c r="CX470" s="169"/>
      <c r="CY470" s="169"/>
      <c r="CZ470" s="169"/>
      <c r="DA470" s="169"/>
      <c r="DB470" s="169"/>
      <c r="DC470" s="169"/>
      <c r="DD470" s="173"/>
      <c r="DE470" s="173"/>
      <c r="DF470" s="173"/>
      <c r="DG470" s="173"/>
      <c r="DH470" s="173"/>
      <c r="DI470" s="173"/>
      <c r="DJ470" s="173"/>
      <c r="DK470" s="80" t="s">
        <v>415</v>
      </c>
      <c r="DL470" s="129"/>
      <c r="DM470" s="129"/>
      <c r="DN470" s="129"/>
      <c r="DO470" s="129"/>
      <c r="DP470" s="129"/>
      <c r="DQ470" s="129"/>
      <c r="DR470" s="129"/>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7">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43"/>
        <v>0</v>
      </c>
      <c r="BV471" s="27"/>
      <c r="BW471" s="27"/>
      <c r="BX471" s="27"/>
      <c r="BY471" s="27"/>
      <c r="BZ471" s="27"/>
      <c r="CA471" s="27"/>
      <c r="CB471" s="97">
        <v>0</v>
      </c>
      <c r="CC471" s="97">
        <v>5.7339728450618188E-2</v>
      </c>
      <c r="CD471" s="97">
        <v>0.1</v>
      </c>
      <c r="CE471" s="97">
        <f t="shared" si="379"/>
        <v>0.13</v>
      </c>
      <c r="CF471" s="97">
        <f t="shared" si="380"/>
        <v>0.15</v>
      </c>
      <c r="CG471" s="97">
        <f t="shared" si="381"/>
        <v>0.18</v>
      </c>
      <c r="CH471" s="97">
        <v>0.2</v>
      </c>
      <c r="CI471" s="174"/>
      <c r="CJ471" s="174"/>
      <c r="CK471" s="174"/>
      <c r="CL471" s="174"/>
      <c r="CM471" s="174"/>
      <c r="CN471" s="174"/>
      <c r="CO471" s="174"/>
      <c r="CP471" s="175"/>
      <c r="CQ471" s="175"/>
      <c r="CR471" s="175"/>
      <c r="CS471" s="175"/>
      <c r="CT471" s="175"/>
      <c r="CU471" s="175"/>
      <c r="CV471" s="175"/>
      <c r="CW471" s="166"/>
      <c r="CX471" s="167"/>
      <c r="CY471" s="167"/>
      <c r="CZ471" s="167"/>
      <c r="DA471" s="167"/>
      <c r="DB471" s="167"/>
      <c r="DC471" s="167"/>
      <c r="DD471" s="172"/>
      <c r="DE471" s="172"/>
      <c r="DF471" s="172"/>
      <c r="DG471" s="172"/>
      <c r="DH471" s="172"/>
      <c r="DI471" s="172"/>
      <c r="DJ471" s="172"/>
      <c r="DK471" s="79" t="s">
        <v>415</v>
      </c>
      <c r="DL471" s="128"/>
      <c r="DM471" s="128"/>
      <c r="DN471" s="128"/>
      <c r="DO471" s="128"/>
      <c r="DP471" s="128"/>
      <c r="DQ471" s="128"/>
      <c r="DR471" s="128"/>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7">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43"/>
        <v>0</v>
      </c>
      <c r="BV472" s="28"/>
      <c r="BW472" s="28"/>
      <c r="BX472" s="28"/>
      <c r="BY472" s="28"/>
      <c r="BZ472" s="28"/>
      <c r="CA472" s="28"/>
      <c r="CB472" s="99">
        <v>0.19500000000000001</v>
      </c>
      <c r="CC472" s="99">
        <v>0.37158485484745568</v>
      </c>
      <c r="CD472" s="99">
        <v>0.4</v>
      </c>
      <c r="CE472" s="99">
        <f t="shared" si="379"/>
        <v>0.4</v>
      </c>
      <c r="CF472" s="99">
        <f t="shared" si="380"/>
        <v>0.4</v>
      </c>
      <c r="CG472" s="99">
        <f t="shared" si="381"/>
        <v>0.4</v>
      </c>
      <c r="CH472" s="99">
        <v>0.4</v>
      </c>
      <c r="CI472" s="176"/>
      <c r="CJ472" s="176"/>
      <c r="CK472" s="176"/>
      <c r="CL472" s="176"/>
      <c r="CM472" s="176"/>
      <c r="CN472" s="176"/>
      <c r="CO472" s="176"/>
      <c r="CP472" s="177"/>
      <c r="CQ472" s="177"/>
      <c r="CR472" s="177"/>
      <c r="CS472" s="177"/>
      <c r="CT472" s="177"/>
      <c r="CU472" s="177"/>
      <c r="CV472" s="177"/>
      <c r="CW472" s="168"/>
      <c r="CX472" s="169"/>
      <c r="CY472" s="169"/>
      <c r="CZ472" s="169"/>
      <c r="DA472" s="169"/>
      <c r="DB472" s="169"/>
      <c r="DC472" s="169"/>
      <c r="DD472" s="173"/>
      <c r="DE472" s="173"/>
      <c r="DF472" s="173"/>
      <c r="DG472" s="173"/>
      <c r="DH472" s="173"/>
      <c r="DI472" s="173"/>
      <c r="DJ472" s="173"/>
      <c r="DK472" s="80" t="s">
        <v>415</v>
      </c>
      <c r="DL472" s="129"/>
      <c r="DM472" s="129"/>
      <c r="DN472" s="129"/>
      <c r="DO472" s="129"/>
      <c r="DP472" s="129"/>
      <c r="DQ472" s="129"/>
      <c r="DR472" s="129"/>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7">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43"/>
        <v>0</v>
      </c>
      <c r="BV473" s="27"/>
      <c r="BW473" s="27"/>
      <c r="BX473" s="27"/>
      <c r="BY473" s="27"/>
      <c r="BZ473" s="27"/>
      <c r="CA473" s="27"/>
      <c r="CB473" s="97">
        <v>0.39</v>
      </c>
      <c r="CC473" s="97">
        <v>0.4107784019886998</v>
      </c>
      <c r="CD473" s="97">
        <v>0.3</v>
      </c>
      <c r="CE473" s="97">
        <f t="shared" si="379"/>
        <v>0.3</v>
      </c>
      <c r="CF473" s="97">
        <f t="shared" si="380"/>
        <v>0.3</v>
      </c>
      <c r="CG473" s="97">
        <f t="shared" si="381"/>
        <v>0.3</v>
      </c>
      <c r="CH473" s="97">
        <v>0.3</v>
      </c>
      <c r="CI473" s="174"/>
      <c r="CJ473" s="174"/>
      <c r="CK473" s="174"/>
      <c r="CL473" s="174"/>
      <c r="CM473" s="174"/>
      <c r="CN473" s="174"/>
      <c r="CO473" s="174"/>
      <c r="CP473" s="175"/>
      <c r="CQ473" s="175"/>
      <c r="CR473" s="175"/>
      <c r="CS473" s="175"/>
      <c r="CT473" s="175"/>
      <c r="CU473" s="175"/>
      <c r="CV473" s="175"/>
      <c r="CW473" s="166"/>
      <c r="CX473" s="167"/>
      <c r="CY473" s="167"/>
      <c r="CZ473" s="167"/>
      <c r="DA473" s="167"/>
      <c r="DB473" s="167"/>
      <c r="DC473" s="167"/>
      <c r="DD473" s="172"/>
      <c r="DE473" s="172"/>
      <c r="DF473" s="172"/>
      <c r="DG473" s="172"/>
      <c r="DH473" s="172"/>
      <c r="DI473" s="172"/>
      <c r="DJ473" s="172"/>
      <c r="DK473" s="79" t="s">
        <v>415</v>
      </c>
      <c r="DL473" s="128"/>
      <c r="DM473" s="128"/>
      <c r="DN473" s="128"/>
      <c r="DO473" s="128"/>
      <c r="DP473" s="128"/>
      <c r="DQ473" s="128"/>
      <c r="DR473" s="128"/>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7">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43"/>
        <v>0</v>
      </c>
      <c r="BV474" s="28"/>
      <c r="BW474" s="28"/>
      <c r="BX474" s="28"/>
      <c r="BY474" s="28"/>
      <c r="BZ474" s="28"/>
      <c r="CA474" s="28"/>
      <c r="CB474" s="99">
        <v>0.9880000000000001</v>
      </c>
      <c r="CC474" s="99">
        <v>0.85458333333333347</v>
      </c>
      <c r="CD474" s="99">
        <v>0.36</v>
      </c>
      <c r="CE474" s="99">
        <f t="shared" si="379"/>
        <v>0.3</v>
      </c>
      <c r="CF474" s="99">
        <f t="shared" si="380"/>
        <v>0.23</v>
      </c>
      <c r="CG474" s="99">
        <f t="shared" si="381"/>
        <v>0.17</v>
      </c>
      <c r="CH474" s="99">
        <v>0.1</v>
      </c>
      <c r="CI474" s="176"/>
      <c r="CJ474" s="176"/>
      <c r="CK474" s="176"/>
      <c r="CL474" s="176"/>
      <c r="CM474" s="176"/>
      <c r="CN474" s="176"/>
      <c r="CO474" s="176"/>
      <c r="CP474" s="177"/>
      <c r="CQ474" s="177"/>
      <c r="CR474" s="177"/>
      <c r="CS474" s="177"/>
      <c r="CT474" s="177"/>
      <c r="CU474" s="177"/>
      <c r="CV474" s="177"/>
      <c r="CW474" s="168"/>
      <c r="CX474" s="169"/>
      <c r="CY474" s="169"/>
      <c r="CZ474" s="169"/>
      <c r="DA474" s="169"/>
      <c r="DB474" s="169"/>
      <c r="DC474" s="169"/>
      <c r="DD474" s="173"/>
      <c r="DE474" s="173"/>
      <c r="DF474" s="173"/>
      <c r="DG474" s="173"/>
      <c r="DH474" s="173"/>
      <c r="DI474" s="173"/>
      <c r="DJ474" s="173"/>
      <c r="DK474" s="80" t="s">
        <v>415</v>
      </c>
      <c r="DL474" s="129"/>
      <c r="DM474" s="129"/>
      <c r="DN474" s="129"/>
      <c r="DO474" s="129"/>
      <c r="DP474" s="129"/>
      <c r="DQ474" s="129"/>
      <c r="DR474" s="129"/>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7">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43"/>
        <v>0</v>
      </c>
      <c r="BV475" s="27"/>
      <c r="BW475" s="27"/>
      <c r="BX475" s="27"/>
      <c r="BY475" s="27"/>
      <c r="BZ475" s="27"/>
      <c r="CA475" s="27"/>
      <c r="CB475" s="97">
        <v>10</v>
      </c>
      <c r="CC475" s="97">
        <v>10</v>
      </c>
      <c r="CD475" s="97">
        <v>10</v>
      </c>
      <c r="CE475" s="97">
        <f t="shared" si="379"/>
        <v>10</v>
      </c>
      <c r="CF475" s="97">
        <f t="shared" si="380"/>
        <v>10</v>
      </c>
      <c r="CG475" s="97">
        <f t="shared" si="381"/>
        <v>10</v>
      </c>
      <c r="CH475" s="97">
        <v>10</v>
      </c>
      <c r="CI475" s="174"/>
      <c r="CJ475" s="174"/>
      <c r="CK475" s="174"/>
      <c r="CL475" s="174"/>
      <c r="CM475" s="174"/>
      <c r="CN475" s="174"/>
      <c r="CO475" s="174"/>
      <c r="CP475" s="175"/>
      <c r="CQ475" s="175"/>
      <c r="CR475" s="175"/>
      <c r="CS475" s="175"/>
      <c r="CT475" s="175"/>
      <c r="CU475" s="175"/>
      <c r="CV475" s="175"/>
      <c r="CW475" s="166"/>
      <c r="CX475" s="167"/>
      <c r="CY475" s="167"/>
      <c r="CZ475" s="167"/>
      <c r="DA475" s="167"/>
      <c r="DB475" s="167"/>
      <c r="DC475" s="167"/>
      <c r="DD475" s="172"/>
      <c r="DE475" s="172"/>
      <c r="DF475" s="172"/>
      <c r="DG475" s="172"/>
      <c r="DH475" s="172"/>
      <c r="DI475" s="172"/>
      <c r="DJ475" s="172"/>
      <c r="DK475" s="79" t="s">
        <v>415</v>
      </c>
      <c r="DL475" s="128"/>
      <c r="DM475" s="128"/>
      <c r="DN475" s="128"/>
      <c r="DO475" s="128"/>
      <c r="DP475" s="128"/>
      <c r="DQ475" s="128"/>
      <c r="DR475" s="128"/>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7">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43"/>
        <v>0</v>
      </c>
      <c r="BV476" s="28"/>
      <c r="BW476" s="28"/>
      <c r="BX476" s="28"/>
      <c r="BY476" s="28"/>
      <c r="BZ476" s="28"/>
      <c r="CA476" s="28"/>
      <c r="CB476" s="99">
        <v>6.2000000000000006E-2</v>
      </c>
      <c r="CC476" s="99">
        <v>0.11016666666666668</v>
      </c>
      <c r="CD476" s="99">
        <v>0.1</v>
      </c>
      <c r="CE476" s="99">
        <f t="shared" si="379"/>
        <v>0.1</v>
      </c>
      <c r="CF476" s="99">
        <f t="shared" si="380"/>
        <v>0.09</v>
      </c>
      <c r="CG476" s="99">
        <f t="shared" si="381"/>
        <v>0.09</v>
      </c>
      <c r="CH476" s="99">
        <v>0.08</v>
      </c>
      <c r="CI476" s="176"/>
      <c r="CJ476" s="176"/>
      <c r="CK476" s="176"/>
      <c r="CL476" s="176"/>
      <c r="CM476" s="176"/>
      <c r="CN476" s="176"/>
      <c r="CO476" s="176"/>
      <c r="CP476" s="177"/>
      <c r="CQ476" s="177"/>
      <c r="CR476" s="177"/>
      <c r="CS476" s="177"/>
      <c r="CT476" s="177"/>
      <c r="CU476" s="177"/>
      <c r="CV476" s="177"/>
      <c r="CW476" s="168"/>
      <c r="CX476" s="169"/>
      <c r="CY476" s="169"/>
      <c r="CZ476" s="169"/>
      <c r="DA476" s="169"/>
      <c r="DB476" s="169"/>
      <c r="DC476" s="169"/>
      <c r="DD476" s="173"/>
      <c r="DE476" s="173"/>
      <c r="DF476" s="173"/>
      <c r="DG476" s="173"/>
      <c r="DH476" s="173"/>
      <c r="DI476" s="173"/>
      <c r="DJ476" s="173"/>
      <c r="DK476" s="80" t="s">
        <v>1521</v>
      </c>
      <c r="DL476" s="129"/>
      <c r="DM476" s="129"/>
      <c r="DN476" s="129"/>
      <c r="DO476" s="129"/>
      <c r="DP476" s="129"/>
      <c r="DQ476" s="129"/>
      <c r="DR476" s="129"/>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7">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43"/>
        <v>0</v>
      </c>
      <c r="BV477" s="27"/>
      <c r="BW477" s="27"/>
      <c r="BX477" s="27"/>
      <c r="BY477" s="27"/>
      <c r="BZ477" s="27"/>
      <c r="CA477" s="27"/>
      <c r="CB477" s="97">
        <v>0.15500000000000003</v>
      </c>
      <c r="CC477" s="97">
        <v>0.2506666666666667</v>
      </c>
      <c r="CD477" s="97">
        <v>0.2</v>
      </c>
      <c r="CE477" s="97">
        <f t="shared" si="379"/>
        <v>0.2</v>
      </c>
      <c r="CF477" s="97">
        <f t="shared" si="380"/>
        <v>0.19</v>
      </c>
      <c r="CG477" s="97">
        <f t="shared" si="381"/>
        <v>0.18</v>
      </c>
      <c r="CH477" s="97">
        <v>0.17</v>
      </c>
      <c r="CI477" s="174"/>
      <c r="CJ477" s="174"/>
      <c r="CK477" s="174"/>
      <c r="CL477" s="174"/>
      <c r="CM477" s="174"/>
      <c r="CN477" s="174"/>
      <c r="CO477" s="174"/>
      <c r="CP477" s="175"/>
      <c r="CQ477" s="175"/>
      <c r="CR477" s="175"/>
      <c r="CS477" s="175"/>
      <c r="CT477" s="175"/>
      <c r="CU477" s="175"/>
      <c r="CV477" s="175"/>
      <c r="CW477" s="166"/>
      <c r="CX477" s="167"/>
      <c r="CY477" s="167"/>
      <c r="CZ477" s="167"/>
      <c r="DA477" s="167"/>
      <c r="DB477" s="167"/>
      <c r="DC477" s="167"/>
      <c r="DD477" s="172"/>
      <c r="DE477" s="172"/>
      <c r="DF477" s="172"/>
      <c r="DG477" s="172"/>
      <c r="DH477" s="172"/>
      <c r="DI477" s="172"/>
      <c r="DJ477" s="172"/>
      <c r="DK477" s="79" t="s">
        <v>415</v>
      </c>
      <c r="DL477" s="128"/>
      <c r="DM477" s="128"/>
      <c r="DN477" s="128"/>
      <c r="DO477" s="128"/>
      <c r="DP477" s="128"/>
      <c r="DQ477" s="128"/>
      <c r="DR477" s="128"/>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7">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43"/>
        <v>0</v>
      </c>
      <c r="BV478" s="28"/>
      <c r="BW478" s="28"/>
      <c r="BX478" s="28"/>
      <c r="BY478" s="28"/>
      <c r="BZ478" s="28"/>
      <c r="CA478" s="28"/>
      <c r="CB478" s="99">
        <v>0</v>
      </c>
      <c r="CC478" s="99">
        <v>3.1500000000000007E-2</v>
      </c>
      <c r="CD478" s="99">
        <v>0.06</v>
      </c>
      <c r="CE478" s="99">
        <f t="shared" si="379"/>
        <v>0.06</v>
      </c>
      <c r="CF478" s="99">
        <f t="shared" si="380"/>
        <v>0.05</v>
      </c>
      <c r="CG478" s="99">
        <f t="shared" si="381"/>
        <v>0.05</v>
      </c>
      <c r="CH478" s="99">
        <v>0.04</v>
      </c>
      <c r="CI478" s="176"/>
      <c r="CJ478" s="176"/>
      <c r="CK478" s="176"/>
      <c r="CL478" s="176"/>
      <c r="CM478" s="176"/>
      <c r="CN478" s="176"/>
      <c r="CO478" s="176"/>
      <c r="CP478" s="177"/>
      <c r="CQ478" s="177"/>
      <c r="CR478" s="177"/>
      <c r="CS478" s="177"/>
      <c r="CT478" s="177"/>
      <c r="CU478" s="177"/>
      <c r="CV478" s="177"/>
      <c r="CW478" s="168"/>
      <c r="CX478" s="169"/>
      <c r="CY478" s="169"/>
      <c r="CZ478" s="169"/>
      <c r="DA478" s="169"/>
      <c r="DB478" s="169"/>
      <c r="DC478" s="169"/>
      <c r="DD478" s="173"/>
      <c r="DE478" s="173"/>
      <c r="DF478" s="173"/>
      <c r="DG478" s="173"/>
      <c r="DH478" s="173"/>
      <c r="DI478" s="173"/>
      <c r="DJ478" s="173"/>
      <c r="DK478" s="80" t="s">
        <v>415</v>
      </c>
      <c r="DL478" s="129"/>
      <c r="DM478" s="129"/>
      <c r="DN478" s="129"/>
      <c r="DO478" s="129"/>
      <c r="DP478" s="129"/>
      <c r="DQ478" s="129"/>
      <c r="DR478" s="129"/>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7">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43"/>
        <v>0</v>
      </c>
      <c r="BV479" s="27"/>
      <c r="BW479" s="27"/>
      <c r="BX479" s="27"/>
      <c r="BY479" s="27"/>
      <c r="BZ479" s="27"/>
      <c r="CA479" s="27"/>
      <c r="CB479" s="97">
        <v>8.0000000000000016E-2</v>
      </c>
      <c r="CC479" s="97">
        <v>9.3901497133514242E-2</v>
      </c>
      <c r="CD479" s="97">
        <v>0.05</v>
      </c>
      <c r="CE479" s="97">
        <f t="shared" si="379"/>
        <v>0.05</v>
      </c>
      <c r="CF479" s="97">
        <f t="shared" si="380"/>
        <v>0.05</v>
      </c>
      <c r="CG479" s="97">
        <f t="shared" si="381"/>
        <v>0.05</v>
      </c>
      <c r="CH479" s="97">
        <v>0.04</v>
      </c>
      <c r="CI479" s="174"/>
      <c r="CJ479" s="174"/>
      <c r="CK479" s="174"/>
      <c r="CL479" s="174"/>
      <c r="CM479" s="174"/>
      <c r="CN479" s="174"/>
      <c r="CO479" s="174"/>
      <c r="CP479" s="175"/>
      <c r="CQ479" s="175"/>
      <c r="CR479" s="175"/>
      <c r="CS479" s="175"/>
      <c r="CT479" s="175"/>
      <c r="CU479" s="175"/>
      <c r="CV479" s="175"/>
      <c r="CW479" s="166"/>
      <c r="CX479" s="167"/>
      <c r="CY479" s="167"/>
      <c r="CZ479" s="167"/>
      <c r="DA479" s="167"/>
      <c r="DB479" s="167"/>
      <c r="DC479" s="167"/>
      <c r="DD479" s="172"/>
      <c r="DE479" s="172"/>
      <c r="DF479" s="172"/>
      <c r="DG479" s="172"/>
      <c r="DH479" s="172"/>
      <c r="DI479" s="172"/>
      <c r="DJ479" s="172"/>
      <c r="DK479" s="79" t="s">
        <v>415</v>
      </c>
      <c r="DL479" s="128"/>
      <c r="DM479" s="128"/>
      <c r="DN479" s="128"/>
      <c r="DO479" s="128"/>
      <c r="DP479" s="128"/>
      <c r="DQ479" s="128"/>
      <c r="DR479" s="128"/>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7">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43"/>
        <v>0</v>
      </c>
      <c r="BV480" s="28"/>
      <c r="BW480" s="28"/>
      <c r="BX480" s="28"/>
      <c r="BY480" s="28"/>
      <c r="BZ480" s="28"/>
      <c r="CA480" s="28"/>
      <c r="CB480" s="99">
        <v>6.4000000000000001E-2</v>
      </c>
      <c r="CC480" s="99">
        <v>6.967423161344187E-2</v>
      </c>
      <c r="CD480" s="99">
        <v>0.04</v>
      </c>
      <c r="CE480" s="99">
        <f t="shared" si="379"/>
        <v>0.04</v>
      </c>
      <c r="CF480" s="99">
        <f t="shared" si="380"/>
        <v>0.04</v>
      </c>
      <c r="CG480" s="99">
        <f t="shared" si="381"/>
        <v>0.04</v>
      </c>
      <c r="CH480" s="99">
        <v>0.03</v>
      </c>
      <c r="CI480" s="176"/>
      <c r="CJ480" s="176"/>
      <c r="CK480" s="176"/>
      <c r="CL480" s="176"/>
      <c r="CM480" s="176"/>
      <c r="CN480" s="176"/>
      <c r="CO480" s="176"/>
      <c r="CP480" s="177"/>
      <c r="CQ480" s="177"/>
      <c r="CR480" s="177"/>
      <c r="CS480" s="177"/>
      <c r="CT480" s="177"/>
      <c r="CU480" s="177"/>
      <c r="CV480" s="177"/>
      <c r="CW480" s="168"/>
      <c r="CX480" s="169"/>
      <c r="CY480" s="169"/>
      <c r="CZ480" s="169"/>
      <c r="DA480" s="169"/>
      <c r="DB480" s="169"/>
      <c r="DC480" s="169"/>
      <c r="DD480" s="173"/>
      <c r="DE480" s="173"/>
      <c r="DF480" s="173"/>
      <c r="DG480" s="173"/>
      <c r="DH480" s="173"/>
      <c r="DI480" s="173"/>
      <c r="DJ480" s="173"/>
      <c r="DK480" s="80" t="s">
        <v>415</v>
      </c>
      <c r="DL480" s="129"/>
      <c r="DM480" s="129"/>
      <c r="DN480" s="129"/>
      <c r="DO480" s="129"/>
      <c r="DP480" s="129"/>
      <c r="DQ480" s="129"/>
      <c r="DR480" s="129"/>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7">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43"/>
        <v>0</v>
      </c>
      <c r="BV481" s="27"/>
      <c r="BW481" s="27"/>
      <c r="BX481" s="27"/>
      <c r="BY481" s="27"/>
      <c r="BZ481" s="27"/>
      <c r="CA481" s="27"/>
      <c r="CB481" s="97">
        <v>0</v>
      </c>
      <c r="CC481" s="97">
        <v>7.6257525307173177E-3</v>
      </c>
      <c r="CD481" s="97">
        <v>0.01</v>
      </c>
      <c r="CE481" s="97">
        <f t="shared" si="379"/>
        <v>0.02</v>
      </c>
      <c r="CF481" s="97">
        <f t="shared" si="380"/>
        <v>0.02</v>
      </c>
      <c r="CG481" s="97">
        <f t="shared" si="381"/>
        <v>0.02</v>
      </c>
      <c r="CH481" s="97">
        <v>0.02</v>
      </c>
      <c r="CI481" s="174"/>
      <c r="CJ481" s="174"/>
      <c r="CK481" s="174"/>
      <c r="CL481" s="174"/>
      <c r="CM481" s="174"/>
      <c r="CN481" s="174"/>
      <c r="CO481" s="174"/>
      <c r="CP481" s="175"/>
      <c r="CQ481" s="175"/>
      <c r="CR481" s="175"/>
      <c r="CS481" s="175"/>
      <c r="CT481" s="175"/>
      <c r="CU481" s="175"/>
      <c r="CV481" s="175"/>
      <c r="CW481" s="166"/>
      <c r="CX481" s="167"/>
      <c r="CY481" s="167"/>
      <c r="CZ481" s="167"/>
      <c r="DA481" s="167"/>
      <c r="DB481" s="167"/>
      <c r="DC481" s="167"/>
      <c r="DD481" s="172"/>
      <c r="DE481" s="172"/>
      <c r="DF481" s="172"/>
      <c r="DG481" s="172"/>
      <c r="DH481" s="172"/>
      <c r="DI481" s="172"/>
      <c r="DJ481" s="172"/>
      <c r="DK481" s="79" t="s">
        <v>415</v>
      </c>
      <c r="DL481" s="128"/>
      <c r="DM481" s="128"/>
      <c r="DN481" s="128"/>
      <c r="DO481" s="128"/>
      <c r="DP481" s="128"/>
      <c r="DQ481" s="128"/>
      <c r="DR481" s="128"/>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7">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43"/>
        <v>0</v>
      </c>
      <c r="BV482" s="28"/>
      <c r="BW482" s="28"/>
      <c r="BX482" s="28"/>
      <c r="BY482" s="28"/>
      <c r="BZ482" s="28"/>
      <c r="CA482" s="28"/>
      <c r="CB482" s="99">
        <v>0.81200000000000006</v>
      </c>
      <c r="CC482" s="99">
        <v>0.95333333333333337</v>
      </c>
      <c r="CD482" s="99">
        <v>0.18</v>
      </c>
      <c r="CE482" s="99">
        <f t="shared" si="379"/>
        <v>0.16</v>
      </c>
      <c r="CF482" s="99">
        <f t="shared" si="380"/>
        <v>0.14000000000000001</v>
      </c>
      <c r="CG482" s="99">
        <f t="shared" si="381"/>
        <v>0.12</v>
      </c>
      <c r="CH482" s="99">
        <v>0.1</v>
      </c>
      <c r="CI482" s="176"/>
      <c r="CJ482" s="176"/>
      <c r="CK482" s="176"/>
      <c r="CL482" s="176"/>
      <c r="CM482" s="176"/>
      <c r="CN482" s="176"/>
      <c r="CO482" s="176"/>
      <c r="CP482" s="177"/>
      <c r="CQ482" s="177"/>
      <c r="CR482" s="177"/>
      <c r="CS482" s="177"/>
      <c r="CT482" s="177"/>
      <c r="CU482" s="177"/>
      <c r="CV482" s="177"/>
      <c r="CW482" s="168"/>
      <c r="CX482" s="169"/>
      <c r="CY482" s="169"/>
      <c r="CZ482" s="169"/>
      <c r="DA482" s="169"/>
      <c r="DB482" s="169"/>
      <c r="DC482" s="169"/>
      <c r="DD482" s="173"/>
      <c r="DE482" s="173"/>
      <c r="DF482" s="173"/>
      <c r="DG482" s="173"/>
      <c r="DH482" s="173"/>
      <c r="DI482" s="173"/>
      <c r="DJ482" s="173"/>
      <c r="DK482" s="80" t="s">
        <v>415</v>
      </c>
      <c r="DL482" s="129"/>
      <c r="DM482" s="129"/>
      <c r="DN482" s="129"/>
      <c r="DO482" s="129"/>
      <c r="DP482" s="129"/>
      <c r="DQ482" s="129"/>
      <c r="DR482" s="129"/>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7">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4">IF(BL483=1,BN483,0)</f>
        <v>0</v>
      </c>
      <c r="BV483" s="27"/>
      <c r="BW483" s="27"/>
      <c r="BX483" s="27"/>
      <c r="BY483" s="27"/>
      <c r="BZ483" s="27"/>
      <c r="CA483" s="27"/>
      <c r="CB483" s="97">
        <v>15</v>
      </c>
      <c r="CC483" s="97">
        <v>15</v>
      </c>
      <c r="CD483" s="97">
        <v>15</v>
      </c>
      <c r="CE483" s="97">
        <f t="shared" si="379"/>
        <v>15</v>
      </c>
      <c r="CF483" s="97">
        <f t="shared" si="380"/>
        <v>15</v>
      </c>
      <c r="CG483" s="97">
        <f t="shared" si="381"/>
        <v>15</v>
      </c>
      <c r="CH483" s="97">
        <v>15</v>
      </c>
      <c r="CI483" s="174"/>
      <c r="CJ483" s="174"/>
      <c r="CK483" s="174"/>
      <c r="CL483" s="174"/>
      <c r="CM483" s="174"/>
      <c r="CN483" s="174"/>
      <c r="CO483" s="174"/>
      <c r="CP483" s="175"/>
      <c r="CQ483" s="175"/>
      <c r="CR483" s="175"/>
      <c r="CS483" s="175"/>
      <c r="CT483" s="175"/>
      <c r="CU483" s="175"/>
      <c r="CV483" s="175"/>
      <c r="CW483" s="166"/>
      <c r="CX483" s="167"/>
      <c r="CY483" s="167"/>
      <c r="CZ483" s="167"/>
      <c r="DA483" s="167"/>
      <c r="DB483" s="167"/>
      <c r="DC483" s="167"/>
      <c r="DD483" s="172"/>
      <c r="DE483" s="172"/>
      <c r="DF483" s="172"/>
      <c r="DG483" s="172"/>
      <c r="DH483" s="172"/>
      <c r="DI483" s="172"/>
      <c r="DJ483" s="172"/>
      <c r="DK483" s="79" t="s">
        <v>415</v>
      </c>
      <c r="DL483" s="128"/>
      <c r="DM483" s="128"/>
      <c r="DN483" s="128"/>
      <c r="DO483" s="128"/>
      <c r="DP483" s="128"/>
      <c r="DQ483" s="128"/>
      <c r="DR483" s="128"/>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7">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4"/>
        <v>0</v>
      </c>
      <c r="BV484" s="28"/>
      <c r="BW484" s="28"/>
      <c r="BX484" s="28"/>
      <c r="BY484" s="28"/>
      <c r="BZ484" s="28"/>
      <c r="CA484" s="28"/>
      <c r="CB484" s="99">
        <v>0.66749999999999998</v>
      </c>
      <c r="CC484" s="99">
        <v>0.73958333333333337</v>
      </c>
      <c r="CD484" s="186">
        <f>CC484</f>
        <v>0.73958333333333337</v>
      </c>
      <c r="CE484" s="186">
        <f t="shared" si="379"/>
        <v>0.74</v>
      </c>
      <c r="CF484" s="186">
        <f t="shared" si="380"/>
        <v>0.74</v>
      </c>
      <c r="CG484" s="186">
        <f t="shared" si="381"/>
        <v>0.74</v>
      </c>
      <c r="CH484" s="186">
        <f>CC484</f>
        <v>0.73958333333333337</v>
      </c>
      <c r="CI484" s="176"/>
      <c r="CJ484" s="176"/>
      <c r="CK484" s="176"/>
      <c r="CL484" s="176"/>
      <c r="CM484" s="176"/>
      <c r="CN484" s="176"/>
      <c r="CO484" s="176"/>
      <c r="CP484" s="177"/>
      <c r="CQ484" s="177"/>
      <c r="CR484" s="177"/>
      <c r="CS484" s="177"/>
      <c r="CT484" s="177"/>
      <c r="CU484" s="177"/>
      <c r="CV484" s="177"/>
      <c r="CW484" s="168"/>
      <c r="CX484" s="169"/>
      <c r="CY484" s="169"/>
      <c r="CZ484" s="169"/>
      <c r="DA484" s="169"/>
      <c r="DB484" s="169"/>
      <c r="DC484" s="169"/>
      <c r="DD484" s="173"/>
      <c r="DE484" s="173"/>
      <c r="DF484" s="173"/>
      <c r="DG484" s="173"/>
      <c r="DH484" s="173"/>
      <c r="DI484" s="173"/>
      <c r="DJ484" s="173"/>
      <c r="DK484" s="80" t="s">
        <v>415</v>
      </c>
      <c r="DL484" s="129"/>
      <c r="DM484" s="129"/>
      <c r="DN484" s="129"/>
      <c r="DO484" s="129"/>
      <c r="DP484" s="129"/>
      <c r="DQ484" s="129"/>
      <c r="DR484" s="129"/>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7">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4"/>
        <v>0</v>
      </c>
      <c r="BV485" s="27"/>
      <c r="BW485" s="27"/>
      <c r="BX485" s="27"/>
      <c r="BY485" s="27"/>
      <c r="BZ485" s="27"/>
      <c r="CA485" s="27"/>
      <c r="CB485" s="97">
        <v>20</v>
      </c>
      <c r="CC485" s="97">
        <v>20</v>
      </c>
      <c r="CD485" s="97">
        <v>20</v>
      </c>
      <c r="CE485" s="97">
        <f t="shared" si="379"/>
        <v>20</v>
      </c>
      <c r="CF485" s="97">
        <f t="shared" si="380"/>
        <v>20</v>
      </c>
      <c r="CG485" s="97">
        <f t="shared" si="381"/>
        <v>20</v>
      </c>
      <c r="CH485" s="97">
        <v>20</v>
      </c>
      <c r="CI485" s="174"/>
      <c r="CJ485" s="174"/>
      <c r="CK485" s="174"/>
      <c r="CL485" s="174"/>
      <c r="CM485" s="174"/>
      <c r="CN485" s="174"/>
      <c r="CO485" s="174"/>
      <c r="CP485" s="175"/>
      <c r="CQ485" s="175"/>
      <c r="CR485" s="175"/>
      <c r="CS485" s="175"/>
      <c r="CT485" s="175"/>
      <c r="CU485" s="175"/>
      <c r="CV485" s="175"/>
      <c r="CW485" s="166"/>
      <c r="CX485" s="167"/>
      <c r="CY485" s="167"/>
      <c r="CZ485" s="167"/>
      <c r="DA485" s="167"/>
      <c r="DB485" s="167"/>
      <c r="DC485" s="167"/>
      <c r="DD485" s="172"/>
      <c r="DE485" s="172"/>
      <c r="DF485" s="172"/>
      <c r="DG485" s="172"/>
      <c r="DH485" s="172"/>
      <c r="DI485" s="172"/>
      <c r="DJ485" s="172"/>
      <c r="DK485" s="79" t="s">
        <v>415</v>
      </c>
      <c r="DL485" s="128"/>
      <c r="DM485" s="128"/>
      <c r="DN485" s="128"/>
      <c r="DO485" s="128"/>
      <c r="DP485" s="128"/>
      <c r="DQ485" s="128"/>
      <c r="DR485" s="128"/>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7">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4"/>
        <v>0</v>
      </c>
      <c r="BV486" s="28"/>
      <c r="BW486" s="28"/>
      <c r="BX486" s="28"/>
      <c r="BY486" s="28"/>
      <c r="BZ486" s="28"/>
      <c r="CA486" s="28"/>
      <c r="CB486" s="99">
        <v>0.9880000000000001</v>
      </c>
      <c r="CC486" s="99">
        <v>0.85458333333333347</v>
      </c>
      <c r="CD486" s="99">
        <v>1.345</v>
      </c>
      <c r="CE486" s="99">
        <f t="shared" si="379"/>
        <v>1.35</v>
      </c>
      <c r="CF486" s="99">
        <f t="shared" si="380"/>
        <v>1.35</v>
      </c>
      <c r="CG486" s="99">
        <f t="shared" si="381"/>
        <v>1.35</v>
      </c>
      <c r="CH486" s="99">
        <v>1.345</v>
      </c>
      <c r="CI486" s="176"/>
      <c r="CJ486" s="176"/>
      <c r="CK486" s="176"/>
      <c r="CL486" s="176"/>
      <c r="CM486" s="176"/>
      <c r="CN486" s="176"/>
      <c r="CO486" s="176"/>
      <c r="CP486" s="177"/>
      <c r="CQ486" s="177"/>
      <c r="CR486" s="177"/>
      <c r="CS486" s="177"/>
      <c r="CT486" s="177"/>
      <c r="CU486" s="177"/>
      <c r="CV486" s="177"/>
      <c r="CW486" s="168"/>
      <c r="CX486" s="169"/>
      <c r="CY486" s="169"/>
      <c r="CZ486" s="169"/>
      <c r="DA486" s="169"/>
      <c r="DB486" s="169"/>
      <c r="DC486" s="169"/>
      <c r="DD486" s="173"/>
      <c r="DE486" s="173"/>
      <c r="DF486" s="173"/>
      <c r="DG486" s="173"/>
      <c r="DH486" s="173"/>
      <c r="DI486" s="173"/>
      <c r="DJ486" s="173"/>
      <c r="DK486" s="80" t="s">
        <v>415</v>
      </c>
      <c r="DL486" s="129"/>
      <c r="DM486" s="129"/>
      <c r="DN486" s="129"/>
      <c r="DO486" s="129"/>
      <c r="DP486" s="129"/>
      <c r="DQ486" s="129"/>
      <c r="DR486" s="129"/>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7">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4"/>
        <v>0</v>
      </c>
      <c r="BV487" s="27"/>
      <c r="BW487" s="27"/>
      <c r="BX487" s="27"/>
      <c r="BY487" s="27"/>
      <c r="BZ487" s="27"/>
      <c r="CA487" s="27"/>
      <c r="CB487" s="97">
        <v>10</v>
      </c>
      <c r="CC487" s="97">
        <v>10</v>
      </c>
      <c r="CD487" s="97">
        <v>10</v>
      </c>
      <c r="CE487" s="97">
        <f t="shared" si="379"/>
        <v>10</v>
      </c>
      <c r="CF487" s="97">
        <f t="shared" si="380"/>
        <v>10</v>
      </c>
      <c r="CG487" s="97">
        <f t="shared" si="381"/>
        <v>10</v>
      </c>
      <c r="CH487" s="97">
        <v>10</v>
      </c>
      <c r="CI487" s="174"/>
      <c r="CJ487" s="174"/>
      <c r="CK487" s="174"/>
      <c r="CL487" s="174"/>
      <c r="CM487" s="174"/>
      <c r="CN487" s="174"/>
      <c r="CO487" s="174"/>
      <c r="CP487" s="175"/>
      <c r="CQ487" s="175"/>
      <c r="CR487" s="175"/>
      <c r="CS487" s="175"/>
      <c r="CT487" s="175"/>
      <c r="CU487" s="175"/>
      <c r="CV487" s="175"/>
      <c r="CW487" s="166"/>
      <c r="CX487" s="167"/>
      <c r="CY487" s="167"/>
      <c r="CZ487" s="167"/>
      <c r="DA487" s="167"/>
      <c r="DB487" s="167"/>
      <c r="DC487" s="167"/>
      <c r="DD487" s="172"/>
      <c r="DE487" s="172"/>
      <c r="DF487" s="172"/>
      <c r="DG487" s="172"/>
      <c r="DH487" s="172"/>
      <c r="DI487" s="172"/>
      <c r="DJ487" s="172"/>
      <c r="DK487" s="79" t="s">
        <v>415</v>
      </c>
      <c r="DL487" s="128"/>
      <c r="DM487" s="128"/>
      <c r="DN487" s="128"/>
      <c r="DO487" s="128"/>
      <c r="DP487" s="128"/>
      <c r="DQ487" s="128"/>
      <c r="DR487" s="128"/>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7">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4"/>
        <v>0</v>
      </c>
      <c r="BV488" s="28"/>
      <c r="BW488" s="28"/>
      <c r="BX488" s="28"/>
      <c r="BY488" s="28"/>
      <c r="BZ488" s="28"/>
      <c r="CA488" s="28"/>
      <c r="CB488" s="99">
        <v>0.81200000000000006</v>
      </c>
      <c r="CC488" s="99">
        <v>0.95333333333333337</v>
      </c>
      <c r="CD488" s="99">
        <v>0.35899999999999999</v>
      </c>
      <c r="CE488" s="99">
        <f t="shared" si="379"/>
        <v>0.36</v>
      </c>
      <c r="CF488" s="99">
        <f t="shared" si="380"/>
        <v>0.36</v>
      </c>
      <c r="CG488" s="99">
        <f t="shared" si="381"/>
        <v>0.36</v>
      </c>
      <c r="CH488" s="99">
        <v>0.35899999999999999</v>
      </c>
      <c r="CI488" s="176"/>
      <c r="CJ488" s="176"/>
      <c r="CK488" s="176"/>
      <c r="CL488" s="176"/>
      <c r="CM488" s="176"/>
      <c r="CN488" s="176"/>
      <c r="CO488" s="176"/>
      <c r="CP488" s="177"/>
      <c r="CQ488" s="177"/>
      <c r="CR488" s="177"/>
      <c r="CS488" s="177"/>
      <c r="CT488" s="177"/>
      <c r="CU488" s="177"/>
      <c r="CV488" s="177"/>
      <c r="CW488" s="168"/>
      <c r="CX488" s="169"/>
      <c r="CY488" s="169"/>
      <c r="CZ488" s="169"/>
      <c r="DA488" s="169"/>
      <c r="DB488" s="169"/>
      <c r="DC488" s="169"/>
      <c r="DD488" s="173"/>
      <c r="DE488" s="173"/>
      <c r="DF488" s="173"/>
      <c r="DG488" s="173"/>
      <c r="DH488" s="173"/>
      <c r="DI488" s="173"/>
      <c r="DJ488" s="173"/>
      <c r="DK488" s="80" t="s">
        <v>415</v>
      </c>
      <c r="DL488" s="129"/>
      <c r="DM488" s="129"/>
      <c r="DN488" s="129"/>
      <c r="DO488" s="129"/>
      <c r="DP488" s="129"/>
      <c r="DQ488" s="129"/>
      <c r="DR488" s="129"/>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7">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43"/>
        <v>0</v>
      </c>
      <c r="BV489" s="27"/>
      <c r="BW489" s="27"/>
      <c r="BX489" s="27"/>
      <c r="BY489" s="27"/>
      <c r="BZ489" s="27"/>
      <c r="CA489" s="27"/>
      <c r="CB489" s="97">
        <v>5</v>
      </c>
      <c r="CC489" s="97">
        <v>5</v>
      </c>
      <c r="CD489" s="97">
        <v>5</v>
      </c>
      <c r="CE489" s="97">
        <f t="shared" si="379"/>
        <v>5</v>
      </c>
      <c r="CF489" s="97">
        <f t="shared" si="380"/>
        <v>5</v>
      </c>
      <c r="CG489" s="97">
        <f t="shared" si="381"/>
        <v>5</v>
      </c>
      <c r="CH489" s="97">
        <v>5</v>
      </c>
      <c r="CI489" s="174"/>
      <c r="CJ489" s="174"/>
      <c r="CK489" s="174"/>
      <c r="CL489" s="174"/>
      <c r="CM489" s="174"/>
      <c r="CN489" s="174"/>
      <c r="CO489" s="174"/>
      <c r="CP489" s="175"/>
      <c r="CQ489" s="175"/>
      <c r="CR489" s="175"/>
      <c r="CS489" s="175"/>
      <c r="CT489" s="175"/>
      <c r="CU489" s="175"/>
      <c r="CV489" s="175"/>
      <c r="CW489" s="166"/>
      <c r="CX489" s="167"/>
      <c r="CY489" s="167"/>
      <c r="CZ489" s="167"/>
      <c r="DA489" s="167"/>
      <c r="DB489" s="167"/>
      <c r="DC489" s="167"/>
      <c r="DD489" s="172"/>
      <c r="DE489" s="172"/>
      <c r="DF489" s="172"/>
      <c r="DG489" s="172"/>
      <c r="DH489" s="172"/>
      <c r="DI489" s="172"/>
      <c r="DJ489" s="172"/>
      <c r="DK489" s="79" t="s">
        <v>415</v>
      </c>
      <c r="DL489" s="128"/>
      <c r="DM489" s="128"/>
      <c r="DN489" s="128"/>
      <c r="DO489" s="128"/>
      <c r="DP489" s="128"/>
      <c r="DQ489" s="128"/>
      <c r="DR489" s="128"/>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7">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43"/>
        <v>0</v>
      </c>
      <c r="BV490" s="28"/>
      <c r="BW490" s="28"/>
      <c r="BX490" s="28"/>
      <c r="BY490" s="28"/>
      <c r="BZ490" s="28"/>
      <c r="CA490" s="28"/>
      <c r="CB490" s="99">
        <v>1.0499999999999998</v>
      </c>
      <c r="CC490" s="99">
        <v>1.0874999999999999</v>
      </c>
      <c r="CD490" s="186">
        <f>CC490</f>
        <v>1.0874999999999999</v>
      </c>
      <c r="CE490" s="186">
        <f t="shared" si="379"/>
        <v>1.0900000000000001</v>
      </c>
      <c r="CF490" s="186">
        <f t="shared" si="380"/>
        <v>1.0900000000000001</v>
      </c>
      <c r="CG490" s="186">
        <f t="shared" si="381"/>
        <v>1.0900000000000001</v>
      </c>
      <c r="CH490" s="186">
        <f>CC490</f>
        <v>1.0874999999999999</v>
      </c>
      <c r="CI490" s="176"/>
      <c r="CJ490" s="176"/>
      <c r="CK490" s="176"/>
      <c r="CL490" s="176"/>
      <c r="CM490" s="176"/>
      <c r="CN490" s="176"/>
      <c r="CO490" s="176"/>
      <c r="CP490" s="177"/>
      <c r="CQ490" s="177"/>
      <c r="CR490" s="177"/>
      <c r="CS490" s="177"/>
      <c r="CT490" s="177"/>
      <c r="CU490" s="177"/>
      <c r="CV490" s="177"/>
      <c r="CW490" s="168"/>
      <c r="CX490" s="169"/>
      <c r="CY490" s="169"/>
      <c r="CZ490" s="169"/>
      <c r="DA490" s="169"/>
      <c r="DB490" s="169"/>
      <c r="DC490" s="169"/>
      <c r="DD490" s="173"/>
      <c r="DE490" s="173"/>
      <c r="DF490" s="173"/>
      <c r="DG490" s="173"/>
      <c r="DH490" s="173"/>
      <c r="DI490" s="173"/>
      <c r="DJ490" s="173"/>
      <c r="DK490" s="80" t="s">
        <v>415</v>
      </c>
      <c r="DL490" s="129"/>
      <c r="DM490" s="129"/>
      <c r="DN490" s="129"/>
      <c r="DO490" s="129"/>
      <c r="DP490" s="129"/>
      <c r="DQ490" s="129"/>
      <c r="DR490" s="129"/>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7">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43"/>
        <v>0</v>
      </c>
      <c r="BV491" s="27"/>
      <c r="BW491" s="27"/>
      <c r="BX491" s="27"/>
      <c r="BY491" s="27"/>
      <c r="BZ491" s="27"/>
      <c r="CA491" s="27"/>
      <c r="CB491" s="97">
        <v>0.15000000000000002</v>
      </c>
      <c r="CC491" s="97">
        <v>0.15750000000000003</v>
      </c>
      <c r="CD491" s="186">
        <f t="shared" ref="CD491:CD498" si="385">CC491</f>
        <v>0.15750000000000003</v>
      </c>
      <c r="CE491" s="186">
        <f t="shared" ref="CE491:CE492" si="386">ROUND((CD491+CF491)/2,2)</f>
        <v>0.16</v>
      </c>
      <c r="CF491" s="186">
        <f t="shared" ref="CF491:CF492" si="387">ROUND((CD491+CH491)/2,2)</f>
        <v>0.16</v>
      </c>
      <c r="CG491" s="186">
        <f t="shared" ref="CG491:CG492" si="388">ROUND((CF491+CH491)/2,2)</f>
        <v>0.16</v>
      </c>
      <c r="CH491" s="186">
        <f t="shared" ref="CH491:CH492" si="389">CC491</f>
        <v>0.15750000000000003</v>
      </c>
      <c r="CI491" s="174"/>
      <c r="CJ491" s="174"/>
      <c r="CK491" s="174"/>
      <c r="CL491" s="174"/>
      <c r="CM491" s="174"/>
      <c r="CN491" s="174"/>
      <c r="CO491" s="174"/>
      <c r="CP491" s="175"/>
      <c r="CQ491" s="175"/>
      <c r="CR491" s="175"/>
      <c r="CS491" s="175"/>
      <c r="CT491" s="175"/>
      <c r="CU491" s="175"/>
      <c r="CV491" s="175"/>
      <c r="CW491" s="166"/>
      <c r="CX491" s="167"/>
      <c r="CY491" s="167"/>
      <c r="CZ491" s="167"/>
      <c r="DA491" s="167"/>
      <c r="DB491" s="167"/>
      <c r="DC491" s="167"/>
      <c r="DD491" s="172"/>
      <c r="DE491" s="172"/>
      <c r="DF491" s="172"/>
      <c r="DG491" s="172"/>
      <c r="DH491" s="172"/>
      <c r="DI491" s="172"/>
      <c r="DJ491" s="172"/>
      <c r="DK491" s="79" t="s">
        <v>415</v>
      </c>
      <c r="DL491" s="128"/>
      <c r="DM491" s="128"/>
      <c r="DN491" s="128"/>
      <c r="DO491" s="128"/>
      <c r="DP491" s="128"/>
      <c r="DQ491" s="128"/>
      <c r="DR491" s="128"/>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7">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43"/>
        <v>0</v>
      </c>
      <c r="BV492" s="28"/>
      <c r="BW492" s="28"/>
      <c r="BX492" s="28"/>
      <c r="BY492" s="28"/>
      <c r="BZ492" s="28"/>
      <c r="CA492" s="28"/>
      <c r="CB492" s="99">
        <v>0.32000000000000006</v>
      </c>
      <c r="CC492" s="99">
        <v>0.30000000000000004</v>
      </c>
      <c r="CD492" s="186">
        <f t="shared" si="385"/>
        <v>0.30000000000000004</v>
      </c>
      <c r="CE492" s="186">
        <f t="shared" si="386"/>
        <v>0.3</v>
      </c>
      <c r="CF492" s="186">
        <f t="shared" si="387"/>
        <v>0.3</v>
      </c>
      <c r="CG492" s="186">
        <f t="shared" si="388"/>
        <v>0.3</v>
      </c>
      <c r="CH492" s="186">
        <f t="shared" si="389"/>
        <v>0.30000000000000004</v>
      </c>
      <c r="CI492" s="176"/>
      <c r="CJ492" s="176"/>
      <c r="CK492" s="176"/>
      <c r="CL492" s="176"/>
      <c r="CM492" s="176"/>
      <c r="CN492" s="176"/>
      <c r="CO492" s="176"/>
      <c r="CP492" s="177"/>
      <c r="CQ492" s="177"/>
      <c r="CR492" s="177"/>
      <c r="CS492" s="177"/>
      <c r="CT492" s="177"/>
      <c r="CU492" s="177"/>
      <c r="CV492" s="177"/>
      <c r="CW492" s="168"/>
      <c r="CX492" s="169"/>
      <c r="CY492" s="169"/>
      <c r="CZ492" s="169"/>
      <c r="DA492" s="169"/>
      <c r="DB492" s="169"/>
      <c r="DC492" s="169"/>
      <c r="DD492" s="173"/>
      <c r="DE492" s="173"/>
      <c r="DF492" s="173"/>
      <c r="DG492" s="173"/>
      <c r="DH492" s="173"/>
      <c r="DI492" s="173"/>
      <c r="DJ492" s="173"/>
      <c r="DK492" s="80" t="s">
        <v>415</v>
      </c>
      <c r="DL492" s="129"/>
      <c r="DM492" s="129"/>
      <c r="DN492" s="129"/>
      <c r="DO492" s="129"/>
      <c r="DP492" s="129"/>
      <c r="DQ492" s="129"/>
      <c r="DR492" s="129"/>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7">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43"/>
        <v>0</v>
      </c>
      <c r="BV493" s="27"/>
      <c r="BW493" s="27"/>
      <c r="BX493" s="27"/>
      <c r="BY493" s="27"/>
      <c r="BZ493" s="27"/>
      <c r="CA493" s="27"/>
      <c r="CB493" s="97">
        <v>20</v>
      </c>
      <c r="CC493" s="97">
        <v>20</v>
      </c>
      <c r="CD493" s="97">
        <v>20</v>
      </c>
      <c r="CE493" s="97">
        <f t="shared" si="379"/>
        <v>20</v>
      </c>
      <c r="CF493" s="97">
        <f t="shared" si="380"/>
        <v>20</v>
      </c>
      <c r="CG493" s="97">
        <f t="shared" si="381"/>
        <v>20</v>
      </c>
      <c r="CH493" s="97">
        <v>20</v>
      </c>
      <c r="CI493" s="174"/>
      <c r="CJ493" s="174"/>
      <c r="CK493" s="174"/>
      <c r="CL493" s="174"/>
      <c r="CM493" s="174"/>
      <c r="CN493" s="174"/>
      <c r="CO493" s="174"/>
      <c r="CP493" s="175"/>
      <c r="CQ493" s="175"/>
      <c r="CR493" s="175"/>
      <c r="CS493" s="175"/>
      <c r="CT493" s="175"/>
      <c r="CU493" s="175"/>
      <c r="CV493" s="175"/>
      <c r="CW493" s="166"/>
      <c r="CX493" s="167"/>
      <c r="CY493" s="167"/>
      <c r="CZ493" s="167"/>
      <c r="DA493" s="167"/>
      <c r="DB493" s="167"/>
      <c r="DC493" s="167"/>
      <c r="DD493" s="172"/>
      <c r="DE493" s="172"/>
      <c r="DF493" s="172"/>
      <c r="DG493" s="172"/>
      <c r="DH493" s="172"/>
      <c r="DI493" s="172"/>
      <c r="DJ493" s="172"/>
      <c r="DK493" s="79" t="s">
        <v>415</v>
      </c>
      <c r="DL493" s="128"/>
      <c r="DM493" s="128"/>
      <c r="DN493" s="128"/>
      <c r="DO493" s="128"/>
      <c r="DP493" s="128"/>
      <c r="DQ493" s="128"/>
      <c r="DR493" s="128"/>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7">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43"/>
        <v>0</v>
      </c>
      <c r="BV494" s="28"/>
      <c r="BW494" s="28"/>
      <c r="BX494" s="28"/>
      <c r="BY494" s="28"/>
      <c r="BZ494" s="28"/>
      <c r="CA494" s="28"/>
      <c r="CB494" s="99">
        <v>0.9880000000000001</v>
      </c>
      <c r="CC494" s="99">
        <v>0.85458333333333347</v>
      </c>
      <c r="CD494" s="186">
        <f t="shared" si="385"/>
        <v>0.85458333333333347</v>
      </c>
      <c r="CE494" s="186">
        <f t="shared" si="379"/>
        <v>0.85</v>
      </c>
      <c r="CF494" s="186">
        <f t="shared" si="380"/>
        <v>0.85</v>
      </c>
      <c r="CG494" s="186">
        <f t="shared" si="381"/>
        <v>0.85</v>
      </c>
      <c r="CH494" s="186">
        <f t="shared" ref="CH494" si="390">CC494</f>
        <v>0.85458333333333347</v>
      </c>
      <c r="CI494" s="176"/>
      <c r="CJ494" s="176"/>
      <c r="CK494" s="176"/>
      <c r="CL494" s="176"/>
      <c r="CM494" s="176"/>
      <c r="CN494" s="176"/>
      <c r="CO494" s="176"/>
      <c r="CP494" s="177"/>
      <c r="CQ494" s="177"/>
      <c r="CR494" s="177"/>
      <c r="CS494" s="177"/>
      <c r="CT494" s="177"/>
      <c r="CU494" s="177"/>
      <c r="CV494" s="177"/>
      <c r="CW494" s="168"/>
      <c r="CX494" s="169"/>
      <c r="CY494" s="169"/>
      <c r="CZ494" s="169"/>
      <c r="DA494" s="169"/>
      <c r="DB494" s="169"/>
      <c r="DC494" s="169"/>
      <c r="DD494" s="173"/>
      <c r="DE494" s="173"/>
      <c r="DF494" s="173"/>
      <c r="DG494" s="173"/>
      <c r="DH494" s="173"/>
      <c r="DI494" s="173"/>
      <c r="DJ494" s="173"/>
      <c r="DK494" s="80" t="s">
        <v>415</v>
      </c>
      <c r="DL494" s="129"/>
      <c r="DM494" s="129"/>
      <c r="DN494" s="129"/>
      <c r="DO494" s="129"/>
      <c r="DP494" s="129"/>
      <c r="DQ494" s="129"/>
      <c r="DR494" s="129"/>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7">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43"/>
        <v>0</v>
      </c>
      <c r="BV495" s="27"/>
      <c r="BW495" s="27"/>
      <c r="BX495" s="27"/>
      <c r="BY495" s="27"/>
      <c r="BZ495" s="27"/>
      <c r="CA495" s="27"/>
      <c r="CB495" s="97">
        <v>10</v>
      </c>
      <c r="CC495" s="97">
        <v>10</v>
      </c>
      <c r="CD495" s="97">
        <v>10</v>
      </c>
      <c r="CE495" s="97">
        <f t="shared" si="379"/>
        <v>10</v>
      </c>
      <c r="CF495" s="97">
        <f t="shared" si="380"/>
        <v>10</v>
      </c>
      <c r="CG495" s="97">
        <f t="shared" si="381"/>
        <v>10</v>
      </c>
      <c r="CH495" s="97">
        <v>10</v>
      </c>
      <c r="CI495" s="174"/>
      <c r="CJ495" s="174"/>
      <c r="CK495" s="174"/>
      <c r="CL495" s="174"/>
      <c r="CM495" s="174"/>
      <c r="CN495" s="174"/>
      <c r="CO495" s="174"/>
      <c r="CP495" s="175"/>
      <c r="CQ495" s="175"/>
      <c r="CR495" s="175"/>
      <c r="CS495" s="175"/>
      <c r="CT495" s="175"/>
      <c r="CU495" s="175"/>
      <c r="CV495" s="175"/>
      <c r="CW495" s="166"/>
      <c r="CX495" s="167"/>
      <c r="CY495" s="167"/>
      <c r="CZ495" s="167"/>
      <c r="DA495" s="167"/>
      <c r="DB495" s="167"/>
      <c r="DC495" s="167"/>
      <c r="DD495" s="172"/>
      <c r="DE495" s="172"/>
      <c r="DF495" s="172"/>
      <c r="DG495" s="172"/>
      <c r="DH495" s="172"/>
      <c r="DI495" s="172"/>
      <c r="DJ495" s="172"/>
      <c r="DK495" s="79" t="s">
        <v>415</v>
      </c>
      <c r="DL495" s="128"/>
      <c r="DM495" s="128"/>
      <c r="DN495" s="128"/>
      <c r="DO495" s="128"/>
      <c r="DP495" s="128"/>
      <c r="DQ495" s="128"/>
      <c r="DR495" s="128"/>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7">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43"/>
        <v>0</v>
      </c>
      <c r="BV496" s="28"/>
      <c r="BW496" s="28"/>
      <c r="BX496" s="28"/>
      <c r="BY496" s="28"/>
      <c r="BZ496" s="28"/>
      <c r="CA496" s="28"/>
      <c r="CB496" s="99">
        <v>0.81200000000000006</v>
      </c>
      <c r="CC496" s="99">
        <v>0.95333333333333337</v>
      </c>
      <c r="CD496" s="186">
        <f t="shared" si="385"/>
        <v>0.95333333333333337</v>
      </c>
      <c r="CE496" s="186">
        <f t="shared" si="379"/>
        <v>0.95</v>
      </c>
      <c r="CF496" s="186">
        <f t="shared" si="380"/>
        <v>0.95</v>
      </c>
      <c r="CG496" s="186">
        <f t="shared" si="381"/>
        <v>0.95</v>
      </c>
      <c r="CH496" s="186">
        <f t="shared" ref="CH496" si="391">CC496</f>
        <v>0.95333333333333337</v>
      </c>
      <c r="CI496" s="176"/>
      <c r="CJ496" s="176"/>
      <c r="CK496" s="176"/>
      <c r="CL496" s="176"/>
      <c r="CM496" s="176"/>
      <c r="CN496" s="176"/>
      <c r="CO496" s="176"/>
      <c r="CP496" s="177"/>
      <c r="CQ496" s="177"/>
      <c r="CR496" s="177"/>
      <c r="CS496" s="177"/>
      <c r="CT496" s="177"/>
      <c r="CU496" s="177"/>
      <c r="CV496" s="177"/>
      <c r="CW496" s="168"/>
      <c r="CX496" s="169"/>
      <c r="CY496" s="169"/>
      <c r="CZ496" s="169"/>
      <c r="DA496" s="169"/>
      <c r="DB496" s="169"/>
      <c r="DC496" s="169"/>
      <c r="DD496" s="173"/>
      <c r="DE496" s="173"/>
      <c r="DF496" s="173"/>
      <c r="DG496" s="173"/>
      <c r="DH496" s="173"/>
      <c r="DI496" s="173"/>
      <c r="DJ496" s="173"/>
      <c r="DK496" s="80" t="s">
        <v>415</v>
      </c>
      <c r="DL496" s="129"/>
      <c r="DM496" s="129"/>
      <c r="DN496" s="129"/>
      <c r="DO496" s="129"/>
      <c r="DP496" s="129"/>
      <c r="DQ496" s="129"/>
      <c r="DR496" s="129"/>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7">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92">IF(BL497=1,BN497,0)</f>
        <v>0</v>
      </c>
      <c r="BV497" s="27"/>
      <c r="BW497" s="27"/>
      <c r="BX497" s="27"/>
      <c r="BY497" s="27"/>
      <c r="BZ497" s="27"/>
      <c r="CA497" s="27"/>
      <c r="CB497" s="97">
        <v>5</v>
      </c>
      <c r="CC497" s="97">
        <v>5</v>
      </c>
      <c r="CD497" s="97">
        <v>5</v>
      </c>
      <c r="CE497" s="97">
        <f t="shared" si="379"/>
        <v>5</v>
      </c>
      <c r="CF497" s="97">
        <f t="shared" si="380"/>
        <v>5</v>
      </c>
      <c r="CG497" s="97">
        <f t="shared" si="381"/>
        <v>5</v>
      </c>
      <c r="CH497" s="97">
        <v>5</v>
      </c>
      <c r="CI497" s="174"/>
      <c r="CJ497" s="174"/>
      <c r="CK497" s="174"/>
      <c r="CL497" s="174"/>
      <c r="CM497" s="174"/>
      <c r="CN497" s="174"/>
      <c r="CO497" s="174"/>
      <c r="CP497" s="175"/>
      <c r="CQ497" s="175"/>
      <c r="CR497" s="175"/>
      <c r="CS497" s="175"/>
      <c r="CT497" s="175"/>
      <c r="CU497" s="175"/>
      <c r="CV497" s="175"/>
      <c r="CW497" s="166"/>
      <c r="CX497" s="167"/>
      <c r="CY497" s="167"/>
      <c r="CZ497" s="167"/>
      <c r="DA497" s="167"/>
      <c r="DB497" s="167"/>
      <c r="DC497" s="167"/>
      <c r="DD497" s="172"/>
      <c r="DE497" s="172"/>
      <c r="DF497" s="172"/>
      <c r="DG497" s="172"/>
      <c r="DH497" s="172"/>
      <c r="DI497" s="172"/>
      <c r="DJ497" s="172"/>
      <c r="DK497" s="79" t="s">
        <v>415</v>
      </c>
      <c r="DL497" s="128"/>
      <c r="DM497" s="128"/>
      <c r="DN497" s="128"/>
      <c r="DO497" s="128"/>
      <c r="DP497" s="128"/>
      <c r="DQ497" s="128"/>
      <c r="DR497" s="128"/>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7">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92"/>
        <v>0</v>
      </c>
      <c r="BV498" s="28"/>
      <c r="BW498" s="28"/>
      <c r="BX498" s="28"/>
      <c r="BY498" s="28"/>
      <c r="BZ498" s="28"/>
      <c r="CA498" s="28"/>
      <c r="CB498" s="99">
        <v>0.32000000000000006</v>
      </c>
      <c r="CC498" s="99">
        <v>0.30000000000000004</v>
      </c>
      <c r="CD498" s="186">
        <f t="shared" si="385"/>
        <v>0.30000000000000004</v>
      </c>
      <c r="CE498" s="186">
        <f t="shared" si="379"/>
        <v>0.3</v>
      </c>
      <c r="CF498" s="186">
        <f t="shared" si="380"/>
        <v>0.3</v>
      </c>
      <c r="CG498" s="186">
        <f t="shared" si="381"/>
        <v>0.3</v>
      </c>
      <c r="CH498" s="186">
        <f t="shared" ref="CH498" si="393">CC498</f>
        <v>0.30000000000000004</v>
      </c>
      <c r="CI498" s="176"/>
      <c r="CJ498" s="176"/>
      <c r="CK498" s="176"/>
      <c r="CL498" s="176"/>
      <c r="CM498" s="176"/>
      <c r="CN498" s="176"/>
      <c r="CO498" s="176"/>
      <c r="CP498" s="177"/>
      <c r="CQ498" s="177"/>
      <c r="CR498" s="177"/>
      <c r="CS498" s="177"/>
      <c r="CT498" s="177"/>
      <c r="CU498" s="177"/>
      <c r="CV498" s="177"/>
      <c r="CW498" s="168"/>
      <c r="CX498" s="169"/>
      <c r="CY498" s="169"/>
      <c r="CZ498" s="169"/>
      <c r="DA498" s="169"/>
      <c r="DB498" s="169"/>
      <c r="DC498" s="169"/>
      <c r="DD498" s="173"/>
      <c r="DE498" s="173"/>
      <c r="DF498" s="173"/>
      <c r="DG498" s="173"/>
      <c r="DH498" s="173"/>
      <c r="DI498" s="173"/>
      <c r="DJ498" s="173"/>
      <c r="DK498" s="80" t="s">
        <v>415</v>
      </c>
      <c r="DL498" s="129"/>
      <c r="DM498" s="129"/>
      <c r="DN498" s="129"/>
      <c r="DO498" s="129"/>
      <c r="DP498" s="129"/>
      <c r="DQ498" s="129"/>
      <c r="DR498" s="129"/>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7">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92"/>
        <v>0</v>
      </c>
      <c r="BV499" s="27"/>
      <c r="BW499" s="27"/>
      <c r="BX499" s="27"/>
      <c r="BY499" s="27"/>
      <c r="BZ499" s="27"/>
      <c r="CA499" s="27"/>
      <c r="CB499" s="97">
        <v>15</v>
      </c>
      <c r="CC499" s="97">
        <v>15</v>
      </c>
      <c r="CD499" s="97">
        <v>15</v>
      </c>
      <c r="CE499" s="97">
        <f t="shared" si="379"/>
        <v>15</v>
      </c>
      <c r="CF499" s="97">
        <f t="shared" si="380"/>
        <v>15</v>
      </c>
      <c r="CG499" s="97">
        <f t="shared" si="381"/>
        <v>15</v>
      </c>
      <c r="CH499" s="97">
        <v>15</v>
      </c>
      <c r="CI499" s="174"/>
      <c r="CJ499" s="174"/>
      <c r="CK499" s="174"/>
      <c r="CL499" s="174"/>
      <c r="CM499" s="174"/>
      <c r="CN499" s="174"/>
      <c r="CO499" s="174"/>
      <c r="CP499" s="175"/>
      <c r="CQ499" s="175"/>
      <c r="CR499" s="175"/>
      <c r="CS499" s="175"/>
      <c r="CT499" s="175"/>
      <c r="CU499" s="175"/>
      <c r="CV499" s="175"/>
      <c r="CW499" s="166"/>
      <c r="CX499" s="167"/>
      <c r="CY499" s="167"/>
      <c r="CZ499" s="167"/>
      <c r="DA499" s="167"/>
      <c r="DB499" s="167"/>
      <c r="DC499" s="167"/>
      <c r="DD499" s="172"/>
      <c r="DE499" s="172"/>
      <c r="DF499" s="172"/>
      <c r="DG499" s="172"/>
      <c r="DH499" s="172"/>
      <c r="DI499" s="172"/>
      <c r="DJ499" s="172"/>
      <c r="DK499" s="79" t="s">
        <v>415</v>
      </c>
      <c r="DL499" s="128"/>
      <c r="DM499" s="128"/>
      <c r="DN499" s="128"/>
      <c r="DO499" s="128"/>
      <c r="DP499" s="128"/>
      <c r="DQ499" s="128"/>
      <c r="DR499" s="128"/>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7">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92"/>
        <v>0</v>
      </c>
      <c r="BV500" s="28"/>
      <c r="BW500" s="28"/>
      <c r="BX500" s="28"/>
      <c r="BY500" s="28"/>
      <c r="BZ500" s="28"/>
      <c r="CA500" s="28"/>
      <c r="CB500" s="99">
        <v>0.66749999999999998</v>
      </c>
      <c r="CC500" s="99">
        <v>0.73958333333333337</v>
      </c>
      <c r="CD500" s="99">
        <v>1.6040000000000001</v>
      </c>
      <c r="CE500" s="99">
        <f t="shared" ref="CE500" si="394">ROUND((CD500+CF500)/2,2)</f>
        <v>1.6</v>
      </c>
      <c r="CF500" s="99">
        <f t="shared" ref="CF500" si="395">ROUND((CD500+CH500)/2,2)</f>
        <v>1.6</v>
      </c>
      <c r="CG500" s="99">
        <f t="shared" ref="CG500" si="396">ROUND((CF500+CH500)/2,2)</f>
        <v>1.6</v>
      </c>
      <c r="CH500" s="99">
        <v>1.6040000000000001</v>
      </c>
      <c r="CI500" s="176"/>
      <c r="CJ500" s="176"/>
      <c r="CK500" s="176"/>
      <c r="CL500" s="176"/>
      <c r="CM500" s="176"/>
      <c r="CN500" s="176"/>
      <c r="CO500" s="176"/>
      <c r="CP500" s="177"/>
      <c r="CQ500" s="177"/>
      <c r="CR500" s="177"/>
      <c r="CS500" s="177"/>
      <c r="CT500" s="177"/>
      <c r="CU500" s="177"/>
      <c r="CV500" s="177"/>
      <c r="CW500" s="168"/>
      <c r="CX500" s="169"/>
      <c r="CY500" s="169"/>
      <c r="CZ500" s="169"/>
      <c r="DA500" s="169"/>
      <c r="DB500" s="169"/>
      <c r="DC500" s="169"/>
      <c r="DD500" s="173"/>
      <c r="DE500" s="173"/>
      <c r="DF500" s="173"/>
      <c r="DG500" s="173"/>
      <c r="DH500" s="173"/>
      <c r="DI500" s="173"/>
      <c r="DJ500" s="173"/>
      <c r="DK500" s="80" t="s">
        <v>415</v>
      </c>
      <c r="DL500" s="129"/>
      <c r="DM500" s="129"/>
      <c r="DN500" s="129"/>
      <c r="DO500" s="129"/>
      <c r="DP500" s="129"/>
      <c r="DQ500" s="129"/>
      <c r="DR500" s="129"/>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
      <c r="A501" s="224" t="s">
        <v>1770</v>
      </c>
      <c r="B501" s="224" t="s">
        <v>740</v>
      </c>
      <c r="C501" s="224" t="s">
        <v>534</v>
      </c>
      <c r="D501" s="224" t="s">
        <v>741</v>
      </c>
      <c r="E501" s="224" t="s">
        <v>1771</v>
      </c>
      <c r="F501" s="224" t="s">
        <v>548</v>
      </c>
      <c r="G501" s="225" t="s">
        <v>1772</v>
      </c>
      <c r="H501" s="225"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7">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43"/>
        <v>0</v>
      </c>
      <c r="BV501" s="27"/>
      <c r="BW501" s="27"/>
      <c r="BX501" s="27"/>
      <c r="BY501" s="27"/>
      <c r="BZ501" s="27"/>
      <c r="CA501" s="27"/>
      <c r="CB501" s="245"/>
      <c r="CC501" s="245">
        <f t="shared" ref="CC501" si="397">ROUND((CB501+CD501)/2,2)</f>
        <v>4.8499999999999996</v>
      </c>
      <c r="CD501" s="245">
        <v>9.6999999999999993</v>
      </c>
      <c r="CE501" s="245">
        <v>24</v>
      </c>
      <c r="CF501" s="245">
        <v>40</v>
      </c>
      <c r="CG501" s="245">
        <v>45</v>
      </c>
      <c r="CH501" s="245">
        <v>50</v>
      </c>
      <c r="CI501" s="174"/>
      <c r="CJ501" s="174"/>
      <c r="CK501" s="174"/>
      <c r="CL501" s="174"/>
      <c r="CM501" s="174"/>
      <c r="CN501" s="174"/>
      <c r="CO501" s="174"/>
      <c r="CP501" s="175"/>
      <c r="CQ501" s="175"/>
      <c r="CR501" s="175"/>
      <c r="CS501" s="175"/>
      <c r="CT501" s="175"/>
      <c r="CU501" s="175"/>
      <c r="CV501" s="175"/>
      <c r="CW501" s="166"/>
      <c r="CX501" s="167"/>
      <c r="CY501" s="167"/>
      <c r="CZ501" s="167"/>
      <c r="DA501" s="167"/>
      <c r="DB501" s="167"/>
      <c r="DC501" s="167"/>
      <c r="DD501" s="172"/>
      <c r="DE501" s="172"/>
      <c r="DF501" s="172"/>
      <c r="DG501" s="172"/>
      <c r="DH501" s="172"/>
      <c r="DI501" s="172"/>
      <c r="DJ501" s="172"/>
      <c r="DK501" s="79" t="s">
        <v>415</v>
      </c>
      <c r="DL501" s="128"/>
      <c r="DM501" s="128"/>
      <c r="DN501" s="128"/>
      <c r="DO501" s="128"/>
      <c r="DP501" s="128"/>
      <c r="DQ501" s="128"/>
      <c r="DR501" s="128"/>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7">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43"/>
        <v>0</v>
      </c>
      <c r="BV502" s="28"/>
      <c r="BW502" s="28"/>
      <c r="BX502" s="28"/>
      <c r="BY502" s="28"/>
      <c r="BZ502" s="28"/>
      <c r="CA502" s="28"/>
      <c r="CB502" s="186">
        <v>0</v>
      </c>
      <c r="CC502" s="186">
        <v>0</v>
      </c>
      <c r="CD502" s="186"/>
      <c r="CE502" s="186">
        <v>2.5</v>
      </c>
      <c r="CF502" s="186">
        <v>5</v>
      </c>
      <c r="CG502" s="186">
        <v>7.5</v>
      </c>
      <c r="CH502" s="186">
        <v>10</v>
      </c>
      <c r="CI502" s="176"/>
      <c r="CJ502" s="176"/>
      <c r="CK502" s="176"/>
      <c r="CL502" s="176"/>
      <c r="CM502" s="176"/>
      <c r="CN502" s="176"/>
      <c r="CO502" s="176"/>
      <c r="CP502" s="177"/>
      <c r="CQ502" s="177"/>
      <c r="CR502" s="177"/>
      <c r="CS502" s="177"/>
      <c r="CT502" s="177"/>
      <c r="CU502" s="177"/>
      <c r="CV502" s="177"/>
      <c r="CW502" s="168"/>
      <c r="CX502" s="169"/>
      <c r="CY502" s="169"/>
      <c r="CZ502" s="169"/>
      <c r="DA502" s="169"/>
      <c r="DB502" s="169"/>
      <c r="DC502" s="169"/>
      <c r="DD502" s="173"/>
      <c r="DE502" s="173"/>
      <c r="DF502" s="173"/>
      <c r="DG502" s="173"/>
      <c r="DH502" s="173"/>
      <c r="DI502" s="173"/>
      <c r="DJ502" s="173"/>
      <c r="DK502" s="80" t="s">
        <v>415</v>
      </c>
      <c r="DL502" s="129"/>
      <c r="DM502" s="129"/>
      <c r="DN502" s="129"/>
      <c r="DO502" s="129"/>
      <c r="DP502" s="129"/>
      <c r="DQ502" s="129"/>
      <c r="DR502" s="129"/>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7">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43"/>
        <v>0</v>
      </c>
      <c r="BV503" s="27"/>
      <c r="BW503" s="27"/>
      <c r="BX503" s="27"/>
      <c r="BY503" s="27"/>
      <c r="BZ503" s="27"/>
      <c r="CA503" s="27"/>
      <c r="CB503" s="186">
        <v>0</v>
      </c>
      <c r="CC503" s="186">
        <v>0</v>
      </c>
      <c r="CD503" s="186"/>
      <c r="CE503" s="186">
        <v>2.5</v>
      </c>
      <c r="CF503" s="186">
        <v>5</v>
      </c>
      <c r="CG503" s="186">
        <v>7.5</v>
      </c>
      <c r="CH503" s="186">
        <v>10</v>
      </c>
      <c r="CI503" s="174"/>
      <c r="CJ503" s="174"/>
      <c r="CK503" s="174"/>
      <c r="CL503" s="174"/>
      <c r="CM503" s="174"/>
      <c r="CN503" s="174"/>
      <c r="CO503" s="174"/>
      <c r="CP503" s="175"/>
      <c r="CQ503" s="175"/>
      <c r="CR503" s="175"/>
      <c r="CS503" s="175"/>
      <c r="CT503" s="175"/>
      <c r="CU503" s="175"/>
      <c r="CV503" s="175"/>
      <c r="CW503" s="166"/>
      <c r="CX503" s="167"/>
      <c r="CY503" s="167"/>
      <c r="CZ503" s="167"/>
      <c r="DA503" s="167"/>
      <c r="DB503" s="167"/>
      <c r="DC503" s="167"/>
      <c r="DD503" s="172"/>
      <c r="DE503" s="172"/>
      <c r="DF503" s="172"/>
      <c r="DG503" s="172"/>
      <c r="DH503" s="172"/>
      <c r="DI503" s="172"/>
      <c r="DJ503" s="172"/>
      <c r="DK503" s="79" t="s">
        <v>415</v>
      </c>
      <c r="DL503" s="128"/>
      <c r="DM503" s="128"/>
      <c r="DN503" s="128"/>
      <c r="DO503" s="128"/>
      <c r="DP503" s="128"/>
      <c r="DQ503" s="128"/>
      <c r="DR503" s="128"/>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7">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43"/>
        <v>0</v>
      </c>
      <c r="BV504" s="28"/>
      <c r="BW504" s="28"/>
      <c r="BX504" s="28"/>
      <c r="BY504" s="28"/>
      <c r="BZ504" s="28"/>
      <c r="CA504" s="28"/>
      <c r="CB504" s="186">
        <v>100</v>
      </c>
      <c r="CC504" s="186">
        <v>100</v>
      </c>
      <c r="CD504" s="186">
        <v>100</v>
      </c>
      <c r="CE504" s="186">
        <v>100</v>
      </c>
      <c r="CF504" s="186">
        <v>100</v>
      </c>
      <c r="CG504" s="186">
        <v>100</v>
      </c>
      <c r="CH504" s="186">
        <v>100</v>
      </c>
      <c r="CI504" s="176"/>
      <c r="CJ504" s="176"/>
      <c r="CK504" s="176"/>
      <c r="CL504" s="176"/>
      <c r="CM504" s="176"/>
      <c r="CN504" s="176"/>
      <c r="CO504" s="176"/>
      <c r="CP504" s="177"/>
      <c r="CQ504" s="177"/>
      <c r="CR504" s="177"/>
      <c r="CS504" s="177"/>
      <c r="CT504" s="177"/>
      <c r="CU504" s="177"/>
      <c r="CV504" s="177"/>
      <c r="CW504" s="168"/>
      <c r="CX504" s="169"/>
      <c r="CY504" s="169"/>
      <c r="CZ504" s="169"/>
      <c r="DA504" s="169"/>
      <c r="DB504" s="169"/>
      <c r="DC504" s="169"/>
      <c r="DD504" s="173"/>
      <c r="DE504" s="173"/>
      <c r="DF504" s="173"/>
      <c r="DG504" s="173"/>
      <c r="DH504" s="173"/>
      <c r="DI504" s="173"/>
      <c r="DJ504" s="173"/>
      <c r="DK504" s="80" t="s">
        <v>415</v>
      </c>
      <c r="DL504" s="129"/>
      <c r="DM504" s="129"/>
      <c r="DN504" s="129"/>
      <c r="DO504" s="129"/>
      <c r="DP504" s="129"/>
      <c r="DQ504" s="129"/>
      <c r="DR504" s="129"/>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5">
        <f>41.75</f>
        <v>41.75</v>
      </c>
      <c r="Y505" s="185">
        <v>87.9</v>
      </c>
      <c r="Z505" s="185">
        <v>152.1</v>
      </c>
      <c r="AA505" s="185">
        <v>152.1</v>
      </c>
      <c r="AB505" s="185">
        <v>152.1</v>
      </c>
      <c r="AC505" s="185">
        <v>152.1</v>
      </c>
      <c r="AD505" s="185">
        <v>152.1</v>
      </c>
      <c r="AE505" s="187">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43"/>
        <v>0</v>
      </c>
      <c r="BV505" s="27"/>
      <c r="BW505" s="27"/>
      <c r="BX505" s="27"/>
      <c r="BY505" s="27"/>
      <c r="BZ505" s="27"/>
      <c r="CA505" s="27"/>
      <c r="CB505" s="186">
        <v>0</v>
      </c>
      <c r="CC505" s="186">
        <v>0</v>
      </c>
      <c r="CD505" s="186">
        <v>0</v>
      </c>
      <c r="CE505" s="186">
        <v>0</v>
      </c>
      <c r="CF505" s="186">
        <v>0</v>
      </c>
      <c r="CG505" s="186">
        <v>0</v>
      </c>
      <c r="CH505" s="186">
        <v>0</v>
      </c>
      <c r="CI505" s="174"/>
      <c r="CJ505" s="174"/>
      <c r="CK505" s="174"/>
      <c r="CL505" s="174"/>
      <c r="CM505" s="174"/>
      <c r="CN505" s="174"/>
      <c r="CO505" s="174"/>
      <c r="CP505" s="175"/>
      <c r="CQ505" s="175"/>
      <c r="CR505" s="175"/>
      <c r="CS505" s="175"/>
      <c r="CT505" s="175"/>
      <c r="CU505" s="175"/>
      <c r="CV505" s="175"/>
      <c r="CW505" s="166"/>
      <c r="CX505" s="167"/>
      <c r="CY505" s="167"/>
      <c r="CZ505" s="167"/>
      <c r="DA505" s="167"/>
      <c r="DB505" s="167"/>
      <c r="DC505" s="167"/>
      <c r="DD505" s="172"/>
      <c r="DE505" s="172"/>
      <c r="DF505" s="172"/>
      <c r="DG505" s="172"/>
      <c r="DH505" s="172"/>
      <c r="DI505" s="172"/>
      <c r="DJ505" s="172"/>
      <c r="DK505" s="79" t="s">
        <v>415</v>
      </c>
      <c r="DL505" s="128"/>
      <c r="DM505" s="128"/>
      <c r="DN505" s="128"/>
      <c r="DO505" s="128"/>
      <c r="DP505" s="128"/>
      <c r="DQ505" s="128"/>
      <c r="DR505" s="128"/>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7">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8">IF(BL506=1,BN506,0)</f>
        <v>0</v>
      </c>
      <c r="BV506" s="28"/>
      <c r="BW506" s="28"/>
      <c r="BX506" s="28"/>
      <c r="BY506" s="28"/>
      <c r="BZ506" s="28"/>
      <c r="CA506" s="28"/>
      <c r="CB506" s="186">
        <v>0</v>
      </c>
      <c r="CC506" s="186">
        <v>0</v>
      </c>
      <c r="CD506" s="186">
        <v>0</v>
      </c>
      <c r="CE506" s="186">
        <v>0</v>
      </c>
      <c r="CF506" s="186">
        <v>0</v>
      </c>
      <c r="CG506" s="186">
        <v>0</v>
      </c>
      <c r="CH506" s="186">
        <v>0</v>
      </c>
      <c r="CI506" s="176"/>
      <c r="CJ506" s="176"/>
      <c r="CK506" s="176"/>
      <c r="CL506" s="176"/>
      <c r="CM506" s="176"/>
      <c r="CN506" s="176"/>
      <c r="CO506" s="176"/>
      <c r="CP506" s="177"/>
      <c r="CQ506" s="177"/>
      <c r="CR506" s="177"/>
      <c r="CS506" s="177"/>
      <c r="CT506" s="177"/>
      <c r="CU506" s="177"/>
      <c r="CV506" s="177"/>
      <c r="CW506" s="168"/>
      <c r="CX506" s="169"/>
      <c r="CY506" s="169"/>
      <c r="CZ506" s="169"/>
      <c r="DA506" s="169"/>
      <c r="DB506" s="169"/>
      <c r="DC506" s="169"/>
      <c r="DD506" s="173"/>
      <c r="DE506" s="173"/>
      <c r="DF506" s="173"/>
      <c r="DG506" s="173"/>
      <c r="DH506" s="173"/>
      <c r="DI506" s="173"/>
      <c r="DJ506" s="173"/>
      <c r="DK506" s="80" t="s">
        <v>415</v>
      </c>
      <c r="DL506" s="129"/>
      <c r="DM506" s="129"/>
      <c r="DN506" s="129"/>
      <c r="DO506" s="129"/>
      <c r="DP506" s="129"/>
      <c r="DQ506" s="129"/>
      <c r="DR506" s="129"/>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7">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9">IF(AH507=1,0,1)</f>
        <v>0</v>
      </c>
      <c r="BM507" s="122"/>
      <c r="BN507" s="138"/>
      <c r="BO507" s="93"/>
      <c r="BP507" s="93"/>
      <c r="BQ507" s="93"/>
      <c r="BR507" s="93"/>
      <c r="BS507" s="93"/>
      <c r="BT507" s="93"/>
      <c r="BU507" s="28">
        <f t="shared" si="398"/>
        <v>0</v>
      </c>
      <c r="BV507" s="27"/>
      <c r="BW507" s="27"/>
      <c r="BX507" s="27"/>
      <c r="BY507" s="27"/>
      <c r="BZ507" s="27"/>
      <c r="CA507" s="27"/>
      <c r="CB507" s="245"/>
      <c r="CC507" s="245"/>
      <c r="CD507" s="245"/>
      <c r="CE507" s="245"/>
      <c r="CF507" s="245"/>
      <c r="CG507" s="245"/>
      <c r="CH507" s="245"/>
      <c r="CI507" s="174"/>
      <c r="CJ507" s="174"/>
      <c r="CK507" s="174"/>
      <c r="CL507" s="174"/>
      <c r="CM507" s="174"/>
      <c r="CN507" s="174"/>
      <c r="CO507" s="174"/>
      <c r="CP507" s="175"/>
      <c r="CQ507" s="175"/>
      <c r="CR507" s="175"/>
      <c r="CS507" s="175"/>
      <c r="CT507" s="175"/>
      <c r="CU507" s="175"/>
      <c r="CV507" s="175"/>
      <c r="CW507" s="166"/>
      <c r="CX507" s="167"/>
      <c r="CY507" s="167"/>
      <c r="CZ507" s="167"/>
      <c r="DA507" s="167"/>
      <c r="DB507" s="167"/>
      <c r="DC507" s="167"/>
      <c r="DD507" s="172"/>
      <c r="DE507" s="172"/>
      <c r="DF507" s="172"/>
      <c r="DG507" s="172"/>
      <c r="DH507" s="172"/>
      <c r="DI507" s="172"/>
      <c r="DJ507" s="172"/>
      <c r="DK507" s="79" t="s">
        <v>1521</v>
      </c>
      <c r="DL507" s="128"/>
      <c r="DM507" s="128"/>
      <c r="DN507" s="128"/>
      <c r="DO507" s="128"/>
      <c r="DP507" s="128"/>
      <c r="DQ507" s="128"/>
      <c r="DR507" s="128"/>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08" spans="1:147" x14ac:dyDescent="0.3">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7">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400">IF(AH508=1,0,1)</f>
        <v>0</v>
      </c>
      <c r="BM508" s="123"/>
      <c r="BN508" s="139"/>
      <c r="BO508" s="94"/>
      <c r="BP508" s="94"/>
      <c r="BQ508" s="94"/>
      <c r="BR508" s="94"/>
      <c r="BS508" s="94"/>
      <c r="BT508" s="94"/>
      <c r="BU508" s="28">
        <f t="shared" si="398"/>
        <v>0</v>
      </c>
      <c r="BV508" s="28"/>
      <c r="BW508" s="28"/>
      <c r="BX508" s="28"/>
      <c r="BY508" s="28"/>
      <c r="BZ508" s="28"/>
      <c r="CA508" s="28"/>
      <c r="CB508" s="245"/>
      <c r="CC508" s="245"/>
      <c r="CD508" s="245"/>
      <c r="CE508" s="245"/>
      <c r="CF508" s="245"/>
      <c r="CG508" s="245"/>
      <c r="CH508" s="245"/>
      <c r="CI508" s="176"/>
      <c r="CJ508" s="176"/>
      <c r="CK508" s="176"/>
      <c r="CL508" s="176"/>
      <c r="CM508" s="176"/>
      <c r="CN508" s="176"/>
      <c r="CO508" s="176"/>
      <c r="CP508" s="177"/>
      <c r="CQ508" s="177"/>
      <c r="CR508" s="177"/>
      <c r="CS508" s="177"/>
      <c r="CT508" s="177"/>
      <c r="CU508" s="177"/>
      <c r="CV508" s="177"/>
      <c r="CW508" s="168"/>
      <c r="CX508" s="169"/>
      <c r="CY508" s="169"/>
      <c r="CZ508" s="169"/>
      <c r="DA508" s="169"/>
      <c r="DB508" s="169"/>
      <c r="DC508" s="169"/>
      <c r="DD508" s="173"/>
      <c r="DE508" s="173"/>
      <c r="DF508" s="173"/>
      <c r="DG508" s="173"/>
      <c r="DH508" s="173"/>
      <c r="DI508" s="173"/>
      <c r="DJ508" s="173"/>
      <c r="DK508" s="80" t="s">
        <v>1521</v>
      </c>
      <c r="DL508" s="129"/>
      <c r="DM508" s="129"/>
      <c r="DN508" s="129"/>
      <c r="DO508" s="129"/>
      <c r="DP508" s="129"/>
      <c r="DQ508" s="129"/>
      <c r="DR508" s="129"/>
      <c r="DS508" s="219"/>
      <c r="DT508" s="361"/>
      <c r="DU508" s="361"/>
      <c r="DV508" s="361"/>
      <c r="DW508" s="361"/>
      <c r="DX508" s="361"/>
      <c r="DY508" s="361"/>
      <c r="DZ508" s="361"/>
      <c r="EA508" s="361"/>
      <c r="EB508" s="361"/>
      <c r="EC508" s="361"/>
      <c r="ED508" s="361"/>
      <c r="EE508" s="361"/>
      <c r="EF508" s="361"/>
      <c r="EG508" s="361"/>
      <c r="EH508" s="361"/>
      <c r="EI508" s="361"/>
      <c r="EJ508" s="361"/>
      <c r="EK508" s="361"/>
      <c r="EL508" s="361"/>
      <c r="EM508" s="361"/>
      <c r="EN508" s="361"/>
      <c r="EO508" s="361"/>
      <c r="EP508" s="361"/>
      <c r="EQ508" s="361"/>
    </row>
    <row r="511" spans="1:147" x14ac:dyDescent="0.3">
      <c r="CB511" s="133"/>
      <c r="CC511" s="133"/>
      <c r="CD511" s="133"/>
      <c r="CE511" s="133"/>
      <c r="CF511" s="133"/>
      <c r="CG511" s="133"/>
      <c r="CP511" s="133"/>
      <c r="CQ511" s="133"/>
      <c r="CR511" s="133"/>
      <c r="CS511" s="133"/>
      <c r="CT511" s="133"/>
      <c r="CU511" s="133"/>
    </row>
    <row r="512" spans="1:147" x14ac:dyDescent="0.3">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214" activePane="bottomRight" state="frozen"/>
      <selection pane="topRight" activeCell="B51" sqref="B51"/>
      <selection pane="bottomLeft" activeCell="B51" sqref="B51"/>
      <selection pane="bottomRight" activeCell="GH236" sqref="GH236"/>
    </sheetView>
  </sheetViews>
  <sheetFormatPr defaultColWidth="18.109375" defaultRowHeight="14.4" x14ac:dyDescent="0.3"/>
  <cols>
    <col min="1" max="1" width="11.5546875" style="1" bestFit="1" customWidth="1"/>
    <col min="2" max="2" width="11.5546875" style="1" customWidth="1"/>
    <col min="3" max="3" width="10.44140625" style="1" customWidth="1"/>
    <col min="4" max="4" width="15.109375" style="1" bestFit="1" customWidth="1"/>
    <col min="5" max="5" width="49.109375" style="1" bestFit="1" customWidth="1"/>
    <col min="6" max="6" width="89" style="49" bestFit="1" customWidth="1"/>
    <col min="7" max="7" width="14.88671875" style="1" bestFit="1" customWidth="1"/>
    <col min="8" max="8" width="14.88671875" style="1" customWidth="1"/>
    <col min="9" max="9" width="16" style="1" bestFit="1" customWidth="1"/>
    <col min="10" max="12" width="16" style="1" customWidth="1"/>
    <col min="13" max="15" width="14.88671875" style="1" customWidth="1"/>
    <col min="16" max="16" width="18.109375" style="1"/>
    <col min="17" max="24" width="17.109375" style="1" bestFit="1" customWidth="1"/>
    <col min="25" max="25" width="17.109375" style="1" customWidth="1"/>
    <col min="26" max="26" width="17.109375" style="1" bestFit="1" customWidth="1"/>
    <col min="27" max="29" width="17.109375" style="1" customWidth="1"/>
    <col min="30" max="30" width="17.109375" style="1" bestFit="1" customWidth="1"/>
    <col min="31" max="31" width="17.109375" style="1" customWidth="1"/>
    <col min="32" max="41" width="17.44140625" style="1" customWidth="1"/>
    <col min="42" max="42" width="17.109375" style="1" customWidth="1"/>
    <col min="43" max="43" width="17.109375" style="1" bestFit="1" customWidth="1"/>
    <col min="44" max="48" width="17.109375" style="1" customWidth="1"/>
    <col min="49" max="49" width="17.109375" style="1" bestFit="1" customWidth="1"/>
    <col min="50" max="50" width="17.109375" style="1" customWidth="1"/>
    <col min="51" max="51" width="17.109375" style="1" bestFit="1" customWidth="1"/>
    <col min="52" max="52" width="17.109375" style="1" customWidth="1"/>
    <col min="53" max="59" width="17.109375" style="1" bestFit="1" customWidth="1"/>
    <col min="60" max="61" width="17.109375" style="1" customWidth="1"/>
    <col min="62" max="62" width="17.109375" style="1" bestFit="1" customWidth="1"/>
    <col min="63" max="184" width="17.109375" style="1" customWidth="1"/>
    <col min="185" max="185" width="15.88671875" style="1" bestFit="1" customWidth="1"/>
    <col min="186" max="186" width="14.88671875" style="1" bestFit="1" customWidth="1"/>
    <col min="187" max="187" width="15.88671875" style="1" bestFit="1" customWidth="1"/>
    <col min="188" max="189" width="13.88671875" style="1" bestFit="1" customWidth="1"/>
    <col min="190" max="16384" width="18.109375" style="1"/>
  </cols>
  <sheetData>
    <row r="1" spans="1:189" x14ac:dyDescent="0.3">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
      <c r="A2" s="424" t="s">
        <v>556</v>
      </c>
      <c r="B2" s="424"/>
      <c r="C2" s="424"/>
      <c r="D2" s="424"/>
      <c r="E2" s="424"/>
      <c r="F2" s="424"/>
      <c r="G2" s="427"/>
      <c r="H2" s="427"/>
      <c r="I2" s="427"/>
      <c r="J2" s="427"/>
      <c r="K2" s="427"/>
      <c r="L2" s="427"/>
      <c r="M2" s="427"/>
      <c r="N2" s="427"/>
      <c r="O2" s="427"/>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2" x14ac:dyDescent="0.3">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8.8" x14ac:dyDescent="0.3">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1813</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1813</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1813</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1813</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1813</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1813</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1813</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1813</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1813</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1813</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1813</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1813</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6" si="21">$I83</f>
        <v>8.9166509900990079</v>
      </c>
    </row>
    <row r="84" spans="1:189" x14ac:dyDescent="0.3">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1813</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4" si="28">ROUND(IF($C121="Primary",0,-$G121*(SUMPRODUCT($Q$4:$GA$4,$Q121:$GA121)+$J121)-$H121)*IF($N121=GC$4,1,0),4)</f>
        <v>0</v>
      </c>
      <c r="GD121" s="180">
        <f t="shared" ref="GD121:GD144" si="29">ROUND(IF($C121="Primary",0,$M121*(1-$O121)*($G121*(SUMPRODUCT($Q$4:$GA$4,$Q121:$GA121)+$J121)+$H121-SUMPRODUCT($Q$5:$GA$5,$Q121:$GA121)-$I121+$K121))*IF($N121=GD$4,1,0),4)</f>
        <v>0</v>
      </c>
      <c r="GE121" s="180">
        <f t="shared" ref="GE121:GE144" si="30">ROUND(IF($C121="Primary",0,(1-$M121)*(1-$O121)*($G121*(SUMPRODUCT($Q$4:$GA$4,$Q121:$GA121)+$J121)+$H121-SUMPRODUCT($Q$5:$GA$5,$Q121:$GA121)-$I121+$L121))*IF($N121=GD$4,1,0),4)</f>
        <v>4.7899999999999998E-2</v>
      </c>
      <c r="GF121" s="180">
        <f t="shared" ref="GF121:GF144" si="31">ROUND(IF($C121="Primary",0,$O121*($G121*(SUMPRODUCT($Q$4:$GA$4,$Q121:$GA121)+$J121)-SUMPRODUCT($Q$5:$GA$5,$Q121:$GA121)-$I121))*IF($N121=GD$4,1,0),4)</f>
        <v>0</v>
      </c>
      <c r="GG121" s="180">
        <f t="shared" si="21"/>
        <v>0</v>
      </c>
    </row>
    <row r="122" spans="1:189" x14ac:dyDescent="0.3">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0</v>
      </c>
      <c r="GF141" s="180">
        <f t="shared" si="31"/>
        <v>0</v>
      </c>
      <c r="GG141" s="180">
        <f t="shared" si="21"/>
        <v>0</v>
      </c>
    </row>
    <row r="142" spans="1:189" x14ac:dyDescent="0.3">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-1.72E-2</v>
      </c>
      <c r="GF142" s="180">
        <f t="shared" si="31"/>
        <v>0</v>
      </c>
      <c r="GG142" s="180">
        <f t="shared" si="21"/>
        <v>0</v>
      </c>
    </row>
    <row r="143" spans="1:189" x14ac:dyDescent="0.3">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-1.6999999999999999E-3</v>
      </c>
      <c r="GF143" s="180">
        <f t="shared" si="31"/>
        <v>0</v>
      </c>
      <c r="GG143" s="180">
        <f t="shared" si="21"/>
        <v>0</v>
      </c>
    </row>
    <row r="144" spans="1:189" x14ac:dyDescent="0.3">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f t="shared" si="28"/>
        <v>0</v>
      </c>
      <c r="GD144" s="180">
        <f t="shared" si="29"/>
        <v>0</v>
      </c>
      <c r="GE144" s="180">
        <f t="shared" si="30"/>
        <v>1.1545000000000001</v>
      </c>
      <c r="GF144" s="180">
        <f t="shared" si="31"/>
        <v>0</v>
      </c>
      <c r="GG144" s="180">
        <f t="shared" si="21"/>
        <v>0</v>
      </c>
    </row>
    <row r="145" spans="1:189" x14ac:dyDescent="0.3">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c r="GD145" s="180"/>
      <c r="GE145" s="180"/>
      <c r="GF145" s="180"/>
      <c r="GG145" s="180">
        <f t="shared" si="21"/>
        <v>0</v>
      </c>
    </row>
    <row r="146" spans="1:189" x14ac:dyDescent="0.3">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20"/>
      <c r="GC146" s="180">
        <f t="shared" ref="GC146:GC192" si="32">ROUND(IF($C146="Primary",0,-$G146*(SUMPRODUCT($Q$4:$GA$4,$Q146:$GA146)+$J146)-$H146)*IF($N146=GC$4,1,0),4)</f>
        <v>0</v>
      </c>
      <c r="GD146" s="180">
        <f t="shared" ref="GD146:GD192" si="33">ROUND(IF($C146="Primary",0,$M146*(1-$O146)*($G146*(SUMPRODUCT($Q$4:$GA$4,$Q146:$GA146)+$J146)+$H146-SUMPRODUCT($Q$5:$GA$5,$Q146:$GA146)-$I146+$K146))*IF($N146=GD$4,1,0),4)</f>
        <v>0</v>
      </c>
      <c r="GE146" s="180">
        <f t="shared" ref="GE146:GE192" si="34">ROUND(IF($C146="Primary",0,(1-$M146)*(1-$O146)*($G146*(SUMPRODUCT($Q$4:$GA$4,$Q146:$GA146)+$J146)+$H146-SUMPRODUCT($Q$5:$GA$5,$Q146:$GA146)-$I146+$L146))*IF($N146=GD$4,1,0),4)</f>
        <v>6.5000000000000002E-2</v>
      </c>
      <c r="GF146" s="180">
        <f t="shared" ref="GF146:GF192" si="35">ROUND(IF($C146="Primary",0,$O146*($G146*(SUMPRODUCT($Q$4:$GA$4,$Q146:$GA146)+$J146)-SUMPRODUCT($Q$5:$GA$5,$Q146:$GA146)-$I146))*IF($N146=GD$4,1,0),4)</f>
        <v>0</v>
      </c>
      <c r="GG146" s="180">
        <f t="shared" si="21"/>
        <v>0</v>
      </c>
    </row>
    <row r="147" spans="1:189" x14ac:dyDescent="0.3">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9"/>
      <c r="GC147" s="179">
        <f t="shared" si="32"/>
        <v>0</v>
      </c>
      <c r="GD147" s="179">
        <f t="shared" si="33"/>
        <v>0</v>
      </c>
      <c r="GE147" s="179">
        <f t="shared" si="34"/>
        <v>0</v>
      </c>
      <c r="GF147" s="179">
        <f t="shared" si="35"/>
        <v>0</v>
      </c>
      <c r="GG147" s="179">
        <f t="shared" ref="GG147:GG210" si="36">$I147</f>
        <v>0</v>
      </c>
    </row>
    <row r="148" spans="1:189" x14ac:dyDescent="0.3">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20"/>
      <c r="GC148" s="180">
        <f t="shared" si="32"/>
        <v>0</v>
      </c>
      <c r="GD148" s="180">
        <f t="shared" si="33"/>
        <v>0</v>
      </c>
      <c r="GE148" s="180">
        <f t="shared" si="34"/>
        <v>0.17269999999999999</v>
      </c>
      <c r="GF148" s="180">
        <f t="shared" si="35"/>
        <v>0</v>
      </c>
      <c r="GG148" s="180">
        <f t="shared" si="36"/>
        <v>0</v>
      </c>
    </row>
    <row r="149" spans="1:189" x14ac:dyDescent="0.3">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9"/>
      <c r="GC149" s="179">
        <f t="shared" si="32"/>
        <v>0</v>
      </c>
      <c r="GD149" s="179">
        <f t="shared" si="33"/>
        <v>0</v>
      </c>
      <c r="GE149" s="179">
        <f t="shared" si="34"/>
        <v>0.1108</v>
      </c>
      <c r="GF149" s="179">
        <f t="shared" si="35"/>
        <v>0</v>
      </c>
      <c r="GG149" s="179">
        <f t="shared" si="36"/>
        <v>0</v>
      </c>
    </row>
    <row r="150" spans="1:189" x14ac:dyDescent="0.3">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20"/>
      <c r="GC150" s="180">
        <f t="shared" si="32"/>
        <v>0</v>
      </c>
      <c r="GD150" s="180">
        <f t="shared" si="33"/>
        <v>0</v>
      </c>
      <c r="GE150" s="180">
        <f t="shared" si="34"/>
        <v>0</v>
      </c>
      <c r="GF150" s="180">
        <f t="shared" si="35"/>
        <v>0</v>
      </c>
      <c r="GG150" s="180">
        <f t="shared" si="36"/>
        <v>0</v>
      </c>
    </row>
    <row r="151" spans="1:189" x14ac:dyDescent="0.3">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9"/>
      <c r="GC151" s="179">
        <f t="shared" si="32"/>
        <v>0</v>
      </c>
      <c r="GD151" s="179">
        <f t="shared" si="33"/>
        <v>0</v>
      </c>
      <c r="GE151" s="179">
        <f t="shared" si="34"/>
        <v>0.1108</v>
      </c>
      <c r="GF151" s="179">
        <f t="shared" si="35"/>
        <v>0</v>
      </c>
      <c r="GG151" s="179">
        <f t="shared" si="36"/>
        <v>0</v>
      </c>
    </row>
    <row r="152" spans="1:189" x14ac:dyDescent="0.3">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20"/>
      <c r="GC152" s="180">
        <f t="shared" si="32"/>
        <v>0</v>
      </c>
      <c r="GD152" s="180">
        <f t="shared" si="33"/>
        <v>0</v>
      </c>
      <c r="GE152" s="180">
        <f t="shared" si="34"/>
        <v>0.11509999999999999</v>
      </c>
      <c r="GF152" s="180">
        <f t="shared" si="35"/>
        <v>0</v>
      </c>
      <c r="GG152" s="180">
        <f t="shared" si="36"/>
        <v>0</v>
      </c>
    </row>
    <row r="153" spans="1:189" x14ac:dyDescent="0.3">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9"/>
      <c r="GC153" s="179">
        <f t="shared" si="32"/>
        <v>0</v>
      </c>
      <c r="GD153" s="179">
        <f t="shared" si="33"/>
        <v>0</v>
      </c>
      <c r="GE153" s="179">
        <f t="shared" si="34"/>
        <v>0.1075</v>
      </c>
      <c r="GF153" s="179">
        <f t="shared" si="35"/>
        <v>0</v>
      </c>
      <c r="GG153" s="179">
        <f t="shared" si="36"/>
        <v>0</v>
      </c>
    </row>
    <row r="154" spans="1:189" x14ac:dyDescent="0.3">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20"/>
      <c r="GC154" s="180">
        <f t="shared" si="32"/>
        <v>0</v>
      </c>
      <c r="GD154" s="180">
        <f t="shared" si="33"/>
        <v>0</v>
      </c>
      <c r="GE154" s="180">
        <f t="shared" si="34"/>
        <v>8.0600000000000005E-2</v>
      </c>
      <c r="GF154" s="180">
        <f t="shared" si="35"/>
        <v>0</v>
      </c>
      <c r="GG154" s="180">
        <f t="shared" si="36"/>
        <v>0</v>
      </c>
    </row>
    <row r="155" spans="1:189" x14ac:dyDescent="0.3">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9"/>
      <c r="GC155" s="179">
        <f t="shared" si="32"/>
        <v>0</v>
      </c>
      <c r="GD155" s="179">
        <f t="shared" si="33"/>
        <v>0</v>
      </c>
      <c r="GE155" s="179">
        <f t="shared" si="34"/>
        <v>0</v>
      </c>
      <c r="GF155" s="179">
        <f t="shared" si="35"/>
        <v>0</v>
      </c>
      <c r="GG155" s="179">
        <f t="shared" si="36"/>
        <v>0</v>
      </c>
    </row>
    <row r="156" spans="1:189" x14ac:dyDescent="0.3">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20"/>
      <c r="GC156" s="180">
        <f t="shared" si="32"/>
        <v>0</v>
      </c>
      <c r="GD156" s="180">
        <f t="shared" si="33"/>
        <v>0</v>
      </c>
      <c r="GE156" s="180">
        <f t="shared" si="34"/>
        <v>0</v>
      </c>
      <c r="GF156" s="180">
        <f t="shared" si="35"/>
        <v>0</v>
      </c>
      <c r="GG156" s="180">
        <f t="shared" si="36"/>
        <v>0</v>
      </c>
    </row>
    <row r="157" spans="1:189" x14ac:dyDescent="0.3">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9"/>
      <c r="GC157" s="179">
        <f t="shared" si="32"/>
        <v>0</v>
      </c>
      <c r="GD157" s="179">
        <f t="shared" si="33"/>
        <v>0</v>
      </c>
      <c r="GE157" s="179">
        <f t="shared" si="34"/>
        <v>0</v>
      </c>
      <c r="GF157" s="179">
        <f t="shared" si="35"/>
        <v>0</v>
      </c>
      <c r="GG157" s="179">
        <f t="shared" si="36"/>
        <v>0</v>
      </c>
    </row>
    <row r="158" spans="1:189" x14ac:dyDescent="0.3">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20"/>
      <c r="GC158" s="180">
        <f t="shared" si="32"/>
        <v>0</v>
      </c>
      <c r="GD158" s="180">
        <f t="shared" si="33"/>
        <v>0</v>
      </c>
      <c r="GE158" s="180">
        <f t="shared" si="34"/>
        <v>0</v>
      </c>
      <c r="GF158" s="180">
        <f t="shared" si="35"/>
        <v>0</v>
      </c>
      <c r="GG158" s="180">
        <f t="shared" si="36"/>
        <v>0</v>
      </c>
    </row>
    <row r="159" spans="1:189" x14ac:dyDescent="0.3">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9"/>
      <c r="GC159" s="179">
        <f t="shared" si="32"/>
        <v>0</v>
      </c>
      <c r="GD159" s="179">
        <f t="shared" si="33"/>
        <v>0</v>
      </c>
      <c r="GE159" s="179">
        <f t="shared" si="34"/>
        <v>0.27160000000000001</v>
      </c>
      <c r="GF159" s="179">
        <f t="shared" si="35"/>
        <v>0</v>
      </c>
      <c r="GG159" s="179">
        <f t="shared" si="36"/>
        <v>0</v>
      </c>
    </row>
    <row r="160" spans="1:189" x14ac:dyDescent="0.3">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0.16719999999999999</v>
      </c>
      <c r="GF160" s="180">
        <f t="shared" si="35"/>
        <v>0</v>
      </c>
      <c r="GG160" s="180">
        <f t="shared" si="36"/>
        <v>0</v>
      </c>
    </row>
    <row r="161" spans="1:189" x14ac:dyDescent="0.3">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v>
      </c>
      <c r="GF161" s="180">
        <f t="shared" si="35"/>
        <v>0</v>
      </c>
      <c r="GG161" s="180">
        <f t="shared" si="36"/>
        <v>0</v>
      </c>
    </row>
    <row r="162" spans="1:189" x14ac:dyDescent="0.3">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20"/>
      <c r="GC162" s="180">
        <f t="shared" si="32"/>
        <v>0</v>
      </c>
      <c r="GD162" s="180">
        <f t="shared" si="33"/>
        <v>0</v>
      </c>
      <c r="GE162" s="180">
        <f t="shared" si="34"/>
        <v>0.16719999999999999</v>
      </c>
      <c r="GF162" s="180">
        <f t="shared" si="35"/>
        <v>0</v>
      </c>
      <c r="GG162" s="180">
        <f t="shared" si="36"/>
        <v>0</v>
      </c>
    </row>
    <row r="163" spans="1:189" x14ac:dyDescent="0.3">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9"/>
      <c r="GC163" s="179">
        <f t="shared" si="32"/>
        <v>0</v>
      </c>
      <c r="GD163" s="179">
        <f t="shared" si="33"/>
        <v>0</v>
      </c>
      <c r="GE163" s="179">
        <f t="shared" si="34"/>
        <v>9.0499999999999997E-2</v>
      </c>
      <c r="GF163" s="179">
        <f t="shared" si="35"/>
        <v>0</v>
      </c>
      <c r="GG163" s="179">
        <f t="shared" si="36"/>
        <v>0</v>
      </c>
    </row>
    <row r="164" spans="1:189" x14ac:dyDescent="0.3">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20"/>
      <c r="GC164" s="180">
        <f t="shared" si="32"/>
        <v>0</v>
      </c>
      <c r="GD164" s="180">
        <f t="shared" si="33"/>
        <v>0</v>
      </c>
      <c r="GE164" s="180">
        <f t="shared" si="34"/>
        <v>0</v>
      </c>
      <c r="GF164" s="180">
        <f t="shared" si="35"/>
        <v>0</v>
      </c>
      <c r="GG164" s="180">
        <f t="shared" si="36"/>
        <v>0</v>
      </c>
    </row>
    <row r="165" spans="1:189" x14ac:dyDescent="0.3">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9"/>
      <c r="GC165" s="179">
        <f t="shared" si="32"/>
        <v>0</v>
      </c>
      <c r="GD165" s="179">
        <f t="shared" si="33"/>
        <v>0</v>
      </c>
      <c r="GE165" s="179">
        <f t="shared" si="34"/>
        <v>0</v>
      </c>
      <c r="GF165" s="179">
        <f t="shared" si="35"/>
        <v>0</v>
      </c>
      <c r="GG165" s="179">
        <f t="shared" si="36"/>
        <v>0</v>
      </c>
    </row>
    <row r="166" spans="1:189" x14ac:dyDescent="0.3">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20"/>
      <c r="GC166" s="180">
        <f t="shared" si="32"/>
        <v>0</v>
      </c>
      <c r="GD166" s="180">
        <f t="shared" si="33"/>
        <v>0</v>
      </c>
      <c r="GE166" s="180">
        <f t="shared" si="34"/>
        <v>0</v>
      </c>
      <c r="GF166" s="180">
        <f t="shared" si="35"/>
        <v>0</v>
      </c>
      <c r="GG166" s="180">
        <f t="shared" si="36"/>
        <v>0</v>
      </c>
    </row>
    <row r="167" spans="1:189" x14ac:dyDescent="0.3">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9"/>
      <c r="GC167" s="179">
        <f t="shared" si="32"/>
        <v>0</v>
      </c>
      <c r="GD167" s="179">
        <f t="shared" si="33"/>
        <v>0</v>
      </c>
      <c r="GE167" s="179">
        <f t="shared" si="34"/>
        <v>1.1599999999999999</v>
      </c>
      <c r="GF167" s="179">
        <f t="shared" si="35"/>
        <v>0</v>
      </c>
      <c r="GG167" s="179">
        <f t="shared" si="36"/>
        <v>0</v>
      </c>
    </row>
    <row r="168" spans="1:189" x14ac:dyDescent="0.3">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1.0007999999999999</v>
      </c>
      <c r="GF168" s="180">
        <f t="shared" si="35"/>
        <v>0</v>
      </c>
      <c r="GG168" s="180">
        <f t="shared" si="36"/>
        <v>0</v>
      </c>
    </row>
    <row r="169" spans="1:189" x14ac:dyDescent="0.3">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0</v>
      </c>
      <c r="GF169" s="180">
        <f t="shared" si="35"/>
        <v>0</v>
      </c>
      <c r="GG169" s="180">
        <f t="shared" si="36"/>
        <v>0</v>
      </c>
    </row>
    <row r="170" spans="1:189" x14ac:dyDescent="0.3">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20"/>
      <c r="GC170" s="180">
        <f t="shared" si="32"/>
        <v>0</v>
      </c>
      <c r="GD170" s="180">
        <f t="shared" si="33"/>
        <v>0</v>
      </c>
      <c r="GE170" s="180">
        <f t="shared" si="34"/>
        <v>1.0007999999999999</v>
      </c>
      <c r="GF170" s="180">
        <f t="shared" si="35"/>
        <v>0</v>
      </c>
      <c r="GG170" s="180">
        <f t="shared" si="36"/>
        <v>0</v>
      </c>
    </row>
    <row r="171" spans="1:189" x14ac:dyDescent="0.3">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9"/>
      <c r="GC171" s="179">
        <f t="shared" si="32"/>
        <v>0</v>
      </c>
      <c r="GD171" s="179">
        <f t="shared" si="33"/>
        <v>0</v>
      </c>
      <c r="GE171" s="179">
        <f t="shared" si="34"/>
        <v>0.91639999999999999</v>
      </c>
      <c r="GF171" s="179">
        <f t="shared" si="35"/>
        <v>0</v>
      </c>
      <c r="GG171" s="179">
        <f t="shared" si="36"/>
        <v>0</v>
      </c>
    </row>
    <row r="172" spans="1:189" x14ac:dyDescent="0.3">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20"/>
      <c r="GC172" s="180">
        <f t="shared" si="32"/>
        <v>0</v>
      </c>
      <c r="GD172" s="180">
        <f t="shared" si="33"/>
        <v>0</v>
      </c>
      <c r="GE172" s="180">
        <f t="shared" si="34"/>
        <v>0</v>
      </c>
      <c r="GF172" s="180">
        <f t="shared" si="35"/>
        <v>0</v>
      </c>
      <c r="GG172" s="180">
        <f t="shared" si="36"/>
        <v>0</v>
      </c>
    </row>
    <row r="173" spans="1:189" x14ac:dyDescent="0.3">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9"/>
      <c r="GC173" s="179">
        <f t="shared" si="32"/>
        <v>0</v>
      </c>
      <c r="GD173" s="179">
        <f t="shared" si="33"/>
        <v>0</v>
      </c>
      <c r="GE173" s="179">
        <f t="shared" si="34"/>
        <v>0</v>
      </c>
      <c r="GF173" s="179">
        <f t="shared" si="35"/>
        <v>0</v>
      </c>
      <c r="GG173" s="179">
        <f t="shared" si="36"/>
        <v>0</v>
      </c>
    </row>
    <row r="174" spans="1:189" x14ac:dyDescent="0.3">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20"/>
      <c r="GC174" s="180">
        <f t="shared" si="32"/>
        <v>0</v>
      </c>
      <c r="GD174" s="180">
        <f t="shared" si="33"/>
        <v>0</v>
      </c>
      <c r="GE174" s="180">
        <f t="shared" si="34"/>
        <v>0</v>
      </c>
      <c r="GF174" s="180">
        <f t="shared" si="35"/>
        <v>0</v>
      </c>
      <c r="GG174" s="180">
        <f t="shared" si="36"/>
        <v>0</v>
      </c>
    </row>
    <row r="175" spans="1:189" x14ac:dyDescent="0.3">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1.1999999999999999E-3</v>
      </c>
      <c r="GF175" s="179">
        <f t="shared" si="35"/>
        <v>0</v>
      </c>
      <c r="GG175" s="179">
        <f t="shared" si="36"/>
        <v>0</v>
      </c>
    </row>
    <row r="176" spans="1:189" x14ac:dyDescent="0.3">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0</v>
      </c>
      <c r="GF176" s="179">
        <f t="shared" si="35"/>
        <v>0</v>
      </c>
      <c r="GG176" s="179">
        <f t="shared" si="36"/>
        <v>0</v>
      </c>
    </row>
    <row r="177" spans="1:189" x14ac:dyDescent="0.3">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9"/>
      <c r="GC177" s="179">
        <f t="shared" si="32"/>
        <v>0</v>
      </c>
      <c r="GD177" s="179">
        <f t="shared" si="33"/>
        <v>0</v>
      </c>
      <c r="GE177" s="179">
        <f t="shared" si="34"/>
        <v>1.1999999999999999E-3</v>
      </c>
      <c r="GF177" s="179">
        <f t="shared" si="35"/>
        <v>0</v>
      </c>
      <c r="GG177" s="179">
        <f t="shared" si="36"/>
        <v>0</v>
      </c>
    </row>
    <row r="178" spans="1:189" x14ac:dyDescent="0.3">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20"/>
      <c r="GC178" s="180">
        <f t="shared" si="32"/>
        <v>0</v>
      </c>
      <c r="GD178" s="180">
        <f t="shared" si="33"/>
        <v>0</v>
      </c>
      <c r="GE178" s="180">
        <f t="shared" si="34"/>
        <v>8.0000000000000004E-4</v>
      </c>
      <c r="GF178" s="180">
        <f t="shared" si="35"/>
        <v>0</v>
      </c>
      <c r="GG178" s="180">
        <f t="shared" si="36"/>
        <v>0</v>
      </c>
    </row>
    <row r="179" spans="1:189" x14ac:dyDescent="0.3">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9"/>
      <c r="GC179" s="179">
        <f t="shared" si="32"/>
        <v>0</v>
      </c>
      <c r="GD179" s="179">
        <f t="shared" si="33"/>
        <v>0</v>
      </c>
      <c r="GE179" s="179">
        <f t="shared" si="34"/>
        <v>5.0000000000000001E-4</v>
      </c>
      <c r="GF179" s="179">
        <f t="shared" si="35"/>
        <v>0</v>
      </c>
      <c r="GG179" s="179">
        <f t="shared" si="36"/>
        <v>0</v>
      </c>
    </row>
    <row r="180" spans="1:189" x14ac:dyDescent="0.3">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20"/>
      <c r="GC180" s="180">
        <f t="shared" si="32"/>
        <v>0</v>
      </c>
      <c r="GD180" s="180">
        <f t="shared" si="33"/>
        <v>0</v>
      </c>
      <c r="GE180" s="180">
        <f t="shared" si="34"/>
        <v>0</v>
      </c>
      <c r="GF180" s="180">
        <f t="shared" si="35"/>
        <v>0</v>
      </c>
      <c r="GG180" s="180">
        <f t="shared" si="36"/>
        <v>0</v>
      </c>
    </row>
    <row r="181" spans="1:189" x14ac:dyDescent="0.3">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9"/>
      <c r="GC181" s="179">
        <f t="shared" si="32"/>
        <v>0</v>
      </c>
      <c r="GD181" s="179">
        <f t="shared" si="33"/>
        <v>0</v>
      </c>
      <c r="GE181" s="179">
        <f t="shared" si="34"/>
        <v>0</v>
      </c>
      <c r="GF181" s="179">
        <f t="shared" si="35"/>
        <v>0</v>
      </c>
      <c r="GG181" s="179">
        <f t="shared" si="36"/>
        <v>0</v>
      </c>
    </row>
    <row r="182" spans="1:189" x14ac:dyDescent="0.3">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20"/>
      <c r="GC182" s="180">
        <f t="shared" si="32"/>
        <v>0</v>
      </c>
      <c r="GD182" s="180">
        <f t="shared" si="33"/>
        <v>0</v>
      </c>
      <c r="GE182" s="180">
        <f t="shared" si="34"/>
        <v>5.0000000000000001E-3</v>
      </c>
      <c r="GF182" s="180">
        <f t="shared" si="35"/>
        <v>0</v>
      </c>
      <c r="GG182" s="180">
        <f t="shared" si="36"/>
        <v>0</v>
      </c>
    </row>
    <row r="183" spans="1:189" x14ac:dyDescent="0.3">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9"/>
      <c r="GC183" s="179">
        <f t="shared" si="32"/>
        <v>0</v>
      </c>
      <c r="GD183" s="179">
        <f t="shared" si="33"/>
        <v>0</v>
      </c>
      <c r="GE183" s="179">
        <f t="shared" si="34"/>
        <v>0</v>
      </c>
      <c r="GF183" s="179">
        <f t="shared" si="35"/>
        <v>0</v>
      </c>
      <c r="GG183" s="179">
        <f t="shared" si="36"/>
        <v>0</v>
      </c>
    </row>
    <row r="184" spans="1:189" x14ac:dyDescent="0.3">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20"/>
      <c r="GC184" s="180">
        <f t="shared" si="32"/>
        <v>0</v>
      </c>
      <c r="GD184" s="180">
        <f t="shared" si="33"/>
        <v>0</v>
      </c>
      <c r="GE184" s="180">
        <f t="shared" si="34"/>
        <v>1.66E-2</v>
      </c>
      <c r="GF184" s="180">
        <f t="shared" si="35"/>
        <v>0</v>
      </c>
      <c r="GG184" s="180">
        <f t="shared" si="36"/>
        <v>0</v>
      </c>
    </row>
    <row r="185" spans="1:189" x14ac:dyDescent="0.3">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9"/>
      <c r="GC185" s="179">
        <f t="shared" si="32"/>
        <v>0</v>
      </c>
      <c r="GD185" s="179">
        <f t="shared" si="33"/>
        <v>0</v>
      </c>
      <c r="GE185" s="179">
        <f t="shared" si="34"/>
        <v>0</v>
      </c>
      <c r="GF185" s="179">
        <f t="shared" si="35"/>
        <v>0</v>
      </c>
      <c r="GG185" s="179">
        <f t="shared" si="36"/>
        <v>0</v>
      </c>
    </row>
    <row r="186" spans="1:189" x14ac:dyDescent="0.3">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20"/>
      <c r="GC186" s="180">
        <f t="shared" si="32"/>
        <v>0</v>
      </c>
      <c r="GD186" s="180">
        <f t="shared" si="33"/>
        <v>0</v>
      </c>
      <c r="GE186" s="180">
        <f t="shared" si="34"/>
        <v>1.4999999999999999E-2</v>
      </c>
      <c r="GF186" s="180">
        <f t="shared" si="35"/>
        <v>0</v>
      </c>
      <c r="GG186" s="180">
        <f t="shared" si="36"/>
        <v>0</v>
      </c>
    </row>
    <row r="187" spans="1:189" x14ac:dyDescent="0.3">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9"/>
      <c r="GC187" s="179">
        <f t="shared" si="32"/>
        <v>0</v>
      </c>
      <c r="GD187" s="179">
        <f t="shared" si="33"/>
        <v>0</v>
      </c>
      <c r="GE187" s="179">
        <f t="shared" si="34"/>
        <v>0</v>
      </c>
      <c r="GF187" s="179">
        <f t="shared" si="35"/>
        <v>0</v>
      </c>
      <c r="GG187" s="179">
        <f t="shared" si="36"/>
        <v>0</v>
      </c>
    </row>
    <row r="188" spans="1:189" x14ac:dyDescent="0.3">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20"/>
      <c r="GC188" s="180">
        <f t="shared" si="32"/>
        <v>0</v>
      </c>
      <c r="GD188" s="180">
        <f t="shared" si="33"/>
        <v>0</v>
      </c>
      <c r="GE188" s="180">
        <f t="shared" si="34"/>
        <v>1.4999999999999999E-2</v>
      </c>
      <c r="GF188" s="180">
        <f t="shared" si="35"/>
        <v>0</v>
      </c>
      <c r="GG188" s="180">
        <f t="shared" si="36"/>
        <v>0</v>
      </c>
    </row>
    <row r="189" spans="1:189" x14ac:dyDescent="0.3">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9"/>
      <c r="GC189" s="179">
        <f t="shared" si="32"/>
        <v>0</v>
      </c>
      <c r="GD189" s="179">
        <f t="shared" si="33"/>
        <v>0</v>
      </c>
      <c r="GE189" s="179">
        <f t="shared" si="34"/>
        <v>1.12E-2</v>
      </c>
      <c r="GF189" s="179">
        <f t="shared" si="35"/>
        <v>0</v>
      </c>
      <c r="GG189" s="179">
        <f t="shared" si="36"/>
        <v>0</v>
      </c>
    </row>
    <row r="190" spans="1:189" x14ac:dyDescent="0.3">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20"/>
      <c r="GC190" s="180">
        <f t="shared" si="32"/>
        <v>0</v>
      </c>
      <c r="GD190" s="180">
        <f t="shared" si="33"/>
        <v>0</v>
      </c>
      <c r="GE190" s="180">
        <f t="shared" si="34"/>
        <v>0</v>
      </c>
      <c r="GF190" s="180">
        <f t="shared" si="35"/>
        <v>0</v>
      </c>
      <c r="GG190" s="180">
        <f t="shared" si="36"/>
        <v>0</v>
      </c>
    </row>
    <row r="191" spans="1:189" x14ac:dyDescent="0.3">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7.2999999999999995E-2</v>
      </c>
      <c r="GF191" s="179">
        <f t="shared" si="35"/>
        <v>0</v>
      </c>
      <c r="GG191" s="179">
        <f t="shared" si="36"/>
        <v>0</v>
      </c>
    </row>
    <row r="192" spans="1:189" x14ac:dyDescent="0.3">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f t="shared" si="32"/>
        <v>0</v>
      </c>
      <c r="GD192" s="179">
        <f t="shared" si="33"/>
        <v>0</v>
      </c>
      <c r="GE192" s="179">
        <f t="shared" si="34"/>
        <v>0</v>
      </c>
      <c r="GF192" s="179">
        <f t="shared" si="35"/>
        <v>0</v>
      </c>
      <c r="GG192" s="179">
        <f t="shared" si="36"/>
        <v>0</v>
      </c>
    </row>
    <row r="193" spans="1:342" x14ac:dyDescent="0.3">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9"/>
      <c r="GC193" s="179"/>
      <c r="GD193" s="179"/>
      <c r="GE193" s="179"/>
      <c r="GF193" s="179"/>
      <c r="GG193" s="179">
        <f t="shared" si="36"/>
        <v>0</v>
      </c>
    </row>
    <row r="194" spans="1:342" x14ac:dyDescent="0.3">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20"/>
      <c r="GC194" s="180">
        <f t="shared" ref="GC194:GC225" si="37">ROUND(IF($C194="Primary",0,-$G194*(SUMPRODUCT($Q$4:$GA$4,$Q194:$GA194)+$J194)-$H194)*IF($N194=GC$4,1,0),4)</f>
        <v>0</v>
      </c>
      <c r="GD194" s="180">
        <f t="shared" ref="GD194:GD225" si="38">ROUND(IF($C194="Primary",0,$M194*(1-$O194)*($G194*(SUMPRODUCT($Q$4:$GA$4,$Q194:$GA194)+$J194)+$H194-SUMPRODUCT($Q$5:$GA$5,$Q194:$GA194)-$I194+$K194))*IF($N194=GD$4,1,0),4)</f>
        <v>0</v>
      </c>
      <c r="GE194" s="180">
        <f t="shared" ref="GE194:GE225" si="39">ROUND(IF($C194="Primary",0,(1-$M194)*(1-$O194)*($G194*(SUMPRODUCT($Q$4:$GA$4,$Q194:$GA194)+$J194)+$H194-SUMPRODUCT($Q$5:$GA$5,$Q194:$GA194)-$I194+$L194))*IF($N194=GD$4,1,0),4)</f>
        <v>0</v>
      </c>
      <c r="GF194" s="180">
        <f t="shared" ref="GF194:GF225" si="40">ROUND(IF($C194="Primary",0,$O194*($G194*(SUMPRODUCT($Q$4:$GA$4,$Q194:$GA194)+$J194)-SUMPRODUCT($Q$5:$GA$5,$Q194:$GA194)-$I194))*IF($N194=GD$4,1,0),4)</f>
        <v>0.32490000000000002</v>
      </c>
      <c r="GG194" s="180">
        <f t="shared" si="36"/>
        <v>0</v>
      </c>
    </row>
    <row r="195" spans="1:342" x14ac:dyDescent="0.3">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9"/>
      <c r="GC195" s="179">
        <f t="shared" si="37"/>
        <v>0</v>
      </c>
      <c r="GD195" s="179">
        <f t="shared" si="38"/>
        <v>0</v>
      </c>
      <c r="GE195" s="179">
        <f t="shared" si="39"/>
        <v>0</v>
      </c>
      <c r="GF195" s="179">
        <f t="shared" si="40"/>
        <v>0</v>
      </c>
      <c r="GG195" s="179">
        <f t="shared" si="36"/>
        <v>0</v>
      </c>
    </row>
    <row r="196" spans="1:342" x14ac:dyDescent="0.3">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20"/>
      <c r="GC196" s="180">
        <f t="shared" si="37"/>
        <v>0</v>
      </c>
      <c r="GD196" s="180">
        <f t="shared" si="38"/>
        <v>0</v>
      </c>
      <c r="GE196" s="180">
        <f t="shared" si="39"/>
        <v>0</v>
      </c>
      <c r="GF196" s="180">
        <f t="shared" si="40"/>
        <v>0.30220000000000002</v>
      </c>
      <c r="GG196" s="180">
        <f t="shared" si="36"/>
        <v>0</v>
      </c>
    </row>
    <row r="197" spans="1:342" x14ac:dyDescent="0.3">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9"/>
      <c r="GC197" s="179">
        <f t="shared" si="37"/>
        <v>0</v>
      </c>
      <c r="GD197" s="179">
        <f t="shared" si="38"/>
        <v>0</v>
      </c>
      <c r="GE197" s="179">
        <f t="shared" si="39"/>
        <v>0</v>
      </c>
      <c r="GF197" s="179">
        <f t="shared" si="40"/>
        <v>0</v>
      </c>
      <c r="GG197" s="179">
        <f t="shared" si="36"/>
        <v>0</v>
      </c>
    </row>
    <row r="198" spans="1:342" x14ac:dyDescent="0.3">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20"/>
      <c r="GC198" s="180">
        <f t="shared" si="37"/>
        <v>0</v>
      </c>
      <c r="GD198" s="180">
        <f t="shared" si="38"/>
        <v>0</v>
      </c>
      <c r="GE198" s="180">
        <f t="shared" si="39"/>
        <v>0</v>
      </c>
      <c r="GF198" s="180">
        <f t="shared" si="40"/>
        <v>0.30220000000000002</v>
      </c>
      <c r="GG198" s="180">
        <f t="shared" si="36"/>
        <v>0</v>
      </c>
    </row>
    <row r="199" spans="1:342" s="262" customFormat="1" x14ac:dyDescent="0.3">
      <c r="A199" s="257" t="s">
        <v>1154</v>
      </c>
      <c r="B199" s="257" t="str">
        <f>IF(Technologies!B199&lt;&gt;0,Technologies!B199,"")</f>
        <v>Bunkerbrandstoffen</v>
      </c>
      <c r="C199" s="257" t="str">
        <f>VLOOKUP($A199,Technologies!$A$7:$H$577,3,FALSE)</f>
        <v>Final</v>
      </c>
      <c r="D199" s="257" t="str">
        <f>VLOOKUP($A199,Technologies!$A$7:$H$577,4,FALSE)</f>
        <v>Transport</v>
      </c>
      <c r="E199" s="257" t="str">
        <f>VLOOKUP($A199,Technologies!$A$7:$H$577,6,FALSE)</f>
        <v>Bunker Navigation</v>
      </c>
      <c r="F199" s="257" t="str">
        <f>VLOOKUP($A199,Technologies!$A$7:$H$577,7,FALSE)</f>
        <v>LNG Ship - International</v>
      </c>
      <c r="G199" s="263"/>
      <c r="H199" s="263"/>
      <c r="I199" s="265" cm="1">
        <f t="array" ref="I199">-SUMPRODUCT((Feedstocks!$C$4:$C$141=A199)*Feedstocks!$E$4:$E$141,Feedstocks!$F$4:$F$141,Feedstocks!$H$4:$H$141,Feedstocks!$I$4:$I$141)</f>
        <v>0</v>
      </c>
      <c r="J199" s="265" cm="1">
        <f t="array" ref="J199">-SUMPRODUCT((Feedstocks!$C$4:$C$141=A199)*Feedstocks!$E$4:$E$141,Feedstocks!$H$4:$H$141,Feedstocks!$I$4:$I$141)</f>
        <v>0</v>
      </c>
      <c r="K199" s="265"/>
      <c r="L199" s="265"/>
      <c r="M199" s="263"/>
      <c r="N199" s="263" t="str">
        <f>VLOOKUP(E199,Activities!$A$9:$M$227,13,FALSE)</f>
        <v>NL</v>
      </c>
      <c r="O199" s="263">
        <v>1</v>
      </c>
      <c r="P199" s="266" t="s">
        <v>663</v>
      </c>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67"/>
      <c r="AX199" s="267"/>
      <c r="AY199" s="267"/>
      <c r="AZ199" s="267"/>
      <c r="BA199" s="267"/>
      <c r="BB199" s="267"/>
      <c r="BC199" s="267"/>
      <c r="BD199" s="267"/>
      <c r="BE199" s="267"/>
      <c r="BF199" s="267"/>
      <c r="BG199" s="267"/>
      <c r="BH199" s="267"/>
      <c r="BI199" s="267">
        <v>1</v>
      </c>
      <c r="BJ199" s="267"/>
      <c r="BK199" s="267"/>
      <c r="BL199" s="267"/>
      <c r="BM199" s="267"/>
      <c r="BN199" s="267"/>
      <c r="BO199" s="267"/>
      <c r="BP199" s="267"/>
      <c r="BQ199" s="267"/>
      <c r="BR199" s="267"/>
      <c r="BS199" s="267"/>
      <c r="BT199" s="267"/>
      <c r="BU199" s="267"/>
      <c r="BV199" s="267"/>
      <c r="BW199" s="267"/>
      <c r="BX199" s="267"/>
      <c r="BY199" s="267"/>
      <c r="BZ199" s="267"/>
      <c r="CA199" s="267"/>
      <c r="CB199" s="267"/>
      <c r="CC199" s="267"/>
      <c r="CD199" s="267"/>
      <c r="CE199" s="267"/>
      <c r="CF199" s="267"/>
      <c r="CG199" s="267"/>
      <c r="CH199" s="267"/>
      <c r="CI199" s="267"/>
      <c r="CJ199" s="267"/>
      <c r="CK199" s="267"/>
      <c r="CL199" s="267"/>
      <c r="CM199" s="267"/>
      <c r="CN199" s="267"/>
      <c r="CO199" s="267"/>
      <c r="CP199" s="267"/>
      <c r="CQ199" s="267"/>
      <c r="CR199" s="267"/>
      <c r="CS199" s="267"/>
      <c r="CT199" s="267"/>
      <c r="CU199" s="267"/>
      <c r="CV199" s="267"/>
      <c r="CW199" s="267"/>
      <c r="CX199" s="267"/>
      <c r="CY199" s="267"/>
      <c r="CZ199" s="267"/>
      <c r="DA199" s="267"/>
      <c r="DB199" s="267"/>
      <c r="DC199" s="267"/>
      <c r="DD199" s="267"/>
      <c r="DE199" s="267"/>
      <c r="DF199" s="267"/>
      <c r="DG199" s="267"/>
      <c r="DH199" s="267"/>
      <c r="DI199" s="267"/>
      <c r="DJ199" s="267"/>
      <c r="DK199" s="267"/>
      <c r="DL199" s="267"/>
      <c r="DM199" s="267"/>
      <c r="DN199" s="267"/>
      <c r="DO199" s="267"/>
      <c r="DP199" s="267"/>
      <c r="DQ199" s="267"/>
      <c r="DR199" s="267"/>
      <c r="DS199" s="267"/>
      <c r="DT199" s="267"/>
      <c r="DU199" s="267"/>
      <c r="DV199" s="267"/>
      <c r="DW199" s="267"/>
      <c r="DX199" s="267"/>
      <c r="DY199" s="267"/>
      <c r="DZ199" s="267"/>
      <c r="EA199" s="267"/>
      <c r="EB199" s="267"/>
      <c r="EC199" s="267"/>
      <c r="ED199" s="267"/>
      <c r="EE199" s="267"/>
      <c r="EF199" s="267"/>
      <c r="EG199" s="267"/>
      <c r="EH199" s="267"/>
      <c r="EI199" s="267"/>
      <c r="EJ199" s="267"/>
      <c r="EK199" s="267"/>
      <c r="EL199" s="267">
        <v>-4.1399999999999997</v>
      </c>
      <c r="EM199" s="267"/>
      <c r="EN199" s="267"/>
      <c r="EO199" s="267"/>
      <c r="EP199" s="267"/>
      <c r="EQ199" s="267"/>
      <c r="ER199" s="267"/>
      <c r="ES199" s="267"/>
      <c r="ET199" s="267"/>
      <c r="EU199" s="267"/>
      <c r="EV199" s="267"/>
      <c r="EW199" s="267"/>
      <c r="EX199" s="267"/>
      <c r="EY199" s="267"/>
      <c r="EZ199" s="267"/>
      <c r="FA199" s="267"/>
      <c r="FB199" s="267"/>
      <c r="FC199" s="267"/>
      <c r="FD199" s="267"/>
      <c r="FE199" s="267"/>
      <c r="FF199" s="267"/>
      <c r="FG199" s="267"/>
      <c r="FH199" s="267"/>
      <c r="FI199" s="267"/>
      <c r="FJ199" s="267"/>
      <c r="FK199" s="267"/>
      <c r="FL199" s="267"/>
      <c r="FM199" s="267"/>
      <c r="FN199" s="267"/>
      <c r="FO199" s="267"/>
      <c r="FP199" s="267"/>
      <c r="FQ199" s="267"/>
      <c r="FR199" s="267"/>
      <c r="FS199" s="267"/>
      <c r="FT199" s="267"/>
      <c r="FU199" s="267"/>
      <c r="FV199" s="267"/>
      <c r="FW199" s="267"/>
      <c r="FX199" s="267"/>
      <c r="FY199" s="267"/>
      <c r="FZ199" s="267"/>
      <c r="GA199" s="267"/>
      <c r="GB199" s="322"/>
      <c r="GC199" s="268">
        <f t="shared" si="37"/>
        <v>0</v>
      </c>
      <c r="GD199" s="268">
        <f t="shared" si="38"/>
        <v>0</v>
      </c>
      <c r="GE199" s="268">
        <f t="shared" si="39"/>
        <v>0</v>
      </c>
      <c r="GF199" s="268">
        <f t="shared" si="40"/>
        <v>0.23430000000000001</v>
      </c>
      <c r="GG199" s="268">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20"/>
      <c r="GC200" s="180">
        <f t="shared" si="37"/>
        <v>0</v>
      </c>
      <c r="GD200" s="180">
        <f t="shared" si="38"/>
        <v>0</v>
      </c>
      <c r="GE200" s="180">
        <f t="shared" si="39"/>
        <v>0</v>
      </c>
      <c r="GF200" s="180">
        <f t="shared" si="40"/>
        <v>0</v>
      </c>
      <c r="GG200" s="180">
        <f t="shared" si="36"/>
        <v>0</v>
      </c>
    </row>
    <row r="201" spans="1:342" x14ac:dyDescent="0.3">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9"/>
      <c r="GC201" s="179">
        <f t="shared" si="37"/>
        <v>0</v>
      </c>
      <c r="GD201" s="179">
        <f t="shared" si="38"/>
        <v>0</v>
      </c>
      <c r="GE201" s="179">
        <f t="shared" si="39"/>
        <v>0</v>
      </c>
      <c r="GF201" s="179">
        <f t="shared" si="40"/>
        <v>0.28149999999999997</v>
      </c>
      <c r="GG201" s="179">
        <f t="shared" si="36"/>
        <v>0</v>
      </c>
    </row>
    <row r="202" spans="1:342" s="348" customFormat="1" x14ac:dyDescent="0.3">
      <c r="A202" s="328"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v>-1</v>
      </c>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c r="GC202" s="180">
        <f t="shared" si="37"/>
        <v>0</v>
      </c>
      <c r="GD202" s="180">
        <f t="shared" si="38"/>
        <v>0</v>
      </c>
      <c r="GE202" s="180">
        <f t="shared" si="39"/>
        <v>0</v>
      </c>
      <c r="GF202" s="180">
        <f t="shared" si="40"/>
        <v>0</v>
      </c>
      <c r="GG202" s="180">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8" customFormat="1" x14ac:dyDescent="0.3">
      <c r="A203" s="328"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1"/>
      <c r="H203" s="351"/>
      <c r="I203" s="352"/>
      <c r="J203" s="352"/>
      <c r="K203" s="352"/>
      <c r="L203" s="352"/>
      <c r="M203" s="351"/>
      <c r="N203" s="23" t="str">
        <f>VLOOKUP(E203,Activities!$A$9:$M$227,13,FALSE)</f>
        <v>NL</v>
      </c>
      <c r="O203" s="23">
        <v>1</v>
      </c>
      <c r="P203" s="79" t="s">
        <v>502</v>
      </c>
      <c r="Q203" s="353"/>
      <c r="R203" s="353"/>
      <c r="S203" s="353"/>
      <c r="T203" s="353"/>
      <c r="U203" s="353"/>
      <c r="V203" s="353"/>
      <c r="W203" s="353"/>
      <c r="X203" s="353"/>
      <c r="Y203" s="353"/>
      <c r="Z203" s="353"/>
      <c r="AA203" s="353"/>
      <c r="AB203" s="353"/>
      <c r="AC203" s="353"/>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3"/>
      <c r="BD203" s="353"/>
      <c r="BE203" s="353"/>
      <c r="BF203" s="353"/>
      <c r="BG203" s="353"/>
      <c r="BH203" s="353"/>
      <c r="BI203" s="353"/>
      <c r="BJ203" s="353"/>
      <c r="BK203" s="353"/>
      <c r="BL203" s="353"/>
      <c r="BM203" s="353"/>
      <c r="BN203" s="353"/>
      <c r="BO203" s="353"/>
      <c r="BP203" s="353"/>
      <c r="BQ203" s="353"/>
      <c r="BR203" s="353"/>
      <c r="BS203" s="353"/>
      <c r="BT203" s="353"/>
      <c r="BU203" s="353"/>
      <c r="BV203" s="353"/>
      <c r="BW203" s="353"/>
      <c r="BX203" s="353"/>
      <c r="BY203" s="353"/>
      <c r="BZ203" s="353"/>
      <c r="CA203" s="353"/>
      <c r="CB203" s="353"/>
      <c r="CC203" s="353"/>
      <c r="CD203" s="353"/>
      <c r="CE203" s="353"/>
      <c r="CF203" s="353"/>
      <c r="CG203" s="353"/>
      <c r="CH203" s="353"/>
      <c r="CI203" s="353"/>
      <c r="CJ203" s="353"/>
      <c r="CK203" s="353"/>
      <c r="CL203" s="353"/>
      <c r="CM203" s="353"/>
      <c r="CN203" s="353"/>
      <c r="CO203" s="353"/>
      <c r="CP203" s="353"/>
      <c r="CQ203" s="353"/>
      <c r="CR203" s="353"/>
      <c r="CS203" s="353"/>
      <c r="CT203" s="353"/>
      <c r="CU203" s="353"/>
      <c r="CV203" s="353"/>
      <c r="CW203" s="353"/>
      <c r="CX203" s="353"/>
      <c r="CY203" s="353"/>
      <c r="CZ203" s="353"/>
      <c r="DA203" s="353"/>
      <c r="DB203" s="353"/>
      <c r="DC203" s="353"/>
      <c r="DD203" s="353"/>
      <c r="DE203" s="353"/>
      <c r="DF203" s="353"/>
      <c r="DG203" s="353"/>
      <c r="DH203" s="353"/>
      <c r="DI203" s="353"/>
      <c r="DJ203" s="353"/>
      <c r="DK203" s="353"/>
      <c r="DL203" s="353"/>
      <c r="DM203" s="353"/>
      <c r="DN203" s="353"/>
      <c r="DO203" s="353"/>
      <c r="DP203" s="353"/>
      <c r="DQ203" s="353"/>
      <c r="DR203" s="353"/>
      <c r="DS203" s="353"/>
      <c r="DT203" s="353"/>
      <c r="DU203" s="353"/>
      <c r="DV203" s="353"/>
      <c r="DW203" s="353"/>
      <c r="DX203" s="353"/>
      <c r="DY203" s="353"/>
      <c r="DZ203" s="353"/>
      <c r="EA203" s="353"/>
      <c r="EB203" s="353"/>
      <c r="EC203" s="353"/>
      <c r="ED203" s="353"/>
      <c r="EE203" s="353"/>
      <c r="EF203" s="353"/>
      <c r="EG203" s="353"/>
      <c r="EH203" s="353"/>
      <c r="EI203" s="353"/>
      <c r="EJ203" s="353"/>
      <c r="EK203" s="353"/>
      <c r="EL203" s="353"/>
      <c r="EM203" s="353"/>
      <c r="EN203" s="353"/>
      <c r="EO203" s="353"/>
      <c r="EP203" s="353"/>
      <c r="EQ203" s="353"/>
      <c r="ER203" s="353"/>
      <c r="ES203" s="353"/>
      <c r="ET203" s="353"/>
      <c r="EU203" s="353"/>
      <c r="EV203" s="353"/>
      <c r="EW203" s="353"/>
      <c r="EX203" s="353"/>
      <c r="EY203" s="353"/>
      <c r="EZ203" s="353"/>
      <c r="FA203" s="353"/>
      <c r="FB203" s="353"/>
      <c r="FC203" s="353"/>
      <c r="FD203" s="353"/>
      <c r="FE203" s="353"/>
      <c r="FF203" s="353"/>
      <c r="FG203" s="353"/>
      <c r="FH203" s="353"/>
      <c r="FI203" s="353"/>
      <c r="FJ203" s="353"/>
      <c r="FK203" s="353"/>
      <c r="FL203" s="353"/>
      <c r="FM203" s="353"/>
      <c r="FN203" s="353"/>
      <c r="FO203" s="353"/>
      <c r="FP203" s="353"/>
      <c r="FQ203" s="353"/>
      <c r="FR203" s="353"/>
      <c r="FS203" s="353"/>
      <c r="FT203" s="353"/>
      <c r="FU203" s="353"/>
      <c r="FV203" s="353"/>
      <c r="FW203" s="353"/>
      <c r="FX203" s="353"/>
      <c r="FY203" s="353"/>
      <c r="FZ203" s="353"/>
      <c r="GA203" s="353"/>
      <c r="GB203" s="354">
        <v>-1</v>
      </c>
      <c r="GC203" s="179">
        <f t="shared" si="37"/>
        <v>0</v>
      </c>
      <c r="GD203" s="179">
        <f t="shared" si="38"/>
        <v>0</v>
      </c>
      <c r="GE203" s="179">
        <f t="shared" si="39"/>
        <v>0</v>
      </c>
      <c r="GF203" s="179">
        <f t="shared" si="40"/>
        <v>0</v>
      </c>
      <c r="GG203" s="179">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20"/>
      <c r="GC204" s="180">
        <f t="shared" si="37"/>
        <v>0</v>
      </c>
      <c r="GD204" s="180">
        <f t="shared" si="38"/>
        <v>0</v>
      </c>
      <c r="GE204" s="180">
        <f t="shared" si="39"/>
        <v>0</v>
      </c>
      <c r="GF204" s="180">
        <f t="shared" si="40"/>
        <v>1.9099999999999999E-2</v>
      </c>
      <c r="GG204" s="180">
        <f t="shared" si="36"/>
        <v>0</v>
      </c>
    </row>
    <row r="205" spans="1:342" x14ac:dyDescent="0.3">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9"/>
      <c r="GC205" s="179">
        <f t="shared" si="37"/>
        <v>0</v>
      </c>
      <c r="GD205" s="179">
        <f t="shared" si="38"/>
        <v>0</v>
      </c>
      <c r="GE205" s="179">
        <f t="shared" si="39"/>
        <v>0</v>
      </c>
      <c r="GF205" s="179">
        <f t="shared" si="40"/>
        <v>0</v>
      </c>
      <c r="GG205" s="179">
        <f t="shared" si="36"/>
        <v>0</v>
      </c>
    </row>
    <row r="206" spans="1:342" x14ac:dyDescent="0.3">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20"/>
      <c r="GC206" s="180">
        <f t="shared" si="37"/>
        <v>0</v>
      </c>
      <c r="GD206" s="180">
        <f t="shared" si="38"/>
        <v>0</v>
      </c>
      <c r="GE206" s="180">
        <f t="shared" si="39"/>
        <v>0</v>
      </c>
      <c r="GF206" s="180">
        <f t="shared" si="40"/>
        <v>1.9099999999999999E-2</v>
      </c>
      <c r="GG206" s="180">
        <f t="shared" si="36"/>
        <v>0</v>
      </c>
    </row>
    <row r="207" spans="1:342" x14ac:dyDescent="0.3">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9"/>
      <c r="GC207" s="179">
        <f t="shared" si="37"/>
        <v>0</v>
      </c>
      <c r="GD207" s="179">
        <f t="shared" si="38"/>
        <v>0</v>
      </c>
      <c r="GE207" s="179">
        <f t="shared" si="39"/>
        <v>0</v>
      </c>
      <c r="GF207" s="179">
        <f t="shared" si="40"/>
        <v>0</v>
      </c>
      <c r="GG207" s="179">
        <f t="shared" si="36"/>
        <v>0</v>
      </c>
    </row>
    <row r="208" spans="1:342" s="311" customFormat="1" x14ac:dyDescent="0.3">
      <c r="A208" s="291" t="s">
        <v>1174</v>
      </c>
      <c r="B208" s="291" t="str">
        <f>IF(Technologies!B208&lt;&gt;0,Technologies!B208,"")</f>
        <v>Bunkerbrandstoffen</v>
      </c>
      <c r="C208" s="291" t="str">
        <f>VLOOKUP($A208,Technologies!$A$7:$H$577,3,FALSE)</f>
        <v>Final</v>
      </c>
      <c r="D208" s="291" t="str">
        <f>VLOOKUP($A208,Technologies!$A$7:$H$577,4,FALSE)</f>
        <v>Transport</v>
      </c>
      <c r="E208" s="291" t="str">
        <f>VLOOKUP($A208,Technologies!$A$7:$H$577,6,FALSE)</f>
        <v>Bunker Aviation</v>
      </c>
      <c r="F208" s="292" t="str">
        <f>VLOOKUP($A208,Technologies!$A$7:$H$577,7,FALSE)</f>
        <v>E-Kerosene Airplane</v>
      </c>
      <c r="G208" s="312"/>
      <c r="H208" s="312"/>
      <c r="I208" s="314" cm="1">
        <f t="array" ref="I208">-SUMPRODUCT((Feedstocks!$C$4:$C$141=A208)*Feedstocks!$E$4:$E$141,Feedstocks!$F$4:$F$141,Feedstocks!$H$4:$H$141,Feedstocks!$I$4:$I$141)</f>
        <v>0</v>
      </c>
      <c r="J208" s="314" cm="1">
        <f t="array" ref="J208">-SUMPRODUCT((Feedstocks!$C$4:$C$141=A208)*Feedstocks!$E$4:$E$141,Feedstocks!$H$4:$H$141,Feedstocks!$I$4:$I$141)</f>
        <v>0</v>
      </c>
      <c r="K208" s="314"/>
      <c r="L208" s="314"/>
      <c r="M208" s="312"/>
      <c r="N208" s="312" t="str">
        <f>VLOOKUP(E208,Activities!$A$9:$M$227,13,FALSE)</f>
        <v>NL</v>
      </c>
      <c r="O208" s="312">
        <v>1</v>
      </c>
      <c r="P208" s="309" t="s">
        <v>452</v>
      </c>
      <c r="Q208" s="316"/>
      <c r="R208" s="316"/>
      <c r="S208" s="316"/>
      <c r="T208" s="316"/>
      <c r="U208" s="316"/>
      <c r="V208" s="316"/>
      <c r="W208" s="316"/>
      <c r="X208" s="316"/>
      <c r="Y208" s="316"/>
      <c r="Z208" s="316"/>
      <c r="AA208" s="316"/>
      <c r="AB208" s="316"/>
      <c r="AC208" s="316"/>
      <c r="AD208" s="316"/>
      <c r="AE208" s="316"/>
      <c r="AF208" s="316"/>
      <c r="AG208" s="316"/>
      <c r="AH208" s="316"/>
      <c r="AI208" s="316"/>
      <c r="AJ208" s="316"/>
      <c r="AK208" s="316"/>
      <c r="AL208" s="316"/>
      <c r="AM208" s="316"/>
      <c r="AN208" s="316"/>
      <c r="AO208" s="316"/>
      <c r="AP208" s="316"/>
      <c r="AQ208" s="316"/>
      <c r="AR208" s="316"/>
      <c r="AS208" s="316"/>
      <c r="AT208" s="316"/>
      <c r="AU208" s="316"/>
      <c r="AV208" s="316"/>
      <c r="AW208" s="316"/>
      <c r="AX208" s="316"/>
      <c r="AY208" s="316"/>
      <c r="AZ208" s="316"/>
      <c r="BA208" s="316"/>
      <c r="BB208" s="316"/>
      <c r="BC208" s="316"/>
      <c r="BD208" s="316"/>
      <c r="BE208" s="316"/>
      <c r="BF208" s="316"/>
      <c r="BG208" s="316"/>
      <c r="BH208" s="316"/>
      <c r="BI208" s="316"/>
      <c r="BJ208" s="316">
        <v>1</v>
      </c>
      <c r="BK208" s="316"/>
      <c r="BL208" s="316"/>
      <c r="BM208" s="316"/>
      <c r="BN208" s="316"/>
      <c r="BO208" s="316"/>
      <c r="BP208" s="316"/>
      <c r="BQ208" s="316"/>
      <c r="BR208" s="316"/>
      <c r="BS208" s="316"/>
      <c r="BT208" s="316"/>
      <c r="BU208" s="316"/>
      <c r="BV208" s="316"/>
      <c r="BW208" s="316"/>
      <c r="BX208" s="316"/>
      <c r="BY208" s="316"/>
      <c r="BZ208" s="316"/>
      <c r="CA208" s="316"/>
      <c r="CB208" s="316"/>
      <c r="CC208" s="316"/>
      <c r="CD208" s="316"/>
      <c r="CE208" s="316"/>
      <c r="CF208" s="316"/>
      <c r="CG208" s="316"/>
      <c r="CH208" s="316"/>
      <c r="CI208" s="316"/>
      <c r="CJ208" s="316"/>
      <c r="CK208" s="316"/>
      <c r="CL208" s="316"/>
      <c r="CM208" s="316"/>
      <c r="CN208" s="316"/>
      <c r="CO208" s="316"/>
      <c r="CP208" s="316"/>
      <c r="CQ208" s="316"/>
      <c r="CR208" s="316"/>
      <c r="CS208" s="316"/>
      <c r="CT208" s="316"/>
      <c r="CU208" s="316"/>
      <c r="CV208" s="316"/>
      <c r="CW208" s="316"/>
      <c r="CX208" s="316"/>
      <c r="CY208" s="316"/>
      <c r="CZ208" s="316"/>
      <c r="DA208" s="316"/>
      <c r="DB208" s="316"/>
      <c r="DC208" s="316"/>
      <c r="DD208" s="316"/>
      <c r="DE208" s="316"/>
      <c r="DF208" s="316"/>
      <c r="DG208" s="316"/>
      <c r="DH208" s="316"/>
      <c r="DI208" s="316"/>
      <c r="DJ208" s="316"/>
      <c r="DK208" s="316"/>
      <c r="DL208" s="316"/>
      <c r="DM208" s="316"/>
      <c r="DN208" s="316"/>
      <c r="DO208" s="316"/>
      <c r="DP208" s="316"/>
      <c r="DQ208" s="316"/>
      <c r="DR208" s="316"/>
      <c r="DS208" s="316"/>
      <c r="DT208" s="316"/>
      <c r="DU208" s="316"/>
      <c r="DV208" s="316"/>
      <c r="DW208" s="316"/>
      <c r="DX208" s="316"/>
      <c r="DY208" s="316"/>
      <c r="DZ208" s="316"/>
      <c r="EA208" s="316"/>
      <c r="EB208" s="316"/>
      <c r="EC208" s="316"/>
      <c r="ED208" s="316"/>
      <c r="EE208" s="316"/>
      <c r="EF208" s="316"/>
      <c r="EG208" s="316"/>
      <c r="EH208" s="316">
        <v>-0.27</v>
      </c>
      <c r="EI208" s="316"/>
      <c r="EJ208" s="316"/>
      <c r="EK208" s="316"/>
      <c r="EL208" s="316"/>
      <c r="EM208" s="316"/>
      <c r="EN208" s="316"/>
      <c r="EO208" s="316"/>
      <c r="EP208" s="316"/>
      <c r="EQ208" s="316"/>
      <c r="ER208" s="316"/>
      <c r="ES208" s="316"/>
      <c r="ET208" s="316"/>
      <c r="EU208" s="316"/>
      <c r="EV208" s="316"/>
      <c r="EW208" s="316"/>
      <c r="EX208" s="316"/>
      <c r="EY208" s="316"/>
      <c r="EZ208" s="316"/>
      <c r="FA208" s="316"/>
      <c r="FB208" s="316"/>
      <c r="FC208" s="316"/>
      <c r="FD208" s="316"/>
      <c r="FE208" s="316"/>
      <c r="FF208" s="316"/>
      <c r="FG208" s="316"/>
      <c r="FH208" s="316"/>
      <c r="FI208" s="316"/>
      <c r="FJ208" s="316"/>
      <c r="FK208" s="316"/>
      <c r="FL208" s="316"/>
      <c r="FM208" s="316"/>
      <c r="FN208" s="316"/>
      <c r="FO208" s="316"/>
      <c r="FP208" s="316"/>
      <c r="FQ208" s="316"/>
      <c r="FR208" s="316"/>
      <c r="FS208" s="316"/>
      <c r="FT208" s="316"/>
      <c r="FU208" s="316"/>
      <c r="FV208" s="316"/>
      <c r="FW208" s="316"/>
      <c r="FX208" s="316"/>
      <c r="FY208" s="316"/>
      <c r="FZ208" s="316"/>
      <c r="GA208" s="316"/>
      <c r="GB208" s="323"/>
      <c r="GC208" s="317">
        <f t="shared" si="37"/>
        <v>0</v>
      </c>
      <c r="GD208" s="317">
        <f t="shared" si="38"/>
        <v>0</v>
      </c>
      <c r="GE208" s="317">
        <f t="shared" si="39"/>
        <v>0</v>
      </c>
      <c r="GF208" s="317">
        <f t="shared" si="40"/>
        <v>1.9400000000000001E-2</v>
      </c>
      <c r="GG208" s="317">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
      <c r="A209" s="328" t="s">
        <v>1176</v>
      </c>
      <c r="B209" s="291" t="str">
        <f>IF(Technologies!B209&lt;&gt;0,Technologies!B209,"")</f>
        <v>Bunkerbrandstoffen</v>
      </c>
      <c r="C209" s="291" t="str">
        <f>VLOOKUP($A209,Technologies!$A$7:$H$577,3,FALSE)</f>
        <v>Final</v>
      </c>
      <c r="D209" s="291" t="str">
        <f>VLOOKUP($A209,Technologies!$A$7:$H$577,4,FALSE)</f>
        <v>Transport</v>
      </c>
      <c r="E209" s="291" t="str">
        <f>VLOOKUP($A209,Technologies!$A$7:$H$577,6,FALSE)</f>
        <v>Renewable H2 Credit</v>
      </c>
      <c r="F209" s="292" t="str">
        <f>VLOOKUP($A209,Technologies!$A$7:$H$577,7,FALSE)</f>
        <v xml:space="preserve">H2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v>-1</v>
      </c>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c r="GC209" s="180">
        <f t="shared" si="37"/>
        <v>0</v>
      </c>
      <c r="GD209" s="180">
        <f t="shared" si="38"/>
        <v>0</v>
      </c>
      <c r="GE209" s="180">
        <f t="shared" si="39"/>
        <v>0</v>
      </c>
      <c r="GF209" s="180">
        <f t="shared" si="40"/>
        <v>0</v>
      </c>
      <c r="GG209" s="180">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8" customFormat="1" x14ac:dyDescent="0.3">
      <c r="A210" s="328" t="s">
        <v>1178</v>
      </c>
      <c r="B210" s="291" t="str">
        <f>IF(Technologies!B210&lt;&gt;0,Technologies!B210,"")</f>
        <v>Bunkerbrandstoffen</v>
      </c>
      <c r="C210" s="291" t="str">
        <f>VLOOKUP($A210,Technologies!$A$7:$H$577,3,FALSE)</f>
        <v>Final</v>
      </c>
      <c r="D210" s="291" t="str">
        <f>VLOOKUP($A210,Technologies!$A$7:$H$577,4,FALSE)</f>
        <v>Transport</v>
      </c>
      <c r="E210" s="291" t="str">
        <f>VLOOKUP($A210,Technologies!$A$7:$H$577,6,FALSE)</f>
        <v>Renewable CO2 Credit</v>
      </c>
      <c r="F210" s="292" t="str">
        <f>VLOOKUP($A210,Technologies!$A$7:$H$577,7,FALSE)</f>
        <v xml:space="preserve">CO2 Credits for Aviation </v>
      </c>
      <c r="G210" s="351"/>
      <c r="H210" s="351"/>
      <c r="I210" s="352"/>
      <c r="J210" s="352"/>
      <c r="K210" s="352"/>
      <c r="L210" s="352"/>
      <c r="M210" s="351"/>
      <c r="N210" s="312" t="str">
        <f>VLOOKUP(E210,Activities!$A$9:$M$227,13,FALSE)</f>
        <v>NL</v>
      </c>
      <c r="O210" s="351">
        <v>1</v>
      </c>
      <c r="P210" s="290"/>
      <c r="Q210" s="353"/>
      <c r="R210" s="353"/>
      <c r="S210" s="353"/>
      <c r="T210" s="353"/>
      <c r="U210" s="353"/>
      <c r="V210" s="353"/>
      <c r="W210" s="353"/>
      <c r="X210" s="353"/>
      <c r="Y210" s="353"/>
      <c r="Z210" s="353"/>
      <c r="AA210" s="353"/>
      <c r="AB210" s="353"/>
      <c r="AC210" s="353"/>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3"/>
      <c r="BD210" s="353"/>
      <c r="BE210" s="353"/>
      <c r="BF210" s="353"/>
      <c r="BG210" s="353"/>
      <c r="BH210" s="353"/>
      <c r="BI210" s="353"/>
      <c r="BJ210" s="353"/>
      <c r="BK210" s="353"/>
      <c r="BL210" s="353"/>
      <c r="BM210" s="353"/>
      <c r="BN210" s="353"/>
      <c r="BO210" s="353"/>
      <c r="BP210" s="353"/>
      <c r="BQ210" s="353"/>
      <c r="BR210" s="353"/>
      <c r="BS210" s="353"/>
      <c r="BT210" s="353"/>
      <c r="BU210" s="353"/>
      <c r="BV210" s="353"/>
      <c r="BW210" s="353"/>
      <c r="BX210" s="353"/>
      <c r="BY210" s="353"/>
      <c r="BZ210" s="353"/>
      <c r="CA210" s="353"/>
      <c r="CB210" s="353"/>
      <c r="CC210" s="353"/>
      <c r="CD210" s="353"/>
      <c r="CE210" s="353"/>
      <c r="CF210" s="353"/>
      <c r="CG210" s="353"/>
      <c r="CH210" s="353"/>
      <c r="CI210" s="353"/>
      <c r="CJ210" s="353"/>
      <c r="CK210" s="353"/>
      <c r="CL210" s="353"/>
      <c r="CM210" s="353"/>
      <c r="CN210" s="353"/>
      <c r="CO210" s="353"/>
      <c r="CP210" s="353"/>
      <c r="CQ210" s="353"/>
      <c r="CR210" s="353"/>
      <c r="CS210" s="353"/>
      <c r="CT210" s="353"/>
      <c r="CU210" s="353"/>
      <c r="CV210" s="353"/>
      <c r="CW210" s="353"/>
      <c r="CX210" s="353"/>
      <c r="CY210" s="353"/>
      <c r="CZ210" s="353"/>
      <c r="DA210" s="353"/>
      <c r="DB210" s="353"/>
      <c r="DC210" s="353"/>
      <c r="DD210" s="353"/>
      <c r="DE210" s="353"/>
      <c r="DF210" s="353"/>
      <c r="DG210" s="353"/>
      <c r="DH210" s="353"/>
      <c r="DI210" s="353"/>
      <c r="DJ210" s="353"/>
      <c r="DK210" s="353"/>
      <c r="DL210" s="353"/>
      <c r="DM210" s="353"/>
      <c r="DN210" s="353"/>
      <c r="DO210" s="353"/>
      <c r="DP210" s="353"/>
      <c r="DQ210" s="353"/>
      <c r="DR210" s="353"/>
      <c r="DS210" s="353"/>
      <c r="DT210" s="353"/>
      <c r="DU210" s="353"/>
      <c r="DV210" s="353"/>
      <c r="DW210" s="353"/>
      <c r="DX210" s="353"/>
      <c r="DY210" s="353"/>
      <c r="DZ210" s="353"/>
      <c r="EA210" s="353"/>
      <c r="EB210" s="353"/>
      <c r="EC210" s="353"/>
      <c r="ED210" s="353"/>
      <c r="EE210" s="353"/>
      <c r="EF210" s="353"/>
      <c r="EG210" s="353"/>
      <c r="EH210" s="353"/>
      <c r="EI210" s="353"/>
      <c r="EJ210" s="353"/>
      <c r="EK210" s="353"/>
      <c r="EL210" s="353"/>
      <c r="EM210" s="353"/>
      <c r="EN210" s="353"/>
      <c r="EO210" s="353"/>
      <c r="EP210" s="353"/>
      <c r="EQ210" s="353"/>
      <c r="ER210" s="353"/>
      <c r="ES210" s="353"/>
      <c r="ET210" s="353"/>
      <c r="EU210" s="353"/>
      <c r="EV210" s="353"/>
      <c r="EW210" s="353"/>
      <c r="EX210" s="353"/>
      <c r="EY210" s="353"/>
      <c r="EZ210" s="353"/>
      <c r="FA210" s="353"/>
      <c r="FB210" s="353"/>
      <c r="FC210" s="353"/>
      <c r="FD210" s="353"/>
      <c r="FE210" s="353"/>
      <c r="FF210" s="353"/>
      <c r="FG210" s="353"/>
      <c r="FH210" s="353"/>
      <c r="FI210" s="353"/>
      <c r="FJ210" s="353"/>
      <c r="FK210" s="353"/>
      <c r="FL210" s="353"/>
      <c r="FM210" s="353"/>
      <c r="FN210" s="353"/>
      <c r="FO210" s="353"/>
      <c r="FP210" s="353"/>
      <c r="FQ210" s="353"/>
      <c r="FR210" s="353"/>
      <c r="FS210" s="353"/>
      <c r="FT210" s="353"/>
      <c r="FU210" s="353"/>
      <c r="FV210" s="353"/>
      <c r="FW210" s="353"/>
      <c r="FX210" s="353"/>
      <c r="FY210" s="353"/>
      <c r="FZ210" s="353"/>
      <c r="GA210" s="353"/>
      <c r="GB210" s="354">
        <v>-1</v>
      </c>
      <c r="GC210" s="179">
        <f t="shared" si="37"/>
        <v>0</v>
      </c>
      <c r="GD210" s="179">
        <f t="shared" si="38"/>
        <v>0</v>
      </c>
      <c r="GE210" s="179">
        <f t="shared" si="39"/>
        <v>0</v>
      </c>
      <c r="GF210" s="179">
        <f t="shared" si="40"/>
        <v>0</v>
      </c>
      <c r="GG210" s="179">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20"/>
      <c r="GC211" s="180">
        <f t="shared" si="37"/>
        <v>0</v>
      </c>
      <c r="GD211" s="180">
        <f t="shared" si="38"/>
        <v>0</v>
      </c>
      <c r="GE211" s="180">
        <f t="shared" si="39"/>
        <v>0</v>
      </c>
      <c r="GF211" s="180">
        <f t="shared" si="40"/>
        <v>0</v>
      </c>
      <c r="GG211" s="180">
        <f t="shared" ref="GG211:GG224" si="41">$I211</f>
        <v>0</v>
      </c>
    </row>
    <row r="212" spans="1:342" x14ac:dyDescent="0.3">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9"/>
      <c r="GC212" s="179">
        <f t="shared" si="37"/>
        <v>0</v>
      </c>
      <c r="GD212" s="179">
        <f t="shared" si="38"/>
        <v>0</v>
      </c>
      <c r="GE212" s="179">
        <f t="shared" si="39"/>
        <v>0</v>
      </c>
      <c r="GF212" s="179">
        <f t="shared" si="40"/>
        <v>0</v>
      </c>
      <c r="GG212" s="179">
        <f t="shared" si="41"/>
        <v>0</v>
      </c>
    </row>
    <row r="213" spans="1:342" x14ac:dyDescent="0.3">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20"/>
      <c r="GC213" s="180">
        <f t="shared" si="37"/>
        <v>0</v>
      </c>
      <c r="GD213" s="180">
        <f t="shared" si="38"/>
        <v>0</v>
      </c>
      <c r="GE213" s="180">
        <f t="shared" si="39"/>
        <v>0</v>
      </c>
      <c r="GF213" s="180">
        <f t="shared" si="40"/>
        <v>0</v>
      </c>
      <c r="GG213" s="180">
        <f t="shared" si="41"/>
        <v>0</v>
      </c>
    </row>
    <row r="214" spans="1:342" x14ac:dyDescent="0.3">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9"/>
      <c r="GC214" s="179">
        <f t="shared" si="37"/>
        <v>0</v>
      </c>
      <c r="GD214" s="179">
        <f t="shared" si="38"/>
        <v>0</v>
      </c>
      <c r="GE214" s="179">
        <f t="shared" si="39"/>
        <v>0</v>
      </c>
      <c r="GF214" s="179">
        <f t="shared" si="40"/>
        <v>0</v>
      </c>
      <c r="GG214" s="179">
        <f t="shared" si="41"/>
        <v>0</v>
      </c>
    </row>
    <row r="215" spans="1:342" x14ac:dyDescent="0.3">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20"/>
      <c r="GC215" s="180">
        <f t="shared" si="37"/>
        <v>0</v>
      </c>
      <c r="GD215" s="180">
        <f t="shared" si="38"/>
        <v>0</v>
      </c>
      <c r="GE215" s="180">
        <f t="shared" si="39"/>
        <v>0</v>
      </c>
      <c r="GF215" s="180">
        <f t="shared" si="40"/>
        <v>0</v>
      </c>
      <c r="GG215" s="180">
        <f t="shared" si="41"/>
        <v>0</v>
      </c>
    </row>
    <row r="216" spans="1:342" x14ac:dyDescent="0.3">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9"/>
      <c r="GC216" s="179">
        <f t="shared" si="37"/>
        <v>0</v>
      </c>
      <c r="GD216" s="179">
        <f t="shared" si="38"/>
        <v>0</v>
      </c>
      <c r="GE216" s="179">
        <f t="shared" si="39"/>
        <v>0</v>
      </c>
      <c r="GF216" s="179">
        <f t="shared" si="40"/>
        <v>0</v>
      </c>
      <c r="GG216" s="179">
        <f t="shared" si="41"/>
        <v>0</v>
      </c>
    </row>
    <row r="217" spans="1:342" x14ac:dyDescent="0.3">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20"/>
      <c r="GC217" s="180">
        <f t="shared" si="37"/>
        <v>0</v>
      </c>
      <c r="GD217" s="180">
        <f t="shared" si="38"/>
        <v>0</v>
      </c>
      <c r="GE217" s="180">
        <f t="shared" si="39"/>
        <v>0</v>
      </c>
      <c r="GF217" s="180">
        <f t="shared" si="40"/>
        <v>0</v>
      </c>
      <c r="GG217" s="180">
        <f t="shared" si="41"/>
        <v>0</v>
      </c>
    </row>
    <row r="218" spans="1:342" x14ac:dyDescent="0.3">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9"/>
      <c r="GC218" s="179">
        <f t="shared" si="37"/>
        <v>0</v>
      </c>
      <c r="GD218" s="179">
        <f t="shared" si="38"/>
        <v>0</v>
      </c>
      <c r="GE218" s="179">
        <f t="shared" si="39"/>
        <v>0</v>
      </c>
      <c r="GF218" s="179">
        <f t="shared" si="40"/>
        <v>0</v>
      </c>
      <c r="GG218" s="179">
        <f t="shared" si="41"/>
        <v>0</v>
      </c>
    </row>
    <row r="219" spans="1:342" x14ac:dyDescent="0.3">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20"/>
      <c r="GC219" s="180">
        <f t="shared" si="37"/>
        <v>0</v>
      </c>
      <c r="GD219" s="180">
        <f t="shared" si="38"/>
        <v>0</v>
      </c>
      <c r="GE219" s="180">
        <f t="shared" si="39"/>
        <v>0</v>
      </c>
      <c r="GF219" s="180">
        <f t="shared" si="40"/>
        <v>0</v>
      </c>
      <c r="GG219" s="180">
        <f t="shared" si="41"/>
        <v>0</v>
      </c>
    </row>
    <row r="220" spans="1:342" x14ac:dyDescent="0.3">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9"/>
      <c r="GC220" s="179">
        <f t="shared" si="37"/>
        <v>0</v>
      </c>
      <c r="GD220" s="179">
        <f t="shared" si="38"/>
        <v>0</v>
      </c>
      <c r="GE220" s="179">
        <f t="shared" si="39"/>
        <v>0</v>
      </c>
      <c r="GF220" s="179">
        <f t="shared" si="40"/>
        <v>0</v>
      </c>
      <c r="GG220" s="179">
        <f t="shared" si="41"/>
        <v>0</v>
      </c>
    </row>
    <row r="221" spans="1:342" x14ac:dyDescent="0.3">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20"/>
      <c r="GC221" s="180">
        <f t="shared" si="37"/>
        <v>0</v>
      </c>
      <c r="GD221" s="180">
        <f t="shared" si="38"/>
        <v>0</v>
      </c>
      <c r="GE221" s="180">
        <f t="shared" si="39"/>
        <v>0</v>
      </c>
      <c r="GF221" s="180">
        <f t="shared" si="40"/>
        <v>0</v>
      </c>
      <c r="GG221" s="180">
        <f t="shared" si="41"/>
        <v>0</v>
      </c>
    </row>
    <row r="222" spans="1:342" x14ac:dyDescent="0.3">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9"/>
      <c r="GC222" s="179">
        <f t="shared" si="37"/>
        <v>0</v>
      </c>
      <c r="GD222" s="179">
        <f t="shared" si="38"/>
        <v>0</v>
      </c>
      <c r="GE222" s="179">
        <f t="shared" si="39"/>
        <v>0</v>
      </c>
      <c r="GF222" s="179">
        <f t="shared" si="40"/>
        <v>0</v>
      </c>
      <c r="GG222" s="179">
        <f t="shared" si="41"/>
        <v>0</v>
      </c>
    </row>
    <row r="223" spans="1:342" x14ac:dyDescent="0.3">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20"/>
      <c r="GC223" s="180">
        <f t="shared" si="37"/>
        <v>0</v>
      </c>
      <c r="GD223" s="180">
        <f t="shared" si="38"/>
        <v>0</v>
      </c>
      <c r="GE223" s="180">
        <f t="shared" si="39"/>
        <v>0</v>
      </c>
      <c r="GF223" s="180">
        <f t="shared" si="40"/>
        <v>0</v>
      </c>
      <c r="GG223" s="180">
        <f t="shared" si="41"/>
        <v>0</v>
      </c>
    </row>
    <row r="224" spans="1:342" x14ac:dyDescent="0.3">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9"/>
      <c r="GC224" s="179">
        <f t="shared" si="37"/>
        <v>0</v>
      </c>
      <c r="GD224" s="179">
        <f t="shared" si="38"/>
        <v>0</v>
      </c>
      <c r="GE224" s="179">
        <f t="shared" si="39"/>
        <v>0</v>
      </c>
      <c r="GF224" s="179">
        <f t="shared" si="40"/>
        <v>0</v>
      </c>
      <c r="GG224" s="179">
        <f t="shared" si="41"/>
        <v>0</v>
      </c>
    </row>
    <row r="225" spans="1:189" x14ac:dyDescent="0.3">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20"/>
      <c r="GC225" s="180">
        <f t="shared" si="37"/>
        <v>0</v>
      </c>
      <c r="GD225" s="180">
        <f t="shared" si="38"/>
        <v>0</v>
      </c>
      <c r="GE225" s="180">
        <f t="shared" si="39"/>
        <v>0</v>
      </c>
      <c r="GF225" s="180">
        <f t="shared" si="40"/>
        <v>0</v>
      </c>
      <c r="GG225" s="180">
        <f t="shared" ref="GG225:GG284" si="42">$I225</f>
        <v>0</v>
      </c>
    </row>
    <row r="226" spans="1:189" x14ac:dyDescent="0.3">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9"/>
      <c r="GC226" s="179">
        <f t="shared" ref="GC226:GC257" si="43">ROUND(IF($C226="Primary",0,-$G226*(SUMPRODUCT($Q$4:$GA$4,$Q226:$GA226)+$J226)-$H226)*IF($N226=GC$4,1,0),4)</f>
        <v>0</v>
      </c>
      <c r="GD226" s="179">
        <f t="shared" ref="GD226:GD257" si="44">ROUND(IF($C226="Primary",0,$M226*(1-$O226)*($G226*(SUMPRODUCT($Q$4:$GA$4,$Q226:$GA226)+$J226)+$H226-SUMPRODUCT($Q$5:$GA$5,$Q226:$GA226)-$I226+$K226))*IF($N226=GD$4,1,0),4)</f>
        <v>0</v>
      </c>
      <c r="GE226" s="179">
        <f t="shared" ref="GE226:GE257" si="45">ROUND(IF($C226="Primary",0,(1-$M226)*(1-$O226)*($G226*(SUMPRODUCT($Q$4:$GA$4,$Q226:$GA226)+$J226)+$H226-SUMPRODUCT($Q$5:$GA$5,$Q226:$GA226)-$I226+$L226))*IF($N226=GD$4,1,0),4)</f>
        <v>0</v>
      </c>
      <c r="GF226" s="179">
        <f t="shared" ref="GF226:GF257" si="46">ROUND(IF($C226="Primary",0,$O226*($G226*(SUMPRODUCT($Q$4:$GA$4,$Q226:$GA226)+$J226)-SUMPRODUCT($Q$5:$GA$5,$Q226:$GA226)-$I226))*IF($N226=GD$4,1,0),4)</f>
        <v>0</v>
      </c>
      <c r="GG226" s="179">
        <f t="shared" si="42"/>
        <v>7.0999999999999994E-2</v>
      </c>
    </row>
    <row r="227" spans="1:189" x14ac:dyDescent="0.3">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20"/>
      <c r="GC227" s="180">
        <f t="shared" si="43"/>
        <v>0</v>
      </c>
      <c r="GD227" s="180">
        <f t="shared" si="44"/>
        <v>0</v>
      </c>
      <c r="GE227" s="180">
        <f t="shared" si="45"/>
        <v>0</v>
      </c>
      <c r="GF227" s="180">
        <f t="shared" si="46"/>
        <v>0</v>
      </c>
      <c r="GG227" s="179">
        <f t="shared" si="42"/>
        <v>0</v>
      </c>
    </row>
    <row r="228" spans="1:189" x14ac:dyDescent="0.3">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9"/>
      <c r="GC228" s="179">
        <f t="shared" si="43"/>
        <v>0</v>
      </c>
      <c r="GD228" s="179">
        <f t="shared" si="44"/>
        <v>0</v>
      </c>
      <c r="GE228" s="179">
        <f t="shared" si="45"/>
        <v>0</v>
      </c>
      <c r="GF228" s="179">
        <f t="shared" si="46"/>
        <v>0</v>
      </c>
      <c r="GG228" s="179">
        <f t="shared" si="42"/>
        <v>7.0999999999999994E-2</v>
      </c>
    </row>
    <row r="229" spans="1:189" x14ac:dyDescent="0.3">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20"/>
      <c r="GC229" s="180">
        <f t="shared" si="43"/>
        <v>0</v>
      </c>
      <c r="GD229" s="180">
        <f t="shared" si="44"/>
        <v>0</v>
      </c>
      <c r="GE229" s="180">
        <f t="shared" si="45"/>
        <v>0</v>
      </c>
      <c r="GF229" s="180">
        <f t="shared" si="46"/>
        <v>0</v>
      </c>
      <c r="GG229" s="179">
        <f t="shared" si="42"/>
        <v>7.2999999999999995E-2</v>
      </c>
    </row>
    <row r="230" spans="1:189" x14ac:dyDescent="0.3">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9"/>
      <c r="GC230" s="179">
        <f t="shared" si="43"/>
        <v>0</v>
      </c>
      <c r="GD230" s="179">
        <f t="shared" si="44"/>
        <v>0</v>
      </c>
      <c r="GE230" s="179">
        <f t="shared" si="45"/>
        <v>0</v>
      </c>
      <c r="GF230" s="179">
        <f t="shared" si="46"/>
        <v>0</v>
      </c>
      <c r="GG230" s="179">
        <f t="shared" si="42"/>
        <v>0</v>
      </c>
    </row>
    <row r="231" spans="1:189" x14ac:dyDescent="0.3">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20"/>
      <c r="GC231" s="180">
        <f t="shared" si="43"/>
        <v>0</v>
      </c>
      <c r="GD231" s="180">
        <f t="shared" si="44"/>
        <v>0</v>
      </c>
      <c r="GE231" s="180">
        <f t="shared" si="45"/>
        <v>0</v>
      </c>
      <c r="GF231" s="180">
        <f t="shared" si="46"/>
        <v>0</v>
      </c>
      <c r="GG231" s="179">
        <f t="shared" si="42"/>
        <v>7.2999999999999995E-2</v>
      </c>
    </row>
    <row r="232" spans="1:189" x14ac:dyDescent="0.3">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9"/>
      <c r="GC232" s="179">
        <f t="shared" si="43"/>
        <v>0</v>
      </c>
      <c r="GD232" s="179">
        <f t="shared" si="44"/>
        <v>0</v>
      </c>
      <c r="GE232" s="179">
        <f t="shared" si="45"/>
        <v>0</v>
      </c>
      <c r="GF232" s="179">
        <f t="shared" si="46"/>
        <v>0</v>
      </c>
      <c r="GG232" s="179">
        <f t="shared" si="42"/>
        <v>7.1999999999999995E-2</v>
      </c>
    </row>
    <row r="233" spans="1:189" x14ac:dyDescent="0.3">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20"/>
      <c r="GC233" s="180">
        <f t="shared" si="43"/>
        <v>0</v>
      </c>
      <c r="GD233" s="180">
        <f t="shared" si="44"/>
        <v>0</v>
      </c>
      <c r="GE233" s="180">
        <f t="shared" si="45"/>
        <v>0</v>
      </c>
      <c r="GF233" s="180">
        <f t="shared" si="46"/>
        <v>0</v>
      </c>
      <c r="GG233" s="179">
        <f t="shared" si="42"/>
        <v>0</v>
      </c>
    </row>
    <row r="234" spans="1:189" x14ac:dyDescent="0.3">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9"/>
      <c r="GC234" s="179">
        <f t="shared" si="43"/>
        <v>0</v>
      </c>
      <c r="GD234" s="179">
        <f t="shared" si="44"/>
        <v>0</v>
      </c>
      <c r="GE234" s="179">
        <f t="shared" si="45"/>
        <v>0</v>
      </c>
      <c r="GF234" s="179">
        <f t="shared" si="46"/>
        <v>0</v>
      </c>
      <c r="GG234" s="179">
        <f t="shared" si="42"/>
        <v>7.1999999999999995E-2</v>
      </c>
    </row>
    <row r="235" spans="1:189" x14ac:dyDescent="0.3">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20"/>
      <c r="GC235" s="180">
        <f t="shared" si="43"/>
        <v>0</v>
      </c>
      <c r="GD235" s="180">
        <f t="shared" si="44"/>
        <v>0</v>
      </c>
      <c r="GE235" s="180">
        <f t="shared" si="45"/>
        <v>0</v>
      </c>
      <c r="GF235" s="180">
        <f t="shared" si="46"/>
        <v>0</v>
      </c>
      <c r="GG235" s="180">
        <f t="shared" si="42"/>
        <v>0</v>
      </c>
    </row>
    <row r="236" spans="1:189" x14ac:dyDescent="0.3">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9"/>
      <c r="GC236" s="179">
        <f t="shared" si="43"/>
        <v>0</v>
      </c>
      <c r="GD236" s="179">
        <f t="shared" si="44"/>
        <v>0</v>
      </c>
      <c r="GE236" s="179">
        <f t="shared" si="45"/>
        <v>0</v>
      </c>
      <c r="GF236" s="179">
        <f t="shared" si="46"/>
        <v>0</v>
      </c>
      <c r="GG236" s="179">
        <f t="shared" si="42"/>
        <v>0</v>
      </c>
    </row>
    <row r="237" spans="1:189" x14ac:dyDescent="0.3">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20"/>
      <c r="GC237" s="180">
        <f t="shared" si="43"/>
        <v>0</v>
      </c>
      <c r="GD237" s="180">
        <f t="shared" si="44"/>
        <v>0</v>
      </c>
      <c r="GE237" s="180">
        <f t="shared" si="45"/>
        <v>0</v>
      </c>
      <c r="GF237" s="180">
        <f t="shared" si="46"/>
        <v>0</v>
      </c>
      <c r="GG237" s="180">
        <f t="shared" si="42"/>
        <v>0</v>
      </c>
    </row>
    <row r="238" spans="1:189" x14ac:dyDescent="0.3">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9"/>
      <c r="GC238" s="179">
        <f t="shared" si="43"/>
        <v>0</v>
      </c>
      <c r="GD238" s="179">
        <f t="shared" si="44"/>
        <v>0</v>
      </c>
      <c r="GE238" s="179">
        <f t="shared" si="45"/>
        <v>0</v>
      </c>
      <c r="GF238" s="179">
        <f t="shared" si="46"/>
        <v>0</v>
      </c>
      <c r="GG238" s="179">
        <f t="shared" si="42"/>
        <v>0</v>
      </c>
    </row>
    <row r="239" spans="1:189" x14ac:dyDescent="0.3">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20"/>
      <c r="GC239" s="180">
        <f t="shared" si="43"/>
        <v>0</v>
      </c>
      <c r="GD239" s="180">
        <f t="shared" si="44"/>
        <v>0.23100000000000001</v>
      </c>
      <c r="GE239" s="180">
        <f t="shared" si="45"/>
        <v>0</v>
      </c>
      <c r="GF239" s="180">
        <f t="shared" si="46"/>
        <v>0</v>
      </c>
      <c r="GG239" s="180">
        <f t="shared" si="42"/>
        <v>0</v>
      </c>
    </row>
    <row r="240" spans="1:189" x14ac:dyDescent="0.3">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9"/>
      <c r="GC240" s="179">
        <f t="shared" si="43"/>
        <v>0</v>
      </c>
      <c r="GD240" s="179">
        <f t="shared" si="44"/>
        <v>0.15529999999999999</v>
      </c>
      <c r="GE240" s="179">
        <f t="shared" si="45"/>
        <v>0</v>
      </c>
      <c r="GF240" s="179">
        <f t="shared" si="46"/>
        <v>0</v>
      </c>
      <c r="GG240" s="179">
        <f t="shared" si="42"/>
        <v>0</v>
      </c>
    </row>
    <row r="241" spans="1:189" x14ac:dyDescent="0.3">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20"/>
      <c r="GC241" s="180">
        <f t="shared" si="43"/>
        <v>0.22159999999999999</v>
      </c>
      <c r="GD241" s="180">
        <f t="shared" si="44"/>
        <v>-2.7400000000000001E-2</v>
      </c>
      <c r="GE241" s="180">
        <f t="shared" si="45"/>
        <v>0</v>
      </c>
      <c r="GF241" s="180">
        <f t="shared" si="46"/>
        <v>0</v>
      </c>
      <c r="GG241" s="180">
        <f t="shared" si="42"/>
        <v>0</v>
      </c>
    </row>
    <row r="242" spans="1:189" x14ac:dyDescent="0.3">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9"/>
      <c r="GC242" s="179">
        <f t="shared" si="43"/>
        <v>0</v>
      </c>
      <c r="GD242" s="179">
        <f t="shared" si="44"/>
        <v>9.9099999999999994E-2</v>
      </c>
      <c r="GE242" s="179">
        <f t="shared" si="45"/>
        <v>0</v>
      </c>
      <c r="GF242" s="179">
        <f t="shared" si="46"/>
        <v>0</v>
      </c>
      <c r="GG242" s="179">
        <f t="shared" si="42"/>
        <v>0</v>
      </c>
    </row>
    <row r="243" spans="1:189" x14ac:dyDescent="0.3">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20"/>
      <c r="GC243" s="180">
        <f t="shared" si="43"/>
        <v>0.10340000000000001</v>
      </c>
      <c r="GD243" s="180">
        <f t="shared" si="44"/>
        <v>1.83E-2</v>
      </c>
      <c r="GE243" s="180">
        <f t="shared" si="45"/>
        <v>0</v>
      </c>
      <c r="GF243" s="180">
        <f t="shared" si="46"/>
        <v>0</v>
      </c>
      <c r="GG243" s="180">
        <f t="shared" si="42"/>
        <v>0</v>
      </c>
    </row>
    <row r="244" spans="1:189" x14ac:dyDescent="0.3">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9"/>
      <c r="GC244" s="179">
        <f t="shared" si="43"/>
        <v>0</v>
      </c>
      <c r="GD244" s="179">
        <f t="shared" si="44"/>
        <v>0.4849</v>
      </c>
      <c r="GE244" s="179">
        <f t="shared" si="45"/>
        <v>0</v>
      </c>
      <c r="GF244" s="179">
        <f t="shared" si="46"/>
        <v>0</v>
      </c>
      <c r="GG244" s="179">
        <f t="shared" si="42"/>
        <v>0</v>
      </c>
    </row>
    <row r="245" spans="1:189" x14ac:dyDescent="0.3">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20"/>
      <c r="GC245" s="180">
        <f t="shared" si="43"/>
        <v>0</v>
      </c>
      <c r="GD245" s="180">
        <f t="shared" si="44"/>
        <v>0.15509999999999999</v>
      </c>
      <c r="GE245" s="180">
        <f t="shared" si="45"/>
        <v>0</v>
      </c>
      <c r="GF245" s="180">
        <f t="shared" si="46"/>
        <v>0</v>
      </c>
      <c r="GG245" s="180">
        <f t="shared" si="42"/>
        <v>0</v>
      </c>
    </row>
    <row r="246" spans="1:189" x14ac:dyDescent="0.3">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9"/>
      <c r="GC247" s="179">
        <f t="shared" si="43"/>
        <v>0</v>
      </c>
      <c r="GD247" s="179">
        <f t="shared" si="44"/>
        <v>0</v>
      </c>
      <c r="GE247" s="179">
        <f t="shared" si="45"/>
        <v>0</v>
      </c>
      <c r="GF247" s="179">
        <f t="shared" si="46"/>
        <v>0</v>
      </c>
      <c r="GG247" s="179">
        <f t="shared" si="42"/>
        <v>0</v>
      </c>
    </row>
    <row r="248" spans="1:189" x14ac:dyDescent="0.3">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20"/>
      <c r="GC248" s="180">
        <f t="shared" si="43"/>
        <v>0</v>
      </c>
      <c r="GD248" s="180">
        <f t="shared" si="44"/>
        <v>0</v>
      </c>
      <c r="GE248" s="180">
        <f t="shared" si="45"/>
        <v>0</v>
      </c>
      <c r="GF248" s="180">
        <f t="shared" si="46"/>
        <v>0</v>
      </c>
      <c r="GG248" s="180">
        <f t="shared" si="42"/>
        <v>0</v>
      </c>
    </row>
    <row r="249" spans="1:189" x14ac:dyDescent="0.3">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9"/>
      <c r="GC250" s="179">
        <f t="shared" si="43"/>
        <v>0</v>
      </c>
      <c r="GD250" s="179">
        <f t="shared" si="44"/>
        <v>0</v>
      </c>
      <c r="GE250" s="179">
        <f t="shared" si="45"/>
        <v>0</v>
      </c>
      <c r="GF250" s="179">
        <f t="shared" si="46"/>
        <v>0</v>
      </c>
      <c r="GG250" s="179">
        <f t="shared" si="42"/>
        <v>0</v>
      </c>
    </row>
    <row r="251" spans="1:189" x14ac:dyDescent="0.3">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20"/>
      <c r="GC251" s="180">
        <f t="shared" si="43"/>
        <v>0</v>
      </c>
      <c r="GD251" s="180">
        <f t="shared" si="44"/>
        <v>0</v>
      </c>
      <c r="GE251" s="180">
        <f t="shared" si="45"/>
        <v>0</v>
      </c>
      <c r="GF251" s="180">
        <f t="shared" si="46"/>
        <v>0</v>
      </c>
      <c r="GG251" s="180">
        <f t="shared" si="42"/>
        <v>0</v>
      </c>
    </row>
    <row r="252" spans="1:189" x14ac:dyDescent="0.3">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9">
        <f>GC252</f>
        <v>0.1938</v>
      </c>
      <c r="GC252" s="179">
        <f t="shared" si="43"/>
        <v>0.1938</v>
      </c>
      <c r="GD252" s="179">
        <f t="shared" si="44"/>
        <v>-0.1938</v>
      </c>
      <c r="GE252" s="179">
        <f t="shared" si="45"/>
        <v>0</v>
      </c>
      <c r="GF252" s="179">
        <f t="shared" si="46"/>
        <v>0</v>
      </c>
      <c r="GG252" s="179">
        <f t="shared" si="42"/>
        <v>0</v>
      </c>
    </row>
    <row r="253" spans="1:189" x14ac:dyDescent="0.3">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20"/>
      <c r="GC253" s="180">
        <f t="shared" si="43"/>
        <v>0</v>
      </c>
      <c r="GD253" s="180">
        <f t="shared" si="44"/>
        <v>0</v>
      </c>
      <c r="GE253" s="180">
        <f t="shared" si="45"/>
        <v>0</v>
      </c>
      <c r="GF253" s="180">
        <f t="shared" si="46"/>
        <v>0</v>
      </c>
      <c r="GG253" s="180">
        <f t="shared" si="42"/>
        <v>0</v>
      </c>
    </row>
    <row r="254" spans="1:189" x14ac:dyDescent="0.3">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9"/>
      <c r="GC254" s="179">
        <f t="shared" si="43"/>
        <v>0</v>
      </c>
      <c r="GD254" s="179">
        <f t="shared" si="44"/>
        <v>0</v>
      </c>
      <c r="GE254" s="179">
        <f t="shared" si="45"/>
        <v>0</v>
      </c>
      <c r="GF254" s="179">
        <f t="shared" si="46"/>
        <v>0</v>
      </c>
      <c r="GG254" s="179">
        <f t="shared" si="42"/>
        <v>0</v>
      </c>
    </row>
    <row r="255" spans="1:189" x14ac:dyDescent="0.3">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20"/>
      <c r="GC255" s="180">
        <f t="shared" si="43"/>
        <v>0</v>
      </c>
      <c r="GD255" s="180">
        <f t="shared" si="44"/>
        <v>0</v>
      </c>
      <c r="GE255" s="180">
        <f t="shared" si="45"/>
        <v>0</v>
      </c>
      <c r="GF255" s="180">
        <f t="shared" si="46"/>
        <v>0</v>
      </c>
      <c r="GG255" s="180">
        <f t="shared" si="42"/>
        <v>0</v>
      </c>
    </row>
    <row r="256" spans="1:189" x14ac:dyDescent="0.3">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9"/>
      <c r="GC256" s="179">
        <f t="shared" si="43"/>
        <v>0</v>
      </c>
      <c r="GD256" s="179">
        <f t="shared" si="44"/>
        <v>0</v>
      </c>
      <c r="GE256" s="179">
        <f t="shared" si="45"/>
        <v>0</v>
      </c>
      <c r="GF256" s="179">
        <f t="shared" si="46"/>
        <v>0</v>
      </c>
      <c r="GG256" s="179">
        <f t="shared" si="42"/>
        <v>0</v>
      </c>
    </row>
    <row r="257" spans="1:189" x14ac:dyDescent="0.3">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20"/>
      <c r="GC257" s="180">
        <f t="shared" si="43"/>
        <v>0</v>
      </c>
      <c r="GD257" s="180">
        <f t="shared" si="44"/>
        <v>0</v>
      </c>
      <c r="GE257" s="180">
        <f t="shared" si="45"/>
        <v>0</v>
      </c>
      <c r="GF257" s="180">
        <f t="shared" si="46"/>
        <v>0</v>
      </c>
      <c r="GG257" s="180">
        <f t="shared" si="42"/>
        <v>0</v>
      </c>
    </row>
    <row r="258" spans="1:189" x14ac:dyDescent="0.3">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9"/>
      <c r="GC258" s="179">
        <f t="shared" ref="GC258:GC289" si="47">ROUND(IF($C258="Primary",0,-$G258*(SUMPRODUCT($Q$4:$GA$4,$Q258:$GA258)+$J258)-$H258)*IF($N258=GC$4,1,0),4)</f>
        <v>0</v>
      </c>
      <c r="GD258" s="179">
        <f t="shared" ref="GD258:GD289" si="48">ROUND(IF($C258="Primary",0,$M258*(1-$O258)*($G258*(SUMPRODUCT($Q$4:$GA$4,$Q258:$GA258)+$J258)+$H258-SUMPRODUCT($Q$5:$GA$5,$Q258:$GA258)-$I258+$K258))*IF($N258=GD$4,1,0),4)</f>
        <v>0</v>
      </c>
      <c r="GE258" s="179">
        <f t="shared" ref="GE258:GE289" si="49">ROUND(IF($C258="Primary",0,(1-$M258)*(1-$O258)*($G258*(SUMPRODUCT($Q$4:$GA$4,$Q258:$GA258)+$J258)+$H258-SUMPRODUCT($Q$5:$GA$5,$Q258:$GA258)-$I258+$L258))*IF($N258=GD$4,1,0),4)</f>
        <v>0</v>
      </c>
      <c r="GF258" s="179">
        <f t="shared" ref="GF258:GF289" si="50">ROUND(IF($C258="Primary",0,$O258*($G258*(SUMPRODUCT($Q$4:$GA$4,$Q258:$GA258)+$J258)-SUMPRODUCT($Q$5:$GA$5,$Q258:$GA258)-$I258))*IF($N258=GD$4,1,0),4)</f>
        <v>0</v>
      </c>
      <c r="GG258" s="179">
        <f t="shared" si="42"/>
        <v>0</v>
      </c>
    </row>
    <row r="259" spans="1:189" x14ac:dyDescent="0.3">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20"/>
      <c r="GC259" s="180">
        <f t="shared" si="47"/>
        <v>0</v>
      </c>
      <c r="GD259" s="180">
        <f t="shared" si="48"/>
        <v>0</v>
      </c>
      <c r="GE259" s="180">
        <f t="shared" si="49"/>
        <v>0</v>
      </c>
      <c r="GF259" s="180">
        <f t="shared" si="50"/>
        <v>0</v>
      </c>
      <c r="GG259" s="180">
        <f t="shared" si="42"/>
        <v>0</v>
      </c>
    </row>
    <row r="260" spans="1:189" x14ac:dyDescent="0.3">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9"/>
      <c r="GC260" s="179">
        <f t="shared" si="47"/>
        <v>0</v>
      </c>
      <c r="GD260" s="179">
        <f t="shared" si="48"/>
        <v>0</v>
      </c>
      <c r="GE260" s="179">
        <f t="shared" si="49"/>
        <v>0</v>
      </c>
      <c r="GF260" s="179">
        <f t="shared" si="50"/>
        <v>0</v>
      </c>
      <c r="GG260" s="179">
        <f t="shared" si="42"/>
        <v>0</v>
      </c>
    </row>
    <row r="261" spans="1:189" x14ac:dyDescent="0.3">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20"/>
      <c r="GC261" s="180">
        <f t="shared" si="47"/>
        <v>0</v>
      </c>
      <c r="GD261" s="180">
        <f t="shared" si="48"/>
        <v>0</v>
      </c>
      <c r="GE261" s="180">
        <f t="shared" si="49"/>
        <v>0</v>
      </c>
      <c r="GF261" s="180">
        <f t="shared" si="50"/>
        <v>0</v>
      </c>
      <c r="GG261" s="180">
        <f t="shared" si="42"/>
        <v>0</v>
      </c>
    </row>
    <row r="262" spans="1:189" x14ac:dyDescent="0.3">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9"/>
      <c r="GC262" s="179">
        <f t="shared" si="47"/>
        <v>0</v>
      </c>
      <c r="GD262" s="179">
        <f t="shared" si="48"/>
        <v>0</v>
      </c>
      <c r="GE262" s="179">
        <f t="shared" si="49"/>
        <v>0</v>
      </c>
      <c r="GF262" s="179">
        <f t="shared" si="50"/>
        <v>0</v>
      </c>
      <c r="GG262" s="179">
        <f t="shared" si="42"/>
        <v>0</v>
      </c>
    </row>
    <row r="263" spans="1:189" x14ac:dyDescent="0.3">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7">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20"/>
      <c r="GC263" s="180">
        <f t="shared" si="47"/>
        <v>0</v>
      </c>
      <c r="GD263" s="180">
        <f t="shared" si="48"/>
        <v>0</v>
      </c>
      <c r="GE263" s="180">
        <f t="shared" si="49"/>
        <v>0</v>
      </c>
      <c r="GF263" s="180">
        <f t="shared" si="50"/>
        <v>0</v>
      </c>
      <c r="GG263" s="180">
        <f t="shared" si="42"/>
        <v>0</v>
      </c>
    </row>
    <row r="264" spans="1:189" x14ac:dyDescent="0.3">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7">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9"/>
      <c r="GC264" s="179">
        <f t="shared" si="47"/>
        <v>0</v>
      </c>
      <c r="GD264" s="179">
        <f t="shared" si="48"/>
        <v>0</v>
      </c>
      <c r="GE264" s="179">
        <f t="shared" si="49"/>
        <v>0</v>
      </c>
      <c r="GF264" s="179">
        <f t="shared" si="50"/>
        <v>0</v>
      </c>
      <c r="GG264" s="179">
        <f t="shared" si="42"/>
        <v>0</v>
      </c>
    </row>
    <row r="265" spans="1:189" x14ac:dyDescent="0.3">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7">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20"/>
      <c r="GC266" s="180">
        <f t="shared" si="47"/>
        <v>0</v>
      </c>
      <c r="GD266" s="180">
        <f t="shared" si="48"/>
        <v>0</v>
      </c>
      <c r="GE266" s="180">
        <f t="shared" si="49"/>
        <v>0</v>
      </c>
      <c r="GF266" s="180">
        <f t="shared" si="50"/>
        <v>0</v>
      </c>
      <c r="GG266" s="180">
        <f t="shared" si="42"/>
        <v>0</v>
      </c>
    </row>
    <row r="267" spans="1:189" x14ac:dyDescent="0.3">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9"/>
      <c r="GC267" s="179">
        <f t="shared" si="47"/>
        <v>0</v>
      </c>
      <c r="GD267" s="179">
        <f t="shared" si="48"/>
        <v>0</v>
      </c>
      <c r="GE267" s="179">
        <f t="shared" si="49"/>
        <v>0</v>
      </c>
      <c r="GF267" s="179">
        <f t="shared" si="50"/>
        <v>0</v>
      </c>
      <c r="GG267" s="179">
        <f t="shared" si="42"/>
        <v>0</v>
      </c>
    </row>
    <row r="268" spans="1:189" x14ac:dyDescent="0.3">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20"/>
      <c r="GC268" s="180">
        <f t="shared" si="47"/>
        <v>0</v>
      </c>
      <c r="GD268" s="180">
        <f t="shared" si="48"/>
        <v>0</v>
      </c>
      <c r="GE268" s="180">
        <f t="shared" si="49"/>
        <v>0</v>
      </c>
      <c r="GF268" s="180">
        <f t="shared" si="50"/>
        <v>0</v>
      </c>
      <c r="GG268" s="180">
        <f t="shared" si="42"/>
        <v>0</v>
      </c>
    </row>
    <row r="269" spans="1:189" x14ac:dyDescent="0.3">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9"/>
      <c r="GC269" s="179">
        <f t="shared" si="47"/>
        <v>0</v>
      </c>
      <c r="GD269" s="179">
        <f t="shared" si="48"/>
        <v>0</v>
      </c>
      <c r="GE269" s="179">
        <f t="shared" si="49"/>
        <v>0</v>
      </c>
      <c r="GF269" s="179">
        <f t="shared" si="50"/>
        <v>0</v>
      </c>
      <c r="GG269" s="179">
        <f t="shared" si="42"/>
        <v>0</v>
      </c>
    </row>
    <row r="270" spans="1:189" x14ac:dyDescent="0.3">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20"/>
      <c r="GC270" s="180">
        <f t="shared" si="47"/>
        <v>0</v>
      </c>
      <c r="GD270" s="180">
        <f t="shared" si="48"/>
        <v>0</v>
      </c>
      <c r="GE270" s="180">
        <f t="shared" si="49"/>
        <v>5.9400000000000001E-2</v>
      </c>
      <c r="GF270" s="180">
        <f t="shared" si="50"/>
        <v>0</v>
      </c>
      <c r="GG270" s="180">
        <f t="shared" si="42"/>
        <v>0</v>
      </c>
    </row>
    <row r="271" spans="1:189" x14ac:dyDescent="0.3">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9"/>
      <c r="GC271" s="179">
        <f t="shared" si="47"/>
        <v>0</v>
      </c>
      <c r="GD271" s="179">
        <f t="shared" si="48"/>
        <v>0</v>
      </c>
      <c r="GE271" s="179">
        <f t="shared" si="49"/>
        <v>4.53E-2</v>
      </c>
      <c r="GF271" s="179">
        <f t="shared" si="50"/>
        <v>0</v>
      </c>
      <c r="GG271" s="179">
        <f t="shared" si="42"/>
        <v>0</v>
      </c>
    </row>
    <row r="272" spans="1:189" x14ac:dyDescent="0.3">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20"/>
      <c r="GC272" s="180">
        <f t="shared" si="47"/>
        <v>0</v>
      </c>
      <c r="GD272" s="180">
        <f t="shared" si="48"/>
        <v>0</v>
      </c>
      <c r="GE272" s="180">
        <f t="shared" si="49"/>
        <v>0</v>
      </c>
      <c r="GF272" s="180">
        <f t="shared" si="50"/>
        <v>0</v>
      </c>
      <c r="GG272" s="180">
        <f t="shared" si="42"/>
        <v>0</v>
      </c>
    </row>
    <row r="273" spans="1:189" x14ac:dyDescent="0.3">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9"/>
      <c r="GC273" s="179">
        <f t="shared" si="47"/>
        <v>0</v>
      </c>
      <c r="GD273" s="179">
        <f t="shared" si="48"/>
        <v>0</v>
      </c>
      <c r="GE273" s="179">
        <f t="shared" si="49"/>
        <v>1.1900000000000001E-2</v>
      </c>
      <c r="GF273" s="179">
        <f t="shared" si="50"/>
        <v>0</v>
      </c>
      <c r="GG273" s="179">
        <f t="shared" si="42"/>
        <v>0</v>
      </c>
    </row>
    <row r="274" spans="1:189" x14ac:dyDescent="0.3">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20"/>
      <c r="GC274" s="180">
        <f t="shared" si="47"/>
        <v>0</v>
      </c>
      <c r="GD274" s="180">
        <f t="shared" si="48"/>
        <v>0</v>
      </c>
      <c r="GE274" s="180">
        <f t="shared" si="49"/>
        <v>0</v>
      </c>
      <c r="GF274" s="180">
        <f t="shared" si="50"/>
        <v>0</v>
      </c>
      <c r="GG274" s="180">
        <f t="shared" si="42"/>
        <v>0</v>
      </c>
    </row>
    <row r="275" spans="1:189" x14ac:dyDescent="0.3">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9"/>
      <c r="GC275" s="179">
        <f t="shared" si="47"/>
        <v>0</v>
      </c>
      <c r="GD275" s="179">
        <f t="shared" si="48"/>
        <v>0</v>
      </c>
      <c r="GE275" s="179">
        <f t="shared" si="49"/>
        <v>0</v>
      </c>
      <c r="GF275" s="179">
        <f t="shared" si="50"/>
        <v>0</v>
      </c>
      <c r="GG275" s="179">
        <f t="shared" si="42"/>
        <v>0</v>
      </c>
    </row>
    <row r="276" spans="1:189" x14ac:dyDescent="0.3">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20"/>
      <c r="GC276" s="180">
        <f t="shared" si="47"/>
        <v>0</v>
      </c>
      <c r="GD276" s="180">
        <f t="shared" si="48"/>
        <v>0</v>
      </c>
      <c r="GE276" s="180">
        <f t="shared" si="49"/>
        <v>0</v>
      </c>
      <c r="GF276" s="180">
        <f t="shared" si="50"/>
        <v>0</v>
      </c>
      <c r="GG276" s="180">
        <f t="shared" si="42"/>
        <v>0</v>
      </c>
    </row>
    <row r="277" spans="1:189" x14ac:dyDescent="0.3">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9"/>
      <c r="GC277" s="179">
        <f t="shared" si="47"/>
        <v>0</v>
      </c>
      <c r="GD277" s="179">
        <f t="shared" si="48"/>
        <v>0</v>
      </c>
      <c r="GE277" s="179">
        <f t="shared" si="49"/>
        <v>5.6599999999999998E-2</v>
      </c>
      <c r="GF277" s="179">
        <f t="shared" si="50"/>
        <v>0</v>
      </c>
      <c r="GG277" s="179">
        <f t="shared" si="42"/>
        <v>0</v>
      </c>
    </row>
    <row r="278" spans="1:189" x14ac:dyDescent="0.3">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20"/>
      <c r="GC278" s="180">
        <f t="shared" si="47"/>
        <v>0</v>
      </c>
      <c r="GD278" s="180">
        <f t="shared" si="48"/>
        <v>0</v>
      </c>
      <c r="GE278" s="180">
        <f t="shared" si="49"/>
        <v>0</v>
      </c>
      <c r="GF278" s="180">
        <f t="shared" si="50"/>
        <v>0</v>
      </c>
      <c r="GG278" s="180">
        <f t="shared" si="42"/>
        <v>0</v>
      </c>
    </row>
    <row r="279" spans="1:189" x14ac:dyDescent="0.3">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9"/>
      <c r="GC279" s="179">
        <f t="shared" si="47"/>
        <v>0</v>
      </c>
      <c r="GD279" s="179">
        <f t="shared" si="48"/>
        <v>0</v>
      </c>
      <c r="GE279" s="179">
        <f t="shared" si="49"/>
        <v>0</v>
      </c>
      <c r="GF279" s="179">
        <f t="shared" si="50"/>
        <v>0</v>
      </c>
      <c r="GG279" s="179">
        <f t="shared" si="42"/>
        <v>0</v>
      </c>
    </row>
    <row r="280" spans="1:189" x14ac:dyDescent="0.3">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20"/>
      <c r="GC280" s="180">
        <f t="shared" si="47"/>
        <v>0</v>
      </c>
      <c r="GD280" s="180">
        <f t="shared" si="48"/>
        <v>0</v>
      </c>
      <c r="GE280" s="180">
        <f t="shared" si="49"/>
        <v>0</v>
      </c>
      <c r="GF280" s="180">
        <f t="shared" si="50"/>
        <v>0</v>
      </c>
      <c r="GG280" s="180">
        <f t="shared" si="42"/>
        <v>0</v>
      </c>
    </row>
    <row r="281" spans="1:189" x14ac:dyDescent="0.3">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9"/>
      <c r="GC281" s="179">
        <f t="shared" si="47"/>
        <v>0</v>
      </c>
      <c r="GD281" s="179">
        <f t="shared" si="48"/>
        <v>0</v>
      </c>
      <c r="GE281" s="179">
        <f t="shared" si="49"/>
        <v>6.2899999999999998E-2</v>
      </c>
      <c r="GF281" s="179">
        <f t="shared" si="50"/>
        <v>0</v>
      </c>
      <c r="GG281" s="179">
        <f t="shared" si="42"/>
        <v>0</v>
      </c>
    </row>
    <row r="282" spans="1:189" x14ac:dyDescent="0.3">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20"/>
      <c r="GC282" s="180">
        <f t="shared" si="47"/>
        <v>0</v>
      </c>
      <c r="GD282" s="180">
        <f t="shared" si="48"/>
        <v>0</v>
      </c>
      <c r="GE282" s="180">
        <f t="shared" si="49"/>
        <v>5.6599999999999998E-2</v>
      </c>
      <c r="GF282" s="180">
        <f t="shared" si="50"/>
        <v>0</v>
      </c>
      <c r="GG282" s="180">
        <f t="shared" si="42"/>
        <v>0</v>
      </c>
    </row>
    <row r="283" spans="1:189" x14ac:dyDescent="0.3">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9"/>
      <c r="GC283" s="179">
        <f t="shared" si="47"/>
        <v>0</v>
      </c>
      <c r="GD283" s="179">
        <f t="shared" si="48"/>
        <v>0</v>
      </c>
      <c r="GE283" s="179">
        <f t="shared" si="49"/>
        <v>0</v>
      </c>
      <c r="GF283" s="179">
        <f t="shared" si="50"/>
        <v>0</v>
      </c>
      <c r="GG283" s="179">
        <f t="shared" si="42"/>
        <v>0</v>
      </c>
    </row>
    <row r="284" spans="1:189" x14ac:dyDescent="0.3">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20"/>
      <c r="GC284" s="180">
        <f t="shared" si="47"/>
        <v>0</v>
      </c>
      <c r="GD284" s="180">
        <f t="shared" si="48"/>
        <v>0</v>
      </c>
      <c r="GE284" s="180">
        <f t="shared" si="49"/>
        <v>1.7899999999999999E-2</v>
      </c>
      <c r="GF284" s="180">
        <f t="shared" si="50"/>
        <v>0</v>
      </c>
      <c r="GG284" s="180">
        <f t="shared" si="42"/>
        <v>0</v>
      </c>
    </row>
    <row r="285" spans="1:189" x14ac:dyDescent="0.3">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9"/>
      <c r="GC285" s="179">
        <f t="shared" si="47"/>
        <v>0</v>
      </c>
      <c r="GD285" s="179">
        <f t="shared" si="48"/>
        <v>0</v>
      </c>
      <c r="GE285" s="179">
        <f t="shared" si="49"/>
        <v>0</v>
      </c>
      <c r="GF285" s="179">
        <f t="shared" si="50"/>
        <v>0</v>
      </c>
      <c r="GG285" s="179">
        <f t="shared" ref="GG285:GG349" si="51">$I285</f>
        <v>0</v>
      </c>
    </row>
    <row r="286" spans="1:189" x14ac:dyDescent="0.3">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20"/>
      <c r="GC286" s="180">
        <f t="shared" si="47"/>
        <v>0</v>
      </c>
      <c r="GD286" s="180">
        <f t="shared" si="48"/>
        <v>0</v>
      </c>
      <c r="GE286" s="180">
        <f t="shared" si="49"/>
        <v>0</v>
      </c>
      <c r="GF286" s="180">
        <f t="shared" si="50"/>
        <v>0</v>
      </c>
      <c r="GG286" s="180">
        <f t="shared" si="51"/>
        <v>0</v>
      </c>
    </row>
    <row r="287" spans="1:189" x14ac:dyDescent="0.3">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9"/>
      <c r="GC287" s="179">
        <f t="shared" si="47"/>
        <v>0</v>
      </c>
      <c r="GD287" s="179">
        <f t="shared" si="48"/>
        <v>0</v>
      </c>
      <c r="GE287" s="179">
        <f t="shared" si="49"/>
        <v>0</v>
      </c>
      <c r="GF287" s="179">
        <f t="shared" si="50"/>
        <v>0</v>
      </c>
      <c r="GG287" s="179">
        <f t="shared" si="51"/>
        <v>0</v>
      </c>
    </row>
    <row r="288" spans="1:189" x14ac:dyDescent="0.3">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20"/>
      <c r="GC288" s="180">
        <f t="shared" si="47"/>
        <v>0</v>
      </c>
      <c r="GD288" s="180">
        <f t="shared" si="48"/>
        <v>0</v>
      </c>
      <c r="GE288" s="180">
        <f t="shared" si="49"/>
        <v>0.1104</v>
      </c>
      <c r="GF288" s="180">
        <f t="shared" si="50"/>
        <v>0</v>
      </c>
      <c r="GG288" s="180">
        <f t="shared" si="51"/>
        <v>0</v>
      </c>
    </row>
    <row r="289" spans="1:189" x14ac:dyDescent="0.3">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9"/>
      <c r="GC289" s="179">
        <f t="shared" si="47"/>
        <v>0</v>
      </c>
      <c r="GD289" s="179">
        <f t="shared" si="48"/>
        <v>0</v>
      </c>
      <c r="GE289" s="179">
        <f t="shared" si="49"/>
        <v>0</v>
      </c>
      <c r="GF289" s="179">
        <f t="shared" si="50"/>
        <v>0</v>
      </c>
      <c r="GG289" s="179">
        <f t="shared" si="51"/>
        <v>0</v>
      </c>
    </row>
    <row r="290" spans="1:189" x14ac:dyDescent="0.3">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20"/>
      <c r="GC290" s="180">
        <f t="shared" ref="GC290:GC297" si="52">ROUND(IF($C290="Primary",0,-$G290*(SUMPRODUCT($Q$4:$GA$4,$Q290:$GA290)+$J290)-$H290)*IF($N290=GC$4,1,0),4)</f>
        <v>0</v>
      </c>
      <c r="GD290" s="180">
        <f t="shared" ref="GD290:GD297" si="53">ROUND(IF($C290="Primary",0,$M290*(1-$O290)*($G290*(SUMPRODUCT($Q$4:$GA$4,$Q290:$GA290)+$J290)+$H290-SUMPRODUCT($Q$5:$GA$5,$Q290:$GA290)-$I290+$K290))*IF($N290=GD$4,1,0),4)</f>
        <v>0</v>
      </c>
      <c r="GE290" s="180">
        <f t="shared" ref="GE290:GE297" si="54">ROUND(IF($C290="Primary",0,(1-$M290)*(1-$O290)*($G290*(SUMPRODUCT($Q$4:$GA$4,$Q290:$GA290)+$J290)+$H290-SUMPRODUCT($Q$5:$GA$5,$Q290:$GA290)-$I290+$L290))*IF($N290=GD$4,1,0),4)</f>
        <v>0</v>
      </c>
      <c r="GF290" s="180">
        <f t="shared" ref="GF290:GF297" si="55">ROUND(IF($C290="Primary",0,$O290*($G290*(SUMPRODUCT($Q$4:$GA$4,$Q290:$GA290)+$J290)-SUMPRODUCT($Q$5:$GA$5,$Q290:$GA290)-$I290))*IF($N290=GD$4,1,0),4)</f>
        <v>0</v>
      </c>
      <c r="GG290" s="180">
        <f t="shared" si="51"/>
        <v>0</v>
      </c>
    </row>
    <row r="291" spans="1:189" x14ac:dyDescent="0.3">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9"/>
      <c r="GC291" s="179">
        <f t="shared" si="52"/>
        <v>0</v>
      </c>
      <c r="GD291" s="179">
        <f t="shared" si="53"/>
        <v>5.7700000000000001E-2</v>
      </c>
      <c r="GE291" s="179">
        <f t="shared" si="54"/>
        <v>0</v>
      </c>
      <c r="GF291" s="179">
        <f t="shared" si="55"/>
        <v>0</v>
      </c>
      <c r="GG291" s="179">
        <f t="shared" si="51"/>
        <v>0</v>
      </c>
    </row>
    <row r="292" spans="1:189" x14ac:dyDescent="0.3">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20"/>
      <c r="GC292" s="180">
        <f t="shared" si="52"/>
        <v>5.2999999999999999E-2</v>
      </c>
      <c r="GD292" s="180">
        <f t="shared" si="53"/>
        <v>1.32E-2</v>
      </c>
      <c r="GE292" s="180">
        <f t="shared" si="54"/>
        <v>0</v>
      </c>
      <c r="GF292" s="180">
        <f t="shared" si="55"/>
        <v>0</v>
      </c>
      <c r="GG292" s="180">
        <f t="shared" si="51"/>
        <v>0</v>
      </c>
    </row>
    <row r="293" spans="1:189" x14ac:dyDescent="0.3">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9"/>
      <c r="GC293" s="179">
        <f t="shared" si="52"/>
        <v>0</v>
      </c>
      <c r="GD293" s="179">
        <f t="shared" si="53"/>
        <v>0</v>
      </c>
      <c r="GE293" s="179">
        <f t="shared" si="54"/>
        <v>0</v>
      </c>
      <c r="GF293" s="179">
        <f t="shared" si="55"/>
        <v>0</v>
      </c>
      <c r="GG293" s="179">
        <f t="shared" si="51"/>
        <v>0</v>
      </c>
    </row>
    <row r="294" spans="1:189" x14ac:dyDescent="0.3">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20">
        <f>GC294</f>
        <v>0.12570000000000001</v>
      </c>
      <c r="GC294" s="180">
        <f t="shared" si="52"/>
        <v>0.12570000000000001</v>
      </c>
      <c r="GD294" s="180">
        <f t="shared" si="53"/>
        <v>-0.12570000000000001</v>
      </c>
      <c r="GE294" s="180">
        <f t="shared" si="54"/>
        <v>0</v>
      </c>
      <c r="GF294" s="180">
        <f t="shared" si="55"/>
        <v>0</v>
      </c>
      <c r="GG294" s="180">
        <f t="shared" si="51"/>
        <v>0</v>
      </c>
    </row>
    <row r="295" spans="1:189" x14ac:dyDescent="0.3">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9"/>
      <c r="GC295" s="179">
        <f t="shared" si="52"/>
        <v>0</v>
      </c>
      <c r="GD295" s="179">
        <f t="shared" si="53"/>
        <v>1.4200000000000001E-2</v>
      </c>
      <c r="GE295" s="179">
        <f t="shared" si="54"/>
        <v>0</v>
      </c>
      <c r="GF295" s="179">
        <f t="shared" si="55"/>
        <v>0</v>
      </c>
      <c r="GG295" s="179">
        <f t="shared" si="51"/>
        <v>0</v>
      </c>
    </row>
    <row r="296" spans="1:189" x14ac:dyDescent="0.3">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20"/>
      <c r="GC296" s="180">
        <f t="shared" si="52"/>
        <v>0</v>
      </c>
      <c r="GD296" s="180">
        <f t="shared" si="53"/>
        <v>0</v>
      </c>
      <c r="GE296" s="180">
        <f t="shared" si="54"/>
        <v>0</v>
      </c>
      <c r="GF296" s="180">
        <f t="shared" si="55"/>
        <v>0</v>
      </c>
      <c r="GG296" s="180">
        <f t="shared" si="51"/>
        <v>0</v>
      </c>
    </row>
    <row r="297" spans="1:189" x14ac:dyDescent="0.3">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f t="shared" si="52"/>
        <v>0</v>
      </c>
      <c r="GD297" s="179">
        <f t="shared" si="53"/>
        <v>0</v>
      </c>
      <c r="GE297" s="179">
        <f t="shared" si="54"/>
        <v>0</v>
      </c>
      <c r="GF297" s="179">
        <f t="shared" si="55"/>
        <v>0</v>
      </c>
      <c r="GG297" s="179">
        <f t="shared" si="51"/>
        <v>0</v>
      </c>
    </row>
    <row r="298" spans="1:189" x14ac:dyDescent="0.3">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9"/>
      <c r="GC298" s="179"/>
      <c r="GD298" s="179"/>
      <c r="GE298" s="179"/>
      <c r="GF298" s="179"/>
      <c r="GG298" s="179"/>
    </row>
    <row r="299" spans="1:189" x14ac:dyDescent="0.3">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20"/>
      <c r="GC299" s="180">
        <f t="shared" ref="GC299:GC304" si="56">ROUND(IF($C299="Primary",0,-$G299*(SUMPRODUCT($Q$4:$GA$4,$Q299:$GA299)+$J299)-$H299)*IF($N299=GC$4,1,0),4)</f>
        <v>0</v>
      </c>
      <c r="GD299" s="180">
        <f t="shared" ref="GD299:GD304" si="57">ROUND(IF($C299="Primary",0,$M299*(1-$O299)*($G299*(SUMPRODUCT($Q$4:$GA$4,$Q299:$GA299)+$J299)+$H299-SUMPRODUCT($Q$5:$GA$5,$Q299:$GA299)-$I299+$K299))*IF($N299=GD$4,1,0),4)</f>
        <v>0</v>
      </c>
      <c r="GE299" s="180">
        <f t="shared" ref="GE299:GE304" si="58">ROUND(IF($C299="Primary",0,(1-$M299)*(1-$O299)*($G299*(SUMPRODUCT($Q$4:$GA$4,$Q299:$GA299)+$J299)+$H299-SUMPRODUCT($Q$5:$GA$5,$Q299:$GA299)-$I299+$L299))*IF($N299=GD$4,1,0),4)</f>
        <v>0.1075</v>
      </c>
      <c r="GF299" s="180">
        <f t="shared" ref="GF299:GF304" si="59">ROUND(IF($C299="Primary",0,$O299*($G299*(SUMPRODUCT($Q$4:$GA$4,$Q299:$GA299)+$J299)-SUMPRODUCT($Q$5:$GA$5,$Q299:$GA299)-$I299))*IF($N299=GD$4,1,0),4)</f>
        <v>0</v>
      </c>
      <c r="GG299" s="180">
        <f t="shared" si="51"/>
        <v>0</v>
      </c>
    </row>
    <row r="300" spans="1:189" x14ac:dyDescent="0.3">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9"/>
      <c r="GC300" s="179">
        <f t="shared" si="56"/>
        <v>0</v>
      </c>
      <c r="GD300" s="179">
        <f t="shared" si="57"/>
        <v>0</v>
      </c>
      <c r="GE300" s="179">
        <f t="shared" si="58"/>
        <v>5.9400000000000001E-2</v>
      </c>
      <c r="GF300" s="179">
        <f t="shared" si="59"/>
        <v>0</v>
      </c>
      <c r="GG300" s="179">
        <f t="shared" si="51"/>
        <v>0</v>
      </c>
    </row>
    <row r="301" spans="1:189" x14ac:dyDescent="0.3">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20"/>
      <c r="GC301" s="180">
        <f t="shared" si="56"/>
        <v>0</v>
      </c>
      <c r="GD301" s="180">
        <f t="shared" si="57"/>
        <v>0</v>
      </c>
      <c r="GE301" s="180">
        <f t="shared" si="58"/>
        <v>0</v>
      </c>
      <c r="GF301" s="180">
        <f t="shared" si="59"/>
        <v>0</v>
      </c>
      <c r="GG301" s="180">
        <f t="shared" si="51"/>
        <v>0</v>
      </c>
    </row>
    <row r="302" spans="1:189" x14ac:dyDescent="0.3">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9"/>
      <c r="GC302" s="179">
        <f t="shared" si="56"/>
        <v>0</v>
      </c>
      <c r="GD302" s="179">
        <f t="shared" si="57"/>
        <v>0</v>
      </c>
      <c r="GE302" s="179">
        <f t="shared" si="58"/>
        <v>0</v>
      </c>
      <c r="GF302" s="179">
        <f t="shared" si="59"/>
        <v>0</v>
      </c>
      <c r="GG302" s="179">
        <f t="shared" si="51"/>
        <v>0</v>
      </c>
    </row>
    <row r="303" spans="1:189" x14ac:dyDescent="0.3">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20"/>
      <c r="GC303" s="180">
        <f t="shared" si="56"/>
        <v>0</v>
      </c>
      <c r="GD303" s="180">
        <f t="shared" si="57"/>
        <v>0</v>
      </c>
      <c r="GE303" s="180">
        <f t="shared" si="58"/>
        <v>0</v>
      </c>
      <c r="GF303" s="180">
        <f t="shared" si="59"/>
        <v>0</v>
      </c>
      <c r="GG303" s="180">
        <f t="shared" si="51"/>
        <v>0</v>
      </c>
    </row>
    <row r="304" spans="1:189" x14ac:dyDescent="0.3">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f t="shared" si="56"/>
        <v>0</v>
      </c>
      <c r="GD304" s="179">
        <f t="shared" si="57"/>
        <v>0</v>
      </c>
      <c r="GE304" s="179">
        <f t="shared" si="58"/>
        <v>0</v>
      </c>
      <c r="GF304" s="179">
        <f t="shared" si="59"/>
        <v>0</v>
      </c>
      <c r="GG304" s="179">
        <f t="shared" si="51"/>
        <v>0</v>
      </c>
    </row>
    <row r="305" spans="1:189" x14ac:dyDescent="0.3">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9"/>
      <c r="GC305" s="179"/>
      <c r="GD305" s="179"/>
      <c r="GE305" s="179"/>
      <c r="GF305" s="179"/>
      <c r="GG305" s="179"/>
    </row>
    <row r="306" spans="1:189" x14ac:dyDescent="0.3">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20"/>
      <c r="GC306" s="180">
        <f t="shared" ref="GC306:GC337" si="60">ROUND(IF($C306="Primary",0,-$G306*(SUMPRODUCT($Q$4:$GA$4,$Q306:$GA306)+$J306)-$H306)*IF($N306=GC$4,1,0),4)</f>
        <v>0</v>
      </c>
      <c r="GD306" s="180">
        <f t="shared" ref="GD306:GD337" si="61">ROUND(IF($C306="Primary",0,$M306*(1-$O306)*($G306*(SUMPRODUCT($Q$4:$GA$4,$Q306:$GA306)+$J306)+$H306-SUMPRODUCT($Q$5:$GA$5,$Q306:$GA306)-$I306+$K306))*IF($N306=GD$4,1,0),4)</f>
        <v>6.1499999999999999E-2</v>
      </c>
      <c r="GE306" s="180">
        <f t="shared" ref="GE306:GE337" si="62">ROUND(IF($C306="Primary",0,(1-$M306)*(1-$O306)*($G306*(SUMPRODUCT($Q$4:$GA$4,$Q306:$GA306)+$J306)+$H306-SUMPRODUCT($Q$5:$GA$5,$Q306:$GA306)-$I306+$L306))*IF($N306=GD$4,1,0),4)</f>
        <v>0</v>
      </c>
      <c r="GF306" s="180">
        <f t="shared" ref="GF306:GF337" si="63">ROUND(IF($C306="Primary",0,$O306*($G306*(SUMPRODUCT($Q$4:$GA$4,$Q306:$GA306)+$J306)-SUMPRODUCT($Q$5:$GA$5,$Q306:$GA306)-$I306))*IF($N306=GD$4,1,0),4)</f>
        <v>0</v>
      </c>
      <c r="GG306" s="180">
        <f t="shared" si="51"/>
        <v>0</v>
      </c>
    </row>
    <row r="307" spans="1:189" x14ac:dyDescent="0.3">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9"/>
      <c r="GC307" s="179">
        <f t="shared" si="60"/>
        <v>5.2900000000000003E-2</v>
      </c>
      <c r="GD307" s="179">
        <f t="shared" si="61"/>
        <v>1.32E-2</v>
      </c>
      <c r="GE307" s="179">
        <f t="shared" si="62"/>
        <v>0</v>
      </c>
      <c r="GF307" s="179">
        <f t="shared" si="63"/>
        <v>0</v>
      </c>
      <c r="GG307" s="179">
        <f t="shared" si="51"/>
        <v>0</v>
      </c>
    </row>
    <row r="308" spans="1:189" x14ac:dyDescent="0.3">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20"/>
      <c r="GC308" s="180">
        <f t="shared" si="60"/>
        <v>0</v>
      </c>
      <c r="GD308" s="180">
        <f t="shared" si="61"/>
        <v>3.0700000000000002E-2</v>
      </c>
      <c r="GE308" s="180">
        <f t="shared" si="62"/>
        <v>0</v>
      </c>
      <c r="GF308" s="180">
        <f t="shared" si="63"/>
        <v>0</v>
      </c>
      <c r="GG308" s="180">
        <f t="shared" si="51"/>
        <v>0</v>
      </c>
    </row>
    <row r="309" spans="1:189" x14ac:dyDescent="0.3">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9"/>
      <c r="GC309" s="179">
        <f t="shared" si="60"/>
        <v>2.64E-2</v>
      </c>
      <c r="GD309" s="179">
        <f t="shared" si="61"/>
        <v>6.6E-3</v>
      </c>
      <c r="GE309" s="179">
        <f t="shared" si="62"/>
        <v>0</v>
      </c>
      <c r="GF309" s="179">
        <f t="shared" si="63"/>
        <v>0</v>
      </c>
      <c r="GG309" s="179">
        <f t="shared" si="51"/>
        <v>0</v>
      </c>
    </row>
    <row r="310" spans="1:189" x14ac:dyDescent="0.3">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20"/>
      <c r="GC310" s="180">
        <f t="shared" si="60"/>
        <v>0</v>
      </c>
      <c r="GD310" s="180">
        <f t="shared" si="61"/>
        <v>0.12139999999999999</v>
      </c>
      <c r="GE310" s="180">
        <f t="shared" si="62"/>
        <v>0</v>
      </c>
      <c r="GF310" s="180">
        <f t="shared" si="63"/>
        <v>0</v>
      </c>
      <c r="GG310" s="180">
        <f t="shared" si="51"/>
        <v>0</v>
      </c>
    </row>
    <row r="311" spans="1:189" x14ac:dyDescent="0.3">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9"/>
      <c r="GC311" s="179">
        <f t="shared" si="60"/>
        <v>0.10440000000000001</v>
      </c>
      <c r="GD311" s="179">
        <f t="shared" si="61"/>
        <v>2.6100000000000002E-2</v>
      </c>
      <c r="GE311" s="179">
        <f t="shared" si="62"/>
        <v>0</v>
      </c>
      <c r="GF311" s="179">
        <f t="shared" si="63"/>
        <v>0</v>
      </c>
      <c r="GG311" s="179">
        <f t="shared" si="51"/>
        <v>0</v>
      </c>
    </row>
    <row r="312" spans="1:189" x14ac:dyDescent="0.3">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20"/>
      <c r="GC312" s="180">
        <f t="shared" si="60"/>
        <v>0</v>
      </c>
      <c r="GD312" s="180">
        <f t="shared" si="61"/>
        <v>0</v>
      </c>
      <c r="GE312" s="180">
        <f t="shared" si="62"/>
        <v>0</v>
      </c>
      <c r="GF312" s="180">
        <f t="shared" si="63"/>
        <v>0</v>
      </c>
      <c r="GG312" s="180">
        <f t="shared" si="51"/>
        <v>0</v>
      </c>
    </row>
    <row r="313" spans="1:189" ht="14.1" customHeight="1" x14ac:dyDescent="0.3">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9">
        <f>GC313</f>
        <v>0.1178</v>
      </c>
      <c r="GC313" s="179">
        <f t="shared" si="60"/>
        <v>0.1178</v>
      </c>
      <c r="GD313" s="179">
        <f t="shared" si="61"/>
        <v>-0.1178</v>
      </c>
      <c r="GE313" s="179">
        <f t="shared" si="62"/>
        <v>0</v>
      </c>
      <c r="GF313" s="179">
        <f t="shared" si="63"/>
        <v>0</v>
      </c>
      <c r="GG313" s="179">
        <f t="shared" si="51"/>
        <v>0</v>
      </c>
    </row>
    <row r="314" spans="1:189" x14ac:dyDescent="0.3">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20"/>
      <c r="GC314" s="180">
        <f t="shared" si="60"/>
        <v>0</v>
      </c>
      <c r="GD314" s="180">
        <f t="shared" si="61"/>
        <v>0.1075</v>
      </c>
      <c r="GE314" s="180">
        <f t="shared" si="62"/>
        <v>0</v>
      </c>
      <c r="GF314" s="180">
        <f t="shared" si="63"/>
        <v>0</v>
      </c>
      <c r="GG314" s="180">
        <f t="shared" si="51"/>
        <v>0</v>
      </c>
    </row>
    <row r="315" spans="1:189" x14ac:dyDescent="0.3">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9"/>
      <c r="GC315" s="179">
        <f t="shared" si="60"/>
        <v>9.06E-2</v>
      </c>
      <c r="GD315" s="179">
        <f t="shared" si="61"/>
        <v>2.2599999999999999E-2</v>
      </c>
      <c r="GE315" s="179">
        <f t="shared" si="62"/>
        <v>0</v>
      </c>
      <c r="GF315" s="179">
        <f t="shared" si="63"/>
        <v>0</v>
      </c>
      <c r="GG315" s="179">
        <f t="shared" si="51"/>
        <v>0</v>
      </c>
    </row>
    <row r="316" spans="1:189" x14ac:dyDescent="0.3">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20"/>
      <c r="GC316" s="180">
        <f t="shared" si="60"/>
        <v>0</v>
      </c>
      <c r="GD316" s="180">
        <f t="shared" si="61"/>
        <v>0.1132</v>
      </c>
      <c r="GE316" s="180">
        <f t="shared" si="62"/>
        <v>0</v>
      </c>
      <c r="GF316" s="180">
        <f t="shared" si="63"/>
        <v>0</v>
      </c>
      <c r="GG316" s="180">
        <f t="shared" si="51"/>
        <v>0</v>
      </c>
    </row>
    <row r="317" spans="1:189" x14ac:dyDescent="0.3">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9"/>
      <c r="GC317" s="179">
        <f t="shared" si="60"/>
        <v>9.74E-2</v>
      </c>
      <c r="GD317" s="179">
        <f t="shared" si="61"/>
        <v>2.4299999999999999E-2</v>
      </c>
      <c r="GE317" s="179">
        <f t="shared" si="62"/>
        <v>0</v>
      </c>
      <c r="GF317" s="179">
        <f t="shared" si="63"/>
        <v>0</v>
      </c>
      <c r="GG317" s="179">
        <f t="shared" si="51"/>
        <v>0</v>
      </c>
    </row>
    <row r="318" spans="1:189" x14ac:dyDescent="0.3">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20"/>
      <c r="GC318" s="180">
        <f t="shared" si="60"/>
        <v>0</v>
      </c>
      <c r="GD318" s="180">
        <f t="shared" si="61"/>
        <v>0.64570000000000005</v>
      </c>
      <c r="GE318" s="180">
        <f t="shared" si="62"/>
        <v>0</v>
      </c>
      <c r="GF318" s="180">
        <f t="shared" si="63"/>
        <v>0</v>
      </c>
      <c r="GG318" s="180">
        <f t="shared" si="51"/>
        <v>0</v>
      </c>
    </row>
    <row r="319" spans="1:189" x14ac:dyDescent="0.3">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9"/>
      <c r="GC319" s="179">
        <f t="shared" si="60"/>
        <v>0</v>
      </c>
      <c r="GD319" s="179">
        <f t="shared" si="61"/>
        <v>0</v>
      </c>
      <c r="GE319" s="179">
        <f t="shared" si="62"/>
        <v>0</v>
      </c>
      <c r="GF319" s="179">
        <f t="shared" si="63"/>
        <v>0</v>
      </c>
      <c r="GG319" s="179">
        <f t="shared" si="51"/>
        <v>0</v>
      </c>
    </row>
    <row r="320" spans="1:189" x14ac:dyDescent="0.3">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20">
        <f>GC320</f>
        <v>0.32440000000000002</v>
      </c>
      <c r="GC320" s="180">
        <f t="shared" si="60"/>
        <v>0.32440000000000002</v>
      </c>
      <c r="GD320" s="180">
        <f t="shared" si="61"/>
        <v>-0.32440000000000002</v>
      </c>
      <c r="GE320" s="180">
        <f t="shared" si="62"/>
        <v>0</v>
      </c>
      <c r="GF320" s="180">
        <f t="shared" si="63"/>
        <v>0</v>
      </c>
      <c r="GG320" s="180">
        <f t="shared" si="51"/>
        <v>0</v>
      </c>
    </row>
    <row r="321" spans="1:189" x14ac:dyDescent="0.3">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9"/>
      <c r="GC321" s="179">
        <f t="shared" si="60"/>
        <v>0</v>
      </c>
      <c r="GD321" s="179">
        <f t="shared" si="61"/>
        <v>0</v>
      </c>
      <c r="GE321" s="179">
        <f t="shared" si="62"/>
        <v>0</v>
      </c>
      <c r="GF321" s="179">
        <f t="shared" si="63"/>
        <v>0</v>
      </c>
      <c r="GG321" s="179">
        <f t="shared" si="51"/>
        <v>0</v>
      </c>
    </row>
    <row r="322" spans="1:189" x14ac:dyDescent="0.3">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20"/>
      <c r="GC324" s="180">
        <f t="shared" si="60"/>
        <v>0</v>
      </c>
      <c r="GD324" s="180">
        <f t="shared" si="61"/>
        <v>0</v>
      </c>
      <c r="GE324" s="180">
        <f t="shared" si="62"/>
        <v>0</v>
      </c>
      <c r="GF324" s="180">
        <f t="shared" si="63"/>
        <v>0</v>
      </c>
      <c r="GG324" s="180">
        <f t="shared" si="51"/>
        <v>0</v>
      </c>
    </row>
    <row r="325" spans="1:189" x14ac:dyDescent="0.3">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9"/>
      <c r="GC325" s="179">
        <f t="shared" si="60"/>
        <v>0</v>
      </c>
      <c r="GD325" s="179">
        <f t="shared" si="61"/>
        <v>0</v>
      </c>
      <c r="GE325" s="179">
        <f t="shared" si="62"/>
        <v>0</v>
      </c>
      <c r="GF325" s="179">
        <f t="shared" si="63"/>
        <v>0</v>
      </c>
      <c r="GG325" s="179">
        <f t="shared" si="51"/>
        <v>0</v>
      </c>
    </row>
    <row r="326" spans="1:189" x14ac:dyDescent="0.3">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20"/>
      <c r="GC326" s="180">
        <f t="shared" si="60"/>
        <v>0</v>
      </c>
      <c r="GD326" s="180">
        <f t="shared" si="61"/>
        <v>4.0399999999999998E-2</v>
      </c>
      <c r="GE326" s="180">
        <f t="shared" si="62"/>
        <v>0</v>
      </c>
      <c r="GF326" s="180">
        <f t="shared" si="63"/>
        <v>0</v>
      </c>
      <c r="GG326" s="180">
        <f t="shared" si="51"/>
        <v>0</v>
      </c>
    </row>
    <row r="327" spans="1:189" x14ac:dyDescent="0.3">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9"/>
      <c r="GC327" s="179">
        <f t="shared" si="60"/>
        <v>0</v>
      </c>
      <c r="GD327" s="179">
        <f t="shared" si="61"/>
        <v>0</v>
      </c>
      <c r="GE327" s="179">
        <f t="shared" si="62"/>
        <v>0</v>
      </c>
      <c r="GF327" s="179">
        <f t="shared" si="63"/>
        <v>0</v>
      </c>
      <c r="GG327" s="179">
        <f t="shared" si="51"/>
        <v>0</v>
      </c>
    </row>
    <row r="328" spans="1:189" x14ac:dyDescent="0.3">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20"/>
      <c r="GC328" s="180">
        <f t="shared" si="60"/>
        <v>0</v>
      </c>
      <c r="GD328" s="180">
        <f t="shared" si="61"/>
        <v>0</v>
      </c>
      <c r="GE328" s="180">
        <f t="shared" si="62"/>
        <v>0</v>
      </c>
      <c r="GF328" s="180">
        <f t="shared" si="63"/>
        <v>0</v>
      </c>
      <c r="GG328" s="180">
        <f t="shared" si="51"/>
        <v>0</v>
      </c>
    </row>
    <row r="329" spans="1:189" x14ac:dyDescent="0.3">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9"/>
      <c r="GC329" s="179">
        <f t="shared" si="60"/>
        <v>0</v>
      </c>
      <c r="GD329" s="179">
        <f t="shared" si="61"/>
        <v>0</v>
      </c>
      <c r="GE329" s="179">
        <f t="shared" si="62"/>
        <v>0</v>
      </c>
      <c r="GF329" s="179">
        <f t="shared" si="63"/>
        <v>0</v>
      </c>
      <c r="GG329" s="179">
        <f t="shared" si="51"/>
        <v>0</v>
      </c>
    </row>
    <row r="330" spans="1:189" x14ac:dyDescent="0.3">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20"/>
      <c r="GC330" s="180">
        <f t="shared" si="60"/>
        <v>0</v>
      </c>
      <c r="GD330" s="180">
        <f t="shared" si="61"/>
        <v>6.7900000000000002E-2</v>
      </c>
      <c r="GE330" s="180">
        <f t="shared" si="62"/>
        <v>0</v>
      </c>
      <c r="GF330" s="180">
        <f t="shared" si="63"/>
        <v>0</v>
      </c>
      <c r="GG330" s="180">
        <f t="shared" si="51"/>
        <v>0</v>
      </c>
    </row>
    <row r="331" spans="1:189" x14ac:dyDescent="0.3">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9"/>
      <c r="GC331" s="179">
        <f t="shared" si="60"/>
        <v>5.8900000000000001E-2</v>
      </c>
      <c r="GD331" s="179">
        <f t="shared" si="61"/>
        <v>1.47E-2</v>
      </c>
      <c r="GE331" s="179">
        <f t="shared" si="62"/>
        <v>0</v>
      </c>
      <c r="GF331" s="179">
        <f t="shared" si="63"/>
        <v>0</v>
      </c>
      <c r="GG331" s="179">
        <f t="shared" si="51"/>
        <v>0</v>
      </c>
    </row>
    <row r="332" spans="1:189" x14ac:dyDescent="0.3">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20"/>
      <c r="GC332" s="180">
        <f t="shared" si="60"/>
        <v>0</v>
      </c>
      <c r="GD332" s="180">
        <f t="shared" si="61"/>
        <v>0</v>
      </c>
      <c r="GE332" s="180">
        <f t="shared" si="62"/>
        <v>0</v>
      </c>
      <c r="GF332" s="180">
        <f t="shared" si="63"/>
        <v>0</v>
      </c>
      <c r="GG332" s="180">
        <f t="shared" si="51"/>
        <v>0</v>
      </c>
    </row>
    <row r="333" spans="1:189" x14ac:dyDescent="0.3">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9">
        <f>GC333</f>
        <v>0.12280000000000001</v>
      </c>
      <c r="GC333" s="179">
        <f t="shared" si="60"/>
        <v>0.12280000000000001</v>
      </c>
      <c r="GD333" s="179">
        <f t="shared" si="61"/>
        <v>-0.12280000000000001</v>
      </c>
      <c r="GE333" s="179">
        <f t="shared" si="62"/>
        <v>0</v>
      </c>
      <c r="GF333" s="179">
        <f t="shared" si="63"/>
        <v>0</v>
      </c>
      <c r="GG333" s="179">
        <f t="shared" si="51"/>
        <v>0</v>
      </c>
    </row>
    <row r="334" spans="1:189" x14ac:dyDescent="0.3">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20"/>
      <c r="GC334" s="180">
        <f t="shared" si="60"/>
        <v>0</v>
      </c>
      <c r="GD334" s="180">
        <f t="shared" si="61"/>
        <v>0</v>
      </c>
      <c r="GE334" s="180">
        <f t="shared" si="62"/>
        <v>0</v>
      </c>
      <c r="GF334" s="180">
        <f t="shared" si="63"/>
        <v>0</v>
      </c>
      <c r="GG334" s="180">
        <f t="shared" si="51"/>
        <v>0</v>
      </c>
    </row>
    <row r="335" spans="1:189" x14ac:dyDescent="0.3">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9"/>
      <c r="GC335" s="179">
        <f t="shared" si="60"/>
        <v>0</v>
      </c>
      <c r="GD335" s="179">
        <f t="shared" si="61"/>
        <v>0</v>
      </c>
      <c r="GE335" s="179">
        <f t="shared" si="62"/>
        <v>0</v>
      </c>
      <c r="GF335" s="179">
        <f t="shared" si="63"/>
        <v>0</v>
      </c>
      <c r="GG335" s="179">
        <f t="shared" si="51"/>
        <v>0</v>
      </c>
    </row>
    <row r="336" spans="1:189" x14ac:dyDescent="0.3">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20"/>
      <c r="GC336" s="180">
        <f t="shared" si="60"/>
        <v>0</v>
      </c>
      <c r="GD336" s="180">
        <f t="shared" si="61"/>
        <v>0</v>
      </c>
      <c r="GE336" s="180">
        <f t="shared" si="62"/>
        <v>0</v>
      </c>
      <c r="GF336" s="180">
        <f t="shared" si="63"/>
        <v>0</v>
      </c>
      <c r="GG336" s="180">
        <f t="shared" si="51"/>
        <v>0</v>
      </c>
    </row>
    <row r="337" spans="1:189" x14ac:dyDescent="0.3">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9"/>
      <c r="GC337" s="179">
        <f t="shared" si="60"/>
        <v>0</v>
      </c>
      <c r="GD337" s="179">
        <f t="shared" si="61"/>
        <v>0</v>
      </c>
      <c r="GE337" s="179">
        <f t="shared" si="62"/>
        <v>0</v>
      </c>
      <c r="GF337" s="179">
        <f t="shared" si="63"/>
        <v>0</v>
      </c>
      <c r="GG337" s="179">
        <f t="shared" si="51"/>
        <v>0</v>
      </c>
    </row>
    <row r="338" spans="1:189" x14ac:dyDescent="0.3">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4">
        <f>0.67*DV338/43</f>
        <v>7.7906976744186052E-3</v>
      </c>
      <c r="AH338" s="204"/>
      <c r="AI338" s="204"/>
      <c r="AJ338" s="204"/>
      <c r="AK338" s="204"/>
      <c r="AL338" s="204"/>
      <c r="AM338" s="204"/>
      <c r="AN338" s="204"/>
      <c r="AO338" s="204"/>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20"/>
      <c r="GC338" s="180">
        <f t="shared" ref="GC338:GC369" si="64">ROUND(IF($C338="Primary",0,-$G338*(SUMPRODUCT($Q$4:$GA$4,$Q338:$GA338)+$J338)-$H338)*IF($N338=GC$4,1,0),4)</f>
        <v>0</v>
      </c>
      <c r="GD338" s="180">
        <f t="shared" ref="GD338:GD369" si="65">ROUND(IF($C338="Primary",0,$M338*(1-$O338)*($G338*(SUMPRODUCT($Q$4:$GA$4,$Q338:$GA338)+$J338)+$H338-SUMPRODUCT($Q$5:$GA$5,$Q338:$GA338)-$I338+$K338))*IF($N338=GD$4,1,0),4)</f>
        <v>1.5299999999999999E-2</v>
      </c>
      <c r="GE338" s="180">
        <f t="shared" ref="GE338:GE369" si="66">ROUND(IF($C338="Primary",0,(1-$M338)*(1-$O338)*($G338*(SUMPRODUCT($Q$4:$GA$4,$Q338:$GA338)+$J338)+$H338-SUMPRODUCT($Q$5:$GA$5,$Q338:$GA338)-$I338+$L338))*IF($N338=GD$4,1,0),4)</f>
        <v>0</v>
      </c>
      <c r="GF338" s="180">
        <f t="shared" ref="GF338:GF369" si="67">ROUND(IF($C338="Primary",0,$O338*($G338*(SUMPRODUCT($Q$4:$GA$4,$Q338:$GA338)+$J338)-SUMPRODUCT($Q$5:$GA$5,$Q338:$GA338)-$I338))*IF($N338=GD$4,1,0),4)</f>
        <v>0</v>
      </c>
      <c r="GG338" s="180">
        <f t="shared" si="51"/>
        <v>0</v>
      </c>
    </row>
    <row r="339" spans="1:189" x14ac:dyDescent="0.3">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3">
        <f t="shared" ref="AG339:AG343" si="68">0.67*DV339/43</f>
        <v>7.7906976744186052E-3</v>
      </c>
      <c r="AH339" s="213"/>
      <c r="AI339" s="213"/>
      <c r="AJ339" s="213"/>
      <c r="AK339" s="213"/>
      <c r="AL339" s="213"/>
      <c r="AM339" s="213"/>
      <c r="AN339" s="213"/>
      <c r="AO339" s="213"/>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9"/>
      <c r="GC339" s="179">
        <f t="shared" si="64"/>
        <v>1.23E-2</v>
      </c>
      <c r="GD339" s="179">
        <f t="shared" si="65"/>
        <v>3.0999999999999999E-3</v>
      </c>
      <c r="GE339" s="179">
        <f t="shared" si="66"/>
        <v>0</v>
      </c>
      <c r="GF339" s="179">
        <f t="shared" si="67"/>
        <v>0</v>
      </c>
      <c r="GG339" s="179">
        <f t="shared" si="51"/>
        <v>0</v>
      </c>
    </row>
    <row r="340" spans="1:189" x14ac:dyDescent="0.3">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4">
        <f t="shared" si="68"/>
        <v>4.674418604651163E-3</v>
      </c>
      <c r="AH340" s="204"/>
      <c r="AI340" s="204"/>
      <c r="AJ340" s="204"/>
      <c r="AK340" s="204"/>
      <c r="AL340" s="204"/>
      <c r="AM340" s="204"/>
      <c r="AN340" s="204"/>
      <c r="AO340" s="204"/>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20"/>
      <c r="GC340" s="180">
        <f t="shared" si="64"/>
        <v>0</v>
      </c>
      <c r="GD340" s="180">
        <f t="shared" si="65"/>
        <v>0.01</v>
      </c>
      <c r="GE340" s="180">
        <f t="shared" si="66"/>
        <v>0</v>
      </c>
      <c r="GF340" s="180">
        <f t="shared" si="67"/>
        <v>0</v>
      </c>
      <c r="GG340" s="180">
        <f t="shared" si="51"/>
        <v>0</v>
      </c>
    </row>
    <row r="341" spans="1:189" x14ac:dyDescent="0.3">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3">
        <f t="shared" si="68"/>
        <v>4.674418604651163E-3</v>
      </c>
      <c r="AH341" s="213"/>
      <c r="AI341" s="213"/>
      <c r="AJ341" s="213"/>
      <c r="AK341" s="213"/>
      <c r="AL341" s="213"/>
      <c r="AM341" s="213"/>
      <c r="AN341" s="213"/>
      <c r="AO341" s="213"/>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9"/>
      <c r="GC341" s="179">
        <f t="shared" si="64"/>
        <v>8.0000000000000002E-3</v>
      </c>
      <c r="GD341" s="179">
        <f t="shared" si="65"/>
        <v>2E-3</v>
      </c>
      <c r="GE341" s="179">
        <f t="shared" si="66"/>
        <v>0</v>
      </c>
      <c r="GF341" s="179">
        <f t="shared" si="67"/>
        <v>0</v>
      </c>
      <c r="GG341" s="179">
        <f t="shared" si="51"/>
        <v>0</v>
      </c>
    </row>
    <row r="342" spans="1:189" x14ac:dyDescent="0.3">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4">
        <f t="shared" si="68"/>
        <v>9.3488372093023259E-3</v>
      </c>
      <c r="AH342" s="204"/>
      <c r="AI342" s="204"/>
      <c r="AJ342" s="204"/>
      <c r="AK342" s="204"/>
      <c r="AL342" s="204"/>
      <c r="AM342" s="204"/>
      <c r="AN342" s="204"/>
      <c r="AO342" s="204"/>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20"/>
      <c r="GC342" s="180">
        <f t="shared" si="64"/>
        <v>0</v>
      </c>
      <c r="GD342" s="180">
        <f t="shared" si="65"/>
        <v>2.7699999999999999E-2</v>
      </c>
      <c r="GE342" s="180">
        <f t="shared" si="66"/>
        <v>0</v>
      </c>
      <c r="GF342" s="180">
        <f t="shared" si="67"/>
        <v>0</v>
      </c>
      <c r="GG342" s="180">
        <f t="shared" si="51"/>
        <v>0</v>
      </c>
    </row>
    <row r="343" spans="1:189" x14ac:dyDescent="0.3">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3">
        <f t="shared" si="68"/>
        <v>9.3488372093023259E-3</v>
      </c>
      <c r="AH343" s="213"/>
      <c r="AI343" s="213"/>
      <c r="AJ343" s="213"/>
      <c r="AK343" s="213"/>
      <c r="AL343" s="213"/>
      <c r="AM343" s="213"/>
      <c r="AN343" s="213"/>
      <c r="AO343" s="213"/>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2.2100000000000002E-2</v>
      </c>
      <c r="GD343" s="179">
        <f t="shared" si="65"/>
        <v>5.4999999999999997E-3</v>
      </c>
      <c r="GE343" s="179">
        <f t="shared" si="66"/>
        <v>0</v>
      </c>
      <c r="GF343" s="179">
        <f t="shared" si="67"/>
        <v>0</v>
      </c>
      <c r="GG343" s="179">
        <f t="shared" si="51"/>
        <v>0</v>
      </c>
    </row>
    <row r="344" spans="1:189" x14ac:dyDescent="0.3">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9"/>
      <c r="GC344" s="179">
        <f t="shared" si="64"/>
        <v>0</v>
      </c>
      <c r="GD344" s="179">
        <f t="shared" si="65"/>
        <v>0</v>
      </c>
      <c r="GE344" s="179">
        <f t="shared" si="66"/>
        <v>0</v>
      </c>
      <c r="GF344" s="179">
        <f t="shared" si="67"/>
        <v>0</v>
      </c>
      <c r="GG344" s="179">
        <f t="shared" si="51"/>
        <v>0</v>
      </c>
    </row>
    <row r="345" spans="1:189" x14ac:dyDescent="0.3">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20"/>
      <c r="GC345" s="180">
        <f t="shared" si="64"/>
        <v>0</v>
      </c>
      <c r="GD345" s="180">
        <f t="shared" si="65"/>
        <v>0</v>
      </c>
      <c r="GE345" s="180">
        <f t="shared" si="66"/>
        <v>0</v>
      </c>
      <c r="GF345" s="180">
        <f t="shared" si="67"/>
        <v>0</v>
      </c>
      <c r="GG345" s="180">
        <f t="shared" si="51"/>
        <v>0</v>
      </c>
    </row>
    <row r="346" spans="1:189" x14ac:dyDescent="0.3">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9"/>
      <c r="GC346" s="179">
        <f t="shared" si="64"/>
        <v>0</v>
      </c>
      <c r="GD346" s="179">
        <f t="shared" si="65"/>
        <v>0</v>
      </c>
      <c r="GE346" s="179">
        <f t="shared" si="66"/>
        <v>0</v>
      </c>
      <c r="GF346" s="179">
        <f t="shared" si="67"/>
        <v>0</v>
      </c>
      <c r="GG346" s="179">
        <f t="shared" si="51"/>
        <v>0</v>
      </c>
    </row>
    <row r="347" spans="1:189" x14ac:dyDescent="0.3">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20"/>
      <c r="GC347" s="180">
        <f t="shared" si="64"/>
        <v>0</v>
      </c>
      <c r="GD347" s="180">
        <f t="shared" si="65"/>
        <v>0</v>
      </c>
      <c r="GE347" s="180">
        <f t="shared" si="66"/>
        <v>0</v>
      </c>
      <c r="GF347" s="180">
        <f t="shared" si="67"/>
        <v>0</v>
      </c>
      <c r="GG347" s="180">
        <f t="shared" si="51"/>
        <v>0</v>
      </c>
    </row>
    <row r="348" spans="1:189" x14ac:dyDescent="0.3">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9"/>
      <c r="GC348" s="179">
        <f t="shared" si="64"/>
        <v>0</v>
      </c>
      <c r="GD348" s="179">
        <f t="shared" si="65"/>
        <v>0</v>
      </c>
      <c r="GE348" s="179">
        <f t="shared" si="66"/>
        <v>0</v>
      </c>
      <c r="GF348" s="179">
        <f t="shared" si="67"/>
        <v>0</v>
      </c>
      <c r="GG348" s="179">
        <f t="shared" si="51"/>
        <v>0</v>
      </c>
    </row>
    <row r="349" spans="1:189" x14ac:dyDescent="0.3">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20"/>
      <c r="GC349" s="180">
        <f t="shared" si="64"/>
        <v>0</v>
      </c>
      <c r="GD349" s="180">
        <f t="shared" si="65"/>
        <v>0</v>
      </c>
      <c r="GE349" s="180">
        <f t="shared" si="66"/>
        <v>0</v>
      </c>
      <c r="GF349" s="180">
        <f t="shared" si="67"/>
        <v>0</v>
      </c>
      <c r="GG349" s="180">
        <f t="shared" si="51"/>
        <v>0</v>
      </c>
    </row>
    <row r="350" spans="1:189" x14ac:dyDescent="0.3">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9"/>
      <c r="GC350" s="179">
        <f t="shared" si="64"/>
        <v>0</v>
      </c>
      <c r="GD350" s="179">
        <f t="shared" si="65"/>
        <v>0</v>
      </c>
      <c r="GE350" s="179">
        <f t="shared" si="66"/>
        <v>0</v>
      </c>
      <c r="GF350" s="179">
        <f t="shared" si="67"/>
        <v>0</v>
      </c>
      <c r="GG350" s="179">
        <f t="shared" ref="GG350:GG426" si="69">$I350</f>
        <v>0</v>
      </c>
    </row>
    <row r="351" spans="1:189" x14ac:dyDescent="0.3">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20"/>
      <c r="GC351" s="180">
        <f t="shared" si="64"/>
        <v>0</v>
      </c>
      <c r="GD351" s="180">
        <f t="shared" si="65"/>
        <v>0</v>
      </c>
      <c r="GE351" s="180">
        <f t="shared" si="66"/>
        <v>0</v>
      </c>
      <c r="GF351" s="180">
        <f t="shared" si="67"/>
        <v>0</v>
      </c>
      <c r="GG351" s="180">
        <f t="shared" si="69"/>
        <v>0</v>
      </c>
    </row>
    <row r="352" spans="1:189" x14ac:dyDescent="0.3">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9"/>
      <c r="GC352" s="179">
        <f t="shared" si="64"/>
        <v>0</v>
      </c>
      <c r="GD352" s="179">
        <f t="shared" si="65"/>
        <v>0</v>
      </c>
      <c r="GE352" s="179">
        <f t="shared" si="66"/>
        <v>0</v>
      </c>
      <c r="GF352" s="179">
        <f t="shared" si="67"/>
        <v>0</v>
      </c>
      <c r="GG352" s="179">
        <f t="shared" si="69"/>
        <v>0</v>
      </c>
    </row>
    <row r="353" spans="1:342" x14ac:dyDescent="0.3">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20"/>
      <c r="GC353" s="180">
        <f t="shared" si="64"/>
        <v>0</v>
      </c>
      <c r="GD353" s="180">
        <f t="shared" si="65"/>
        <v>0</v>
      </c>
      <c r="GE353" s="180">
        <f t="shared" si="66"/>
        <v>0</v>
      </c>
      <c r="GF353" s="180">
        <f t="shared" si="67"/>
        <v>0</v>
      </c>
      <c r="GG353" s="180">
        <f t="shared" si="69"/>
        <v>0</v>
      </c>
    </row>
    <row r="354" spans="1:342" x14ac:dyDescent="0.3">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9"/>
      <c r="GC354" s="179">
        <f t="shared" si="64"/>
        <v>0</v>
      </c>
      <c r="GD354" s="179">
        <f t="shared" si="65"/>
        <v>0</v>
      </c>
      <c r="GE354" s="179">
        <f t="shared" si="66"/>
        <v>0</v>
      </c>
      <c r="GF354" s="179">
        <f t="shared" si="67"/>
        <v>0</v>
      </c>
      <c r="GG354" s="179">
        <f t="shared" si="69"/>
        <v>0</v>
      </c>
    </row>
    <row r="355" spans="1:342" x14ac:dyDescent="0.3">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20"/>
      <c r="GC355" s="180">
        <f t="shared" si="64"/>
        <v>0</v>
      </c>
      <c r="GD355" s="180">
        <f t="shared" si="65"/>
        <v>0</v>
      </c>
      <c r="GE355" s="180">
        <f t="shared" si="66"/>
        <v>0</v>
      </c>
      <c r="GF355" s="180">
        <f t="shared" si="67"/>
        <v>0</v>
      </c>
      <c r="GG355" s="180">
        <f t="shared" si="69"/>
        <v>0</v>
      </c>
    </row>
    <row r="356" spans="1:342" x14ac:dyDescent="0.3">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9"/>
      <c r="GC356" s="179">
        <f t="shared" si="64"/>
        <v>0</v>
      </c>
      <c r="GD356" s="179">
        <f t="shared" si="65"/>
        <v>0</v>
      </c>
      <c r="GE356" s="179">
        <f t="shared" si="66"/>
        <v>0</v>
      </c>
      <c r="GF356" s="179">
        <f t="shared" si="67"/>
        <v>0</v>
      </c>
      <c r="GG356" s="179">
        <f t="shared" si="69"/>
        <v>0</v>
      </c>
    </row>
    <row r="357" spans="1:342" x14ac:dyDescent="0.3">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20"/>
      <c r="GC357" s="180">
        <f t="shared" si="64"/>
        <v>0</v>
      </c>
      <c r="GD357" s="180">
        <f t="shared" si="65"/>
        <v>0</v>
      </c>
      <c r="GE357" s="180">
        <f t="shared" si="66"/>
        <v>0</v>
      </c>
      <c r="GF357" s="180">
        <f t="shared" si="67"/>
        <v>0</v>
      </c>
      <c r="GG357" s="180">
        <f t="shared" si="69"/>
        <v>0</v>
      </c>
    </row>
    <row r="358" spans="1:342" s="262" customFormat="1" x14ac:dyDescent="0.3">
      <c r="A358" s="257" t="s">
        <v>1522</v>
      </c>
      <c r="B358" s="291" t="str">
        <f>IF(Technologies!B358&lt;&gt;0,Technologies!B358,"")</f>
        <v>Industrie</v>
      </c>
      <c r="C358" s="291" t="str">
        <f>VLOOKUP($A358,Technologies!$A$7:$H$577,3,FALSE)</f>
        <v>Conversion</v>
      </c>
      <c r="D358" s="291" t="str">
        <f>VLOOKUP($A358,Technologies!$A$7:$H$577,4,FALSE)</f>
        <v>Refineries</v>
      </c>
      <c r="E358" s="291" t="str">
        <f>VLOOKUP($A358,Technologies!$A$7:$H$577,6,FALSE)</f>
        <v>Bio Kerosene</v>
      </c>
      <c r="F358" s="269" t="str">
        <f>VLOOKUP($A358,Technologies!$A$7:$H$577,7,FALSE)</f>
        <v>Biokerosene from HEFA</v>
      </c>
      <c r="G358" s="263"/>
      <c r="H358" s="263"/>
      <c r="I358" s="265" cm="1">
        <f t="array" ref="I358">-SUMPRODUCT((Feedstocks!$C$4:$C$141=A358)*Feedstocks!$E$4:$E$141,Feedstocks!$F$4:$F$141,Feedstocks!$H$4:$H$141,Feedstocks!$I$4:$I$141)</f>
        <v>0</v>
      </c>
      <c r="J358" s="265" cm="1">
        <f t="array" ref="J358">-SUMPRODUCT((Feedstocks!$C$4:$C$141=A358)*Feedstocks!$E$4:$E$141,Feedstocks!$H$4:$H$141,Feedstocks!$I$4:$I$141)</f>
        <v>0</v>
      </c>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v>-7.0000000000000007E-2</v>
      </c>
      <c r="DI358" s="267"/>
      <c r="DJ358" s="267"/>
      <c r="DK358" s="267"/>
      <c r="DL358" s="267"/>
      <c r="DM358" s="267"/>
      <c r="DN358" s="267"/>
      <c r="DO358" s="267">
        <v>-0.34</v>
      </c>
      <c r="DP358" s="267"/>
      <c r="DQ358" s="267"/>
      <c r="DR358" s="267"/>
      <c r="DS358" s="267"/>
      <c r="DT358" s="267"/>
      <c r="DU358" s="267"/>
      <c r="DV358" s="267"/>
      <c r="DW358" s="267"/>
      <c r="DX358" s="267"/>
      <c r="DY358" s="267"/>
      <c r="DZ358" s="267"/>
      <c r="EA358" s="267"/>
      <c r="EB358" s="267">
        <v>1</v>
      </c>
      <c r="EC358" s="267"/>
      <c r="ED358" s="267"/>
      <c r="EE358" s="267"/>
      <c r="EF358" s="267"/>
      <c r="EG358" s="267"/>
      <c r="EH358" s="267"/>
      <c r="EI358" s="267"/>
      <c r="EJ358" s="267"/>
      <c r="EK358" s="267"/>
      <c r="EL358" s="267"/>
      <c r="EM358" s="267">
        <v>-0.05</v>
      </c>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v>-1.1100000000000001</v>
      </c>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2" customFormat="1" x14ac:dyDescent="0.3">
      <c r="A359" s="257" t="s">
        <v>1524</v>
      </c>
      <c r="B359" s="291" t="str">
        <f>IF(Technologies!B359&lt;&gt;0,Technologies!B359,"")</f>
        <v>Industrie</v>
      </c>
      <c r="C359" s="291" t="str">
        <f>VLOOKUP($A359,Technologies!$A$7:$H$577,3,FALSE)</f>
        <v>Primary</v>
      </c>
      <c r="D359" s="291" t="str">
        <f>VLOOKUP($A359,Technologies!$A$7:$H$577,4,FALSE)</f>
        <v>Renewable</v>
      </c>
      <c r="E359" s="291" t="str">
        <f>VLOOKUP($A359,Technologies!$A$7:$H$577,6,FALSE)</f>
        <v>Bio LPG</v>
      </c>
      <c r="F359" s="269" t="str">
        <f>VLOOKUP($A359,Technologies!$A$7:$H$577,7,FALSE)</f>
        <v>Imported Bio LPG - Refineries</v>
      </c>
      <c r="G359" s="263"/>
      <c r="H359" s="263"/>
      <c r="I359" s="265"/>
      <c r="J359" s="265"/>
      <c r="K359" s="265"/>
      <c r="L359" s="265"/>
      <c r="M359" s="263">
        <v>1</v>
      </c>
      <c r="N359" s="263" t="str">
        <f>VLOOKUP(E359,Activities!$A$9:$M$227,13,FALSE)</f>
        <v>NL</v>
      </c>
      <c r="O359" s="263"/>
      <c r="P359" s="266"/>
      <c r="Q359" s="267"/>
      <c r="R359" s="267"/>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c r="AR359" s="267"/>
      <c r="AS359" s="267"/>
      <c r="AT359" s="267"/>
      <c r="AU359" s="267"/>
      <c r="AV359" s="267"/>
      <c r="AW359" s="267"/>
      <c r="AX359" s="267"/>
      <c r="AY359" s="267"/>
      <c r="AZ359" s="267"/>
      <c r="BA359" s="267"/>
      <c r="BB359" s="267"/>
      <c r="BC359" s="267"/>
      <c r="BD359" s="267"/>
      <c r="BE359" s="267"/>
      <c r="BF359" s="267"/>
      <c r="BG359" s="267"/>
      <c r="BH359" s="267"/>
      <c r="BI359" s="267"/>
      <c r="BJ359" s="267"/>
      <c r="BK359" s="267"/>
      <c r="BL359" s="267"/>
      <c r="BM359" s="267"/>
      <c r="BN359" s="267"/>
      <c r="BO359" s="267"/>
      <c r="BP359" s="267"/>
      <c r="BQ359" s="267"/>
      <c r="BR359" s="267"/>
      <c r="BS359" s="267"/>
      <c r="BT359" s="267"/>
      <c r="BU359" s="267"/>
      <c r="BV359" s="267"/>
      <c r="BW359" s="267"/>
      <c r="BX359" s="267"/>
      <c r="BY359" s="267"/>
      <c r="BZ359" s="267"/>
      <c r="CA359" s="267"/>
      <c r="CB359" s="267"/>
      <c r="CC359" s="267"/>
      <c r="CD359" s="267"/>
      <c r="CE359" s="267"/>
      <c r="CF359" s="267"/>
      <c r="CG359" s="267"/>
      <c r="CH359" s="267"/>
      <c r="CI359" s="267"/>
      <c r="CJ359" s="267"/>
      <c r="CK359" s="267"/>
      <c r="CL359" s="267"/>
      <c r="CM359" s="267"/>
      <c r="CN359" s="267"/>
      <c r="CO359" s="267"/>
      <c r="CP359" s="267"/>
      <c r="CQ359" s="267"/>
      <c r="CR359" s="267"/>
      <c r="CS359" s="267"/>
      <c r="CT359" s="267"/>
      <c r="CU359" s="267"/>
      <c r="CV359" s="267"/>
      <c r="CW359" s="267"/>
      <c r="CX359" s="267"/>
      <c r="CY359" s="267"/>
      <c r="CZ359" s="267"/>
      <c r="DA359" s="267"/>
      <c r="DB359" s="267"/>
      <c r="DC359" s="267"/>
      <c r="DD359" s="267"/>
      <c r="DE359" s="267"/>
      <c r="DF359" s="267"/>
      <c r="DG359" s="267"/>
      <c r="DH359" s="267"/>
      <c r="DI359" s="267"/>
      <c r="DJ359" s="267"/>
      <c r="DK359" s="267"/>
      <c r="DL359" s="267"/>
      <c r="DM359" s="267"/>
      <c r="DN359" s="267"/>
      <c r="DO359" s="267"/>
      <c r="DP359" s="267"/>
      <c r="DQ359" s="267"/>
      <c r="DR359" s="267"/>
      <c r="DS359" s="267"/>
      <c r="DT359" s="267"/>
      <c r="DU359" s="267"/>
      <c r="DV359" s="267"/>
      <c r="DW359" s="267"/>
      <c r="DX359" s="267"/>
      <c r="DY359" s="267"/>
      <c r="DZ359" s="267"/>
      <c r="EA359" s="267"/>
      <c r="EB359" s="267"/>
      <c r="EC359" s="267">
        <v>1</v>
      </c>
      <c r="ED359" s="267"/>
      <c r="EE359" s="267"/>
      <c r="EF359" s="267"/>
      <c r="EG359" s="267"/>
      <c r="EH359" s="267"/>
      <c r="EI359" s="267"/>
      <c r="EJ359" s="267"/>
      <c r="EK359" s="267"/>
      <c r="EL359" s="267"/>
      <c r="EM359" s="267"/>
      <c r="EN359" s="267"/>
      <c r="EO359" s="267"/>
      <c r="EP359" s="267"/>
      <c r="EQ359" s="267"/>
      <c r="ER359" s="267"/>
      <c r="ES359" s="267"/>
      <c r="ET359" s="267"/>
      <c r="EU359" s="267"/>
      <c r="EV359" s="267"/>
      <c r="EW359" s="267"/>
      <c r="EX359" s="267"/>
      <c r="EY359" s="267"/>
      <c r="EZ359" s="267"/>
      <c r="FA359" s="267"/>
      <c r="FB359" s="267"/>
      <c r="FC359" s="267"/>
      <c r="FD359" s="267"/>
      <c r="FE359" s="267"/>
      <c r="FF359" s="267"/>
      <c r="FG359" s="267"/>
      <c r="FH359" s="267"/>
      <c r="FI359" s="267"/>
      <c r="FJ359" s="267"/>
      <c r="FK359" s="267"/>
      <c r="FL359" s="267"/>
      <c r="FM359" s="267"/>
      <c r="FN359" s="267"/>
      <c r="FO359" s="267"/>
      <c r="FP359" s="267"/>
      <c r="FQ359" s="267"/>
      <c r="FR359" s="267"/>
      <c r="FS359" s="267"/>
      <c r="FT359" s="267"/>
      <c r="FU359" s="267"/>
      <c r="FV359" s="267"/>
      <c r="FW359" s="267"/>
      <c r="FX359" s="267"/>
      <c r="FY359" s="267"/>
      <c r="FZ359" s="267"/>
      <c r="GA359" s="267"/>
      <c r="GB359" s="322"/>
      <c r="GC359" s="268">
        <f t="shared" si="64"/>
        <v>0</v>
      </c>
      <c r="GD359" s="268">
        <f t="shared" si="65"/>
        <v>0</v>
      </c>
      <c r="GE359" s="268">
        <f t="shared" si="66"/>
        <v>0</v>
      </c>
      <c r="GF359" s="268">
        <f t="shared" si="67"/>
        <v>0</v>
      </c>
      <c r="GG359" s="268">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7">
        <v>-0.03</v>
      </c>
      <c r="DI360" s="35"/>
      <c r="DJ360" s="35"/>
      <c r="DK360" s="35"/>
      <c r="DL360" s="35"/>
      <c r="DM360" s="35"/>
      <c r="DN360" s="35"/>
      <c r="DO360" s="35"/>
      <c r="DP360" s="267">
        <v>0.44</v>
      </c>
      <c r="DQ360" s="35"/>
      <c r="DR360" s="35"/>
      <c r="DS360" s="35"/>
      <c r="DT360" s="35"/>
      <c r="DU360" s="35"/>
      <c r="DV360" s="35"/>
      <c r="DW360" s="35"/>
      <c r="DX360" s="35"/>
      <c r="DY360" s="35"/>
      <c r="DZ360" s="35"/>
      <c r="EA360" s="35"/>
      <c r="EB360" s="35"/>
      <c r="EC360" s="35"/>
      <c r="ED360" s="267">
        <v>0.33</v>
      </c>
      <c r="EE360" s="267">
        <v>1</v>
      </c>
      <c r="EF360" s="35"/>
      <c r="EG360" s="267">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9"/>
      <c r="GC360" s="179">
        <f t="shared" si="64"/>
        <v>0</v>
      </c>
      <c r="GD360" s="179">
        <f t="shared" si="65"/>
        <v>2.1999999999999999E-2</v>
      </c>
      <c r="GE360" s="179">
        <f t="shared" si="66"/>
        <v>0</v>
      </c>
      <c r="GF360" s="179">
        <f t="shared" si="67"/>
        <v>0</v>
      </c>
      <c r="GG360" s="179">
        <f t="shared" si="69"/>
        <v>0</v>
      </c>
    </row>
    <row r="361" spans="1:342" x14ac:dyDescent="0.3">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7">
        <v>0.33</v>
      </c>
      <c r="EE361" s="267">
        <v>1</v>
      </c>
      <c r="EF361" s="36"/>
      <c r="EG361" s="36"/>
      <c r="EH361" s="36"/>
      <c r="EI361" s="267">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20"/>
      <c r="GC361" s="180">
        <f t="shared" si="64"/>
        <v>0</v>
      </c>
      <c r="GD361" s="180">
        <f t="shared" si="65"/>
        <v>1.9199999999999998E-2</v>
      </c>
      <c r="GE361" s="180">
        <f t="shared" si="66"/>
        <v>0</v>
      </c>
      <c r="GF361" s="180">
        <f t="shared" si="67"/>
        <v>0</v>
      </c>
      <c r="GG361" s="180">
        <f t="shared" si="69"/>
        <v>0</v>
      </c>
    </row>
    <row r="362" spans="1:342" x14ac:dyDescent="0.3">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7">
        <v>-0.03</v>
      </c>
      <c r="DI362" s="35"/>
      <c r="DJ362" s="35"/>
      <c r="DK362" s="35"/>
      <c r="DL362" s="35"/>
      <c r="DM362" s="35"/>
      <c r="DN362" s="35"/>
      <c r="DO362" s="35"/>
      <c r="DP362" s="267">
        <v>0.44</v>
      </c>
      <c r="DQ362" s="35"/>
      <c r="DR362" s="35"/>
      <c r="DS362" s="35"/>
      <c r="DT362" s="35"/>
      <c r="DU362" s="35"/>
      <c r="DV362" s="35"/>
      <c r="DW362" s="35"/>
      <c r="DX362" s="35"/>
      <c r="DY362" s="35"/>
      <c r="DZ362" s="35"/>
      <c r="EA362" s="35"/>
      <c r="EB362" s="35"/>
      <c r="EC362" s="35"/>
      <c r="ED362" s="267">
        <v>0.33</v>
      </c>
      <c r="EE362" s="35"/>
      <c r="EF362" s="267">
        <v>1</v>
      </c>
      <c r="EG362" s="267">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9"/>
      <c r="GC362" s="179">
        <f t="shared" si="64"/>
        <v>0</v>
      </c>
      <c r="GD362" s="179">
        <f t="shared" si="65"/>
        <v>2.3E-2</v>
      </c>
      <c r="GE362" s="179">
        <f t="shared" si="66"/>
        <v>0</v>
      </c>
      <c r="GF362" s="179">
        <f t="shared" si="67"/>
        <v>0</v>
      </c>
      <c r="GG362" s="179">
        <f t="shared" si="69"/>
        <v>0</v>
      </c>
    </row>
    <row r="363" spans="1:342" x14ac:dyDescent="0.3">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7">
        <v>0.33</v>
      </c>
      <c r="EE363" s="36"/>
      <c r="EF363" s="267">
        <v>1</v>
      </c>
      <c r="EG363" s="36"/>
      <c r="EH363" s="36"/>
      <c r="EI363" s="267">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20"/>
      <c r="GC363" s="180">
        <f t="shared" si="64"/>
        <v>0</v>
      </c>
      <c r="GD363" s="180">
        <f t="shared" si="65"/>
        <v>2.0199999999999999E-2</v>
      </c>
      <c r="GE363" s="180">
        <f t="shared" si="66"/>
        <v>0</v>
      </c>
      <c r="GF363" s="180">
        <f t="shared" si="67"/>
        <v>0</v>
      </c>
      <c r="GG363" s="180">
        <f t="shared" si="69"/>
        <v>0</v>
      </c>
    </row>
    <row r="364" spans="1:342" s="262" customFormat="1" x14ac:dyDescent="0.3">
      <c r="A364" s="257" t="s">
        <v>1537</v>
      </c>
      <c r="B364" s="257" t="str">
        <f>IF(Technologies!B364&lt;&gt;0,Technologies!B364,"")</f>
        <v>Industrie</v>
      </c>
      <c r="C364" s="257" t="str">
        <f>VLOOKUP($A364,Technologies!$A$7:$H$577,3,FALSE)</f>
        <v>Conversion</v>
      </c>
      <c r="D364" s="257" t="str">
        <f>VLOOKUP($A364,Technologies!$A$7:$H$577,4,FALSE)</f>
        <v>Refineries</v>
      </c>
      <c r="E364" s="257" t="str">
        <f>VLOOKUP($A364,Technologies!$A$7:$H$577,6,FALSE)</f>
        <v>E-Kerosene</v>
      </c>
      <c r="F364" s="257" t="str">
        <f>VLOOKUP($A364,Technologies!$A$7:$H$577,7,FALSE)</f>
        <v>E-Kerosene oriented Fischer Tropsch incl. RWGS</v>
      </c>
      <c r="G364" s="263"/>
      <c r="H364" s="263">
        <f>ROUND(H368*(-EG362),2)</f>
        <v>0.12</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ROUND(-0.03+(DH368*-EG362),2)</f>
        <v>-0.03</v>
      </c>
      <c r="DI364" s="267"/>
      <c r="DJ364" s="267"/>
      <c r="DK364" s="267"/>
      <c r="DL364" s="267"/>
      <c r="DM364" s="267"/>
      <c r="DN364" s="267"/>
      <c r="DO364" s="267"/>
      <c r="DP364" s="267">
        <v>0.44</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ROUND(EM368*-EG362,2)</f>
        <v>-2.16</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-0.12</v>
      </c>
      <c r="GD364" s="268">
        <f t="shared" si="65"/>
        <v>2.46E-2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
      <c r="A365" s="257" t="s">
        <v>1539</v>
      </c>
      <c r="B365" s="257" t="str">
        <f>IF(Technologies!B365&lt;&gt;0,Technologies!B365,"")</f>
        <v>Industrie</v>
      </c>
      <c r="C365" s="257" t="str">
        <f>VLOOKUP($A365,Technologies!$A$7:$H$577,3,FALSE)</f>
        <v>Conversion</v>
      </c>
      <c r="D365" s="257" t="str">
        <f>VLOOKUP($A365,Technologies!$A$7:$H$577,4,FALSE)</f>
        <v>Refineries</v>
      </c>
      <c r="E365" s="257" t="str">
        <f>VLOOKUP($A365,Technologies!$A$7:$H$577,6,FALSE)</f>
        <v>E-Kerosene</v>
      </c>
      <c r="F365" s="269" t="str">
        <f>VLOOKUP($A365,Technologies!$A$7:$H$577,7,FALSE)</f>
        <v>E-Kerosene oriented methanol to fuels incl. methanol production</v>
      </c>
      <c r="G365" s="263"/>
      <c r="H365" s="263">
        <f>ROUND(H373*-EI363,2)</f>
        <v>0.13</v>
      </c>
      <c r="I365" s="265" cm="1">
        <f t="array" ref="I365">-SUMPRODUCT((Feedstocks!$C$4:$C$141=A365)*Feedstocks!$E$4:$E$141,Feedstocks!$F$4:$F$141,Feedstocks!$H$4:$H$141,Feedstocks!$I$4:$I$141)</f>
        <v>0</v>
      </c>
      <c r="J365" s="265" cm="1">
        <f t="array" ref="J365">-SUMPRODUCT((Feedstocks!$C$4:$C$141=A365)*Feedstocks!$E$4:$E$141,Feedstocks!$H$4:$H$141,Feedstocks!$I$4:$I$141)</f>
        <v>0</v>
      </c>
      <c r="K365" s="265"/>
      <c r="L365" s="265"/>
      <c r="M365" s="263">
        <v>1</v>
      </c>
      <c r="N365" s="263" t="s">
        <v>320</v>
      </c>
      <c r="O365" s="263"/>
      <c r="P365" s="266"/>
      <c r="Q365" s="267"/>
      <c r="R365" s="267"/>
      <c r="S365" s="267"/>
      <c r="T365" s="267"/>
      <c r="U365" s="267"/>
      <c r="V365" s="267"/>
      <c r="W365" s="267"/>
      <c r="X365" s="267"/>
      <c r="Y365" s="267"/>
      <c r="Z365" s="267"/>
      <c r="AA365" s="267"/>
      <c r="AB365" s="267"/>
      <c r="AC365" s="267"/>
      <c r="AD365" s="267"/>
      <c r="AE365" s="267"/>
      <c r="AF365" s="267"/>
      <c r="AG365" s="267"/>
      <c r="AH365" s="267"/>
      <c r="AI365" s="267"/>
      <c r="AJ365" s="267"/>
      <c r="AK365" s="267"/>
      <c r="AL365" s="267"/>
      <c r="AM365" s="267"/>
      <c r="AN365" s="267"/>
      <c r="AO365" s="267"/>
      <c r="AP365" s="267"/>
      <c r="AQ365" s="267"/>
      <c r="AR365" s="267"/>
      <c r="AS365" s="267"/>
      <c r="AT365" s="267"/>
      <c r="AU365" s="267"/>
      <c r="AV365" s="267"/>
      <c r="AW365" s="267"/>
      <c r="AX365" s="267"/>
      <c r="AY365" s="267"/>
      <c r="AZ365" s="267"/>
      <c r="BA365" s="267"/>
      <c r="BB365" s="267"/>
      <c r="BC365" s="267"/>
      <c r="BD365" s="267"/>
      <c r="BE365" s="267"/>
      <c r="BF365" s="267"/>
      <c r="BG365" s="267"/>
      <c r="BH365" s="267"/>
      <c r="BI365" s="267"/>
      <c r="BJ365" s="267"/>
      <c r="BK365" s="267"/>
      <c r="BL365" s="267"/>
      <c r="BM365" s="267"/>
      <c r="BN365" s="267"/>
      <c r="BO365" s="267"/>
      <c r="BP365" s="267"/>
      <c r="BQ365" s="267"/>
      <c r="BR365" s="267"/>
      <c r="BS365" s="267"/>
      <c r="BT365" s="267"/>
      <c r="BU365" s="267"/>
      <c r="BV365" s="267"/>
      <c r="BW365" s="267"/>
      <c r="BX365" s="267"/>
      <c r="BY365" s="267"/>
      <c r="BZ365" s="267"/>
      <c r="CA365" s="267"/>
      <c r="CB365" s="267"/>
      <c r="CC365" s="267"/>
      <c r="CD365" s="267"/>
      <c r="CE365" s="267"/>
      <c r="CF365" s="267"/>
      <c r="CG365" s="267"/>
      <c r="CH365" s="267"/>
      <c r="CI365" s="267"/>
      <c r="CJ365" s="267"/>
      <c r="CK365" s="267"/>
      <c r="CL365" s="267"/>
      <c r="CM365" s="267"/>
      <c r="CN365" s="267"/>
      <c r="CO365" s="267"/>
      <c r="CP365" s="267"/>
      <c r="CQ365" s="267"/>
      <c r="CR365" s="267"/>
      <c r="CS365" s="267"/>
      <c r="CT365" s="267"/>
      <c r="CU365" s="267"/>
      <c r="CV365" s="267"/>
      <c r="CW365" s="267"/>
      <c r="CX365" s="267"/>
      <c r="CY365" s="267"/>
      <c r="CZ365" s="267"/>
      <c r="DA365" s="267"/>
      <c r="DB365" s="267"/>
      <c r="DC365" s="267"/>
      <c r="DD365" s="267"/>
      <c r="DE365" s="267"/>
      <c r="DF365" s="267"/>
      <c r="DG365" s="267"/>
      <c r="DH365" s="267">
        <f>ROUND(-0.02+(DH373*-EI363),2)</f>
        <v>-0.11</v>
      </c>
      <c r="DI365" s="267"/>
      <c r="DJ365" s="267"/>
      <c r="DK365" s="267"/>
      <c r="DL365" s="267"/>
      <c r="DM365" s="267"/>
      <c r="DN365" s="267"/>
      <c r="DO365" s="267"/>
      <c r="DP365" s="267">
        <v>-0.21</v>
      </c>
      <c r="DQ365" s="267"/>
      <c r="DR365" s="267"/>
      <c r="DS365" s="267"/>
      <c r="DT365" s="267"/>
      <c r="DU365" s="267"/>
      <c r="DV365" s="267"/>
      <c r="DW365" s="267"/>
      <c r="DX365" s="267"/>
      <c r="DY365" s="267"/>
      <c r="DZ365" s="267"/>
      <c r="EA365" s="267"/>
      <c r="EB365" s="267"/>
      <c r="EC365" s="267"/>
      <c r="ED365" s="267">
        <v>0.33</v>
      </c>
      <c r="EE365" s="267"/>
      <c r="EF365" s="267"/>
      <c r="EG365" s="267"/>
      <c r="EH365" s="267">
        <v>1</v>
      </c>
      <c r="EI365" s="267"/>
      <c r="EJ365" s="267"/>
      <c r="EK365" s="267"/>
      <c r="EL365" s="267"/>
      <c r="EM365" s="267">
        <f>ROUND(EM373*-EI363,2)</f>
        <v>-2.0699999999999998</v>
      </c>
      <c r="EN365" s="267"/>
      <c r="EO365" s="267"/>
      <c r="EP365" s="267"/>
      <c r="EQ365" s="267"/>
      <c r="ER365" s="267"/>
      <c r="ES365" s="267"/>
      <c r="ET365" s="267"/>
      <c r="EU365" s="267"/>
      <c r="EV365" s="267"/>
      <c r="EW365" s="267"/>
      <c r="EX365" s="267"/>
      <c r="EY365" s="267"/>
      <c r="EZ365" s="267"/>
      <c r="FA365" s="267"/>
      <c r="FB365" s="267"/>
      <c r="FC365" s="267"/>
      <c r="FD365" s="267"/>
      <c r="FE365" s="267"/>
      <c r="FF365" s="267"/>
      <c r="FG365" s="267"/>
      <c r="FH365" s="267"/>
      <c r="FI365" s="267"/>
      <c r="FJ365" s="267"/>
      <c r="FK365" s="267"/>
      <c r="FL365" s="267"/>
      <c r="FM365" s="267"/>
      <c r="FN365" s="267"/>
      <c r="FO365" s="267"/>
      <c r="FP365" s="267"/>
      <c r="FQ365" s="267"/>
      <c r="FR365" s="267"/>
      <c r="FS365" s="267"/>
      <c r="FT365" s="267"/>
      <c r="FU365" s="267"/>
      <c r="FV365" s="267"/>
      <c r="FW365" s="267"/>
      <c r="FX365" s="267"/>
      <c r="FY365" s="267"/>
      <c r="FZ365" s="267"/>
      <c r="GA365" s="267"/>
      <c r="GB365" s="322"/>
      <c r="GC365" s="268">
        <f t="shared" si="64"/>
        <v>-0.13</v>
      </c>
      <c r="GD365" s="268">
        <f t="shared" si="65"/>
        <v>3.4599999999999999E-2</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2" customFormat="1" x14ac:dyDescent="0.3">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90"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4">
        <f>GC366</f>
        <v>9.3899999999999997E-2</v>
      </c>
      <c r="GC366" s="268">
        <f t="shared" si="64"/>
        <v>9.3899999999999997E-2</v>
      </c>
      <c r="GD366" s="268">
        <f t="shared" si="65"/>
        <v>-0.16789999999999999</v>
      </c>
      <c r="GE366" s="268">
        <f t="shared" si="66"/>
        <v>0</v>
      </c>
      <c r="GF366" s="268">
        <f t="shared" si="67"/>
        <v>0</v>
      </c>
      <c r="GG366" s="268">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8" customFormat="1" x14ac:dyDescent="0.3">
      <c r="A367" s="328"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1"/>
      <c r="I367" s="104" cm="1">
        <f t="array" ref="I367">-SUMPRODUCT((Feedstocks!$C$4:$C$141=A367)*Feedstocks!$E$4:$E$141,Feedstocks!$F$4:$F$141,Feedstocks!$H$4:$H$141,Feedstocks!$I$4:$I$141)</f>
        <v>0</v>
      </c>
      <c r="J367" s="104" cm="1">
        <f t="array" ref="J367">-SUMPRODUCT((Feedstocks!$C$4:$C$141=A367)*Feedstocks!$E$4:$E$141,Feedstocks!$H$4:$H$141,Feedstocks!$I$4:$I$141)</f>
        <v>0</v>
      </c>
      <c r="K367" s="352"/>
      <c r="L367" s="352"/>
      <c r="M367" s="351">
        <v>1</v>
      </c>
      <c r="N367" s="23" t="str">
        <f>VLOOKUP(E367,Activities!$A$9:$M$227,13,FALSE)</f>
        <v>NL</v>
      </c>
      <c r="O367" s="351"/>
      <c r="P367" s="290" t="s">
        <v>1831</v>
      </c>
      <c r="Q367" s="353"/>
      <c r="R367" s="353"/>
      <c r="S367" s="353"/>
      <c r="T367" s="353"/>
      <c r="U367" s="353"/>
      <c r="V367" s="353"/>
      <c r="W367" s="353"/>
      <c r="X367" s="353"/>
      <c r="Y367" s="353"/>
      <c r="Z367" s="353"/>
      <c r="AA367" s="353"/>
      <c r="AB367" s="353"/>
      <c r="AC367" s="353"/>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3"/>
      <c r="BD367" s="353"/>
      <c r="BE367" s="353"/>
      <c r="BF367" s="353"/>
      <c r="BG367" s="353"/>
      <c r="BH367" s="353"/>
      <c r="BI367" s="353"/>
      <c r="BJ367" s="353"/>
      <c r="BK367" s="353"/>
      <c r="BL367" s="353"/>
      <c r="BM367" s="353"/>
      <c r="BN367" s="353"/>
      <c r="BO367" s="353"/>
      <c r="BP367" s="353"/>
      <c r="BQ367" s="353"/>
      <c r="BR367" s="353"/>
      <c r="BS367" s="353"/>
      <c r="BT367" s="353"/>
      <c r="BU367" s="353"/>
      <c r="BV367" s="353"/>
      <c r="BW367" s="353"/>
      <c r="BX367" s="353"/>
      <c r="BY367" s="353"/>
      <c r="BZ367" s="353"/>
      <c r="CA367" s="353"/>
      <c r="CB367" s="353"/>
      <c r="CC367" s="353"/>
      <c r="CD367" s="353"/>
      <c r="CE367" s="353"/>
      <c r="CF367" s="353"/>
      <c r="CG367" s="353"/>
      <c r="CH367" s="353"/>
      <c r="CI367" s="353"/>
      <c r="CJ367" s="353"/>
      <c r="CK367" s="353"/>
      <c r="CL367" s="353"/>
      <c r="CM367" s="353"/>
      <c r="CN367" s="353"/>
      <c r="CO367" s="353"/>
      <c r="CP367" s="353"/>
      <c r="CQ367" s="353"/>
      <c r="CR367" s="353"/>
      <c r="CS367" s="353"/>
      <c r="CT367" s="353"/>
      <c r="CU367" s="353"/>
      <c r="CV367" s="353"/>
      <c r="CW367" s="353"/>
      <c r="CX367" s="353"/>
      <c r="CY367" s="353"/>
      <c r="CZ367" s="353"/>
      <c r="DA367" s="353"/>
      <c r="DB367" s="353"/>
      <c r="DC367" s="353"/>
      <c r="DD367" s="353"/>
      <c r="DE367" s="353"/>
      <c r="DF367" s="353"/>
      <c r="DG367" s="353"/>
      <c r="DH367" s="388">
        <v>-1.2099332676061682E-3</v>
      </c>
      <c r="DI367" s="353"/>
      <c r="DJ367" s="353"/>
      <c r="DK367" s="353"/>
      <c r="DL367" s="353"/>
      <c r="DM367" s="353"/>
      <c r="DN367" s="353"/>
      <c r="DO367" s="353">
        <v>-0.69856540643296117</v>
      </c>
      <c r="DP367" s="353"/>
      <c r="DQ367" s="353"/>
      <c r="DR367" s="353"/>
      <c r="DS367" s="353"/>
      <c r="DT367" s="353"/>
      <c r="DU367" s="353"/>
      <c r="DV367" s="353"/>
      <c r="DW367" s="353"/>
      <c r="DX367" s="353"/>
      <c r="DY367" s="353"/>
      <c r="DZ367" s="353"/>
      <c r="EA367" s="353"/>
      <c r="EB367" s="353"/>
      <c r="EC367" s="353"/>
      <c r="ED367" s="353"/>
      <c r="EE367" s="353"/>
      <c r="EF367" s="353"/>
      <c r="EG367" s="353">
        <v>1</v>
      </c>
      <c r="EH367" s="353"/>
      <c r="EI367" s="353"/>
      <c r="EJ367" s="353"/>
      <c r="EK367" s="353"/>
      <c r="EL367" s="353"/>
      <c r="EM367" s="353"/>
      <c r="EN367" s="353"/>
      <c r="EO367" s="353"/>
      <c r="EP367" s="353"/>
      <c r="EQ367" s="353"/>
      <c r="ER367" s="35">
        <v>-2.4634811357447797</v>
      </c>
      <c r="ES367" s="353"/>
      <c r="ET367" s="353"/>
      <c r="EU367" s="353"/>
      <c r="EV367" s="353"/>
      <c r="EW367" s="353"/>
      <c r="EX367" s="353"/>
      <c r="EY367" s="353"/>
      <c r="EZ367" s="353"/>
      <c r="FA367" s="353"/>
      <c r="FB367" s="353"/>
      <c r="FC367" s="353"/>
      <c r="FD367" s="353"/>
      <c r="FE367" s="353"/>
      <c r="FF367" s="353"/>
      <c r="FG367" s="353"/>
      <c r="FH367" s="353"/>
      <c r="FI367" s="353"/>
      <c r="FJ367" s="353"/>
      <c r="FK367" s="353"/>
      <c r="FL367" s="353"/>
      <c r="FM367" s="353"/>
      <c r="FN367" s="353"/>
      <c r="FO367" s="353"/>
      <c r="FP367" s="353"/>
      <c r="FQ367" s="353"/>
      <c r="FR367" s="353"/>
      <c r="FS367" s="353"/>
      <c r="FT367" s="353"/>
      <c r="FU367" s="353"/>
      <c r="FV367" s="353"/>
      <c r="FW367" s="353"/>
      <c r="FX367" s="353"/>
      <c r="FY367" s="353"/>
      <c r="FZ367" s="353"/>
      <c r="GA367" s="353"/>
      <c r="GB367" s="354">
        <f>GC367</f>
        <v>0.18579999999999999</v>
      </c>
      <c r="GC367" s="179">
        <f t="shared" si="64"/>
        <v>0.18579999999999999</v>
      </c>
      <c r="GD367" s="179">
        <f t="shared" si="65"/>
        <v>-0.25979999999999998</v>
      </c>
      <c r="GE367" s="179">
        <f t="shared" si="66"/>
        <v>0</v>
      </c>
      <c r="GF367" s="179">
        <f t="shared" si="67"/>
        <v>0</v>
      </c>
      <c r="GG367" s="179">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8">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20"/>
      <c r="GC368" s="180">
        <f t="shared" si="64"/>
        <v>-7.8E-2</v>
      </c>
      <c r="GD368" s="180">
        <f t="shared" si="65"/>
        <v>4.0000000000000001E-3</v>
      </c>
      <c r="GE368" s="180">
        <f t="shared" si="66"/>
        <v>0</v>
      </c>
      <c r="GF368" s="180">
        <f t="shared" si="67"/>
        <v>0</v>
      </c>
      <c r="GG368" s="180">
        <f t="shared" si="69"/>
        <v>0</v>
      </c>
    </row>
    <row r="369" spans="1:342" x14ac:dyDescent="0.3">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9">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9"/>
      <c r="GC369" s="179">
        <f t="shared" si="64"/>
        <v>-7.3999999999999996E-2</v>
      </c>
      <c r="GD369" s="179">
        <f t="shared" si="65"/>
        <v>0</v>
      </c>
      <c r="GE369" s="179">
        <f t="shared" si="66"/>
        <v>0</v>
      </c>
      <c r="GF369" s="179">
        <f t="shared" si="67"/>
        <v>0</v>
      </c>
      <c r="GG369" s="179">
        <f t="shared" si="69"/>
        <v>0</v>
      </c>
    </row>
    <row r="370" spans="1:342" s="262" customFormat="1" x14ac:dyDescent="0.3">
      <c r="A370" s="257" t="s">
        <v>1551</v>
      </c>
      <c r="B370" s="291" t="str">
        <f>IF(Technologies!B370&lt;&gt;0,Technologies!B370,"")</f>
        <v>Industrie</v>
      </c>
      <c r="C370" s="291" t="str">
        <f>VLOOKUP($A370,Technologies!$A$7:$H$577,3,FALSE)</f>
        <v>Conversion</v>
      </c>
      <c r="D370" s="291" t="str">
        <f>VLOOKUP($A370,Technologies!$A$7:$H$577,4,FALSE)</f>
        <v>Refineries</v>
      </c>
      <c r="E370" s="291" t="str">
        <f>VLOOKUP($A370,Technologies!$A$7:$H$577,6,FALSE)</f>
        <v>Syngas</v>
      </c>
      <c r="F370" s="257" t="str">
        <f>VLOOKUP($A370,Technologies!$A$7:$H$577,7,FALSE)</f>
        <v>Syngas from eSMR</v>
      </c>
      <c r="G370" s="263"/>
      <c r="H370" s="264"/>
      <c r="I370" s="265" cm="1">
        <f t="array" ref="I370">-SUMPRODUCT((Feedstocks!$C$4:$C$141=A370)*Feedstocks!$E$4:$E$141,Feedstocks!$F$4:$F$141,Feedstocks!$H$4:$H$141,Feedstocks!$I$4:$I$141)</f>
        <v>0</v>
      </c>
      <c r="J370" s="265" cm="1">
        <f t="array" ref="J370">-SUMPRODUCT((Feedstocks!$C$4:$C$141=A370)*Feedstocks!$E$4:$E$141,Feedstocks!$H$4:$H$141,Feedstocks!$I$4:$I$141)</f>
        <v>0</v>
      </c>
      <c r="K370" s="265"/>
      <c r="L370" s="265"/>
      <c r="M370" s="263">
        <v>1</v>
      </c>
      <c r="N370" s="263" t="str">
        <f>VLOOKUP(E370,Activities!$A$9:$M$227,13,FALSE)</f>
        <v>NL</v>
      </c>
      <c r="O370" s="263"/>
      <c r="P370" s="266"/>
      <c r="Q370" s="267"/>
      <c r="R370" s="267"/>
      <c r="S370" s="267"/>
      <c r="T370" s="267"/>
      <c r="U370" s="267"/>
      <c r="V370" s="267"/>
      <c r="W370" s="267"/>
      <c r="X370" s="267"/>
      <c r="Y370" s="267"/>
      <c r="Z370" s="267"/>
      <c r="AA370" s="267"/>
      <c r="AB370" s="267"/>
      <c r="AC370" s="267"/>
      <c r="AD370" s="267"/>
      <c r="AE370" s="267"/>
      <c r="AF370" s="267"/>
      <c r="AG370" s="267"/>
      <c r="AH370" s="267"/>
      <c r="AI370" s="267"/>
      <c r="AJ370" s="267"/>
      <c r="AK370" s="267"/>
      <c r="AL370" s="267"/>
      <c r="AM370" s="267"/>
      <c r="AN370" s="267"/>
      <c r="AO370" s="267"/>
      <c r="AP370" s="267"/>
      <c r="AQ370" s="267"/>
      <c r="AR370" s="267"/>
      <c r="AS370" s="267"/>
      <c r="AT370" s="267"/>
      <c r="AU370" s="267"/>
      <c r="AV370" s="267"/>
      <c r="AW370" s="267"/>
      <c r="AX370" s="267"/>
      <c r="AY370" s="267"/>
      <c r="AZ370" s="267"/>
      <c r="BA370" s="267"/>
      <c r="BB370" s="267"/>
      <c r="BC370" s="267"/>
      <c r="BD370" s="267"/>
      <c r="BE370" s="267"/>
      <c r="BF370" s="267"/>
      <c r="BG370" s="267"/>
      <c r="BH370" s="267"/>
      <c r="BI370" s="267"/>
      <c r="BJ370" s="267"/>
      <c r="BK370" s="267"/>
      <c r="BL370" s="267"/>
      <c r="BM370" s="267"/>
      <c r="BN370" s="267"/>
      <c r="BO370" s="267"/>
      <c r="BP370" s="267"/>
      <c r="BQ370" s="267"/>
      <c r="BR370" s="267"/>
      <c r="BS370" s="267"/>
      <c r="BT370" s="267"/>
      <c r="BU370" s="267"/>
      <c r="BV370" s="267"/>
      <c r="BW370" s="267"/>
      <c r="BX370" s="267"/>
      <c r="BY370" s="267"/>
      <c r="BZ370" s="267"/>
      <c r="CA370" s="267"/>
      <c r="CB370" s="267"/>
      <c r="CC370" s="267"/>
      <c r="CD370" s="267"/>
      <c r="CE370" s="267"/>
      <c r="CF370" s="267"/>
      <c r="CG370" s="267"/>
      <c r="CH370" s="267"/>
      <c r="CI370" s="267"/>
      <c r="CJ370" s="267"/>
      <c r="CK370" s="267"/>
      <c r="CL370" s="267"/>
      <c r="CM370" s="267"/>
      <c r="CN370" s="267"/>
      <c r="CO370" s="267"/>
      <c r="CP370" s="267"/>
      <c r="CQ370" s="267"/>
      <c r="CR370" s="267"/>
      <c r="CS370" s="267"/>
      <c r="CT370" s="267"/>
      <c r="CU370" s="267"/>
      <c r="CV370" s="267"/>
      <c r="CW370" s="267"/>
      <c r="CX370" s="267"/>
      <c r="CY370" s="267"/>
      <c r="CZ370" s="267"/>
      <c r="DA370" s="267"/>
      <c r="DB370" s="267"/>
      <c r="DC370" s="267"/>
      <c r="DD370" s="267"/>
      <c r="DE370" s="267"/>
      <c r="DF370" s="267"/>
      <c r="DG370" s="267"/>
      <c r="DH370" s="267">
        <v>-0.27200000000000002</v>
      </c>
      <c r="DI370" s="267"/>
      <c r="DJ370" s="267"/>
      <c r="DK370" s="267"/>
      <c r="DL370" s="267"/>
      <c r="DM370" s="267"/>
      <c r="DN370" s="267"/>
      <c r="DO370" s="267"/>
      <c r="DP370" s="267"/>
      <c r="DQ370" s="267"/>
      <c r="DR370" s="267"/>
      <c r="DS370" s="267"/>
      <c r="DT370" s="267"/>
      <c r="DU370" s="267"/>
      <c r="DV370" s="267"/>
      <c r="DW370" s="267"/>
      <c r="DX370" s="267"/>
      <c r="DY370" s="267"/>
      <c r="DZ370" s="267"/>
      <c r="EA370" s="267"/>
      <c r="EB370" s="267"/>
      <c r="EC370" s="267"/>
      <c r="ED370" s="267"/>
      <c r="EE370" s="267"/>
      <c r="EF370" s="267"/>
      <c r="EG370" s="267">
        <v>1</v>
      </c>
      <c r="EH370" s="267"/>
      <c r="EI370" s="267"/>
      <c r="EJ370" s="267">
        <f>-3.6/(0.187*14.4)</f>
        <v>-1.3368983957219251</v>
      </c>
      <c r="EK370" s="267"/>
      <c r="EL370" s="267"/>
      <c r="EM370" s="267"/>
      <c r="EN370" s="267"/>
      <c r="EO370" s="267"/>
      <c r="EP370" s="267"/>
      <c r="EQ370" s="267"/>
      <c r="ER370" s="267"/>
      <c r="ES370" s="267"/>
      <c r="ET370" s="267"/>
      <c r="EU370" s="267"/>
      <c r="EV370" s="267"/>
      <c r="EW370" s="267"/>
      <c r="EX370" s="267"/>
      <c r="EY370" s="267"/>
      <c r="EZ370" s="267"/>
      <c r="FA370" s="267"/>
      <c r="FB370" s="267"/>
      <c r="FC370" s="267"/>
      <c r="FD370" s="267"/>
      <c r="FE370" s="267"/>
      <c r="FF370" s="267"/>
      <c r="FG370" s="267"/>
      <c r="FH370" s="267"/>
      <c r="FI370" s="267"/>
      <c r="FJ370" s="267"/>
      <c r="FK370" s="267"/>
      <c r="FL370" s="267"/>
      <c r="FM370" s="267"/>
      <c r="FN370" s="267"/>
      <c r="FO370" s="267"/>
      <c r="FP370" s="267"/>
      <c r="FQ370" s="267"/>
      <c r="FR370" s="267"/>
      <c r="FS370" s="267"/>
      <c r="FT370" s="267"/>
      <c r="FU370" s="267"/>
      <c r="FV370" s="267"/>
      <c r="FW370" s="267"/>
      <c r="FX370" s="267"/>
      <c r="FY370" s="267"/>
      <c r="FZ370" s="267"/>
      <c r="GA370" s="267"/>
      <c r="GB370" s="322"/>
      <c r="GC370" s="268">
        <f t="shared" ref="GC370:GC401" si="70">ROUND(IF($C370="Primary",0,-$G370*(SUMPRODUCT($Q$4:$GA$4,$Q370:$GA370)+$J370)-$H370)*IF($N370=GC$4,1,0),4)</f>
        <v>0</v>
      </c>
      <c r="GD370" s="268">
        <f t="shared" ref="GD370:GD401" si="71">ROUND(IF($C370="Primary",0,$M370*(1-$O370)*($G370*(SUMPRODUCT($Q$4:$GA$4,$Q370:$GA370)+$J370)+$H370-SUMPRODUCT($Q$5:$GA$5,$Q370:$GA370)-$I370+$K370))*IF($N370=GD$4,1,0),4)</f>
        <v>1.6999999999999999E-3</v>
      </c>
      <c r="GE370" s="268">
        <f t="shared" ref="GE370:GE401" si="72">ROUND(IF($C370="Primary",0,(1-$M370)*(1-$O370)*($G370*(SUMPRODUCT($Q$4:$GA$4,$Q370:$GA370)+$J370)+$H370-SUMPRODUCT($Q$5:$GA$5,$Q370:$GA370)-$I370+$L370))*IF($N370=GD$4,1,0),4)</f>
        <v>0</v>
      </c>
      <c r="GF370" s="268"/>
      <c r="GG370" s="268">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8"/>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20"/>
      <c r="GC371" s="180">
        <f t="shared" si="70"/>
        <v>0</v>
      </c>
      <c r="GD371" s="180">
        <f t="shared" si="71"/>
        <v>2.9999999999999997E-4</v>
      </c>
      <c r="GE371" s="180">
        <f t="shared" si="72"/>
        <v>0</v>
      </c>
      <c r="GF371" s="180">
        <f t="shared" ref="GF371:GF402" si="73">ROUND(IF($C371="Primary",0,$O371*($G371*(SUMPRODUCT($Q$4:$GA$4,$Q371:$GA371)+$J371)-SUMPRODUCT($Q$5:$GA$5,$Q371:$GA371)-$I371))*IF($N371=GD$4,1,0),4)</f>
        <v>0</v>
      </c>
      <c r="GG371" s="180">
        <f t="shared" si="69"/>
        <v>0</v>
      </c>
    </row>
    <row r="372" spans="1:342" x14ac:dyDescent="0.3">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9">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10"/>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9"/>
      <c r="GC372" s="179">
        <f t="shared" si="70"/>
        <v>-7.3999999999999996E-2</v>
      </c>
      <c r="GD372" s="179">
        <f t="shared" si="71"/>
        <v>6.0000000000000001E-3</v>
      </c>
      <c r="GE372" s="179">
        <f t="shared" si="72"/>
        <v>0</v>
      </c>
      <c r="GF372" s="179">
        <f t="shared" si="73"/>
        <v>0</v>
      </c>
      <c r="GG372" s="179">
        <f t="shared" si="69"/>
        <v>0</v>
      </c>
    </row>
    <row r="373" spans="1:342" s="311" customFormat="1" x14ac:dyDescent="0.3">
      <c r="A373" s="291" t="s">
        <v>1560</v>
      </c>
      <c r="B373" s="291" t="str">
        <f>IF(Technologies!B373&lt;&gt;0,Technologies!B373,"")</f>
        <v>Industrie</v>
      </c>
      <c r="C373" s="291" t="str">
        <f>VLOOKUP($A373,Technologies!$A$7:$H$577,3,FALSE)</f>
        <v>Conversion</v>
      </c>
      <c r="D373" s="291" t="str">
        <f>VLOOKUP($A373,Technologies!$A$7:$H$577,4,FALSE)</f>
        <v>Refineries</v>
      </c>
      <c r="E373" s="291" t="str">
        <f>VLOOKUP($A373,Technologies!$A$7:$H$577,6,FALSE)</f>
        <v>Methanol</v>
      </c>
      <c r="F373" s="291" t="str">
        <f>VLOOKUP($A373,Technologies!$A$7:$H$577,7,FALSE)</f>
        <v>E-Methanol direct synthesis from CO2 and H2 - Refineries</v>
      </c>
      <c r="G373" s="312"/>
      <c r="H373" s="313">
        <v>7.3999999999999996E-2</v>
      </c>
      <c r="I373" s="314" cm="1">
        <f t="array" ref="I373">-SUMPRODUCT((Feedstocks!$C$4:$C$141=A373)*Feedstocks!$E$4:$E$141,Feedstocks!$F$4:$F$141,Feedstocks!$H$4:$H$141,Feedstocks!$I$4:$I$141)</f>
        <v>0</v>
      </c>
      <c r="J373" s="314" cm="1">
        <f t="array" ref="J373">-SUMPRODUCT((Feedstocks!$C$4:$C$141=A373)*Feedstocks!$E$4:$E$141,Feedstocks!$H$4:$H$141,Feedstocks!$I$4:$I$141)</f>
        <v>0</v>
      </c>
      <c r="K373" s="315"/>
      <c r="L373" s="314"/>
      <c r="M373" s="312">
        <v>1</v>
      </c>
      <c r="N373" s="312" t="str">
        <f>VLOOKUP(E373,Activities!$A$9:$M$227,13,FALSE)</f>
        <v>NL</v>
      </c>
      <c r="O373" s="312"/>
      <c r="P373" s="309" t="s">
        <v>1559</v>
      </c>
      <c r="Q373" s="316"/>
      <c r="R373" s="316"/>
      <c r="S373" s="316"/>
      <c r="T373" s="316"/>
      <c r="U373" s="316"/>
      <c r="V373" s="316"/>
      <c r="W373" s="316"/>
      <c r="X373" s="316"/>
      <c r="Y373" s="316"/>
      <c r="Z373" s="316"/>
      <c r="AA373" s="316"/>
      <c r="AB373" s="316"/>
      <c r="AC373" s="316"/>
      <c r="AD373" s="316"/>
      <c r="AE373" s="316"/>
      <c r="AF373" s="316"/>
      <c r="AG373" s="316"/>
      <c r="AH373" s="316"/>
      <c r="AI373" s="316"/>
      <c r="AJ373" s="316"/>
      <c r="AK373" s="316"/>
      <c r="AL373" s="316"/>
      <c r="AM373" s="316"/>
      <c r="AN373" s="316"/>
      <c r="AO373" s="316"/>
      <c r="AP373" s="316"/>
      <c r="AQ373" s="316"/>
      <c r="AR373" s="316"/>
      <c r="AS373" s="316"/>
      <c r="AT373" s="316"/>
      <c r="AU373" s="316"/>
      <c r="AV373" s="316"/>
      <c r="AW373" s="316"/>
      <c r="AX373" s="316"/>
      <c r="AY373" s="316"/>
      <c r="AZ373" s="316"/>
      <c r="BA373" s="316"/>
      <c r="BB373" s="316"/>
      <c r="BC373" s="316"/>
      <c r="BD373" s="316"/>
      <c r="BE373" s="316"/>
      <c r="BF373" s="316"/>
      <c r="BG373" s="316"/>
      <c r="BH373" s="316"/>
      <c r="BI373" s="316"/>
      <c r="BJ373" s="316"/>
      <c r="BK373" s="316"/>
      <c r="BL373" s="316"/>
      <c r="BM373" s="316"/>
      <c r="BN373" s="316"/>
      <c r="BO373" s="316"/>
      <c r="BP373" s="316"/>
      <c r="BQ373" s="316"/>
      <c r="BR373" s="316"/>
      <c r="BS373" s="316"/>
      <c r="BT373" s="316"/>
      <c r="BU373" s="316"/>
      <c r="BV373" s="316"/>
      <c r="BW373" s="316"/>
      <c r="BX373" s="316"/>
      <c r="BY373" s="316"/>
      <c r="BZ373" s="316"/>
      <c r="CA373" s="316"/>
      <c r="CB373" s="316"/>
      <c r="CC373" s="316"/>
      <c r="CD373" s="316"/>
      <c r="CE373" s="316"/>
      <c r="CF373" s="316"/>
      <c r="CG373" s="316"/>
      <c r="CH373" s="316"/>
      <c r="CI373" s="316"/>
      <c r="CJ373" s="316"/>
      <c r="CK373" s="316"/>
      <c r="CL373" s="316"/>
      <c r="CM373" s="316"/>
      <c r="CN373" s="316"/>
      <c r="CO373" s="316"/>
      <c r="CP373" s="316"/>
      <c r="CQ373" s="316"/>
      <c r="CR373" s="316"/>
      <c r="CS373" s="316"/>
      <c r="CT373" s="316"/>
      <c r="CU373" s="316"/>
      <c r="CV373" s="316"/>
      <c r="CW373" s="316"/>
      <c r="CX373" s="316"/>
      <c r="CY373" s="316"/>
      <c r="CZ373" s="316"/>
      <c r="DA373" s="316"/>
      <c r="DB373" s="316"/>
      <c r="DC373" s="316"/>
      <c r="DD373" s="316"/>
      <c r="DE373" s="316"/>
      <c r="DF373" s="316"/>
      <c r="DG373" s="316"/>
      <c r="DH373" s="316">
        <v>-0.05</v>
      </c>
      <c r="DI373" s="316"/>
      <c r="DJ373" s="316"/>
      <c r="DK373" s="316"/>
      <c r="DL373" s="316"/>
      <c r="DM373" s="316"/>
      <c r="DN373" s="316"/>
      <c r="DO373" s="316"/>
      <c r="DP373" s="316">
        <v>0.09</v>
      </c>
      <c r="DQ373" s="316"/>
      <c r="DR373" s="316"/>
      <c r="DS373" s="316"/>
      <c r="DT373" s="316"/>
      <c r="DU373" s="316"/>
      <c r="DV373" s="316"/>
      <c r="DW373" s="316"/>
      <c r="DX373" s="316"/>
      <c r="DY373" s="316"/>
      <c r="DZ373" s="316"/>
      <c r="EA373" s="316"/>
      <c r="EB373" s="316"/>
      <c r="EC373" s="316"/>
      <c r="ED373" s="316"/>
      <c r="EE373" s="316"/>
      <c r="EF373" s="316"/>
      <c r="EG373" s="316"/>
      <c r="EH373" s="316"/>
      <c r="EI373" s="316">
        <v>1</v>
      </c>
      <c r="EJ373" s="316"/>
      <c r="EK373" s="316"/>
      <c r="EL373" s="316"/>
      <c r="EM373" s="316">
        <v>-1.22</v>
      </c>
      <c r="EN373" s="316"/>
      <c r="EO373" s="316"/>
      <c r="EP373" s="316"/>
      <c r="EQ373" s="316"/>
      <c r="ER373" s="316"/>
      <c r="ES373" s="316"/>
      <c r="ET373" s="316"/>
      <c r="EU373" s="316"/>
      <c r="EV373" s="316"/>
      <c r="EW373" s="316"/>
      <c r="EX373" s="316"/>
      <c r="EY373" s="316"/>
      <c r="EZ373" s="316"/>
      <c r="FA373" s="316"/>
      <c r="FB373" s="316"/>
      <c r="FC373" s="316"/>
      <c r="FD373" s="316"/>
      <c r="FE373" s="316"/>
      <c r="FF373" s="316"/>
      <c r="FG373" s="316"/>
      <c r="FH373" s="316"/>
      <c r="FI373" s="316"/>
      <c r="FJ373" s="316"/>
      <c r="FK373" s="316"/>
      <c r="FL373" s="316"/>
      <c r="FM373" s="316"/>
      <c r="FN373" s="316"/>
      <c r="FO373" s="316"/>
      <c r="FP373" s="316"/>
      <c r="FQ373" s="316"/>
      <c r="FR373" s="316"/>
      <c r="FS373" s="316"/>
      <c r="FT373" s="316"/>
      <c r="FU373" s="316"/>
      <c r="FV373" s="316"/>
      <c r="FW373" s="316"/>
      <c r="FX373" s="316"/>
      <c r="FY373" s="316"/>
      <c r="FZ373" s="316"/>
      <c r="GA373" s="316"/>
      <c r="GB373" s="323"/>
      <c r="GC373" s="317">
        <f t="shared" si="70"/>
        <v>-7.3999999999999996E-2</v>
      </c>
      <c r="GD373" s="317">
        <f t="shared" si="71"/>
        <v>6.0000000000000001E-3</v>
      </c>
      <c r="GE373" s="317">
        <f t="shared" si="72"/>
        <v>0</v>
      </c>
      <c r="GF373" s="317">
        <f t="shared" si="73"/>
        <v>0</v>
      </c>
      <c r="GG373" s="317">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20"/>
      <c r="GC374" s="180">
        <f t="shared" si="70"/>
        <v>0</v>
      </c>
      <c r="GD374" s="180">
        <f t="shared" si="71"/>
        <v>5.0000000000000001E-4</v>
      </c>
      <c r="GE374" s="180">
        <f t="shared" si="72"/>
        <v>0</v>
      </c>
      <c r="GF374" s="180">
        <f t="shared" si="73"/>
        <v>0</v>
      </c>
      <c r="GG374" s="180">
        <f t="shared" si="69"/>
        <v>0</v>
      </c>
    </row>
    <row r="375" spans="1:342" x14ac:dyDescent="0.3">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9"/>
      <c r="GC375" s="179">
        <f t="shared" si="70"/>
        <v>-5.6599999999999998E-2</v>
      </c>
      <c r="GD375" s="179">
        <f t="shared" si="71"/>
        <v>0</v>
      </c>
      <c r="GE375" s="179">
        <f t="shared" si="72"/>
        <v>0</v>
      </c>
      <c r="GF375" s="179">
        <f t="shared" si="73"/>
        <v>0</v>
      </c>
      <c r="GG375" s="179">
        <f t="shared" si="69"/>
        <v>0</v>
      </c>
    </row>
    <row r="376" spans="1:342" x14ac:dyDescent="0.3">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20"/>
      <c r="GC376" s="180">
        <f t="shared" si="70"/>
        <v>0</v>
      </c>
      <c r="GD376" s="180">
        <f t="shared" si="71"/>
        <v>0</v>
      </c>
      <c r="GE376" s="180">
        <f t="shared" si="72"/>
        <v>0</v>
      </c>
      <c r="GF376" s="180">
        <f t="shared" si="73"/>
        <v>0</v>
      </c>
      <c r="GG376" s="180">
        <f t="shared" si="69"/>
        <v>0</v>
      </c>
    </row>
    <row r="377" spans="1:342" x14ac:dyDescent="0.3">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9"/>
      <c r="GC377" s="179">
        <f t="shared" si="70"/>
        <v>0</v>
      </c>
      <c r="GD377" s="179">
        <f t="shared" si="71"/>
        <v>0</v>
      </c>
      <c r="GE377" s="179">
        <f t="shared" si="72"/>
        <v>0</v>
      </c>
      <c r="GF377" s="179">
        <f t="shared" si="73"/>
        <v>0</v>
      </c>
      <c r="GG377" s="179">
        <f t="shared" si="69"/>
        <v>0</v>
      </c>
    </row>
    <row r="378" spans="1:342" x14ac:dyDescent="0.3">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20"/>
      <c r="GC378" s="180">
        <f t="shared" si="70"/>
        <v>0</v>
      </c>
      <c r="GD378" s="180">
        <f t="shared" si="71"/>
        <v>0</v>
      </c>
      <c r="GE378" s="180">
        <f t="shared" si="72"/>
        <v>0</v>
      </c>
      <c r="GF378" s="180">
        <f t="shared" si="73"/>
        <v>0</v>
      </c>
      <c r="GG378" s="180">
        <f t="shared" si="69"/>
        <v>0</v>
      </c>
    </row>
    <row r="379" spans="1:342" x14ac:dyDescent="0.3">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9"/>
      <c r="GC379" s="179">
        <f t="shared" si="70"/>
        <v>0</v>
      </c>
      <c r="GD379" s="179">
        <f t="shared" si="71"/>
        <v>0</v>
      </c>
      <c r="GE379" s="179">
        <f t="shared" si="72"/>
        <v>0</v>
      </c>
      <c r="GF379" s="179">
        <f t="shared" si="73"/>
        <v>0</v>
      </c>
      <c r="GG379" s="179">
        <f t="shared" si="69"/>
        <v>0</v>
      </c>
    </row>
    <row r="380" spans="1:342" x14ac:dyDescent="0.3">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20"/>
      <c r="GC380" s="180">
        <f t="shared" si="70"/>
        <v>0</v>
      </c>
      <c r="GD380" s="180">
        <f t="shared" si="71"/>
        <v>0</v>
      </c>
      <c r="GE380" s="180">
        <f t="shared" si="72"/>
        <v>0</v>
      </c>
      <c r="GF380" s="180">
        <f t="shared" si="73"/>
        <v>0</v>
      </c>
      <c r="GG380" s="180">
        <f t="shared" si="69"/>
        <v>0</v>
      </c>
    </row>
    <row r="381" spans="1:342" x14ac:dyDescent="0.3">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9"/>
      <c r="GC381" s="179">
        <f t="shared" si="70"/>
        <v>0</v>
      </c>
      <c r="GD381" s="179">
        <f t="shared" si="71"/>
        <v>-5.6599999999999998E-2</v>
      </c>
      <c r="GE381" s="179">
        <f t="shared" si="72"/>
        <v>0</v>
      </c>
      <c r="GF381" s="179">
        <f t="shared" si="73"/>
        <v>0</v>
      </c>
      <c r="GG381" s="179">
        <f t="shared" si="69"/>
        <v>0</v>
      </c>
    </row>
    <row r="382" spans="1:342" x14ac:dyDescent="0.3">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20"/>
      <c r="GC382" s="180">
        <f t="shared" si="70"/>
        <v>0</v>
      </c>
      <c r="GD382" s="180">
        <f t="shared" si="71"/>
        <v>-5.6599999999999998E-2</v>
      </c>
      <c r="GE382" s="180">
        <f t="shared" si="72"/>
        <v>0</v>
      </c>
      <c r="GF382" s="180">
        <f t="shared" si="73"/>
        <v>0</v>
      </c>
      <c r="GG382" s="180">
        <f t="shared" si="69"/>
        <v>0</v>
      </c>
    </row>
    <row r="383" spans="1:342" x14ac:dyDescent="0.3">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9"/>
      <c r="GC383" s="179">
        <f t="shared" si="70"/>
        <v>0</v>
      </c>
      <c r="GD383" s="179">
        <f t="shared" si="71"/>
        <v>-5.6599999999999998E-2</v>
      </c>
      <c r="GE383" s="179">
        <f t="shared" si="72"/>
        <v>0</v>
      </c>
      <c r="GF383" s="179">
        <f t="shared" si="73"/>
        <v>0</v>
      </c>
      <c r="GG383" s="179">
        <f t="shared" si="69"/>
        <v>0</v>
      </c>
    </row>
    <row r="384" spans="1:342" x14ac:dyDescent="0.3">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20">
        <f>GC384</f>
        <v>8.9499999999999996E-2</v>
      </c>
      <c r="GC384" s="180">
        <f t="shared" si="70"/>
        <v>8.9499999999999996E-2</v>
      </c>
      <c r="GD384" s="180">
        <f t="shared" si="71"/>
        <v>-0.14610000000000001</v>
      </c>
      <c r="GE384" s="180">
        <f t="shared" si="72"/>
        <v>0</v>
      </c>
      <c r="GF384" s="180">
        <f t="shared" si="73"/>
        <v>0</v>
      </c>
      <c r="GG384" s="180">
        <f t="shared" si="69"/>
        <v>0</v>
      </c>
    </row>
    <row r="385" spans="1:189" x14ac:dyDescent="0.3">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20"/>
      <c r="GC385" s="180">
        <f t="shared" si="70"/>
        <v>0</v>
      </c>
      <c r="GD385" s="180">
        <f t="shared" si="71"/>
        <v>0</v>
      </c>
      <c r="GE385" s="180">
        <f t="shared" si="72"/>
        <v>-5.6599999999999998E-2</v>
      </c>
      <c r="GF385" s="180">
        <f t="shared" si="73"/>
        <v>0</v>
      </c>
      <c r="GG385" s="180">
        <f t="shared" si="69"/>
        <v>0</v>
      </c>
    </row>
    <row r="386" spans="1:189" x14ac:dyDescent="0.3">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9"/>
      <c r="GC386" s="179">
        <f t="shared" si="70"/>
        <v>0</v>
      </c>
      <c r="GD386" s="179">
        <f t="shared" si="71"/>
        <v>0</v>
      </c>
      <c r="GE386" s="179">
        <f t="shared" si="72"/>
        <v>0</v>
      </c>
      <c r="GF386" s="179">
        <f t="shared" si="73"/>
        <v>0</v>
      </c>
      <c r="GG386" s="179">
        <f t="shared" si="69"/>
        <v>0</v>
      </c>
    </row>
    <row r="387" spans="1:189" x14ac:dyDescent="0.3">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20"/>
      <c r="GC387" s="180">
        <f t="shared" si="70"/>
        <v>0</v>
      </c>
      <c r="GD387" s="180">
        <f t="shared" si="71"/>
        <v>0</v>
      </c>
      <c r="GE387" s="180">
        <f t="shared" si="72"/>
        <v>0</v>
      </c>
      <c r="GF387" s="180">
        <f t="shared" si="73"/>
        <v>0</v>
      </c>
      <c r="GG387" s="180">
        <f t="shared" si="69"/>
        <v>0</v>
      </c>
    </row>
    <row r="388" spans="1:189" x14ac:dyDescent="0.3">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9"/>
      <c r="GC388" s="179">
        <f t="shared" si="70"/>
        <v>0</v>
      </c>
      <c r="GD388" s="179">
        <f t="shared" si="71"/>
        <v>7.6399999999999996E-2</v>
      </c>
      <c r="GE388" s="179">
        <f t="shared" si="72"/>
        <v>0</v>
      </c>
      <c r="GF388" s="179">
        <f t="shared" si="73"/>
        <v>0</v>
      </c>
      <c r="GG388" s="179">
        <f t="shared" si="69"/>
        <v>0</v>
      </c>
    </row>
    <row r="389" spans="1:189" x14ac:dyDescent="0.3">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20"/>
      <c r="GC389" s="180">
        <f t="shared" si="70"/>
        <v>7.5700000000000003E-2</v>
      </c>
      <c r="GD389" s="180">
        <f t="shared" si="71"/>
        <v>5.0500000000000003E-2</v>
      </c>
      <c r="GE389" s="180">
        <f t="shared" si="72"/>
        <v>0</v>
      </c>
      <c r="GF389" s="180">
        <f t="shared" si="73"/>
        <v>0</v>
      </c>
      <c r="GG389" s="180">
        <f t="shared" si="69"/>
        <v>0</v>
      </c>
    </row>
    <row r="390" spans="1:189" x14ac:dyDescent="0.3">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9"/>
      <c r="GC390" s="179">
        <f t="shared" si="70"/>
        <v>0</v>
      </c>
      <c r="GD390" s="179">
        <f t="shared" si="71"/>
        <v>0</v>
      </c>
      <c r="GE390" s="179">
        <f t="shared" si="72"/>
        <v>0</v>
      </c>
      <c r="GF390" s="179">
        <f t="shared" si="73"/>
        <v>0</v>
      </c>
      <c r="GG390" s="179">
        <f t="shared" si="69"/>
        <v>0</v>
      </c>
    </row>
    <row r="391" spans="1:189" x14ac:dyDescent="0.3">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4">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20"/>
      <c r="GC391" s="180">
        <f t="shared" si="70"/>
        <v>0</v>
      </c>
      <c r="GD391" s="180">
        <f t="shared" si="71"/>
        <v>0</v>
      </c>
      <c r="GE391" s="180">
        <f t="shared" si="72"/>
        <v>0</v>
      </c>
      <c r="GF391" s="180">
        <f t="shared" si="73"/>
        <v>0</v>
      </c>
      <c r="GG391" s="180">
        <f t="shared" si="69"/>
        <v>0</v>
      </c>
    </row>
    <row r="392" spans="1:189" x14ac:dyDescent="0.3">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4">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9"/>
      <c r="GC392" s="179">
        <f t="shared" si="70"/>
        <v>0</v>
      </c>
      <c r="GD392" s="179">
        <f t="shared" si="71"/>
        <v>0</v>
      </c>
      <c r="GE392" s="179">
        <f t="shared" si="72"/>
        <v>0</v>
      </c>
      <c r="GF392" s="179">
        <f t="shared" si="73"/>
        <v>0</v>
      </c>
      <c r="GG392" s="179">
        <f t="shared" si="69"/>
        <v>0</v>
      </c>
    </row>
    <row r="393" spans="1:189" x14ac:dyDescent="0.3">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-1/0.823*0.795</f>
        <v>-0.965978128797084</v>
      </c>
      <c r="DI393" s="36"/>
      <c r="DJ393" s="36"/>
      <c r="DK393" s="36"/>
      <c r="DL393" s="36"/>
      <c r="DM393" s="36"/>
      <c r="DN393" s="36"/>
      <c r="DO393" s="204">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0</v>
      </c>
      <c r="GD393" s="180">
        <f t="shared" si="71"/>
        <v>0</v>
      </c>
      <c r="GE393" s="180">
        <f t="shared" si="72"/>
        <v>0</v>
      </c>
      <c r="GF393" s="180">
        <f t="shared" si="73"/>
        <v>0</v>
      </c>
      <c r="GG393" s="180">
        <f t="shared" si="69"/>
        <v>0</v>
      </c>
    </row>
    <row r="394" spans="1:189" x14ac:dyDescent="0.3">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4">
        <f>-0.293</f>
        <v>-0.29299999999999998</v>
      </c>
      <c r="DI394" s="36"/>
      <c r="DJ394" s="36"/>
      <c r="DK394" s="36"/>
      <c r="DL394" s="36"/>
      <c r="DM394" s="36"/>
      <c r="DN394" s="36"/>
      <c r="DO394" s="204"/>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20"/>
      <c r="GC394" s="180">
        <f t="shared" si="70"/>
        <v>6.0199999999999997E-2</v>
      </c>
      <c r="GD394" s="180">
        <f t="shared" si="71"/>
        <v>8.9999999999999998E-4</v>
      </c>
      <c r="GE394" s="180">
        <f t="shared" si="72"/>
        <v>0</v>
      </c>
      <c r="GF394" s="180">
        <f t="shared" si="73"/>
        <v>0</v>
      </c>
      <c r="GG394" s="180">
        <f t="shared" si="69"/>
        <v>0</v>
      </c>
    </row>
    <row r="395" spans="1:189" x14ac:dyDescent="0.3">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9"/>
      <c r="GC395" s="179">
        <f t="shared" si="70"/>
        <v>0</v>
      </c>
      <c r="GD395" s="179">
        <f t="shared" si="71"/>
        <v>0</v>
      </c>
      <c r="GE395" s="179">
        <f t="shared" si="72"/>
        <v>0</v>
      </c>
      <c r="GF395" s="179">
        <f t="shared" si="73"/>
        <v>0</v>
      </c>
      <c r="GG395" s="179">
        <f t="shared" si="69"/>
        <v>0</v>
      </c>
    </row>
    <row r="396" spans="1:189" x14ac:dyDescent="0.3">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20"/>
      <c r="GC396" s="180">
        <f t="shared" si="70"/>
        <v>0</v>
      </c>
      <c r="GD396" s="180">
        <f t="shared" si="71"/>
        <v>0</v>
      </c>
      <c r="GE396" s="180">
        <f t="shared" si="72"/>
        <v>0</v>
      </c>
      <c r="GF396" s="180">
        <f t="shared" si="73"/>
        <v>0</v>
      </c>
      <c r="GG396" s="180">
        <f t="shared" si="69"/>
        <v>0</v>
      </c>
    </row>
    <row r="397" spans="1:189" x14ac:dyDescent="0.3">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9"/>
      <c r="GC397" s="179">
        <f t="shared" si="70"/>
        <v>0</v>
      </c>
      <c r="GD397" s="179">
        <f t="shared" si="71"/>
        <v>0</v>
      </c>
      <c r="GE397" s="179">
        <f t="shared" si="72"/>
        <v>0</v>
      </c>
      <c r="GF397" s="179">
        <f t="shared" si="73"/>
        <v>0</v>
      </c>
      <c r="GG397" s="179">
        <f t="shared" si="69"/>
        <v>0</v>
      </c>
    </row>
    <row r="398" spans="1:189" x14ac:dyDescent="0.3">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20"/>
      <c r="GC399" s="180">
        <f t="shared" si="70"/>
        <v>0</v>
      </c>
      <c r="GD399" s="180">
        <f t="shared" si="71"/>
        <v>0</v>
      </c>
      <c r="GE399" s="180">
        <f t="shared" si="72"/>
        <v>0</v>
      </c>
      <c r="GF399" s="180">
        <f t="shared" si="73"/>
        <v>0</v>
      </c>
      <c r="GG399" s="180">
        <f t="shared" si="69"/>
        <v>0</v>
      </c>
    </row>
    <row r="400" spans="1:189" x14ac:dyDescent="0.3">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9"/>
      <c r="GC400" s="179">
        <f t="shared" si="70"/>
        <v>0</v>
      </c>
      <c r="GD400" s="179">
        <f t="shared" si="71"/>
        <v>0</v>
      </c>
      <c r="GE400" s="179">
        <f t="shared" si="72"/>
        <v>0</v>
      </c>
      <c r="GF400" s="179">
        <f t="shared" si="73"/>
        <v>0</v>
      </c>
      <c r="GG400" s="179">
        <f t="shared" si="69"/>
        <v>0</v>
      </c>
    </row>
    <row r="401" spans="1:342" x14ac:dyDescent="0.3">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20"/>
      <c r="GC401" s="180">
        <f t="shared" si="70"/>
        <v>0</v>
      </c>
      <c r="GD401" s="180">
        <f t="shared" si="71"/>
        <v>0</v>
      </c>
      <c r="GE401" s="180">
        <f t="shared" si="72"/>
        <v>0</v>
      </c>
      <c r="GF401" s="180">
        <f t="shared" si="73"/>
        <v>0</v>
      </c>
      <c r="GG401" s="180">
        <f t="shared" si="69"/>
        <v>0</v>
      </c>
    </row>
    <row r="402" spans="1:342" x14ac:dyDescent="0.3">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9"/>
      <c r="GC402" s="179">
        <f t="shared" ref="GC402:GC436" si="74">ROUND(IF($C402="Primary",0,-$G402*(SUMPRODUCT($Q$4:$GA$4,$Q402:$GA402)+$J402)-$H402)*IF($N402=GC$4,1,0),4)</f>
        <v>4.2799999999999998E-2</v>
      </c>
      <c r="GD402" s="179">
        <f t="shared" ref="GD402:GD436" si="75">ROUND(IF($C402="Primary",0,$M402*(1-$O402)*($G402*(SUMPRODUCT($Q$4:$GA$4,$Q402:$GA402)+$J402)+$H402-SUMPRODUCT($Q$5:$GA$5,$Q402:$GA402)-$I402+$K402))*IF($N402=GD$4,1,0),4)</f>
        <v>4.2799999999999998E-2</v>
      </c>
      <c r="GE402" s="179">
        <f t="shared" ref="GE402:GE433" si="76">ROUND(IF($C402="Primary",0,(1-$M402)*(1-$O402)*($G402*(SUMPRODUCT($Q$4:$GA$4,$Q402:$GA402)+$J402)+$H402-SUMPRODUCT($Q$5:$GA$5,$Q402:$GA402)-$I402+$L402))*IF($N402=GD$4,1,0),4)</f>
        <v>0</v>
      </c>
      <c r="GF402" s="179">
        <f t="shared" si="73"/>
        <v>0</v>
      </c>
      <c r="GG402" s="179">
        <f t="shared" si="69"/>
        <v>0</v>
      </c>
    </row>
    <row r="403" spans="1:342" x14ac:dyDescent="0.3">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20"/>
      <c r="GC403" s="180">
        <f t="shared" si="74"/>
        <v>8.3000000000000004E-2</v>
      </c>
      <c r="GD403" s="180">
        <f t="shared" si="75"/>
        <v>2.7000000000000001E-3</v>
      </c>
      <c r="GE403" s="180">
        <f t="shared" si="76"/>
        <v>0</v>
      </c>
      <c r="GF403" s="180">
        <f t="shared" ref="GF403:GF436" si="77">ROUND(IF($C403="Primary",0,$O403*($G403*(SUMPRODUCT($Q$4:$GA$4,$Q403:$GA403)+$J403)-SUMPRODUCT($Q$5:$GA$5,$Q403:$GA403)-$I403))*IF($N403=GD$4,1,0),4)</f>
        <v>0</v>
      </c>
      <c r="GG403" s="180">
        <f t="shared" si="69"/>
        <v>0</v>
      </c>
    </row>
    <row r="404" spans="1:342" x14ac:dyDescent="0.3">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9"/>
      <c r="GC404" s="179">
        <f t="shared" si="74"/>
        <v>0</v>
      </c>
      <c r="GD404" s="179">
        <f t="shared" si="75"/>
        <v>0</v>
      </c>
      <c r="GE404" s="179">
        <f t="shared" si="76"/>
        <v>0</v>
      </c>
      <c r="GF404" s="179">
        <f t="shared" si="77"/>
        <v>0</v>
      </c>
      <c r="GG404" s="179">
        <f t="shared" si="69"/>
        <v>0</v>
      </c>
    </row>
    <row r="405" spans="1:342" s="262" customFormat="1" x14ac:dyDescent="0.3">
      <c r="A405" s="257" t="s">
        <v>1642</v>
      </c>
      <c r="B405" s="6" t="str">
        <f>IF(Technologies!B405&lt;&gt;0,Technologies!B405,"")</f>
        <v>Industrie</v>
      </c>
      <c r="C405" s="257" t="str">
        <f>VLOOKUP($A405,Technologies!$A$7:$H$577,3,FALSE)</f>
        <v>Conversion</v>
      </c>
      <c r="D405" s="257" t="str">
        <f>VLOOKUP($A405,Technologies!$A$7:$H$577,4,FALSE)</f>
        <v>Ammonia</v>
      </c>
      <c r="E405" s="257" t="str">
        <f>VLOOKUP($A405,Technologies!$A$7:$H$577,6,FALSE)</f>
        <v>Ammonia</v>
      </c>
      <c r="F405" s="257" t="str">
        <f>VLOOKUP($A405,Technologies!$A$7:$H$577,7,FALSE)</f>
        <v>Haber Bosch with renewable external H2 - Ammonia Production</v>
      </c>
      <c r="G405" s="263"/>
      <c r="H405" s="263"/>
      <c r="I405" s="265" cm="1">
        <f t="array" ref="I405">-SUMPRODUCT((Feedstocks!$C$4:$C$141=A405)*Feedstocks!$E$4:$E$141,Feedstocks!$F$4:$F$141,Feedstocks!$H$4:$H$141,Feedstocks!$I$4:$I$141)</f>
        <v>0</v>
      </c>
      <c r="J405" s="265" cm="1">
        <f t="array" ref="J405">-SUMPRODUCT((Feedstocks!$C$4:$C$141=A405)*Feedstocks!$E$4:$E$141,Feedstocks!$H$4:$H$141,Feedstocks!$I$4:$I$141)</f>
        <v>0</v>
      </c>
      <c r="K405" s="265"/>
      <c r="L405" s="265"/>
      <c r="M405" s="263">
        <v>1</v>
      </c>
      <c r="N405" s="263" t="str">
        <f>VLOOKUP(E405,Activities!$A$9:$M$227,13,FALSE)</f>
        <v>NL</v>
      </c>
      <c r="O405" s="263"/>
      <c r="P405" s="79" t="s">
        <v>792</v>
      </c>
      <c r="Q405" s="267"/>
      <c r="R405" s="267"/>
      <c r="S405" s="267"/>
      <c r="T405" s="267"/>
      <c r="U405" s="267"/>
      <c r="V405" s="267"/>
      <c r="W405" s="267"/>
      <c r="X405" s="267"/>
      <c r="Y405" s="267"/>
      <c r="Z405" s="267"/>
      <c r="AA405" s="267"/>
      <c r="AB405" s="267"/>
      <c r="AC405" s="267"/>
      <c r="AD405" s="267"/>
      <c r="AE405" s="267"/>
      <c r="AF405" s="267"/>
      <c r="AG405" s="267"/>
      <c r="AH405" s="267"/>
      <c r="AI405" s="267"/>
      <c r="AJ405" s="267"/>
      <c r="AK405" s="267"/>
      <c r="AL405" s="267"/>
      <c r="AM405" s="267"/>
      <c r="AN405" s="267"/>
      <c r="AO405" s="267"/>
      <c r="AP405" s="267"/>
      <c r="AQ405" s="267"/>
      <c r="AR405" s="267"/>
      <c r="AS405" s="267"/>
      <c r="AT405" s="267"/>
      <c r="AU405" s="267"/>
      <c r="AV405" s="267"/>
      <c r="AW405" s="267"/>
      <c r="AX405" s="267"/>
      <c r="AY405" s="267"/>
      <c r="AZ405" s="267"/>
      <c r="BA405" s="267"/>
      <c r="BB405" s="267"/>
      <c r="BC405" s="267"/>
      <c r="BD405" s="267"/>
      <c r="BE405" s="267"/>
      <c r="BF405" s="267"/>
      <c r="BG405" s="267"/>
      <c r="BH405" s="267"/>
      <c r="BI405" s="267"/>
      <c r="BJ405" s="267"/>
      <c r="BK405" s="267"/>
      <c r="BL405" s="267"/>
      <c r="BM405" s="267"/>
      <c r="BN405" s="267"/>
      <c r="BO405" s="267"/>
      <c r="BP405" s="267"/>
      <c r="BQ405" s="267"/>
      <c r="BR405" s="267"/>
      <c r="BS405" s="267"/>
      <c r="BT405" s="267"/>
      <c r="BU405" s="267"/>
      <c r="BV405" s="267"/>
      <c r="BW405" s="267"/>
      <c r="BX405" s="267"/>
      <c r="BY405" s="267"/>
      <c r="BZ405" s="267"/>
      <c r="CA405" s="267"/>
      <c r="CB405" s="267"/>
      <c r="CC405" s="267"/>
      <c r="CD405" s="267"/>
      <c r="CE405" s="267"/>
      <c r="CF405" s="267"/>
      <c r="CG405" s="267"/>
      <c r="CH405" s="267"/>
      <c r="CI405" s="267"/>
      <c r="CJ405" s="267"/>
      <c r="CK405" s="267"/>
      <c r="CL405" s="267"/>
      <c r="CM405" s="267"/>
      <c r="CN405" s="267"/>
      <c r="CO405" s="267"/>
      <c r="CP405" s="267"/>
      <c r="CQ405" s="267"/>
      <c r="CR405" s="267"/>
      <c r="CS405" s="267"/>
      <c r="CT405" s="267"/>
      <c r="CU405" s="267"/>
      <c r="CV405" s="267"/>
      <c r="CW405" s="267"/>
      <c r="CX405" s="267"/>
      <c r="CY405" s="267"/>
      <c r="CZ405" s="267"/>
      <c r="DA405" s="267"/>
      <c r="DB405" s="267"/>
      <c r="DC405" s="267"/>
      <c r="DD405" s="267"/>
      <c r="DE405" s="267"/>
      <c r="DF405" s="267"/>
      <c r="DG405" s="267"/>
      <c r="DH405" s="267">
        <f>-0.1</f>
        <v>-0.1</v>
      </c>
      <c r="DI405" s="267"/>
      <c r="DJ405" s="267"/>
      <c r="DK405" s="267"/>
      <c r="DL405" s="267"/>
      <c r="DM405" s="267"/>
      <c r="DN405" s="267"/>
      <c r="DO405" s="267">
        <f>0.13</f>
        <v>0.13</v>
      </c>
      <c r="DP405" s="267"/>
      <c r="DQ405" s="267"/>
      <c r="DR405" s="267"/>
      <c r="DS405" s="267"/>
      <c r="DT405" s="267"/>
      <c r="DU405" s="267"/>
      <c r="DV405" s="267"/>
      <c r="DW405" s="267"/>
      <c r="DX405" s="267"/>
      <c r="DY405" s="267"/>
      <c r="DZ405" s="267"/>
      <c r="EA405" s="267"/>
      <c r="EB405" s="267"/>
      <c r="EC405" s="267"/>
      <c r="ED405" s="267"/>
      <c r="EE405" s="267"/>
      <c r="EF405" s="267"/>
      <c r="EG405" s="267"/>
      <c r="EH405" s="267"/>
      <c r="EI405" s="267"/>
      <c r="EJ405" s="267"/>
      <c r="EK405" s="267"/>
      <c r="EL405" s="267"/>
      <c r="EM405" s="267">
        <f>-1.145</f>
        <v>-1.145</v>
      </c>
      <c r="EN405" s="267"/>
      <c r="EO405" s="267"/>
      <c r="EP405" s="267"/>
      <c r="EQ405" s="267">
        <v>1</v>
      </c>
      <c r="ER405" s="267"/>
      <c r="ES405" s="267"/>
      <c r="ET405" s="267"/>
      <c r="EU405" s="267"/>
      <c r="EV405" s="267"/>
      <c r="EW405" s="267"/>
      <c r="EX405" s="267"/>
      <c r="EY405" s="267"/>
      <c r="EZ405" s="267"/>
      <c r="FA405" s="267"/>
      <c r="FB405" s="267"/>
      <c r="FC405" s="267"/>
      <c r="FD405" s="267"/>
      <c r="FE405" s="267"/>
      <c r="FF405" s="267"/>
      <c r="FG405" s="267"/>
      <c r="FH405" s="267"/>
      <c r="FI405" s="267"/>
      <c r="FJ405" s="267"/>
      <c r="FK405" s="267"/>
      <c r="FL405" s="267"/>
      <c r="FM405" s="267"/>
      <c r="FN405" s="267"/>
      <c r="FO405" s="267"/>
      <c r="FP405" s="267"/>
      <c r="FQ405" s="267"/>
      <c r="FR405" s="267"/>
      <c r="FS405" s="267"/>
      <c r="FT405" s="267"/>
      <c r="FU405" s="267"/>
      <c r="FV405" s="267"/>
      <c r="FW405" s="267"/>
      <c r="FX405" s="267"/>
      <c r="FY405" s="267"/>
      <c r="FZ405" s="267"/>
      <c r="GA405" s="267"/>
      <c r="GB405" s="322"/>
      <c r="GC405" s="268">
        <f t="shared" si="74"/>
        <v>0</v>
      </c>
      <c r="GD405" s="268">
        <f t="shared" si="75"/>
        <v>0</v>
      </c>
      <c r="GE405" s="268">
        <f t="shared" si="76"/>
        <v>0</v>
      </c>
      <c r="GF405" s="268">
        <f t="shared" si="77"/>
        <v>0</v>
      </c>
      <c r="GG405" s="268">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20"/>
      <c r="GC406" s="180">
        <f t="shared" si="74"/>
        <v>0</v>
      </c>
      <c r="GD406" s="180">
        <f t="shared" si="75"/>
        <v>0</v>
      </c>
      <c r="GE406" s="180">
        <f t="shared" si="76"/>
        <v>0</v>
      </c>
      <c r="GF406" s="180">
        <f t="shared" si="77"/>
        <v>0</v>
      </c>
      <c r="GG406" s="180">
        <f t="shared" si="69"/>
        <v>0</v>
      </c>
    </row>
    <row r="407" spans="1:342" x14ac:dyDescent="0.3">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9"/>
      <c r="GC407" s="179">
        <f t="shared" si="74"/>
        <v>0</v>
      </c>
      <c r="GD407" s="179">
        <f t="shared" si="75"/>
        <v>0</v>
      </c>
      <c r="GE407" s="179">
        <f t="shared" si="76"/>
        <v>0</v>
      </c>
      <c r="GF407" s="179">
        <f t="shared" si="77"/>
        <v>0</v>
      </c>
      <c r="GG407" s="179">
        <f t="shared" si="69"/>
        <v>0</v>
      </c>
    </row>
    <row r="408" spans="1:342" x14ac:dyDescent="0.3">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0</v>
      </c>
      <c r="GD408" s="179">
        <f t="shared" si="75"/>
        <v>0</v>
      </c>
      <c r="GE408" s="179">
        <f t="shared" si="76"/>
        <v>0</v>
      </c>
      <c r="GF408" s="179">
        <f t="shared" si="77"/>
        <v>0</v>
      </c>
      <c r="GG408" s="179">
        <f t="shared" si="69"/>
        <v>0</v>
      </c>
    </row>
    <row r="409" spans="1:342" x14ac:dyDescent="0.3">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20"/>
      <c r="GC409" s="179">
        <f t="shared" si="74"/>
        <v>6.8900000000000003E-2</v>
      </c>
      <c r="GD409" s="179">
        <f t="shared" si="75"/>
        <v>1E-3</v>
      </c>
      <c r="GE409" s="179">
        <f t="shared" si="76"/>
        <v>0</v>
      </c>
      <c r="GF409" s="179">
        <f t="shared" si="77"/>
        <v>0</v>
      </c>
      <c r="GG409" s="179">
        <f t="shared" si="69"/>
        <v>0</v>
      </c>
    </row>
    <row r="410" spans="1:342" x14ac:dyDescent="0.3">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9"/>
      <c r="GC410" s="179">
        <f t="shared" si="74"/>
        <v>0</v>
      </c>
      <c r="GD410" s="179">
        <f t="shared" si="75"/>
        <v>0</v>
      </c>
      <c r="GE410" s="179">
        <f t="shared" si="76"/>
        <v>0</v>
      </c>
      <c r="GF410" s="179">
        <f t="shared" si="77"/>
        <v>0</v>
      </c>
      <c r="GG410" s="179">
        <f t="shared" si="69"/>
        <v>0</v>
      </c>
    </row>
    <row r="411" spans="1:342" x14ac:dyDescent="0.3">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20"/>
      <c r="GC411" s="180">
        <f t="shared" si="74"/>
        <v>0</v>
      </c>
      <c r="GD411" s="180">
        <f t="shared" si="75"/>
        <v>0</v>
      </c>
      <c r="GE411" s="180">
        <f t="shared" si="76"/>
        <v>0</v>
      </c>
      <c r="GF411" s="180">
        <f t="shared" si="77"/>
        <v>0</v>
      </c>
      <c r="GG411" s="180">
        <f t="shared" si="69"/>
        <v>0</v>
      </c>
    </row>
    <row r="412" spans="1:342" x14ac:dyDescent="0.3">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9"/>
      <c r="GC412" s="179">
        <f t="shared" si="74"/>
        <v>0</v>
      </c>
      <c r="GD412" s="179">
        <f t="shared" si="75"/>
        <v>0</v>
      </c>
      <c r="GE412" s="179">
        <f t="shared" si="76"/>
        <v>0</v>
      </c>
      <c r="GF412" s="179">
        <f t="shared" si="77"/>
        <v>0</v>
      </c>
      <c r="GG412" s="179">
        <f t="shared" si="69"/>
        <v>0</v>
      </c>
    </row>
    <row r="413" spans="1:342" x14ac:dyDescent="0.3">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20"/>
      <c r="GC413" s="180">
        <f t="shared" si="74"/>
        <v>0</v>
      </c>
      <c r="GD413" s="180">
        <f t="shared" si="75"/>
        <v>0</v>
      </c>
      <c r="GE413" s="180">
        <f t="shared" si="76"/>
        <v>0</v>
      </c>
      <c r="GF413" s="180">
        <f t="shared" si="77"/>
        <v>0</v>
      </c>
      <c r="GG413" s="180">
        <f t="shared" si="69"/>
        <v>0</v>
      </c>
    </row>
    <row r="414" spans="1:342" x14ac:dyDescent="0.3">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9"/>
      <c r="GC414" s="179">
        <f t="shared" si="74"/>
        <v>0</v>
      </c>
      <c r="GD414" s="179">
        <f t="shared" si="75"/>
        <v>0</v>
      </c>
      <c r="GE414" s="179">
        <f t="shared" si="76"/>
        <v>0</v>
      </c>
      <c r="GF414" s="179">
        <f t="shared" si="77"/>
        <v>0</v>
      </c>
      <c r="GG414" s="179">
        <f t="shared" si="69"/>
        <v>0</v>
      </c>
    </row>
    <row r="415" spans="1:342" x14ac:dyDescent="0.3">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20"/>
      <c r="GC415" s="180">
        <f t="shared" si="74"/>
        <v>0</v>
      </c>
      <c r="GD415" s="180">
        <f t="shared" si="75"/>
        <v>0</v>
      </c>
      <c r="GE415" s="180">
        <f t="shared" si="76"/>
        <v>0</v>
      </c>
      <c r="GF415" s="180">
        <f t="shared" si="77"/>
        <v>0</v>
      </c>
      <c r="GG415" s="180">
        <f t="shared" si="69"/>
        <v>0</v>
      </c>
    </row>
    <row r="416" spans="1:342" x14ac:dyDescent="0.3">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9"/>
      <c r="GC416" s="179">
        <f t="shared" si="74"/>
        <v>0</v>
      </c>
      <c r="GD416" s="179">
        <f t="shared" si="75"/>
        <v>0</v>
      </c>
      <c r="GE416" s="179">
        <f t="shared" si="76"/>
        <v>0</v>
      </c>
      <c r="GF416" s="179">
        <f t="shared" si="77"/>
        <v>0</v>
      </c>
      <c r="GG416" s="179">
        <f t="shared" si="69"/>
        <v>0</v>
      </c>
    </row>
    <row r="417" spans="1:189" x14ac:dyDescent="0.3">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20"/>
      <c r="GC419" s="179">
        <f t="shared" si="74"/>
        <v>0</v>
      </c>
      <c r="GD419" s="179">
        <f t="shared" si="75"/>
        <v>0</v>
      </c>
      <c r="GE419" s="179">
        <f t="shared" si="76"/>
        <v>0</v>
      </c>
      <c r="GF419" s="179">
        <f t="shared" si="77"/>
        <v>0</v>
      </c>
      <c r="GG419" s="179">
        <f t="shared" si="69"/>
        <v>0</v>
      </c>
    </row>
    <row r="420" spans="1:189" x14ac:dyDescent="0.3">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9"/>
      <c r="GC420" s="179">
        <f t="shared" si="74"/>
        <v>0</v>
      </c>
      <c r="GD420" s="179">
        <f t="shared" si="75"/>
        <v>0</v>
      </c>
      <c r="GE420" s="179">
        <f t="shared" si="76"/>
        <v>0</v>
      </c>
      <c r="GF420" s="179">
        <f t="shared" si="77"/>
        <v>0</v>
      </c>
      <c r="GG420" s="179">
        <f t="shared" si="69"/>
        <v>0</v>
      </c>
    </row>
    <row r="421" spans="1:189" x14ac:dyDescent="0.3">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20"/>
      <c r="GC421" s="179">
        <f t="shared" si="74"/>
        <v>0</v>
      </c>
      <c r="GD421" s="179">
        <f t="shared" si="75"/>
        <v>0</v>
      </c>
      <c r="GE421" s="179">
        <f t="shared" si="76"/>
        <v>0</v>
      </c>
      <c r="GF421" s="179">
        <f t="shared" si="77"/>
        <v>0</v>
      </c>
      <c r="GG421" s="179">
        <f t="shared" si="69"/>
        <v>0</v>
      </c>
    </row>
    <row r="422" spans="1:189" x14ac:dyDescent="0.3">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9"/>
      <c r="GC422" s="179">
        <f t="shared" si="74"/>
        <v>0</v>
      </c>
      <c r="GD422" s="179">
        <f t="shared" si="75"/>
        <v>0</v>
      </c>
      <c r="GE422" s="179">
        <f t="shared" si="76"/>
        <v>0</v>
      </c>
      <c r="GF422" s="179">
        <f t="shared" si="77"/>
        <v>0</v>
      </c>
      <c r="GG422" s="179">
        <f t="shared" si="69"/>
        <v>0</v>
      </c>
    </row>
    <row r="423" spans="1:189" x14ac:dyDescent="0.3">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20"/>
      <c r="GC423" s="180">
        <f t="shared" si="74"/>
        <v>0</v>
      </c>
      <c r="GD423" s="180">
        <f t="shared" si="75"/>
        <v>0</v>
      </c>
      <c r="GE423" s="180">
        <f t="shared" si="76"/>
        <v>0</v>
      </c>
      <c r="GF423" s="180">
        <f t="shared" si="77"/>
        <v>0</v>
      </c>
      <c r="GG423" s="180">
        <f t="shared" si="69"/>
        <v>0</v>
      </c>
    </row>
    <row r="424" spans="1:189" x14ac:dyDescent="0.3">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9"/>
      <c r="GC424" s="179">
        <f t="shared" si="74"/>
        <v>0</v>
      </c>
      <c r="GD424" s="179">
        <f t="shared" si="75"/>
        <v>0</v>
      </c>
      <c r="GE424" s="179">
        <f t="shared" si="76"/>
        <v>0</v>
      </c>
      <c r="GF424" s="179">
        <f t="shared" si="77"/>
        <v>0</v>
      </c>
      <c r="GG424" s="179">
        <f t="shared" si="69"/>
        <v>0</v>
      </c>
    </row>
    <row r="425" spans="1:189" x14ac:dyDescent="0.3">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20"/>
      <c r="GC425" s="180">
        <f t="shared" si="74"/>
        <v>0</v>
      </c>
      <c r="GD425" s="180">
        <f t="shared" si="75"/>
        <v>0</v>
      </c>
      <c r="GE425" s="180">
        <f t="shared" si="76"/>
        <v>0</v>
      </c>
      <c r="GF425" s="180">
        <f t="shared" si="77"/>
        <v>0</v>
      </c>
      <c r="GG425" s="180">
        <f t="shared" si="69"/>
        <v>0</v>
      </c>
    </row>
    <row r="426" spans="1:189" x14ac:dyDescent="0.3">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9"/>
      <c r="GC426" s="179">
        <f t="shared" si="74"/>
        <v>0</v>
      </c>
      <c r="GD426" s="179">
        <f t="shared" si="75"/>
        <v>0</v>
      </c>
      <c r="GE426" s="179">
        <f t="shared" si="76"/>
        <v>0</v>
      </c>
      <c r="GF426" s="179">
        <f t="shared" si="77"/>
        <v>0</v>
      </c>
      <c r="GG426" s="179">
        <f t="shared" si="69"/>
        <v>0</v>
      </c>
    </row>
    <row r="427" spans="1:189" x14ac:dyDescent="0.3">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20"/>
      <c r="GC427" s="180">
        <f t="shared" si="74"/>
        <v>0</v>
      </c>
      <c r="GD427" s="180">
        <f t="shared" si="75"/>
        <v>0</v>
      </c>
      <c r="GE427" s="180">
        <f t="shared" si="76"/>
        <v>0</v>
      </c>
      <c r="GF427" s="180">
        <f t="shared" si="77"/>
        <v>0</v>
      </c>
      <c r="GG427" s="180">
        <f t="shared" ref="GG427:GG461" si="78">$I427</f>
        <v>0</v>
      </c>
    </row>
    <row r="428" spans="1:189" x14ac:dyDescent="0.3">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9"/>
      <c r="GC428" s="179">
        <f t="shared" si="74"/>
        <v>0</v>
      </c>
      <c r="GD428" s="179">
        <f t="shared" si="75"/>
        <v>0</v>
      </c>
      <c r="GE428" s="179">
        <f t="shared" si="76"/>
        <v>0</v>
      </c>
      <c r="GF428" s="179">
        <f t="shared" si="77"/>
        <v>0</v>
      </c>
      <c r="GG428" s="179">
        <f t="shared" si="78"/>
        <v>0</v>
      </c>
    </row>
    <row r="429" spans="1:189" x14ac:dyDescent="0.3">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20"/>
      <c r="GC430" s="180">
        <f t="shared" si="74"/>
        <v>0</v>
      </c>
      <c r="GD430" s="180">
        <f t="shared" si="75"/>
        <v>0</v>
      </c>
      <c r="GE430" s="180">
        <f t="shared" si="76"/>
        <v>0</v>
      </c>
      <c r="GF430" s="180">
        <f t="shared" si="77"/>
        <v>0</v>
      </c>
      <c r="GG430" s="180">
        <f t="shared" si="78"/>
        <v>0</v>
      </c>
    </row>
    <row r="431" spans="1:189" x14ac:dyDescent="0.3">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9"/>
      <c r="GC431" s="179">
        <f t="shared" si="74"/>
        <v>0</v>
      </c>
      <c r="GD431" s="179">
        <f t="shared" si="75"/>
        <v>0</v>
      </c>
      <c r="GE431" s="179">
        <f t="shared" si="76"/>
        <v>0</v>
      </c>
      <c r="GF431" s="179">
        <f t="shared" si="77"/>
        <v>0</v>
      </c>
      <c r="GG431" s="179">
        <f t="shared" si="78"/>
        <v>0</v>
      </c>
    </row>
    <row r="432" spans="1:189" x14ac:dyDescent="0.3">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20"/>
      <c r="GC432" s="180">
        <f t="shared" si="74"/>
        <v>0</v>
      </c>
      <c r="GD432" s="180">
        <f t="shared" si="75"/>
        <v>0</v>
      </c>
      <c r="GE432" s="180">
        <f t="shared" si="76"/>
        <v>0</v>
      </c>
      <c r="GF432" s="180">
        <f t="shared" si="77"/>
        <v>0</v>
      </c>
      <c r="GG432" s="180">
        <f t="shared" si="78"/>
        <v>0</v>
      </c>
    </row>
    <row r="433" spans="1:189" x14ac:dyDescent="0.3">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9"/>
      <c r="GC433" s="179">
        <f t="shared" si="74"/>
        <v>0</v>
      </c>
      <c r="GD433" s="179">
        <f t="shared" si="75"/>
        <v>0</v>
      </c>
      <c r="GE433" s="179">
        <f t="shared" si="76"/>
        <v>0</v>
      </c>
      <c r="GF433" s="179">
        <f t="shared" si="77"/>
        <v>0</v>
      </c>
      <c r="GG433" s="179">
        <f t="shared" si="78"/>
        <v>0</v>
      </c>
    </row>
    <row r="434" spans="1:189" x14ac:dyDescent="0.3">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20"/>
      <c r="GC434" s="180">
        <f t="shared" si="74"/>
        <v>0</v>
      </c>
      <c r="GD434" s="180">
        <f t="shared" si="75"/>
        <v>0</v>
      </c>
      <c r="GE434" s="180">
        <f t="shared" ref="GE434:GE436" si="79">ROUND(IF($C434="Primary",0,(1-$M434)*(1-$O434)*($G434*(SUMPRODUCT($Q$4:$GA$4,$Q434:$GA434)+$J434)+$H434-SUMPRODUCT($Q$5:$GA$5,$Q434:$GA434)-$I434+$L434))*IF($N434=GD$4,1,0),4)</f>
        <v>0</v>
      </c>
      <c r="GF434" s="180">
        <f t="shared" si="77"/>
        <v>0</v>
      </c>
      <c r="GG434" s="180">
        <f t="shared" si="78"/>
        <v>0</v>
      </c>
    </row>
    <row r="435" spans="1:189" x14ac:dyDescent="0.3">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9"/>
      <c r="GC435" s="179">
        <f t="shared" si="74"/>
        <v>0</v>
      </c>
      <c r="GD435" s="179">
        <f t="shared" si="75"/>
        <v>0</v>
      </c>
      <c r="GE435" s="179">
        <f t="shared" si="79"/>
        <v>0</v>
      </c>
      <c r="GF435" s="179">
        <f t="shared" si="77"/>
        <v>0</v>
      </c>
      <c r="GG435" s="179">
        <f t="shared" si="78"/>
        <v>0</v>
      </c>
    </row>
    <row r="436" spans="1:189" x14ac:dyDescent="0.3">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20"/>
      <c r="GC436" s="180">
        <f t="shared" si="74"/>
        <v>0</v>
      </c>
      <c r="GD436" s="180">
        <f t="shared" si="75"/>
        <v>0</v>
      </c>
      <c r="GE436" s="180">
        <f t="shared" si="79"/>
        <v>0</v>
      </c>
      <c r="GF436" s="180">
        <f t="shared" si="77"/>
        <v>0</v>
      </c>
      <c r="GG436" s="180">
        <f t="shared" si="78"/>
        <v>0</v>
      </c>
    </row>
    <row r="437" spans="1:189" x14ac:dyDescent="0.3">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79">
        <f t="shared" ref="GC437:GC461" si="80">ROUND(IF($C437="Primary",0,-$G437*(SUMPRODUCT($Q$4:$GA$4,$Q437:$GA437)+$J437)-$H437)*IF($N437=GC$4,1,0),4)</f>
        <v>0</v>
      </c>
      <c r="GD437" s="179">
        <f t="shared" ref="GD437:GD461" si="81">ROUND(IF($C437="Primary",0,$M437*(1-$O437)*($G437*(SUMPRODUCT($Q$4:$GA$4,$Q437:$GA437)+$J437)+$H437-SUMPRODUCT($Q$5:$GA$5,$Q437:$GA437)-$I437+$K437))*IF($N437=GD$4,1,0),4)</f>
        <v>0</v>
      </c>
      <c r="GE437" s="179">
        <f t="shared" ref="GE437:GE461" si="82">ROUND(IF($C437="Primary",0,(1-$M437)*(1-$O437)*($G437*(SUMPRODUCT($Q$4:$GA$4,$Q437:$GA437)+$J437)+$H437-SUMPRODUCT($Q$5:$GA$5,$Q437:$GA437)-$I437+$L437))*IF($N437=GD$4,1,0),4)</f>
        <v>0</v>
      </c>
      <c r="GF437" s="179">
        <f t="shared" ref="GF437:GF461" si="83">ROUND(IF($C437="Primary",0,$O437*($G437*(SUMPRODUCT($Q$4:$GA$4,$Q437:$GA437)+$J437)-SUMPRODUCT($Q$5:$GA$5,$Q437:$GA437)-$I437))*IF($N437=GD$4,1,0),4)</f>
        <v>0</v>
      </c>
      <c r="GG437" s="179">
        <f t="shared" si="78"/>
        <v>0</v>
      </c>
    </row>
    <row r="438" spans="1:189" x14ac:dyDescent="0.3">
      <c r="A438" s="358"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v>1</v>
      </c>
      <c r="CR438" s="319"/>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80">
        <f t="shared" si="80"/>
        <v>0</v>
      </c>
      <c r="GD438" s="180">
        <f t="shared" si="81"/>
        <v>0</v>
      </c>
      <c r="GE438" s="180">
        <f t="shared" si="82"/>
        <v>0</v>
      </c>
      <c r="GF438" s="180">
        <f t="shared" si="83"/>
        <v>0</v>
      </c>
      <c r="GG438" s="180">
        <f t="shared" si="78"/>
        <v>0</v>
      </c>
    </row>
    <row r="439" spans="1:189" x14ac:dyDescent="0.3">
      <c r="A439" s="358"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9"/>
      <c r="CR439" s="319">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79">
        <f t="shared" si="80"/>
        <v>0</v>
      </c>
      <c r="GD439" s="179">
        <f t="shared" si="81"/>
        <v>0</v>
      </c>
      <c r="GE439" s="179">
        <f t="shared" si="82"/>
        <v>0</v>
      </c>
      <c r="GF439" s="179">
        <f t="shared" si="83"/>
        <v>0</v>
      </c>
      <c r="GG439" s="179">
        <f t="shared" si="78"/>
        <v>0</v>
      </c>
    </row>
    <row r="440" spans="1:189" x14ac:dyDescent="0.3">
      <c r="A440" s="358"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c r="CF440" s="320"/>
      <c r="CG440" s="320"/>
      <c r="CH440" s="320"/>
      <c r="CI440" s="320"/>
      <c r="CJ440" s="320"/>
      <c r="CK440" s="320"/>
      <c r="CL440" s="320">
        <v>1</v>
      </c>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80">
        <f t="shared" si="80"/>
        <v>0</v>
      </c>
      <c r="GD440" s="180">
        <f t="shared" si="81"/>
        <v>0</v>
      </c>
      <c r="GE440" s="180">
        <f t="shared" si="82"/>
        <v>0</v>
      </c>
      <c r="GF440" s="180">
        <f t="shared" si="83"/>
        <v>0</v>
      </c>
      <c r="GG440" s="180">
        <f t="shared" si="78"/>
        <v>0</v>
      </c>
    </row>
    <row r="441" spans="1:189" x14ac:dyDescent="0.3">
      <c r="A441" s="358"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v>1</v>
      </c>
      <c r="CF441" s="320"/>
      <c r="CG441" s="320"/>
      <c r="CH441" s="320"/>
      <c r="CI441" s="320"/>
      <c r="CJ441" s="320"/>
      <c r="CK441" s="320"/>
      <c r="CL441" s="320"/>
      <c r="CM441" s="320"/>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79">
        <f t="shared" si="80"/>
        <v>0</v>
      </c>
      <c r="GD441" s="179">
        <f t="shared" si="81"/>
        <v>0</v>
      </c>
      <c r="GE441" s="179">
        <f t="shared" si="82"/>
        <v>0</v>
      </c>
      <c r="GF441" s="179">
        <f t="shared" si="83"/>
        <v>0</v>
      </c>
      <c r="GG441" s="179">
        <f t="shared" si="78"/>
        <v>0</v>
      </c>
    </row>
    <row r="442" spans="1:189" x14ac:dyDescent="0.3">
      <c r="A442" s="358"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c r="CF442" s="320"/>
      <c r="CG442" s="320"/>
      <c r="CH442" s="320"/>
      <c r="CI442" s="320"/>
      <c r="CJ442" s="320"/>
      <c r="CK442" s="320"/>
      <c r="CL442" s="320"/>
      <c r="CM442" s="320">
        <v>1</v>
      </c>
      <c r="CN442" s="320"/>
      <c r="CO442" s="35"/>
      <c r="CP442" s="35"/>
      <c r="CQ442" s="319"/>
      <c r="CR442" s="319"/>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80">
        <f t="shared" si="80"/>
        <v>0</v>
      </c>
      <c r="GD442" s="180">
        <f t="shared" si="81"/>
        <v>0</v>
      </c>
      <c r="GE442" s="180">
        <f t="shared" si="82"/>
        <v>0</v>
      </c>
      <c r="GF442" s="180">
        <f t="shared" si="83"/>
        <v>0</v>
      </c>
      <c r="GG442" s="180">
        <f t="shared" si="78"/>
        <v>0</v>
      </c>
    </row>
    <row r="443" spans="1:189" x14ac:dyDescent="0.3">
      <c r="A443" s="358"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20">
        <v>1</v>
      </c>
      <c r="CF443" s="320"/>
      <c r="CG443" s="320"/>
      <c r="CH443" s="320"/>
      <c r="CI443" s="320"/>
      <c r="CJ443" s="320"/>
      <c r="CK443" s="320"/>
      <c r="CL443" s="320">
        <v>-1</v>
      </c>
      <c r="CM443" s="320"/>
      <c r="CN443" s="320"/>
      <c r="CO443" s="35"/>
      <c r="CP443" s="35"/>
      <c r="CQ443" s="319"/>
      <c r="CR443" s="319"/>
      <c r="CS443" s="35"/>
      <c r="CT443" s="35"/>
      <c r="CU443" s="35"/>
      <c r="CV443" s="35"/>
      <c r="CW443" s="35"/>
      <c r="CX443" s="35"/>
      <c r="CY443" s="35"/>
      <c r="CZ443" s="35"/>
      <c r="DA443" s="35"/>
      <c r="DB443" s="35"/>
      <c r="DC443" s="35"/>
      <c r="DD443" s="35"/>
      <c r="DE443" s="35"/>
      <c r="DF443" s="35"/>
      <c r="DG443" s="35"/>
      <c r="DH443" s="319">
        <v>-0.26</v>
      </c>
      <c r="DI443" s="35"/>
      <c r="DJ443" s="35"/>
      <c r="DK443" s="35"/>
      <c r="DL443" s="35"/>
      <c r="DM443" s="35"/>
      <c r="DN443" s="35"/>
      <c r="DO443" s="319">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79">
        <f t="shared" si="80"/>
        <v>0</v>
      </c>
      <c r="GD443" s="179">
        <f t="shared" si="81"/>
        <v>0</v>
      </c>
      <c r="GE443" s="179">
        <f t="shared" si="82"/>
        <v>0</v>
      </c>
      <c r="GF443" s="179">
        <f t="shared" si="83"/>
        <v>0</v>
      </c>
      <c r="GG443" s="179">
        <f t="shared" si="78"/>
        <v>0</v>
      </c>
    </row>
    <row r="444" spans="1:189" x14ac:dyDescent="0.3">
      <c r="A444" s="358"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80">
        <f t="shared" si="80"/>
        <v>0</v>
      </c>
      <c r="GD444" s="180">
        <f t="shared" si="81"/>
        <v>0</v>
      </c>
      <c r="GE444" s="180">
        <f t="shared" si="82"/>
        <v>0</v>
      </c>
      <c r="GF444" s="180">
        <f t="shared" si="83"/>
        <v>0</v>
      </c>
      <c r="GG444" s="180">
        <f t="shared" si="78"/>
        <v>0</v>
      </c>
    </row>
    <row r="445" spans="1:189" x14ac:dyDescent="0.3">
      <c r="A445" s="358"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79">
        <f t="shared" si="80"/>
        <v>0</v>
      </c>
      <c r="GD445" s="179">
        <f t="shared" si="81"/>
        <v>0</v>
      </c>
      <c r="GE445" s="179">
        <f t="shared" si="82"/>
        <v>0</v>
      </c>
      <c r="GF445" s="179">
        <f t="shared" si="83"/>
        <v>0</v>
      </c>
      <c r="GG445" s="179">
        <f t="shared" si="78"/>
        <v>0</v>
      </c>
    </row>
    <row r="446" spans="1:189" x14ac:dyDescent="0.3">
      <c r="A446" s="358"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80">
        <f t="shared" si="80"/>
        <v>0</v>
      </c>
      <c r="GD446" s="180">
        <f t="shared" si="81"/>
        <v>0</v>
      </c>
      <c r="GE446" s="180">
        <f t="shared" si="82"/>
        <v>0</v>
      </c>
      <c r="GF446" s="180">
        <f t="shared" si="83"/>
        <v>0</v>
      </c>
      <c r="GG446" s="180">
        <f t="shared" si="78"/>
        <v>0</v>
      </c>
    </row>
    <row r="447" spans="1:189" x14ac:dyDescent="0.3">
      <c r="A447" s="358"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79">
        <f t="shared" si="80"/>
        <v>0</v>
      </c>
      <c r="GD447" s="179">
        <f t="shared" si="81"/>
        <v>0</v>
      </c>
      <c r="GE447" s="179">
        <f t="shared" si="82"/>
        <v>0</v>
      </c>
      <c r="GF447" s="179">
        <f t="shared" si="83"/>
        <v>0</v>
      </c>
      <c r="GG447" s="179">
        <f t="shared" si="78"/>
        <v>0</v>
      </c>
    </row>
    <row r="448" spans="1:189" x14ac:dyDescent="0.3">
      <c r="A448" s="358"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9"/>
      <c r="CR448" s="319"/>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80">
        <f t="shared" si="80"/>
        <v>0</v>
      </c>
      <c r="GD448" s="180">
        <f t="shared" si="81"/>
        <v>0</v>
      </c>
      <c r="GE448" s="180">
        <f t="shared" si="82"/>
        <v>0</v>
      </c>
      <c r="GF448" s="180">
        <f t="shared" si="83"/>
        <v>0</v>
      </c>
      <c r="GG448" s="180">
        <f t="shared" si="78"/>
        <v>0</v>
      </c>
    </row>
    <row r="449" spans="1:189" x14ac:dyDescent="0.3">
      <c r="A449" s="358"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79">
        <f t="shared" si="80"/>
        <v>0</v>
      </c>
      <c r="GD449" s="179">
        <f t="shared" si="81"/>
        <v>0</v>
      </c>
      <c r="GE449" s="179">
        <f t="shared" si="82"/>
        <v>0</v>
      </c>
      <c r="GF449" s="179">
        <f t="shared" si="83"/>
        <v>0</v>
      </c>
      <c r="GG449" s="179">
        <f t="shared" si="78"/>
        <v>0</v>
      </c>
    </row>
    <row r="450" spans="1:189" x14ac:dyDescent="0.3">
      <c r="A450" s="358"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9"/>
      <c r="CR450" s="319"/>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80">
        <f t="shared" si="80"/>
        <v>0</v>
      </c>
      <c r="GD450" s="180">
        <f t="shared" si="81"/>
        <v>0</v>
      </c>
      <c r="GE450" s="180">
        <f t="shared" si="82"/>
        <v>0</v>
      </c>
      <c r="GF450" s="180">
        <f t="shared" si="83"/>
        <v>0</v>
      </c>
      <c r="GG450" s="180">
        <f t="shared" si="78"/>
        <v>0</v>
      </c>
    </row>
    <row r="451" spans="1:189" x14ac:dyDescent="0.3">
      <c r="A451" s="358"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9"/>
      <c r="CR451" s="319"/>
      <c r="CS451" s="35"/>
      <c r="CT451" s="35"/>
      <c r="CU451" s="35"/>
      <c r="CV451" s="35"/>
      <c r="CW451" s="35"/>
      <c r="CX451" s="35"/>
      <c r="CY451" s="35"/>
      <c r="CZ451" s="35"/>
      <c r="DA451" s="35"/>
      <c r="DB451" s="35"/>
      <c r="DC451" s="35"/>
      <c r="DD451" s="35"/>
      <c r="DE451" s="35"/>
      <c r="DF451" s="35"/>
      <c r="DG451" s="35"/>
      <c r="DH451" s="406">
        <f>-(36.8+0.32)*0.0036/100</f>
        <v>-1.33632E-3</v>
      </c>
      <c r="DI451" s="35"/>
      <c r="DJ451" s="35"/>
      <c r="DK451" s="35"/>
      <c r="DL451" s="35"/>
      <c r="DM451" s="35"/>
      <c r="DN451" s="35"/>
      <c r="DO451" s="35"/>
      <c r="DP451" s="35"/>
      <c r="DQ451" s="35"/>
      <c r="DR451" s="35"/>
      <c r="DS451" s="35"/>
      <c r="DT451" s="35"/>
      <c r="DU451" s="408">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79">
        <f t="shared" si="80"/>
        <v>0</v>
      </c>
      <c r="GD451" s="179">
        <f t="shared" si="81"/>
        <v>0</v>
      </c>
      <c r="GE451" s="179">
        <f t="shared" si="82"/>
        <v>3.44E-2</v>
      </c>
      <c r="GF451" s="179">
        <f t="shared" si="83"/>
        <v>0</v>
      </c>
      <c r="GG451" s="179">
        <f t="shared" si="78"/>
        <v>0</v>
      </c>
    </row>
    <row r="452" spans="1:189" x14ac:dyDescent="0.3">
      <c r="A452" s="358"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f>CH454</f>
        <v>0.9652173913043478</v>
      </c>
      <c r="CJ452" s="1">
        <v>-1</v>
      </c>
      <c r="CO452" s="35"/>
      <c r="CP452" s="35"/>
      <c r="CQ452" s="319"/>
      <c r="CR452" s="319"/>
      <c r="CS452" s="35"/>
      <c r="CT452" s="35"/>
      <c r="CU452" s="35"/>
      <c r="CV452" s="35"/>
      <c r="CW452" s="35"/>
      <c r="CX452" s="35"/>
      <c r="CY452" s="35"/>
      <c r="CZ452" s="35"/>
      <c r="DA452" s="35"/>
      <c r="DB452" s="35"/>
      <c r="DC452" s="35"/>
      <c r="DD452" s="35"/>
      <c r="DE452" s="35"/>
      <c r="DF452" s="35"/>
      <c r="DG452" s="35"/>
      <c r="DH452" s="407">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80">
        <f t="shared" si="80"/>
        <v>0</v>
      </c>
      <c r="GD452" s="180">
        <f t="shared" si="81"/>
        <v>0</v>
      </c>
      <c r="GE452" s="180">
        <f t="shared" si="82"/>
        <v>0</v>
      </c>
      <c r="GF452" s="180">
        <f t="shared" si="83"/>
        <v>0</v>
      </c>
      <c r="GG452" s="180">
        <f t="shared" si="78"/>
        <v>0</v>
      </c>
    </row>
    <row r="453" spans="1:189" x14ac:dyDescent="0.3">
      <c r="A453" s="358"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2"/>
      <c r="CJ453" s="1">
        <v>-1</v>
      </c>
      <c r="CK453" s="212">
        <v>0.95</v>
      </c>
      <c r="CL453" s="212"/>
      <c r="CM453" s="212"/>
      <c r="CN453" s="212"/>
      <c r="CO453" s="35"/>
      <c r="CP453" s="35"/>
      <c r="CQ453" s="319"/>
      <c r="CR453" s="319"/>
      <c r="CS453" s="35"/>
      <c r="CT453" s="35"/>
      <c r="CU453" s="35"/>
      <c r="CV453" s="35"/>
      <c r="CW453" s="35"/>
      <c r="CX453" s="35"/>
      <c r="CY453" s="35"/>
      <c r="CZ453" s="35"/>
      <c r="DA453" s="35"/>
      <c r="DB453" s="35"/>
      <c r="DC453" s="35"/>
      <c r="DD453" s="35"/>
      <c r="DE453" s="35"/>
      <c r="DF453" s="35"/>
      <c r="DG453" s="35"/>
      <c r="DH453" s="407">
        <v>-1.1200000000000001</v>
      </c>
      <c r="DI453" s="35"/>
      <c r="DJ453" s="35"/>
      <c r="DK453" s="35"/>
      <c r="DL453" s="35"/>
      <c r="DM453" s="35"/>
      <c r="DN453" s="35"/>
      <c r="DO453" s="35"/>
      <c r="DP453" s="35"/>
      <c r="DQ453" s="35"/>
      <c r="DR453" s="35"/>
      <c r="DS453" s="35"/>
      <c r="DT453" s="35"/>
      <c r="DU453" s="408"/>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79">
        <f t="shared" si="80"/>
        <v>0</v>
      </c>
      <c r="GD453" s="179">
        <f t="shared" si="81"/>
        <v>0</v>
      </c>
      <c r="GE453" s="179">
        <f t="shared" si="82"/>
        <v>0</v>
      </c>
      <c r="GF453" s="179">
        <f t="shared" si="83"/>
        <v>0</v>
      </c>
      <c r="GG453" s="179">
        <f t="shared" si="78"/>
        <v>0</v>
      </c>
    </row>
    <row r="454" spans="1:189" x14ac:dyDescent="0.3">
      <c r="A454" s="358"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2">
        <f>(23+40+18+30)/115</f>
        <v>0.9652173913043478</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80">
        <f t="shared" si="80"/>
        <v>0</v>
      </c>
      <c r="GD454" s="180">
        <f t="shared" si="81"/>
        <v>0</v>
      </c>
      <c r="GE454" s="180">
        <f t="shared" si="82"/>
        <v>0</v>
      </c>
      <c r="GF454" s="180">
        <f t="shared" si="83"/>
        <v>0</v>
      </c>
      <c r="GG454" s="180">
        <f t="shared" si="78"/>
        <v>0</v>
      </c>
    </row>
    <row r="455" spans="1:189" x14ac:dyDescent="0.3">
      <c r="A455" s="358"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2"/>
      <c r="CJ455" s="1">
        <v>-1</v>
      </c>
      <c r="CM455" s="1">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79">
        <f t="shared" si="80"/>
        <v>0</v>
      </c>
      <c r="GD455" s="179">
        <f t="shared" si="81"/>
        <v>0</v>
      </c>
      <c r="GE455" s="179">
        <f t="shared" si="82"/>
        <v>0</v>
      </c>
      <c r="GF455" s="179">
        <f t="shared" si="83"/>
        <v>0</v>
      </c>
      <c r="GG455" s="179">
        <f t="shared" si="78"/>
        <v>0</v>
      </c>
    </row>
    <row r="456" spans="1:189" x14ac:dyDescent="0.3">
      <c r="A456" s="358"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80">
        <f t="shared" si="80"/>
        <v>0</v>
      </c>
      <c r="GD456" s="180">
        <f t="shared" si="81"/>
        <v>0</v>
      </c>
      <c r="GE456" s="180">
        <f t="shared" si="82"/>
        <v>0</v>
      </c>
      <c r="GF456" s="180">
        <f t="shared" si="83"/>
        <v>0</v>
      </c>
      <c r="GG456" s="180">
        <f t="shared" si="78"/>
        <v>0</v>
      </c>
    </row>
    <row r="457" spans="1:189" x14ac:dyDescent="0.3">
      <c r="A457" s="358"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79">
        <f t="shared" si="80"/>
        <v>0</v>
      </c>
      <c r="GD457" s="179">
        <f t="shared" si="81"/>
        <v>0</v>
      </c>
      <c r="GE457" s="179">
        <f t="shared" si="82"/>
        <v>0</v>
      </c>
      <c r="GF457" s="179">
        <f t="shared" si="83"/>
        <v>0</v>
      </c>
      <c r="GG457" s="179">
        <f t="shared" si="78"/>
        <v>0</v>
      </c>
    </row>
    <row r="458" spans="1:189" x14ac:dyDescent="0.3">
      <c r="A458" s="358"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80">
        <f t="shared" si="80"/>
        <v>0</v>
      </c>
      <c r="GD458" s="180">
        <f t="shared" si="81"/>
        <v>0</v>
      </c>
      <c r="GE458" s="180">
        <f t="shared" si="82"/>
        <v>0</v>
      </c>
      <c r="GF458" s="180">
        <f t="shared" si="83"/>
        <v>0</v>
      </c>
      <c r="GG458" s="180">
        <f t="shared" si="78"/>
        <v>0</v>
      </c>
    </row>
    <row r="459" spans="1:189" x14ac:dyDescent="0.3">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79">
        <f t="shared" si="80"/>
        <v>0</v>
      </c>
      <c r="GD459" s="179">
        <f t="shared" si="81"/>
        <v>0</v>
      </c>
      <c r="GE459" s="179">
        <f t="shared" si="82"/>
        <v>0</v>
      </c>
      <c r="GF459" s="179">
        <f t="shared" si="83"/>
        <v>0</v>
      </c>
      <c r="GG459" s="179">
        <f t="shared" si="78"/>
        <v>0</v>
      </c>
    </row>
    <row r="460" spans="1:189" x14ac:dyDescent="0.3">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80">
        <f t="shared" si="80"/>
        <v>0</v>
      </c>
      <c r="GD460" s="180">
        <f t="shared" si="81"/>
        <v>0</v>
      </c>
      <c r="GE460" s="180">
        <f t="shared" si="82"/>
        <v>0</v>
      </c>
      <c r="GF460" s="180">
        <f t="shared" si="83"/>
        <v>0</v>
      </c>
      <c r="GG460" s="180">
        <f t="shared" si="78"/>
        <v>0</v>
      </c>
    </row>
    <row r="461" spans="1:189" x14ac:dyDescent="0.3">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9"/>
      <c r="CR461" s="319"/>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9"/>
      <c r="GC461" s="179">
        <f t="shared" si="80"/>
        <v>0</v>
      </c>
      <c r="GD461" s="179">
        <f t="shared" si="81"/>
        <v>0</v>
      </c>
      <c r="GE461" s="179">
        <f t="shared" si="82"/>
        <v>0</v>
      </c>
      <c r="GF461" s="179">
        <f t="shared" si="83"/>
        <v>0</v>
      </c>
      <c r="GG461" s="179">
        <f t="shared" si="78"/>
        <v>0</v>
      </c>
    </row>
    <row r="462" spans="1:189" x14ac:dyDescent="0.3">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20"/>
      <c r="GC462" s="325"/>
      <c r="GD462" s="325"/>
      <c r="GE462" s="325">
        <v>1</v>
      </c>
      <c r="GF462" s="325"/>
      <c r="GG462" s="325"/>
    </row>
    <row r="463" spans="1:189" x14ac:dyDescent="0.3">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9"/>
      <c r="GC463" s="326"/>
      <c r="GD463" s="326"/>
      <c r="GE463" s="326"/>
      <c r="GF463" s="326"/>
      <c r="GG463" s="326"/>
    </row>
    <row r="464" spans="1:189" x14ac:dyDescent="0.3">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20"/>
      <c r="GC464" s="325"/>
      <c r="GD464" s="325"/>
      <c r="GE464" s="325">
        <v>1</v>
      </c>
      <c r="GF464" s="325"/>
      <c r="GG464" s="325"/>
    </row>
    <row r="465" spans="1:189" x14ac:dyDescent="0.3">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9"/>
      <c r="GC465" s="326"/>
      <c r="GD465" s="326"/>
      <c r="GE465" s="326"/>
      <c r="GF465" s="326"/>
      <c r="GG465" s="326"/>
    </row>
    <row r="466" spans="1:189" x14ac:dyDescent="0.3">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20"/>
      <c r="GC466" s="325"/>
      <c r="GD466" s="325"/>
      <c r="GE466" s="325">
        <v>1</v>
      </c>
      <c r="GF466" s="325"/>
      <c r="GG466" s="325"/>
    </row>
    <row r="467" spans="1:189" x14ac:dyDescent="0.3">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9"/>
      <c r="GC467" s="326"/>
      <c r="GD467" s="326"/>
      <c r="GE467" s="326"/>
      <c r="GF467" s="326"/>
      <c r="GG467" s="326"/>
    </row>
    <row r="468" spans="1:189" x14ac:dyDescent="0.3">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20"/>
      <c r="GC468" s="325"/>
      <c r="GD468" s="325"/>
      <c r="GE468" s="325">
        <v>1</v>
      </c>
      <c r="GF468" s="325"/>
      <c r="GG468" s="325"/>
    </row>
    <row r="469" spans="1:189" x14ac:dyDescent="0.3">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9"/>
      <c r="GC469" s="326"/>
      <c r="GD469" s="326"/>
      <c r="GE469" s="326"/>
      <c r="GF469" s="326"/>
      <c r="GG469" s="326"/>
    </row>
    <row r="470" spans="1:189" x14ac:dyDescent="0.3">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20"/>
      <c r="GC470" s="325"/>
      <c r="GD470" s="325"/>
      <c r="GE470" s="325"/>
      <c r="GF470" s="325"/>
      <c r="GG470" s="325"/>
    </row>
    <row r="471" spans="1:189" x14ac:dyDescent="0.3">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9"/>
      <c r="GC471" s="326"/>
      <c r="GD471" s="326"/>
      <c r="GE471" s="326"/>
      <c r="GF471" s="326"/>
      <c r="GG471" s="326"/>
    </row>
    <row r="472" spans="1:189" x14ac:dyDescent="0.3">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20"/>
      <c r="GC472" s="325"/>
      <c r="GD472" s="325"/>
      <c r="GE472" s="325"/>
      <c r="GF472" s="325"/>
      <c r="GG472" s="325"/>
    </row>
    <row r="473" spans="1:189" x14ac:dyDescent="0.3">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9"/>
      <c r="GC473" s="326"/>
      <c r="GD473" s="326"/>
      <c r="GE473" s="326"/>
      <c r="GF473" s="326"/>
      <c r="GG473" s="326"/>
    </row>
    <row r="474" spans="1:189" x14ac:dyDescent="0.3">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20"/>
      <c r="GC474" s="325"/>
      <c r="GD474" s="325"/>
      <c r="GE474" s="325"/>
      <c r="GF474" s="325"/>
      <c r="GG474" s="325"/>
    </row>
    <row r="475" spans="1:189" x14ac:dyDescent="0.3">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9"/>
      <c r="GC475" s="326"/>
      <c r="GD475" s="326"/>
      <c r="GE475" s="326">
        <v>1</v>
      </c>
      <c r="GF475" s="326"/>
      <c r="GG475" s="326"/>
    </row>
    <row r="476" spans="1:189" x14ac:dyDescent="0.3">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20"/>
      <c r="GC476" s="325"/>
      <c r="GD476" s="325"/>
      <c r="GE476" s="325"/>
      <c r="GF476" s="325"/>
      <c r="GG476" s="325"/>
    </row>
    <row r="477" spans="1:189" x14ac:dyDescent="0.3">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9"/>
      <c r="GC477" s="326"/>
      <c r="GD477" s="326"/>
      <c r="GE477" s="326"/>
      <c r="GF477" s="326"/>
      <c r="GG477" s="326"/>
    </row>
    <row r="478" spans="1:189" x14ac:dyDescent="0.3">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20"/>
      <c r="GC478" s="325"/>
      <c r="GD478" s="325"/>
      <c r="GE478" s="325"/>
      <c r="GF478" s="325"/>
      <c r="GG478" s="325"/>
    </row>
    <row r="479" spans="1:189" x14ac:dyDescent="0.3">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9"/>
      <c r="GC479" s="326"/>
      <c r="GD479" s="326"/>
      <c r="GE479" s="326"/>
      <c r="GF479" s="326"/>
      <c r="GG479" s="326"/>
    </row>
    <row r="480" spans="1:189" x14ac:dyDescent="0.3">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20"/>
      <c r="GC480" s="325"/>
      <c r="GD480" s="325"/>
      <c r="GE480" s="325"/>
      <c r="GF480" s="325"/>
      <c r="GG480" s="325"/>
    </row>
    <row r="481" spans="1:189" x14ac:dyDescent="0.3">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9"/>
      <c r="GC481" s="326"/>
      <c r="GD481" s="326"/>
      <c r="GE481" s="326"/>
      <c r="GF481" s="326"/>
      <c r="GG481" s="326"/>
    </row>
    <row r="482" spans="1:189" x14ac:dyDescent="0.3">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20"/>
      <c r="GC482" s="325"/>
      <c r="GD482" s="325"/>
      <c r="GE482" s="325"/>
      <c r="GF482" s="325"/>
      <c r="GG482" s="325"/>
    </row>
    <row r="483" spans="1:189" x14ac:dyDescent="0.3">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9"/>
      <c r="GC483" s="326"/>
      <c r="GD483" s="326"/>
      <c r="GE483" s="326">
        <v>1</v>
      </c>
      <c r="GF483" s="326"/>
      <c r="GG483" s="326"/>
    </row>
    <row r="484" spans="1:189" x14ac:dyDescent="0.3">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20"/>
      <c r="GC484" s="325"/>
      <c r="GD484" s="325"/>
      <c r="GE484" s="325"/>
      <c r="GF484" s="325"/>
      <c r="GG484" s="325"/>
    </row>
    <row r="485" spans="1:189" x14ac:dyDescent="0.3">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9"/>
      <c r="GC485" s="326"/>
      <c r="GD485" s="326"/>
      <c r="GE485" s="326">
        <v>1</v>
      </c>
      <c r="GF485" s="326"/>
      <c r="GG485" s="326"/>
    </row>
    <row r="486" spans="1:189" x14ac:dyDescent="0.3">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20"/>
      <c r="GC486" s="325"/>
      <c r="GD486" s="325"/>
      <c r="GE486" s="325"/>
      <c r="GF486" s="325"/>
      <c r="GG486" s="325"/>
    </row>
    <row r="487" spans="1:189" x14ac:dyDescent="0.3">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9"/>
      <c r="GC487" s="326"/>
      <c r="GD487" s="326"/>
      <c r="GE487" s="326">
        <v>1</v>
      </c>
      <c r="GF487" s="326"/>
      <c r="GG487" s="326"/>
    </row>
    <row r="488" spans="1:189" x14ac:dyDescent="0.3">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20"/>
      <c r="GC488" s="325"/>
      <c r="GD488" s="325"/>
      <c r="GE488" s="325"/>
      <c r="GF488" s="325"/>
      <c r="GG488" s="325"/>
    </row>
    <row r="489" spans="1:189" x14ac:dyDescent="0.3">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9"/>
      <c r="GC489" s="326"/>
      <c r="GD489" s="326"/>
      <c r="GE489" s="326">
        <v>1</v>
      </c>
      <c r="GF489" s="326"/>
      <c r="GG489" s="326"/>
    </row>
    <row r="490" spans="1:189" x14ac:dyDescent="0.3">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20"/>
      <c r="GC490" s="325"/>
      <c r="GD490" s="325"/>
      <c r="GE490" s="325"/>
      <c r="GF490" s="325"/>
      <c r="GG490" s="325"/>
    </row>
    <row r="491" spans="1:189" x14ac:dyDescent="0.3">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9"/>
      <c r="GC491" s="326"/>
      <c r="GD491" s="326"/>
      <c r="GE491" s="326"/>
      <c r="GF491" s="326"/>
      <c r="GG491" s="326"/>
    </row>
    <row r="492" spans="1:189" x14ac:dyDescent="0.3">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20"/>
      <c r="GC492" s="325"/>
      <c r="GD492" s="325"/>
      <c r="GE492" s="325"/>
      <c r="GF492" s="325"/>
      <c r="GG492" s="325"/>
    </row>
    <row r="493" spans="1:189" x14ac:dyDescent="0.3">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9"/>
      <c r="GC493" s="326"/>
      <c r="GD493" s="326"/>
      <c r="GE493" s="326">
        <v>1</v>
      </c>
      <c r="GF493" s="326"/>
      <c r="GG493" s="326"/>
    </row>
    <row r="494" spans="1:189" x14ac:dyDescent="0.3">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20"/>
      <c r="GC494" s="325"/>
      <c r="GD494" s="325"/>
      <c r="GE494" s="325"/>
      <c r="GF494" s="325"/>
      <c r="GG494" s="325"/>
    </row>
    <row r="495" spans="1:189" x14ac:dyDescent="0.3">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9"/>
      <c r="GC495" s="326"/>
      <c r="GD495" s="326"/>
      <c r="GE495" s="326">
        <v>1</v>
      </c>
      <c r="GF495" s="326"/>
      <c r="GG495" s="326"/>
    </row>
    <row r="496" spans="1:189" x14ac:dyDescent="0.3">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20"/>
      <c r="GC496" s="325"/>
      <c r="GD496" s="325"/>
      <c r="GE496" s="325"/>
      <c r="GF496" s="325"/>
      <c r="GG496" s="325"/>
    </row>
    <row r="497" spans="1:189" x14ac:dyDescent="0.3">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9"/>
      <c r="GC497" s="326"/>
      <c r="GD497" s="326"/>
      <c r="GE497" s="326">
        <v>1</v>
      </c>
      <c r="GF497" s="326"/>
      <c r="GG497" s="326"/>
    </row>
    <row r="498" spans="1:189" x14ac:dyDescent="0.3">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20"/>
      <c r="GC498" s="325"/>
      <c r="GD498" s="325"/>
      <c r="GE498" s="325"/>
      <c r="GF498" s="325"/>
      <c r="GG498" s="325"/>
    </row>
    <row r="499" spans="1:189" x14ac:dyDescent="0.3">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9"/>
      <c r="GC499" s="326"/>
      <c r="GD499" s="326"/>
      <c r="GE499" s="326">
        <v>1</v>
      </c>
      <c r="GF499" s="326"/>
      <c r="GG499" s="326"/>
    </row>
    <row r="500" spans="1:189" x14ac:dyDescent="0.3">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20"/>
      <c r="GC500" s="325"/>
      <c r="GD500" s="325"/>
      <c r="GE500" s="325"/>
      <c r="GF500" s="325"/>
      <c r="GG500" s="325"/>
    </row>
    <row r="501" spans="1:189" x14ac:dyDescent="0.3">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9"/>
      <c r="GC501" s="326">
        <v>-1</v>
      </c>
      <c r="GD501" s="326"/>
      <c r="GE501" s="326"/>
      <c r="GF501" s="326"/>
      <c r="GG501" s="326"/>
    </row>
    <row r="502" spans="1:189" x14ac:dyDescent="0.3">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20">
        <f>GC502</f>
        <v>1</v>
      </c>
      <c r="GC502" s="325">
        <v>1</v>
      </c>
      <c r="GD502" s="325">
        <v>-1</v>
      </c>
      <c r="GE502" s="325"/>
      <c r="GF502" s="325"/>
      <c r="GG502" s="325"/>
    </row>
    <row r="503" spans="1:189" x14ac:dyDescent="0.3">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9">
        <f>GC503</f>
        <v>1</v>
      </c>
      <c r="GC503" s="326">
        <v>1</v>
      </c>
      <c r="GD503" s="326"/>
      <c r="GE503" s="326">
        <v>-1</v>
      </c>
      <c r="GF503" s="326"/>
      <c r="GG503" s="326"/>
    </row>
    <row r="504" spans="1:189" x14ac:dyDescent="0.3">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20"/>
      <c r="GC504" s="325"/>
      <c r="GD504" s="325"/>
      <c r="GE504" s="325"/>
      <c r="GF504" s="325"/>
      <c r="GG504" s="325"/>
    </row>
    <row r="505" spans="1:189" x14ac:dyDescent="0.3">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9"/>
      <c r="GC505" s="326"/>
      <c r="GD505" s="326">
        <v>-1</v>
      </c>
      <c r="GE505" s="326"/>
      <c r="GF505" s="326"/>
      <c r="GG505" s="326"/>
    </row>
    <row r="506" spans="1:189" x14ac:dyDescent="0.3">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20"/>
      <c r="GC506" s="325"/>
      <c r="GD506" s="325"/>
      <c r="GE506" s="325">
        <v>-1</v>
      </c>
      <c r="GF506" s="325"/>
      <c r="GG506" s="325"/>
    </row>
    <row r="507" spans="1:189" x14ac:dyDescent="0.3">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9"/>
      <c r="GC507" s="326"/>
      <c r="GD507" s="326"/>
      <c r="GE507" s="326"/>
      <c r="GF507" s="326">
        <v>-1</v>
      </c>
      <c r="GG507" s="326"/>
    </row>
    <row r="508" spans="1:189" x14ac:dyDescent="0.3">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20"/>
      <c r="GC508" s="325"/>
      <c r="GD508" s="325"/>
      <c r="GE508" s="325"/>
      <c r="GF508" s="325"/>
      <c r="GG508" s="325">
        <v>-1</v>
      </c>
    </row>
    <row r="509" spans="1:189" x14ac:dyDescent="0.3">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4140625" defaultRowHeight="14.4" x14ac:dyDescent="0.3"/>
  <cols>
    <col min="1" max="1" width="11.5546875" style="1" bestFit="1" customWidth="1"/>
    <col min="2" max="2" width="11.5546875" style="1" customWidth="1"/>
    <col min="3" max="3" width="14.44140625" style="1" bestFit="1" customWidth="1"/>
    <col min="4" max="4" width="14.88671875" style="1" bestFit="1" customWidth="1"/>
    <col min="5" max="5" width="12.109375" style="1" bestFit="1" customWidth="1"/>
    <col min="6" max="6" width="40" style="1" bestFit="1" customWidth="1"/>
    <col min="7" max="7" width="7" style="1" bestFit="1" customWidth="1"/>
    <col min="8" max="14" width="12.109375" style="1" bestFit="1" customWidth="1"/>
    <col min="15" max="15" width="18" style="1" bestFit="1" customWidth="1"/>
    <col min="16" max="22" width="12.109375" style="1" bestFit="1" customWidth="1"/>
    <col min="23" max="23" width="6.44140625" style="1" customWidth="1"/>
    <col min="24" max="24" width="12.88671875" style="1" bestFit="1" customWidth="1"/>
    <col min="25" max="25" width="15.109375" style="1" bestFit="1" customWidth="1"/>
    <col min="26" max="26" width="18" style="1" bestFit="1" customWidth="1"/>
    <col min="27" max="27" width="14.88671875" style="1" customWidth="1"/>
    <col min="28" max="28" width="21.88671875" style="1" bestFit="1" customWidth="1"/>
    <col min="29" max="29" width="18.88671875" style="1" customWidth="1"/>
    <col min="30" max="30" width="15.5546875" style="1" customWidth="1"/>
    <col min="31" max="31" width="9" style="1" bestFit="1" customWidth="1"/>
    <col min="32" max="37" width="6.109375" style="1" bestFit="1" customWidth="1"/>
    <col min="38" max="38" width="7.44140625" style="1" bestFit="1" customWidth="1"/>
    <col min="39" max="44" width="6.109375" style="1" bestFit="1" customWidth="1"/>
    <col min="45" max="51" width="9" style="1" bestFit="1" customWidth="1"/>
    <col min="52" max="52" width="13.44140625" style="1" bestFit="1" customWidth="1"/>
    <col min="53" max="16384" width="15.44140625" style="1"/>
  </cols>
  <sheetData>
    <row r="1" spans="1:52" x14ac:dyDescent="0.3">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
      <c r="A2" s="424" t="s">
        <v>556</v>
      </c>
      <c r="B2" s="424"/>
      <c r="C2" s="424"/>
      <c r="D2" s="424"/>
      <c r="E2" s="424"/>
      <c r="F2" s="424"/>
      <c r="G2" s="110"/>
      <c r="H2" s="422" t="s">
        <v>557</v>
      </c>
      <c r="I2" s="422"/>
      <c r="J2" s="422"/>
      <c r="K2" s="422"/>
      <c r="L2" s="422"/>
      <c r="M2" s="422"/>
      <c r="N2" s="422"/>
      <c r="O2" s="422"/>
      <c r="P2" s="422"/>
      <c r="Q2" s="422"/>
      <c r="R2" s="422"/>
      <c r="S2" s="422"/>
      <c r="T2" s="422"/>
      <c r="U2" s="422"/>
      <c r="V2" s="422"/>
      <c r="W2" s="422"/>
      <c r="X2" s="422"/>
      <c r="Y2" s="422"/>
      <c r="Z2" s="427" t="s">
        <v>1833</v>
      </c>
      <c r="AA2" s="427"/>
      <c r="AB2" s="427"/>
      <c r="AC2" s="69"/>
      <c r="AD2" s="69"/>
      <c r="AE2" s="69" t="s">
        <v>1834</v>
      </c>
      <c r="AF2" s="422" t="s">
        <v>1835</v>
      </c>
      <c r="AG2" s="422"/>
      <c r="AH2" s="422"/>
      <c r="AI2" s="422"/>
      <c r="AJ2" s="422"/>
      <c r="AK2" s="422"/>
      <c r="AL2" s="421" t="s">
        <v>565</v>
      </c>
      <c r="AM2" s="421"/>
      <c r="AN2" s="421"/>
      <c r="AO2" s="421"/>
      <c r="AP2" s="421"/>
      <c r="AQ2" s="421"/>
      <c r="AR2" s="421"/>
      <c r="AS2" s="423" t="s">
        <v>566</v>
      </c>
      <c r="AT2" s="423"/>
      <c r="AU2" s="423"/>
      <c r="AV2" s="423"/>
      <c r="AW2" s="423"/>
      <c r="AX2" s="423"/>
      <c r="AY2" s="423"/>
      <c r="AZ2" s="77" t="s">
        <v>17</v>
      </c>
    </row>
    <row r="3" spans="1:52" ht="30" customHeight="1" x14ac:dyDescent="0.3">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1847</v>
      </c>
    </row>
    <row r="9" spans="1:52" x14ac:dyDescent="0.3">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
      <c r="H17" s="73"/>
      <c r="I17" s="73"/>
      <c r="J17" s="73"/>
      <c r="K17" s="73"/>
      <c r="L17" s="73"/>
      <c r="M17" s="73"/>
      <c r="N17" s="73"/>
      <c r="O17" s="73"/>
      <c r="P17" s="73"/>
      <c r="Q17" s="73"/>
      <c r="R17" s="73"/>
      <c r="S17" s="73"/>
      <c r="T17" s="73"/>
      <c r="U17" s="73"/>
      <c r="V17" s="73"/>
      <c r="W17" s="73"/>
      <c r="X17" s="73"/>
      <c r="Y17" s="73"/>
    </row>
    <row r="18" spans="8:25" x14ac:dyDescent="0.3">
      <c r="H18" s="73"/>
      <c r="I18" s="73"/>
      <c r="J18" s="73"/>
      <c r="K18" s="73"/>
      <c r="L18" s="73"/>
      <c r="M18" s="73"/>
      <c r="N18" s="73"/>
      <c r="O18" s="73"/>
      <c r="P18" s="73"/>
      <c r="Q18" s="73"/>
      <c r="R18" s="73"/>
      <c r="S18" s="73"/>
      <c r="T18" s="73"/>
      <c r="U18" s="73"/>
      <c r="V18" s="73"/>
      <c r="W18" s="73"/>
      <c r="X18" s="73"/>
      <c r="Y18" s="73"/>
    </row>
    <row r="19" spans="8:25" x14ac:dyDescent="0.3">
      <c r="H19" s="73"/>
      <c r="I19" s="73"/>
      <c r="J19" s="73"/>
      <c r="K19" s="73"/>
      <c r="L19" s="73"/>
      <c r="M19" s="73"/>
      <c r="N19" s="73"/>
      <c r="O19" s="73"/>
      <c r="P19" s="73"/>
      <c r="Q19" s="73"/>
      <c r="R19" s="73"/>
      <c r="S19" s="73"/>
      <c r="T19" s="73"/>
      <c r="U19" s="73"/>
      <c r="V19" s="73"/>
      <c r="W19" s="73"/>
      <c r="X19" s="73"/>
      <c r="Y19" s="73"/>
    </row>
    <row r="20" spans="8:25" x14ac:dyDescent="0.3">
      <c r="H20" s="73"/>
      <c r="I20" s="73"/>
      <c r="J20" s="73"/>
      <c r="K20" s="73"/>
      <c r="L20" s="73"/>
      <c r="M20" s="73"/>
      <c r="N20" s="73"/>
      <c r="O20" s="73"/>
      <c r="P20" s="73"/>
      <c r="Q20" s="73"/>
      <c r="R20" s="73"/>
      <c r="S20" s="73"/>
      <c r="T20" s="73"/>
      <c r="U20" s="73"/>
      <c r="V20" s="73"/>
      <c r="W20" s="73"/>
      <c r="X20" s="73"/>
      <c r="Y20" s="73"/>
    </row>
    <row r="21" spans="8:25" x14ac:dyDescent="0.3">
      <c r="H21" s="73"/>
      <c r="I21" s="73"/>
      <c r="J21" s="73"/>
      <c r="K21" s="73"/>
      <c r="L21" s="73"/>
      <c r="M21" s="73"/>
      <c r="N21" s="73"/>
      <c r="O21" s="73"/>
      <c r="P21" s="73"/>
      <c r="Q21" s="73"/>
      <c r="R21" s="73"/>
      <c r="S21" s="73"/>
      <c r="T21" s="73"/>
      <c r="U21" s="73"/>
      <c r="V21" s="73"/>
      <c r="W21" s="73"/>
      <c r="X21" s="73"/>
      <c r="Y21" s="73"/>
    </row>
    <row r="22" spans="8:25" x14ac:dyDescent="0.3">
      <c r="H22" s="73"/>
      <c r="I22" s="73"/>
      <c r="J22" s="73"/>
      <c r="K22" s="73"/>
      <c r="L22" s="73"/>
      <c r="M22" s="73"/>
      <c r="N22" s="73"/>
      <c r="O22" s="73"/>
      <c r="P22" s="73"/>
      <c r="Q22" s="73"/>
      <c r="R22" s="73"/>
      <c r="S22" s="73"/>
      <c r="T22" s="73"/>
      <c r="U22" s="73"/>
      <c r="V22" s="73"/>
      <c r="W22" s="73"/>
      <c r="X22" s="73"/>
      <c r="Y22" s="73"/>
    </row>
    <row r="23" spans="8:25" x14ac:dyDescent="0.3">
      <c r="H23" s="73"/>
      <c r="I23" s="73"/>
      <c r="J23" s="73"/>
      <c r="K23" s="73"/>
      <c r="L23" s="73"/>
      <c r="M23" s="73"/>
      <c r="N23" s="73"/>
      <c r="O23" s="73"/>
      <c r="P23" s="73"/>
      <c r="Q23" s="73"/>
      <c r="R23" s="73"/>
      <c r="S23" s="73"/>
      <c r="T23" s="73"/>
      <c r="U23" s="73"/>
      <c r="V23" s="73"/>
      <c r="W23" s="73"/>
      <c r="X23" s="73"/>
      <c r="Y23" s="73"/>
    </row>
    <row r="24" spans="8:25" x14ac:dyDescent="0.3">
      <c r="H24" s="73"/>
      <c r="I24" s="73"/>
      <c r="J24" s="73"/>
      <c r="K24" s="73"/>
      <c r="L24" s="73"/>
      <c r="M24" s="73"/>
      <c r="N24" s="73"/>
      <c r="O24" s="73"/>
      <c r="P24" s="73"/>
      <c r="Q24" s="73"/>
      <c r="R24" s="73"/>
      <c r="S24" s="73"/>
      <c r="T24" s="73"/>
      <c r="U24" s="73"/>
      <c r="V24" s="73"/>
      <c r="W24" s="73"/>
      <c r="X24" s="73"/>
      <c r="Y24" s="73"/>
    </row>
    <row r="25" spans="8:25" x14ac:dyDescent="0.3">
      <c r="H25" s="73"/>
      <c r="I25" s="73"/>
      <c r="J25" s="73"/>
      <c r="K25" s="73"/>
      <c r="L25" s="73"/>
      <c r="M25" s="73"/>
      <c r="N25" s="73"/>
      <c r="O25" s="73"/>
      <c r="P25" s="73"/>
      <c r="Q25" s="73"/>
      <c r="R25" s="73"/>
      <c r="S25" s="73"/>
      <c r="T25" s="73"/>
      <c r="U25" s="73"/>
      <c r="V25" s="73"/>
      <c r="W25" s="73"/>
      <c r="X25" s="73"/>
      <c r="Y25" s="73"/>
    </row>
    <row r="26" spans="8:25" x14ac:dyDescent="0.3">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88671875" defaultRowHeight="14.4" x14ac:dyDescent="0.3"/>
  <cols>
    <col min="1" max="1" width="13.109375" style="1" bestFit="1" customWidth="1"/>
    <col min="2" max="2" width="63.109375" style="1" bestFit="1" customWidth="1"/>
    <col min="3" max="3" width="11.5546875" style="1" bestFit="1" customWidth="1"/>
    <col min="4" max="4" width="25.5546875" style="1" bestFit="1" customWidth="1"/>
    <col min="5" max="5" width="6.109375" style="1" bestFit="1" customWidth="1"/>
    <col min="6" max="6" width="9" style="1" bestFit="1" customWidth="1"/>
    <col min="7" max="7" width="6.5546875" style="1" bestFit="1" customWidth="1"/>
    <col min="8" max="10" width="7.109375" style="1" bestFit="1" customWidth="1"/>
    <col min="11" max="11" width="7.88671875" style="1" bestFit="1" customWidth="1"/>
    <col min="12" max="12" width="13.88671875" style="1" bestFit="1" customWidth="1"/>
    <col min="13" max="13" width="41.88671875" style="1" bestFit="1" customWidth="1"/>
    <col min="14" max="14" width="19" style="1" bestFit="1" customWidth="1"/>
    <col min="15" max="16384" width="8.88671875" style="1"/>
  </cols>
  <sheetData>
    <row r="1" spans="1:14" x14ac:dyDescent="0.3">
      <c r="A1" s="2"/>
      <c r="B1" s="2"/>
      <c r="C1" s="2"/>
      <c r="D1" s="2"/>
      <c r="E1" s="2"/>
      <c r="F1" s="2"/>
      <c r="G1" s="2"/>
      <c r="H1" s="2"/>
      <c r="I1" s="2"/>
      <c r="J1" s="2"/>
      <c r="K1" s="2"/>
      <c r="L1" s="2"/>
    </row>
    <row r="2" spans="1:14" ht="15.6" x14ac:dyDescent="0.35">
      <c r="A2" s="424" t="s">
        <v>556</v>
      </c>
      <c r="B2" s="424"/>
      <c r="C2" s="424"/>
      <c r="D2" s="32" t="s">
        <v>1864</v>
      </c>
      <c r="E2" s="421" t="s">
        <v>1865</v>
      </c>
      <c r="F2" s="421"/>
      <c r="G2" s="421"/>
      <c r="H2" s="421"/>
      <c r="I2" s="421"/>
      <c r="J2" s="421"/>
      <c r="K2" s="421"/>
      <c r="L2" s="77" t="s">
        <v>17</v>
      </c>
    </row>
    <row r="3" spans="1:14" x14ac:dyDescent="0.3">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
      <c r="A6" s="5" t="str">
        <f>VLOOKUP(C6,Technologies!$A$7:$G$507,3,FALSE)</f>
        <v>Conversion</v>
      </c>
      <c r="B6" s="5" t="str">
        <f>VLOOKUP(C6,Technologies!$A$7:$G$507,7,FALSE)</f>
        <v>Alkaline Electrolyzer - Hydrogen Production</v>
      </c>
      <c r="C6" s="5" t="s">
        <v>1606</v>
      </c>
      <c r="D6" s="54" t="s">
        <v>455</v>
      </c>
      <c r="E6" s="55"/>
      <c r="F6" s="55"/>
      <c r="G6" s="223"/>
      <c r="H6" s="56"/>
      <c r="I6" s="223"/>
      <c r="J6" s="56"/>
      <c r="K6" s="223"/>
      <c r="L6" s="79"/>
      <c r="M6" s="1" t="s">
        <v>1872</v>
      </c>
    </row>
    <row r="7" spans="1:14" x14ac:dyDescent="0.3">
      <c r="A7" s="6" t="str">
        <f>VLOOKUP(C7,Technologies!$A$7:$G$507,3,FALSE)</f>
        <v>Conversion</v>
      </c>
      <c r="B7" s="6" t="str">
        <f>VLOOKUP(C7,Technologies!$A$7:$G$507,7,FALSE)</f>
        <v>PEM Electrolyzer - Hydrogen Production</v>
      </c>
      <c r="C7" s="6" t="s">
        <v>1610</v>
      </c>
      <c r="D7" s="9" t="s">
        <v>455</v>
      </c>
      <c r="E7" s="56"/>
      <c r="F7" s="56"/>
      <c r="G7" s="223"/>
      <c r="H7" s="56"/>
      <c r="I7" s="223"/>
      <c r="J7" s="56"/>
      <c r="K7" s="223"/>
      <c r="L7" s="79"/>
      <c r="M7" s="1" t="s">
        <v>1872</v>
      </c>
    </row>
    <row r="8" spans="1:14" x14ac:dyDescent="0.3">
      <c r="A8" s="5" t="str">
        <f>VLOOKUP(C8,Technologies!$A$7:$G$507,3,FALSE)</f>
        <v>Conversion</v>
      </c>
      <c r="B8" s="5" t="str">
        <f>VLOOKUP(C8,Technologies!$A$7:$G$507,7,FALSE)</f>
        <v>Solid Oxide Electrolyzer - Hydrogen Production</v>
      </c>
      <c r="C8" s="5" t="s">
        <v>1613</v>
      </c>
      <c r="D8" s="54" t="s">
        <v>455</v>
      </c>
      <c r="E8" s="55"/>
      <c r="F8" s="55"/>
      <c r="G8" s="223"/>
      <c r="H8" s="56"/>
      <c r="I8" s="223"/>
      <c r="J8" s="56"/>
      <c r="K8" s="223"/>
      <c r="L8" s="79"/>
      <c r="M8" s="1" t="s">
        <v>1872</v>
      </c>
      <c r="N8" s="324"/>
    </row>
    <row r="9" spans="1:14" x14ac:dyDescent="0.3">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4" x14ac:dyDescent="0.3"/>
  <cols>
    <col min="1" max="1" width="5" style="1" bestFit="1" customWidth="1"/>
    <col min="2" max="2" width="5" style="1" customWidth="1"/>
    <col min="3" max="3" width="6.109375" style="1" bestFit="1" customWidth="1"/>
    <col min="4" max="5" width="12" style="1" bestFit="1" customWidth="1"/>
    <col min="6" max="8" width="12" style="1" customWidth="1"/>
    <col min="9" max="9" width="12" style="1" bestFit="1" customWidth="1"/>
    <col min="10" max="10" width="12.88671875" style="1" bestFit="1" customWidth="1"/>
    <col min="11" max="11" width="15.5546875" style="1" bestFit="1" customWidth="1"/>
    <col min="12" max="12" width="14.109375" style="1" bestFit="1" customWidth="1"/>
    <col min="13" max="14" width="14.109375" style="1" customWidth="1"/>
    <col min="15" max="15" width="17.109375" style="1" customWidth="1"/>
    <col min="16" max="17" width="14.109375" style="1" customWidth="1"/>
    <col min="18" max="20" width="12" style="1" bestFit="1" customWidth="1"/>
    <col min="21" max="21" width="13.88671875" style="1" bestFit="1" customWidth="1"/>
    <col min="22" max="26" width="15" style="1"/>
    <col min="52" max="16384" width="15" style="1"/>
  </cols>
  <sheetData>
    <row r="1" spans="1:27" x14ac:dyDescent="0.3">
      <c r="A1" s="2"/>
      <c r="B1" s="2"/>
      <c r="C1" s="2"/>
      <c r="D1" s="2"/>
      <c r="E1" s="2"/>
      <c r="F1" s="2"/>
      <c r="G1" s="2"/>
      <c r="H1" s="2"/>
      <c r="I1" s="2"/>
      <c r="J1" s="2"/>
      <c r="K1" s="2"/>
      <c r="L1" s="2"/>
      <c r="M1" s="2"/>
      <c r="N1" s="2"/>
      <c r="O1" s="2"/>
      <c r="P1" s="2"/>
      <c r="Q1" s="2"/>
      <c r="R1" s="2"/>
      <c r="S1" s="2"/>
      <c r="T1" s="2"/>
      <c r="U1" s="2"/>
      <c r="AA1" s="1"/>
    </row>
    <row r="2" spans="1:27" x14ac:dyDescent="0.3">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8.8" x14ac:dyDescent="0.3">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
      <c r="A4" s="431" t="s">
        <v>1887</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43" zoomScale="70" zoomScaleNormal="70" workbookViewId="0">
      <selection activeCell="H68" sqref="H68"/>
    </sheetView>
  </sheetViews>
  <sheetFormatPr defaultColWidth="8.5546875" defaultRowHeight="14.4" x14ac:dyDescent="0.3"/>
  <cols>
    <col min="1" max="1" width="16.88671875" style="1" customWidth="1"/>
    <col min="2" max="2" width="96.44140625" style="1" bestFit="1" customWidth="1"/>
    <col min="3" max="3" width="11.44140625" style="1" bestFit="1" customWidth="1"/>
    <col min="4" max="4" width="18.5546875" style="1" bestFit="1" customWidth="1"/>
    <col min="5" max="5" width="18.44140625" style="1" bestFit="1" customWidth="1"/>
    <col min="6" max="6" width="18.44140625" style="1" customWidth="1"/>
    <col min="7" max="7" width="6.44140625" style="1" bestFit="1" customWidth="1"/>
    <col min="8" max="8" width="16.5546875" style="1" bestFit="1" customWidth="1"/>
    <col min="9" max="9" width="22.5546875" style="1" bestFit="1" customWidth="1"/>
    <col min="10" max="10" width="13.5546875" style="1" bestFit="1" customWidth="1"/>
    <col min="11" max="16384" width="8.5546875" style="1"/>
  </cols>
  <sheetData>
    <row r="1" spans="1:10" x14ac:dyDescent="0.3">
      <c r="A1" s="2"/>
      <c r="B1" s="2"/>
      <c r="C1" s="2"/>
      <c r="D1" s="2"/>
      <c r="E1" s="2"/>
      <c r="F1" s="2"/>
      <c r="G1" s="2"/>
      <c r="H1" s="2"/>
      <c r="I1" s="2"/>
      <c r="J1" s="2"/>
    </row>
    <row r="2" spans="1:10" x14ac:dyDescent="0.3">
      <c r="A2" s="424" t="s">
        <v>556</v>
      </c>
      <c r="B2" s="424"/>
      <c r="C2" s="424"/>
      <c r="D2" s="32" t="s">
        <v>1864</v>
      </c>
      <c r="E2" s="32" t="s">
        <v>1890</v>
      </c>
      <c r="F2" s="32" t="s">
        <v>1891</v>
      </c>
      <c r="G2" s="32"/>
      <c r="H2" s="205" t="s">
        <v>1892</v>
      </c>
      <c r="I2" s="50" t="s">
        <v>1893</v>
      </c>
      <c r="J2" s="77" t="s">
        <v>17</v>
      </c>
    </row>
    <row r="3" spans="1:10" x14ac:dyDescent="0.3">
      <c r="A3" s="46" t="s">
        <v>575</v>
      </c>
      <c r="B3" s="46" t="s">
        <v>578</v>
      </c>
      <c r="C3" s="46" t="s">
        <v>572</v>
      </c>
      <c r="D3" s="52"/>
      <c r="E3" s="52" t="s">
        <v>314</v>
      </c>
      <c r="F3" s="52" t="s">
        <v>315</v>
      </c>
      <c r="G3" s="52" t="s">
        <v>291</v>
      </c>
      <c r="H3" s="53" t="s">
        <v>652</v>
      </c>
      <c r="I3" s="206" t="s">
        <v>313</v>
      </c>
      <c r="J3" s="78" t="s">
        <v>26</v>
      </c>
    </row>
    <row r="4" spans="1:10" x14ac:dyDescent="0.3">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
      <c r="A61" s="5" t="str">
        <f>VLOOKUP(C61,Technologies!$A$7:$G$506,2,FALSE)</f>
        <v>Industrie</v>
      </c>
      <c r="B61" s="6" t="str">
        <f>VLOOKUP(C61,Technologies!$A$7:$G$506,7,FALSE)</f>
        <v>Imported aromatics</v>
      </c>
      <c r="C61" s="6" t="s">
        <v>886</v>
      </c>
      <c r="D61" s="9" t="s">
        <v>1894</v>
      </c>
      <c r="E61" s="215">
        <f>6*44/78</f>
        <v>3.3846153846153846</v>
      </c>
      <c r="F61" s="214">
        <v>1</v>
      </c>
      <c r="G61" s="54" t="str">
        <f>VLOOKUP(D61,Activities!$A$9:$Q$180,2,FALSE)</f>
        <v>[Mton_BTX]</v>
      </c>
      <c r="H61" s="207">
        <v>-1</v>
      </c>
      <c r="I61" s="113">
        <v>1</v>
      </c>
      <c r="J61" s="79"/>
    </row>
    <row r="62" spans="1:10" x14ac:dyDescent="0.3">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
      <c r="A68" s="6"/>
      <c r="B68" s="6"/>
      <c r="C68" s="6"/>
      <c r="D68" s="9"/>
      <c r="E68" s="9"/>
      <c r="F68" s="9"/>
      <c r="G68" s="9"/>
      <c r="H68" s="134"/>
      <c r="I68" s="113"/>
      <c r="J68" s="80"/>
    </row>
    <row r="69" spans="1:10" x14ac:dyDescent="0.3">
      <c r="A69" s="5"/>
      <c r="B69" s="5"/>
      <c r="C69" s="5"/>
      <c r="D69" s="54"/>
      <c r="E69" s="54"/>
      <c r="F69" s="54"/>
      <c r="G69" s="54"/>
      <c r="H69" s="125"/>
      <c r="I69" s="112"/>
      <c r="J69" s="79"/>
    </row>
    <row r="70" spans="1:10" x14ac:dyDescent="0.3">
      <c r="A70" s="6"/>
      <c r="B70" s="6"/>
      <c r="C70" s="6"/>
      <c r="D70" s="9"/>
      <c r="E70" s="9"/>
      <c r="F70" s="9"/>
      <c r="G70" s="9"/>
      <c r="H70" s="134"/>
      <c r="I70" s="113"/>
      <c r="J70" s="80"/>
    </row>
    <row r="71" spans="1:10" x14ac:dyDescent="0.3">
      <c r="A71" s="5"/>
      <c r="B71" s="5"/>
      <c r="C71" s="5"/>
      <c r="D71" s="54"/>
      <c r="E71" s="54"/>
      <c r="F71" s="54"/>
      <c r="G71" s="54"/>
      <c r="H71" s="125"/>
      <c r="I71" s="112"/>
      <c r="J71" s="79"/>
    </row>
    <row r="72" spans="1:10" x14ac:dyDescent="0.3">
      <c r="A72" s="6"/>
      <c r="B72" s="6"/>
      <c r="C72" s="6"/>
      <c r="D72" s="9"/>
      <c r="E72" s="9"/>
      <c r="F72" s="9"/>
      <c r="G72" s="9"/>
      <c r="H72" s="134"/>
      <c r="I72" s="113"/>
      <c r="J72" s="80"/>
    </row>
    <row r="73" spans="1:10" x14ac:dyDescent="0.3">
      <c r="A73" s="5"/>
      <c r="B73" s="5"/>
      <c r="C73" s="5"/>
      <c r="D73" s="54"/>
      <c r="E73" s="54"/>
      <c r="F73" s="54"/>
      <c r="G73" s="54"/>
      <c r="H73" s="125"/>
      <c r="I73" s="112"/>
      <c r="J73" s="79"/>
    </row>
    <row r="74" spans="1:10" x14ac:dyDescent="0.3">
      <c r="A74" s="6"/>
      <c r="B74" s="6"/>
      <c r="C74" s="6"/>
      <c r="D74" s="9"/>
      <c r="E74" s="9"/>
      <c r="F74" s="9"/>
      <c r="G74" s="9"/>
      <c r="H74" s="134"/>
      <c r="I74" s="113"/>
      <c r="J74" s="80"/>
    </row>
    <row r="75" spans="1:10" x14ac:dyDescent="0.3">
      <c r="A75" s="5"/>
      <c r="B75" s="5"/>
      <c r="C75" s="5"/>
      <c r="D75" s="54"/>
      <c r="E75" s="54"/>
      <c r="F75" s="54"/>
      <c r="G75" s="54"/>
      <c r="H75" s="125"/>
      <c r="I75" s="112"/>
      <c r="J75" s="79"/>
    </row>
    <row r="76" spans="1:10" x14ac:dyDescent="0.3">
      <c r="A76" s="6"/>
      <c r="B76" s="6"/>
      <c r="C76" s="6"/>
      <c r="D76" s="9"/>
      <c r="E76" s="9"/>
      <c r="F76" s="9"/>
      <c r="G76" s="9"/>
      <c r="H76" s="134"/>
      <c r="I76" s="113"/>
      <c r="J76" s="80"/>
    </row>
    <row r="77" spans="1:10" x14ac:dyDescent="0.3">
      <c r="A77" s="5"/>
      <c r="B77" s="5"/>
      <c r="C77" s="5"/>
      <c r="D77" s="54"/>
      <c r="E77" s="54"/>
      <c r="F77" s="54"/>
      <c r="G77" s="54"/>
      <c r="H77" s="125"/>
      <c r="I77" s="112"/>
      <c r="J77" s="79"/>
    </row>
    <row r="78" spans="1:10" x14ac:dyDescent="0.3">
      <c r="A78" s="6"/>
      <c r="B78" s="6"/>
      <c r="C78" s="6"/>
      <c r="D78" s="9"/>
      <c r="E78" s="9"/>
      <c r="F78" s="9"/>
      <c r="G78" s="9"/>
      <c r="H78" s="134"/>
      <c r="I78" s="113"/>
      <c r="J78" s="80"/>
    </row>
    <row r="79" spans="1:10" x14ac:dyDescent="0.3">
      <c r="A79" s="5"/>
      <c r="B79" s="5"/>
      <c r="C79" s="5"/>
      <c r="D79" s="54"/>
      <c r="E79" s="54"/>
      <c r="F79" s="54"/>
      <c r="G79" s="54"/>
      <c r="H79" s="125"/>
      <c r="I79" s="112"/>
      <c r="J79" s="79"/>
    </row>
    <row r="80" spans="1:10" x14ac:dyDescent="0.3">
      <c r="A80" s="6"/>
      <c r="B80" s="6"/>
      <c r="C80" s="6"/>
      <c r="D80" s="9"/>
      <c r="E80" s="9"/>
      <c r="F80" s="9"/>
      <c r="G80" s="9"/>
      <c r="H80" s="134"/>
      <c r="I80" s="113"/>
      <c r="J80" s="80"/>
    </row>
    <row r="81" spans="1:10" x14ac:dyDescent="0.3">
      <c r="A81" s="5"/>
      <c r="B81" s="5"/>
      <c r="C81" s="5"/>
      <c r="D81" s="54"/>
      <c r="E81" s="54"/>
      <c r="F81" s="54"/>
      <c r="G81" s="54"/>
      <c r="H81" s="125"/>
      <c r="I81" s="112"/>
      <c r="J81" s="79"/>
    </row>
    <row r="82" spans="1:10" x14ac:dyDescent="0.3">
      <c r="A82" s="6"/>
      <c r="B82" s="6"/>
      <c r="C82" s="6"/>
      <c r="D82" s="9"/>
      <c r="E82" s="9"/>
      <c r="F82" s="9"/>
      <c r="G82" s="9"/>
      <c r="H82" s="134"/>
      <c r="I82" s="113"/>
      <c r="J82" s="80"/>
    </row>
    <row r="83" spans="1:10" x14ac:dyDescent="0.3">
      <c r="A83" s="5"/>
      <c r="B83" s="5"/>
      <c r="C83" s="5"/>
      <c r="D83" s="54"/>
      <c r="E83" s="54"/>
      <c r="F83" s="54"/>
      <c r="G83" s="54"/>
      <c r="H83" s="125"/>
      <c r="I83" s="112"/>
      <c r="J83" s="79"/>
    </row>
    <row r="84" spans="1:10" x14ac:dyDescent="0.3">
      <c r="A84" s="6"/>
      <c r="B84" s="6"/>
      <c r="C84" s="6"/>
      <c r="D84" s="9"/>
      <c r="E84" s="9"/>
      <c r="F84" s="9"/>
      <c r="G84" s="9"/>
      <c r="H84" s="134"/>
      <c r="I84" s="113"/>
      <c r="J84" s="80"/>
    </row>
    <row r="85" spans="1:10" x14ac:dyDescent="0.3">
      <c r="A85" s="5"/>
      <c r="B85" s="5"/>
      <c r="C85" s="5"/>
      <c r="D85" s="54"/>
      <c r="E85" s="54"/>
      <c r="F85" s="54"/>
      <c r="G85" s="54"/>
      <c r="H85" s="125"/>
      <c r="I85" s="112"/>
      <c r="J85" s="79"/>
    </row>
    <row r="86" spans="1:10" x14ac:dyDescent="0.3">
      <c r="A86" s="6"/>
      <c r="B86" s="6"/>
      <c r="C86" s="6"/>
      <c r="D86" s="9"/>
      <c r="E86" s="9"/>
      <c r="F86" s="9"/>
      <c r="G86" s="9"/>
      <c r="H86" s="134"/>
      <c r="I86" s="113"/>
      <c r="J86" s="80"/>
    </row>
    <row r="87" spans="1:10" x14ac:dyDescent="0.3">
      <c r="A87" s="5"/>
      <c r="B87" s="5"/>
      <c r="C87" s="5"/>
      <c r="D87" s="54"/>
      <c r="E87" s="54"/>
      <c r="F87" s="54"/>
      <c r="G87" s="54"/>
      <c r="H87" s="125"/>
      <c r="I87" s="112"/>
      <c r="J87" s="79"/>
    </row>
    <row r="88" spans="1:10" x14ac:dyDescent="0.3">
      <c r="A88" s="6"/>
      <c r="B88" s="6"/>
      <c r="C88" s="6"/>
      <c r="D88" s="9"/>
      <c r="E88" s="9"/>
      <c r="F88" s="9"/>
      <c r="G88" s="9"/>
      <c r="H88" s="134"/>
      <c r="I88" s="113"/>
      <c r="J88" s="80"/>
    </row>
    <row r="89" spans="1:10" x14ac:dyDescent="0.3">
      <c r="A89" s="5"/>
      <c r="B89" s="5"/>
      <c r="C89" s="5"/>
      <c r="D89" s="54"/>
      <c r="E89" s="54"/>
      <c r="F89" s="54"/>
      <c r="G89" s="54"/>
      <c r="H89" s="125"/>
      <c r="I89" s="112"/>
      <c r="J89" s="79"/>
    </row>
    <row r="90" spans="1:10" x14ac:dyDescent="0.3">
      <c r="A90" s="6"/>
      <c r="B90" s="6"/>
      <c r="C90" s="6"/>
      <c r="D90" s="9"/>
      <c r="E90" s="9"/>
      <c r="F90" s="9"/>
      <c r="G90" s="9"/>
      <c r="H90" s="134"/>
      <c r="I90" s="113"/>
      <c r="J90" s="80"/>
    </row>
    <row r="91" spans="1:10" x14ac:dyDescent="0.3">
      <c r="A91" s="5"/>
      <c r="B91" s="5"/>
      <c r="C91" s="5"/>
      <c r="D91" s="54"/>
      <c r="E91" s="54"/>
      <c r="F91" s="54"/>
      <c r="G91" s="54"/>
      <c r="H91" s="125"/>
      <c r="I91" s="112"/>
      <c r="J91" s="79"/>
    </row>
    <row r="92" spans="1:10" x14ac:dyDescent="0.3">
      <c r="A92" s="6"/>
      <c r="B92" s="6"/>
      <c r="C92" s="6"/>
      <c r="D92" s="9"/>
      <c r="E92" s="9"/>
      <c r="F92" s="9"/>
      <c r="G92" s="9"/>
      <c r="H92" s="134"/>
      <c r="I92" s="113"/>
      <c r="J92" s="80"/>
    </row>
    <row r="93" spans="1:10" x14ac:dyDescent="0.3">
      <c r="A93" s="5"/>
      <c r="B93" s="5"/>
      <c r="C93" s="5"/>
      <c r="D93" s="54"/>
      <c r="E93" s="54"/>
      <c r="F93" s="54"/>
      <c r="G93" s="54"/>
      <c r="H93" s="125"/>
      <c r="I93" s="112"/>
      <c r="J93" s="79"/>
    </row>
    <row r="94" spans="1:10" x14ac:dyDescent="0.3">
      <c r="A94" s="6"/>
      <c r="B94" s="6"/>
      <c r="C94" s="6"/>
      <c r="D94" s="9"/>
      <c r="E94" s="9"/>
      <c r="F94" s="9"/>
      <c r="G94" s="9"/>
      <c r="H94" s="134"/>
      <c r="I94" s="113"/>
      <c r="J94" s="80"/>
    </row>
    <row r="95" spans="1:10" x14ac:dyDescent="0.3">
      <c r="A95" s="5"/>
      <c r="B95" s="5"/>
      <c r="C95" s="5"/>
      <c r="D95" s="54"/>
      <c r="E95" s="54"/>
      <c r="F95" s="54"/>
      <c r="G95" s="54"/>
      <c r="H95" s="125"/>
      <c r="I95" s="112"/>
      <c r="J95" s="79"/>
    </row>
    <row r="96" spans="1:10" x14ac:dyDescent="0.3">
      <c r="A96" s="6"/>
      <c r="B96" s="6"/>
      <c r="C96" s="6"/>
      <c r="D96" s="9"/>
      <c r="E96" s="9"/>
      <c r="F96" s="9"/>
      <c r="G96" s="9"/>
      <c r="H96" s="134"/>
      <c r="I96" s="113"/>
      <c r="J96" s="80"/>
    </row>
    <row r="97" spans="1:10" x14ac:dyDescent="0.3">
      <c r="A97" s="5"/>
      <c r="B97" s="5"/>
      <c r="C97" s="5"/>
      <c r="D97" s="54"/>
      <c r="E97" s="54"/>
      <c r="F97" s="54"/>
      <c r="G97" s="54"/>
      <c r="H97" s="125"/>
      <c r="I97" s="112"/>
      <c r="J97" s="79"/>
    </row>
    <row r="98" spans="1:10" x14ac:dyDescent="0.3">
      <c r="A98" s="6"/>
      <c r="B98" s="6"/>
      <c r="C98" s="6"/>
      <c r="D98" s="9"/>
      <c r="E98" s="9"/>
      <c r="F98" s="9"/>
      <c r="G98" s="9"/>
      <c r="H98" s="134"/>
      <c r="I98" s="113"/>
      <c r="J98" s="80"/>
    </row>
    <row r="99" spans="1:10" x14ac:dyDescent="0.3">
      <c r="A99" s="5"/>
      <c r="B99" s="5"/>
      <c r="C99" s="5"/>
      <c r="D99" s="54"/>
      <c r="E99" s="54"/>
      <c r="F99" s="54"/>
      <c r="G99" s="54"/>
      <c r="H99" s="125"/>
      <c r="I99" s="112"/>
      <c r="J99" s="79"/>
    </row>
    <row r="100" spans="1:10" x14ac:dyDescent="0.3">
      <c r="A100" s="6"/>
      <c r="B100" s="6"/>
      <c r="C100" s="6"/>
      <c r="D100" s="9"/>
      <c r="E100" s="9"/>
      <c r="F100" s="9"/>
      <c r="G100" s="9"/>
      <c r="H100" s="134"/>
      <c r="I100" s="113"/>
      <c r="J100" s="80"/>
    </row>
    <row r="101" spans="1:10" x14ac:dyDescent="0.3">
      <c r="A101" s="5"/>
      <c r="B101" s="5"/>
      <c r="C101" s="5"/>
      <c r="D101" s="54"/>
      <c r="E101" s="54"/>
      <c r="F101" s="54"/>
      <c r="G101" s="54"/>
      <c r="H101" s="125"/>
      <c r="I101" s="112"/>
      <c r="J101" s="79"/>
    </row>
    <row r="102" spans="1:10" x14ac:dyDescent="0.3">
      <c r="A102" s="6"/>
      <c r="B102" s="6"/>
      <c r="C102" s="6"/>
      <c r="D102" s="9"/>
      <c r="E102" s="9"/>
      <c r="F102" s="9"/>
      <c r="G102" s="9"/>
      <c r="H102" s="134"/>
      <c r="I102" s="113"/>
      <c r="J102" s="80"/>
    </row>
    <row r="103" spans="1:10" x14ac:dyDescent="0.3">
      <c r="A103" s="5"/>
      <c r="B103" s="5"/>
      <c r="C103" s="5"/>
      <c r="D103" s="54"/>
      <c r="E103" s="54"/>
      <c r="F103" s="54"/>
      <c r="G103" s="54"/>
      <c r="H103" s="125"/>
      <c r="I103" s="112"/>
      <c r="J103" s="79"/>
    </row>
    <row r="104" spans="1:10" x14ac:dyDescent="0.3">
      <c r="A104" s="6"/>
      <c r="B104" s="6"/>
      <c r="C104" s="6"/>
      <c r="D104" s="9"/>
      <c r="E104" s="9"/>
      <c r="F104" s="9"/>
      <c r="G104" s="9"/>
      <c r="H104" s="134"/>
      <c r="I104" s="113"/>
      <c r="J104" s="80"/>
    </row>
    <row r="105" spans="1:10" x14ac:dyDescent="0.3">
      <c r="A105" s="5"/>
      <c r="B105" s="5"/>
      <c r="C105" s="5"/>
      <c r="D105" s="54"/>
      <c r="E105" s="54"/>
      <c r="F105" s="54"/>
      <c r="G105" s="54"/>
      <c r="H105" s="125"/>
      <c r="I105" s="112"/>
      <c r="J105" s="79"/>
    </row>
    <row r="106" spans="1:10" x14ac:dyDescent="0.3">
      <c r="A106" s="6"/>
      <c r="B106" s="6"/>
      <c r="C106" s="6"/>
      <c r="D106" s="9"/>
      <c r="E106" s="9"/>
      <c r="F106" s="9"/>
      <c r="G106" s="9"/>
      <c r="H106" s="134"/>
      <c r="I106" s="113"/>
      <c r="J106" s="80"/>
    </row>
    <row r="107" spans="1:10" x14ac:dyDescent="0.3">
      <c r="A107" s="5"/>
      <c r="B107" s="5"/>
      <c r="C107" s="5"/>
      <c r="D107" s="54"/>
      <c r="E107" s="54"/>
      <c r="F107" s="54"/>
      <c r="G107" s="54"/>
      <c r="H107" s="125"/>
      <c r="I107" s="112"/>
      <c r="J107" s="79"/>
    </row>
    <row r="108" spans="1:10" x14ac:dyDescent="0.3">
      <c r="A108" s="6"/>
      <c r="B108" s="6"/>
      <c r="C108" s="6"/>
      <c r="D108" s="9"/>
      <c r="E108" s="9"/>
      <c r="F108" s="9"/>
      <c r="G108" s="9"/>
      <c r="H108" s="134"/>
      <c r="I108" s="113"/>
      <c r="J108" s="80"/>
    </row>
    <row r="109" spans="1:10" x14ac:dyDescent="0.3">
      <c r="A109" s="5"/>
      <c r="B109" s="5"/>
      <c r="C109" s="5"/>
      <c r="D109" s="54"/>
      <c r="E109" s="54"/>
      <c r="F109" s="54"/>
      <c r="G109" s="54"/>
      <c r="H109" s="125"/>
      <c r="I109" s="112"/>
      <c r="J109" s="79"/>
    </row>
    <row r="110" spans="1:10" x14ac:dyDescent="0.3">
      <c r="A110" s="6"/>
      <c r="B110" s="6"/>
      <c r="C110" s="6"/>
      <c r="D110" s="9"/>
      <c r="E110" s="9"/>
      <c r="F110" s="9"/>
      <c r="G110" s="9"/>
      <c r="H110" s="134"/>
      <c r="I110" s="113"/>
      <c r="J110" s="80"/>
    </row>
    <row r="111" spans="1:10" x14ac:dyDescent="0.3">
      <c r="A111" s="5"/>
      <c r="B111" s="5"/>
      <c r="C111" s="5"/>
      <c r="D111" s="54"/>
      <c r="E111" s="54"/>
      <c r="F111" s="54"/>
      <c r="G111" s="54"/>
      <c r="H111" s="125"/>
      <c r="I111" s="112"/>
      <c r="J111" s="79"/>
    </row>
    <row r="112" spans="1:10" x14ac:dyDescent="0.3">
      <c r="A112" s="6"/>
      <c r="B112" s="6"/>
      <c r="C112" s="6"/>
      <c r="D112" s="9"/>
      <c r="E112" s="9"/>
      <c r="F112" s="9"/>
      <c r="G112" s="9"/>
      <c r="H112" s="134"/>
      <c r="I112" s="113"/>
      <c r="J112" s="80"/>
    </row>
    <row r="113" spans="1:10" x14ac:dyDescent="0.3">
      <c r="A113" s="5"/>
      <c r="B113" s="5"/>
      <c r="C113" s="5"/>
      <c r="D113" s="54"/>
      <c r="E113" s="54"/>
      <c r="F113" s="54"/>
      <c r="G113" s="54"/>
      <c r="H113" s="125"/>
      <c r="I113" s="112"/>
      <c r="J113" s="79"/>
    </row>
    <row r="114" spans="1:10" x14ac:dyDescent="0.3">
      <c r="A114" s="6"/>
      <c r="B114" s="6"/>
      <c r="C114" s="6"/>
      <c r="D114" s="9"/>
      <c r="E114" s="9"/>
      <c r="F114" s="9"/>
      <c r="G114" s="9"/>
      <c r="H114" s="134"/>
      <c r="I114" s="113"/>
      <c r="J114" s="80"/>
    </row>
    <row r="115" spans="1:10" x14ac:dyDescent="0.3">
      <c r="A115" s="5"/>
      <c r="B115" s="5"/>
      <c r="C115" s="5"/>
      <c r="D115" s="54"/>
      <c r="E115" s="54"/>
      <c r="F115" s="54"/>
      <c r="G115" s="54"/>
      <c r="H115" s="125"/>
      <c r="I115" s="112"/>
      <c r="J115" s="79"/>
    </row>
    <row r="116" spans="1:10" x14ac:dyDescent="0.3">
      <c r="A116" s="6"/>
      <c r="B116" s="6"/>
      <c r="C116" s="6"/>
      <c r="D116" s="9"/>
      <c r="E116" s="9"/>
      <c r="F116" s="9"/>
      <c r="G116" s="9"/>
      <c r="H116" s="134"/>
      <c r="I116" s="113"/>
      <c r="J116" s="80"/>
    </row>
    <row r="117" spans="1:10" x14ac:dyDescent="0.3">
      <c r="A117" s="5"/>
      <c r="B117" s="5"/>
      <c r="C117" s="5"/>
      <c r="D117" s="54"/>
      <c r="E117" s="54"/>
      <c r="F117" s="54"/>
      <c r="G117" s="54"/>
      <c r="H117" s="125"/>
      <c r="I117" s="112"/>
      <c r="J117" s="79"/>
    </row>
    <row r="118" spans="1:10" x14ac:dyDescent="0.3">
      <c r="A118" s="6"/>
      <c r="B118" s="6"/>
      <c r="C118" s="6"/>
      <c r="D118" s="9"/>
      <c r="E118" s="9"/>
      <c r="F118" s="9"/>
      <c r="G118" s="9"/>
      <c r="H118" s="134"/>
      <c r="I118" s="113"/>
      <c r="J118" s="80"/>
    </row>
    <row r="119" spans="1:10" x14ac:dyDescent="0.3">
      <c r="A119" s="5"/>
      <c r="B119" s="5"/>
      <c r="C119" s="5"/>
      <c r="D119" s="54"/>
      <c r="E119" s="54"/>
      <c r="F119" s="54"/>
      <c r="G119" s="54"/>
      <c r="H119" s="125"/>
      <c r="I119" s="112"/>
      <c r="J119" s="79"/>
    </row>
    <row r="120" spans="1:10" x14ac:dyDescent="0.3">
      <c r="A120" s="6"/>
      <c r="B120" s="6"/>
      <c r="C120" s="6"/>
      <c r="D120" s="9"/>
      <c r="E120" s="9"/>
      <c r="F120" s="9"/>
      <c r="G120" s="9"/>
      <c r="H120" s="134"/>
      <c r="I120" s="113"/>
      <c r="J120" s="80"/>
    </row>
    <row r="121" spans="1:10" x14ac:dyDescent="0.3">
      <c r="A121" s="5"/>
      <c r="B121" s="5"/>
      <c r="C121" s="5"/>
      <c r="D121" s="54"/>
      <c r="E121" s="54"/>
      <c r="F121" s="54"/>
      <c r="G121" s="54"/>
      <c r="H121" s="125"/>
      <c r="I121" s="112"/>
      <c r="J121" s="79"/>
    </row>
    <row r="122" spans="1:10" x14ac:dyDescent="0.3">
      <c r="A122" s="6"/>
      <c r="B122" s="6"/>
      <c r="C122" s="6"/>
      <c r="D122" s="9"/>
      <c r="E122" s="9"/>
      <c r="F122" s="9"/>
      <c r="G122" s="9"/>
      <c r="H122" s="134"/>
      <c r="I122" s="113"/>
      <c r="J122" s="80"/>
    </row>
    <row r="123" spans="1:10" x14ac:dyDescent="0.3">
      <c r="A123" s="5"/>
      <c r="B123" s="5"/>
      <c r="C123" s="5"/>
      <c r="D123" s="54"/>
      <c r="E123" s="54"/>
      <c r="F123" s="54"/>
      <c r="G123" s="54"/>
      <c r="H123" s="125"/>
      <c r="I123" s="112"/>
      <c r="J123" s="79"/>
    </row>
    <row r="124" spans="1:10" x14ac:dyDescent="0.3">
      <c r="A124" s="6"/>
      <c r="B124" s="6"/>
      <c r="C124" s="6"/>
      <c r="D124" s="9"/>
      <c r="E124" s="9"/>
      <c r="F124" s="9"/>
      <c r="G124" s="9"/>
      <c r="H124" s="134"/>
      <c r="I124" s="113"/>
      <c r="J124" s="80"/>
    </row>
    <row r="125" spans="1:10" x14ac:dyDescent="0.3">
      <c r="A125" s="5"/>
      <c r="B125" s="5"/>
      <c r="C125" s="5"/>
      <c r="D125" s="54"/>
      <c r="E125" s="54"/>
      <c r="F125" s="54"/>
      <c r="G125" s="54"/>
      <c r="H125" s="125"/>
      <c r="I125" s="112"/>
      <c r="J125" s="79"/>
    </row>
    <row r="126" spans="1:10" x14ac:dyDescent="0.3">
      <c r="A126" s="6"/>
      <c r="B126" s="6"/>
      <c r="C126" s="6"/>
      <c r="D126" s="9"/>
      <c r="E126" s="9"/>
      <c r="F126" s="9"/>
      <c r="G126" s="9"/>
      <c r="H126" s="134"/>
      <c r="I126" s="113"/>
      <c r="J126" s="80"/>
    </row>
    <row r="127" spans="1:10" x14ac:dyDescent="0.3">
      <c r="A127" s="5"/>
      <c r="B127" s="5"/>
      <c r="C127" s="5"/>
      <c r="D127" s="54"/>
      <c r="E127" s="54"/>
      <c r="F127" s="54"/>
      <c r="G127" s="54"/>
      <c r="H127" s="125"/>
      <c r="I127" s="112"/>
      <c r="J127" s="79"/>
    </row>
    <row r="128" spans="1:10" x14ac:dyDescent="0.3">
      <c r="A128" s="6"/>
      <c r="B128" s="6"/>
      <c r="C128" s="6"/>
      <c r="D128" s="9"/>
      <c r="E128" s="9"/>
      <c r="F128" s="9"/>
      <c r="G128" s="9"/>
      <c r="H128" s="134"/>
      <c r="I128" s="113"/>
      <c r="J128" s="80"/>
    </row>
    <row r="129" spans="1:10" x14ac:dyDescent="0.3">
      <c r="A129" s="5"/>
      <c r="B129" s="5"/>
      <c r="C129" s="5"/>
      <c r="D129" s="54"/>
      <c r="E129" s="54"/>
      <c r="F129" s="54"/>
      <c r="G129" s="54"/>
      <c r="H129" s="125"/>
      <c r="I129" s="112"/>
      <c r="J129" s="79"/>
    </row>
    <row r="130" spans="1:10" x14ac:dyDescent="0.3">
      <c r="A130" s="6"/>
      <c r="B130" s="6"/>
      <c r="C130" s="6"/>
      <c r="D130" s="9"/>
      <c r="E130" s="9"/>
      <c r="F130" s="9"/>
      <c r="G130" s="9"/>
      <c r="H130" s="134"/>
      <c r="I130" s="113"/>
      <c r="J130" s="80"/>
    </row>
    <row r="131" spans="1:10" x14ac:dyDescent="0.3">
      <c r="A131" s="5"/>
      <c r="B131" s="5"/>
      <c r="C131" s="5"/>
      <c r="D131" s="54"/>
      <c r="E131" s="54"/>
      <c r="F131" s="54"/>
      <c r="G131" s="54"/>
      <c r="H131" s="125"/>
      <c r="I131" s="112"/>
      <c r="J131" s="79"/>
    </row>
    <row r="132" spans="1:10" x14ac:dyDescent="0.3">
      <c r="A132" s="6"/>
      <c r="B132" s="6"/>
      <c r="C132" s="6"/>
      <c r="D132" s="9"/>
      <c r="E132" s="9"/>
      <c r="F132" s="9"/>
      <c r="G132" s="9"/>
      <c r="H132" s="134"/>
      <c r="I132" s="113"/>
      <c r="J132" s="80"/>
    </row>
    <row r="133" spans="1:10" x14ac:dyDescent="0.3">
      <c r="A133" s="5"/>
      <c r="B133" s="5"/>
      <c r="C133" s="5"/>
      <c r="D133" s="54"/>
      <c r="E133" s="54"/>
      <c r="F133" s="54"/>
      <c r="G133" s="54"/>
      <c r="H133" s="125"/>
      <c r="I133" s="112"/>
      <c r="J133" s="79"/>
    </row>
    <row r="134" spans="1:10" x14ac:dyDescent="0.3">
      <c r="A134" s="6"/>
      <c r="B134" s="6"/>
      <c r="C134" s="6"/>
      <c r="D134" s="9"/>
      <c r="E134" s="9"/>
      <c r="F134" s="9"/>
      <c r="G134" s="9"/>
      <c r="H134" s="134"/>
      <c r="I134" s="113"/>
      <c r="J134" s="80"/>
    </row>
    <row r="135" spans="1:10" x14ac:dyDescent="0.3">
      <c r="A135" s="5"/>
      <c r="B135" s="5"/>
      <c r="C135" s="5"/>
      <c r="D135" s="54"/>
      <c r="E135" s="54"/>
      <c r="F135" s="54"/>
      <c r="G135" s="54"/>
      <c r="H135" s="125"/>
      <c r="I135" s="112"/>
      <c r="J135" s="79"/>
    </row>
    <row r="136" spans="1:10" x14ac:dyDescent="0.3">
      <c r="A136" s="6"/>
      <c r="B136" s="6"/>
      <c r="C136" s="6"/>
      <c r="D136" s="9"/>
      <c r="E136" s="9"/>
      <c r="F136" s="9"/>
      <c r="G136" s="9"/>
      <c r="H136" s="134"/>
      <c r="I136" s="113"/>
      <c r="J136" s="80"/>
    </row>
    <row r="137" spans="1:10" x14ac:dyDescent="0.3">
      <c r="A137" s="5"/>
      <c r="B137" s="5"/>
      <c r="C137" s="5"/>
      <c r="D137" s="54"/>
      <c r="E137" s="54"/>
      <c r="F137" s="54"/>
      <c r="G137" s="54"/>
      <c r="H137" s="125"/>
      <c r="I137" s="112"/>
      <c r="J137" s="79"/>
    </row>
    <row r="138" spans="1:10" x14ac:dyDescent="0.3">
      <c r="A138" s="6"/>
      <c r="B138" s="6"/>
      <c r="C138" s="6"/>
      <c r="D138" s="9"/>
      <c r="E138" s="9"/>
      <c r="F138" s="9"/>
      <c r="G138" s="9"/>
      <c r="H138" s="134"/>
      <c r="I138" s="113"/>
      <c r="J138" s="80"/>
    </row>
    <row r="139" spans="1:10" x14ac:dyDescent="0.3">
      <c r="A139" s="5"/>
      <c r="B139" s="5"/>
      <c r="C139" s="5"/>
      <c r="D139" s="54"/>
      <c r="E139" s="54"/>
      <c r="F139" s="54"/>
      <c r="G139" s="54"/>
      <c r="H139" s="125"/>
      <c r="I139" s="112"/>
      <c r="J139" s="79"/>
    </row>
    <row r="140" spans="1:10" x14ac:dyDescent="0.3">
      <c r="A140" s="6"/>
      <c r="B140" s="6"/>
      <c r="C140" s="6"/>
      <c r="D140" s="9"/>
      <c r="E140" s="9"/>
      <c r="F140" s="9"/>
      <c r="G140" s="9"/>
      <c r="H140" s="134"/>
      <c r="I140" s="113"/>
      <c r="J140" s="80"/>
    </row>
    <row r="141" spans="1:10" x14ac:dyDescent="0.3">
      <c r="A141" s="5"/>
      <c r="B141" s="5"/>
      <c r="C141" s="5"/>
      <c r="D141" s="54"/>
      <c r="E141" s="54"/>
      <c r="F141" s="54"/>
      <c r="G141" s="54"/>
      <c r="H141" s="125"/>
      <c r="I141" s="112"/>
      <c r="J141" s="79"/>
    </row>
    <row r="142" spans="1:10" x14ac:dyDescent="0.3">
      <c r="A142" s="6"/>
      <c r="B142" s="6"/>
      <c r="C142" s="6"/>
      <c r="D142" s="9"/>
      <c r="E142" s="9"/>
      <c r="F142" s="9"/>
      <c r="G142" s="9"/>
      <c r="H142" s="134"/>
      <c r="I142" s="113"/>
      <c r="J142" s="80"/>
    </row>
    <row r="143" spans="1:10" x14ac:dyDescent="0.3">
      <c r="A143" s="5"/>
      <c r="B143" s="5"/>
      <c r="C143" s="5"/>
      <c r="D143" s="54"/>
      <c r="E143" s="54"/>
      <c r="F143" s="54"/>
      <c r="G143" s="54"/>
      <c r="H143" s="125"/>
      <c r="I143" s="112"/>
      <c r="J143" s="79"/>
    </row>
    <row r="144" spans="1:10" x14ac:dyDescent="0.3">
      <c r="A144" s="6"/>
      <c r="B144" s="6"/>
      <c r="C144" s="6"/>
      <c r="D144" s="9"/>
      <c r="E144" s="9"/>
      <c r="F144" s="9"/>
      <c r="G144" s="9"/>
      <c r="H144" s="134"/>
      <c r="I144" s="113"/>
      <c r="J144" s="80"/>
    </row>
    <row r="145" spans="1:10" x14ac:dyDescent="0.3">
      <c r="A145" s="5"/>
      <c r="B145" s="5"/>
      <c r="C145" s="5"/>
      <c r="D145" s="54"/>
      <c r="E145" s="54"/>
      <c r="F145" s="54"/>
      <c r="G145" s="54"/>
      <c r="H145" s="125"/>
      <c r="I145" s="112"/>
      <c r="J145" s="79"/>
    </row>
    <row r="146" spans="1:10" x14ac:dyDescent="0.3">
      <c r="A146" s="6"/>
      <c r="B146" s="6"/>
      <c r="C146" s="6"/>
      <c r="D146" s="9"/>
      <c r="E146" s="9"/>
      <c r="F146" s="9"/>
      <c r="G146" s="9"/>
      <c r="H146" s="134"/>
      <c r="I146" s="113"/>
      <c r="J146" s="80"/>
    </row>
    <row r="147" spans="1:10" x14ac:dyDescent="0.3">
      <c r="A147" s="5"/>
      <c r="B147" s="5"/>
      <c r="C147" s="5"/>
      <c r="D147" s="54"/>
      <c r="E147" s="54"/>
      <c r="F147" s="54"/>
      <c r="G147" s="54"/>
      <c r="H147" s="125"/>
      <c r="I147" s="112"/>
      <c r="J147" s="79"/>
    </row>
    <row r="148" spans="1:10" x14ac:dyDescent="0.3">
      <c r="A148" s="6"/>
      <c r="B148" s="6"/>
      <c r="C148" s="6"/>
      <c r="D148" s="9"/>
      <c r="E148" s="9"/>
      <c r="F148" s="9"/>
      <c r="G148" s="9"/>
      <c r="H148" s="134"/>
      <c r="I148" s="113"/>
      <c r="J148" s="80"/>
    </row>
    <row r="149" spans="1:10" x14ac:dyDescent="0.3">
      <c r="A149" s="5"/>
      <c r="B149" s="5"/>
      <c r="C149" s="5"/>
      <c r="D149" s="54"/>
      <c r="E149" s="54"/>
      <c r="F149" s="54"/>
      <c r="G149" s="54"/>
      <c r="H149" s="125"/>
      <c r="I149" s="112"/>
      <c r="J149" s="79"/>
    </row>
    <row r="150" spans="1:10" x14ac:dyDescent="0.3">
      <c r="A150" s="6"/>
      <c r="B150" s="6"/>
      <c r="C150" s="6"/>
      <c r="D150" s="9"/>
      <c r="E150" s="9"/>
      <c r="F150" s="9"/>
      <c r="G150" s="9"/>
      <c r="H150" s="134"/>
      <c r="I150" s="113"/>
      <c r="J150" s="80"/>
    </row>
    <row r="151" spans="1:10" x14ac:dyDescent="0.3">
      <c r="A151" s="5"/>
      <c r="B151" s="5"/>
      <c r="C151" s="5"/>
      <c r="D151" s="54"/>
      <c r="E151" s="54"/>
      <c r="F151" s="54"/>
      <c r="G151" s="54"/>
      <c r="H151" s="125"/>
      <c r="I151" s="112"/>
      <c r="J151" s="79"/>
    </row>
    <row r="152" spans="1:10" x14ac:dyDescent="0.3">
      <c r="A152" s="6"/>
      <c r="B152" s="6"/>
      <c r="C152" s="6"/>
      <c r="D152" s="9"/>
      <c r="E152" s="9"/>
      <c r="F152" s="9"/>
      <c r="G152" s="9"/>
      <c r="H152" s="134"/>
      <c r="I152" s="113"/>
      <c r="J152" s="80"/>
    </row>
    <row r="153" spans="1:10" x14ac:dyDescent="0.3">
      <c r="A153" s="5"/>
      <c r="B153" s="5"/>
      <c r="C153" s="5"/>
      <c r="D153" s="54"/>
      <c r="E153" s="54"/>
      <c r="F153" s="54"/>
      <c r="G153" s="54"/>
      <c r="H153" s="125"/>
      <c r="I153" s="112"/>
      <c r="J153" s="79"/>
    </row>
    <row r="154" spans="1:10" x14ac:dyDescent="0.3">
      <c r="A154" s="6"/>
      <c r="B154" s="6"/>
      <c r="C154" s="6"/>
      <c r="D154" s="9"/>
      <c r="E154" s="9"/>
      <c r="F154" s="9"/>
      <c r="G154" s="9"/>
      <c r="H154" s="134"/>
      <c r="I154" s="113"/>
      <c r="J154" s="80"/>
    </row>
    <row r="155" spans="1:10" x14ac:dyDescent="0.3">
      <c r="A155" s="5"/>
      <c r="B155" s="5"/>
      <c r="C155" s="5"/>
      <c r="D155" s="54"/>
      <c r="E155" s="54"/>
      <c r="F155" s="54"/>
      <c r="G155" s="54"/>
      <c r="H155" s="125"/>
      <c r="I155" s="112"/>
      <c r="J155" s="79"/>
    </row>
    <row r="156" spans="1:10" x14ac:dyDescent="0.3">
      <c r="A156" s="6"/>
      <c r="B156" s="6"/>
      <c r="C156" s="6"/>
      <c r="D156" s="9"/>
      <c r="E156" s="9"/>
      <c r="F156" s="9"/>
      <c r="G156" s="9"/>
      <c r="H156" s="134"/>
      <c r="I156" s="113"/>
      <c r="J156" s="80"/>
    </row>
    <row r="157" spans="1:10" x14ac:dyDescent="0.3">
      <c r="A157" s="5"/>
      <c r="B157" s="5"/>
      <c r="C157" s="5"/>
      <c r="D157" s="54"/>
      <c r="E157" s="54"/>
      <c r="F157" s="54"/>
      <c r="G157" s="54"/>
      <c r="H157" s="125"/>
      <c r="I157" s="112"/>
      <c r="J157" s="79"/>
    </row>
    <row r="158" spans="1:10" x14ac:dyDescent="0.3">
      <c r="A158" s="6"/>
      <c r="B158" s="6"/>
      <c r="C158" s="6"/>
      <c r="D158" s="9"/>
      <c r="E158" s="9"/>
      <c r="F158" s="9"/>
      <c r="G158" s="9"/>
      <c r="H158" s="134"/>
      <c r="I158" s="113"/>
      <c r="J158" s="80"/>
    </row>
    <row r="159" spans="1:10" x14ac:dyDescent="0.3">
      <c r="A159" s="5"/>
      <c r="B159" s="5"/>
      <c r="C159" s="5"/>
      <c r="D159" s="54"/>
      <c r="E159" s="54"/>
      <c r="F159" s="54"/>
      <c r="G159" s="54"/>
      <c r="H159" s="125"/>
      <c r="I159" s="112"/>
      <c r="J159" s="79"/>
    </row>
    <row r="160" spans="1:10" x14ac:dyDescent="0.3">
      <c r="A160" s="6"/>
      <c r="B160" s="6"/>
      <c r="C160" s="6"/>
      <c r="D160" s="9"/>
      <c r="E160" s="9"/>
      <c r="F160" s="9"/>
      <c r="G160" s="9"/>
      <c r="H160" s="134"/>
      <c r="I160" s="113"/>
      <c r="J160" s="80"/>
    </row>
    <row r="161" spans="1:10" x14ac:dyDescent="0.3">
      <c r="A161" s="5"/>
      <c r="B161" s="5"/>
      <c r="C161" s="5"/>
      <c r="D161" s="54"/>
      <c r="E161" s="54"/>
      <c r="F161" s="54"/>
      <c r="G161" s="54"/>
      <c r="H161" s="125"/>
      <c r="I161" s="112"/>
      <c r="J161" s="79"/>
    </row>
    <row r="162" spans="1:10" x14ac:dyDescent="0.3">
      <c r="A162" s="6"/>
      <c r="B162" s="6"/>
      <c r="C162" s="6"/>
      <c r="D162" s="9"/>
      <c r="E162" s="9"/>
      <c r="F162" s="9"/>
      <c r="G162" s="9"/>
      <c r="H162" s="134"/>
      <c r="I162" s="113"/>
      <c r="J162" s="80"/>
    </row>
    <row r="163" spans="1:10" x14ac:dyDescent="0.3">
      <c r="A163" s="5"/>
      <c r="B163" s="5"/>
      <c r="C163" s="5"/>
      <c r="D163" s="54"/>
      <c r="E163" s="54"/>
      <c r="F163" s="54"/>
      <c r="G163" s="54"/>
      <c r="H163" s="125"/>
      <c r="I163" s="112"/>
      <c r="J163" s="79"/>
    </row>
    <row r="164" spans="1:10" x14ac:dyDescent="0.3">
      <c r="A164" s="6"/>
      <c r="B164" s="6"/>
      <c r="C164" s="6"/>
      <c r="D164" s="9"/>
      <c r="E164" s="9"/>
      <c r="F164" s="9"/>
      <c r="G164" s="9"/>
      <c r="H164" s="134"/>
      <c r="I164" s="113"/>
      <c r="J164" s="80"/>
    </row>
    <row r="165" spans="1:10" x14ac:dyDescent="0.3">
      <c r="A165" s="5"/>
      <c r="B165" s="5"/>
      <c r="C165" s="5"/>
      <c r="D165" s="54"/>
      <c r="E165" s="54"/>
      <c r="F165" s="54"/>
      <c r="G165" s="54"/>
      <c r="H165" s="125"/>
      <c r="I165" s="112"/>
      <c r="J165" s="79"/>
    </row>
    <row r="166" spans="1:10" x14ac:dyDescent="0.3">
      <c r="A166" s="6"/>
      <c r="B166" s="6"/>
      <c r="C166" s="6"/>
      <c r="D166" s="9"/>
      <c r="E166" s="9"/>
      <c r="F166" s="9"/>
      <c r="G166" s="9"/>
      <c r="H166" s="134"/>
      <c r="I166" s="113"/>
      <c r="J166" s="80"/>
    </row>
    <row r="167" spans="1:10" x14ac:dyDescent="0.3">
      <c r="A167" s="5"/>
      <c r="B167" s="5"/>
      <c r="C167" s="5"/>
      <c r="D167" s="54"/>
      <c r="E167" s="54"/>
      <c r="F167" s="54"/>
      <c r="G167" s="54"/>
      <c r="H167" s="125"/>
      <c r="I167" s="112"/>
      <c r="J167" s="79"/>
    </row>
    <row r="168" spans="1:10" x14ac:dyDescent="0.3">
      <c r="A168" s="6"/>
      <c r="B168" s="6"/>
      <c r="C168" s="6"/>
      <c r="D168" s="9"/>
      <c r="E168" s="9"/>
      <c r="F168" s="9"/>
      <c r="G168" s="9"/>
      <c r="H168" s="134"/>
      <c r="I168" s="113"/>
      <c r="J168" s="80"/>
    </row>
    <row r="169" spans="1:10" x14ac:dyDescent="0.3">
      <c r="A169" s="5"/>
      <c r="B169" s="5"/>
      <c r="C169" s="5"/>
      <c r="D169" s="54"/>
      <c r="E169" s="54"/>
      <c r="F169" s="54"/>
      <c r="G169" s="54"/>
      <c r="H169" s="125"/>
      <c r="I169" s="112"/>
      <c r="J169" s="79"/>
    </row>
    <row r="170" spans="1:10" x14ac:dyDescent="0.3">
      <c r="A170" s="6"/>
      <c r="B170" s="6"/>
      <c r="C170" s="6"/>
      <c r="D170" s="9"/>
      <c r="E170" s="9"/>
      <c r="F170" s="9"/>
      <c r="G170" s="9"/>
      <c r="H170" s="134"/>
      <c r="I170" s="113"/>
      <c r="J170" s="80"/>
    </row>
    <row r="171" spans="1:10" x14ac:dyDescent="0.3">
      <c r="A171" s="5"/>
      <c r="B171" s="5"/>
      <c r="C171" s="5"/>
      <c r="D171" s="54"/>
      <c r="E171" s="54"/>
      <c r="F171" s="54"/>
      <c r="G171" s="54"/>
      <c r="H171" s="125"/>
      <c r="I171" s="112"/>
      <c r="J171" s="79"/>
    </row>
    <row r="172" spans="1:10" x14ac:dyDescent="0.3">
      <c r="A172" s="6"/>
      <c r="B172" s="6"/>
      <c r="C172" s="6"/>
      <c r="D172" s="9"/>
      <c r="E172" s="9"/>
      <c r="F172" s="9"/>
      <c r="G172" s="9"/>
      <c r="H172" s="134"/>
      <c r="I172" s="113"/>
      <c r="J172" s="80"/>
    </row>
    <row r="173" spans="1:10" x14ac:dyDescent="0.3">
      <c r="A173" s="5"/>
      <c r="B173" s="5"/>
      <c r="C173" s="5"/>
      <c r="D173" s="54"/>
      <c r="E173" s="54"/>
      <c r="F173" s="54"/>
      <c r="G173" s="54"/>
      <c r="H173" s="125"/>
      <c r="I173" s="112"/>
      <c r="J173" s="79"/>
    </row>
    <row r="174" spans="1:10" x14ac:dyDescent="0.3">
      <c r="A174" s="6"/>
      <c r="B174" s="6"/>
      <c r="C174" s="6"/>
      <c r="D174" s="9"/>
      <c r="E174" s="9"/>
      <c r="F174" s="9"/>
      <c r="G174" s="9"/>
      <c r="H174" s="134"/>
      <c r="I174" s="113"/>
      <c r="J174" s="80"/>
    </row>
    <row r="175" spans="1:10" x14ac:dyDescent="0.3">
      <c r="A175" s="5"/>
      <c r="B175" s="5"/>
      <c r="C175" s="5"/>
      <c r="D175" s="54"/>
      <c r="E175" s="54"/>
      <c r="F175" s="54"/>
      <c r="G175" s="54"/>
      <c r="H175" s="125"/>
      <c r="I175" s="112"/>
      <c r="J175" s="79"/>
    </row>
    <row r="176" spans="1:10" x14ac:dyDescent="0.3">
      <c r="A176" s="6"/>
      <c r="B176" s="6"/>
      <c r="C176" s="6"/>
      <c r="D176" s="9"/>
      <c r="E176" s="9"/>
      <c r="F176" s="9"/>
      <c r="G176" s="9"/>
      <c r="H176" s="134"/>
      <c r="I176" s="113"/>
      <c r="J176" s="80"/>
    </row>
    <row r="177" spans="1:10" x14ac:dyDescent="0.3">
      <c r="A177" s="5"/>
      <c r="B177" s="5"/>
      <c r="C177" s="5"/>
      <c r="D177" s="54"/>
      <c r="E177" s="54"/>
      <c r="F177" s="54"/>
      <c r="G177" s="54"/>
      <c r="H177" s="125"/>
      <c r="I177" s="112"/>
      <c r="J177" s="79"/>
    </row>
    <row r="178" spans="1:10" x14ac:dyDescent="0.3">
      <c r="A178" s="6"/>
      <c r="B178" s="6"/>
      <c r="C178" s="6"/>
      <c r="D178" s="9"/>
      <c r="E178" s="9"/>
      <c r="F178" s="9"/>
      <c r="G178" s="9"/>
      <c r="H178" s="134"/>
      <c r="I178" s="113"/>
      <c r="J178" s="80"/>
    </row>
    <row r="179" spans="1:10" x14ac:dyDescent="0.3">
      <c r="A179" s="5"/>
      <c r="B179" s="5"/>
      <c r="C179" s="5"/>
      <c r="D179" s="54"/>
      <c r="E179" s="54"/>
      <c r="F179" s="54"/>
      <c r="G179" s="54"/>
      <c r="H179" s="125"/>
      <c r="I179" s="112"/>
      <c r="J179" s="79"/>
    </row>
    <row r="180" spans="1:10" x14ac:dyDescent="0.3">
      <c r="A180" s="6"/>
      <c r="B180" s="6"/>
      <c r="C180" s="6"/>
      <c r="D180" s="9"/>
      <c r="E180" s="9"/>
      <c r="F180" s="9"/>
      <c r="G180" s="9"/>
      <c r="H180" s="134"/>
      <c r="I180" s="113"/>
      <c r="J180" s="80"/>
    </row>
    <row r="181" spans="1:10" x14ac:dyDescent="0.3">
      <c r="A181" s="5"/>
      <c r="B181" s="5"/>
      <c r="C181" s="5"/>
      <c r="D181" s="54"/>
      <c r="E181" s="54"/>
      <c r="F181" s="54"/>
      <c r="G181" s="54"/>
      <c r="H181" s="125"/>
      <c r="I181" s="112"/>
      <c r="J181" s="79"/>
    </row>
    <row r="182" spans="1:10" x14ac:dyDescent="0.3">
      <c r="A182" s="6"/>
      <c r="B182" s="6"/>
      <c r="C182" s="6"/>
      <c r="D182" s="9"/>
      <c r="E182" s="9"/>
      <c r="F182" s="9"/>
      <c r="G182" s="9"/>
      <c r="H182" s="134"/>
      <c r="I182" s="113"/>
      <c r="J182" s="80"/>
    </row>
    <row r="183" spans="1:10" x14ac:dyDescent="0.3">
      <c r="A183" s="5"/>
      <c r="B183" s="5"/>
      <c r="C183" s="5"/>
      <c r="D183" s="54"/>
      <c r="E183" s="54"/>
      <c r="F183" s="54"/>
      <c r="G183" s="54"/>
      <c r="H183" s="125"/>
      <c r="I183" s="112"/>
      <c r="J183" s="79"/>
    </row>
    <row r="184" spans="1:10" x14ac:dyDescent="0.3">
      <c r="A184" s="6"/>
      <c r="B184" s="6"/>
      <c r="C184" s="6"/>
      <c r="D184" s="9"/>
      <c r="E184" s="9"/>
      <c r="F184" s="9"/>
      <c r="G184" s="9"/>
      <c r="H184" s="134"/>
      <c r="I184" s="113"/>
      <c r="J184" s="80"/>
    </row>
    <row r="185" spans="1:10" x14ac:dyDescent="0.3">
      <c r="A185" s="5"/>
      <c r="B185" s="5"/>
      <c r="C185" s="5"/>
      <c r="D185" s="54"/>
      <c r="E185" s="54"/>
      <c r="F185" s="54"/>
      <c r="G185" s="54"/>
      <c r="H185" s="125"/>
      <c r="I185" s="112"/>
      <c r="J185" s="79"/>
    </row>
    <row r="186" spans="1:10" x14ac:dyDescent="0.3">
      <c r="A186" s="6"/>
      <c r="B186" s="6"/>
      <c r="C186" s="6"/>
      <c r="D186" s="9"/>
      <c r="E186" s="9"/>
      <c r="F186" s="9"/>
      <c r="G186" s="9"/>
      <c r="H186" s="134"/>
      <c r="I186" s="113"/>
      <c r="J186" s="80"/>
    </row>
    <row r="187" spans="1:10" x14ac:dyDescent="0.3">
      <c r="A187" s="5"/>
      <c r="B187" s="5"/>
      <c r="C187" s="5"/>
      <c r="D187" s="54"/>
      <c r="E187" s="54"/>
      <c r="F187" s="54"/>
      <c r="G187" s="54"/>
      <c r="H187" s="125"/>
      <c r="I187" s="112"/>
      <c r="J187" s="79"/>
    </row>
    <row r="188" spans="1:10" x14ac:dyDescent="0.3">
      <c r="A188" s="6"/>
      <c r="B188" s="6"/>
      <c r="C188" s="6"/>
      <c r="D188" s="9"/>
      <c r="E188" s="9"/>
      <c r="F188" s="9"/>
      <c r="G188" s="9"/>
      <c r="H188" s="134"/>
      <c r="I188" s="113"/>
      <c r="J188" s="80"/>
    </row>
    <row r="189" spans="1:10" x14ac:dyDescent="0.3">
      <c r="A189" s="5"/>
      <c r="B189" s="5"/>
      <c r="C189" s="5"/>
      <c r="D189" s="54"/>
      <c r="E189" s="54"/>
      <c r="F189" s="54"/>
      <c r="G189" s="54"/>
      <c r="H189" s="125"/>
      <c r="I189" s="112"/>
      <c r="J189" s="79"/>
    </row>
    <row r="190" spans="1:10" x14ac:dyDescent="0.3">
      <c r="A190" s="6"/>
      <c r="B190" s="6"/>
      <c r="C190" s="6"/>
      <c r="D190" s="9"/>
      <c r="E190" s="9"/>
      <c r="F190" s="9"/>
      <c r="G190" s="9"/>
      <c r="H190" s="134"/>
      <c r="I190" s="113"/>
      <c r="J190" s="80"/>
    </row>
    <row r="191" spans="1:10" x14ac:dyDescent="0.3">
      <c r="A191" s="5"/>
      <c r="B191" s="5"/>
      <c r="C191" s="5"/>
      <c r="D191" s="54"/>
      <c r="E191" s="54"/>
      <c r="F191" s="54"/>
      <c r="G191" s="54"/>
      <c r="H191" s="125"/>
      <c r="I191" s="112"/>
      <c r="J191" s="79"/>
    </row>
    <row r="192" spans="1:10" x14ac:dyDescent="0.3">
      <c r="A192" s="6"/>
      <c r="B192" s="6"/>
      <c r="C192" s="6"/>
      <c r="D192" s="9"/>
      <c r="E192" s="9"/>
      <c r="F192" s="9"/>
      <c r="G192" s="9"/>
      <c r="H192" s="134"/>
      <c r="I192" s="113"/>
      <c r="J192" s="80"/>
    </row>
    <row r="193" spans="1:10" x14ac:dyDescent="0.3">
      <c r="A193" s="5"/>
      <c r="B193" s="5"/>
      <c r="C193" s="5"/>
      <c r="D193" s="54"/>
      <c r="E193" s="54"/>
      <c r="F193" s="54"/>
      <c r="G193" s="54"/>
      <c r="H193" s="125"/>
      <c r="I193" s="112"/>
      <c r="J193" s="79"/>
    </row>
    <row r="194" spans="1:10" x14ac:dyDescent="0.3">
      <c r="A194" s="6"/>
      <c r="B194" s="6"/>
      <c r="C194" s="6"/>
      <c r="D194" s="9"/>
      <c r="E194" s="9"/>
      <c r="F194" s="9"/>
      <c r="G194" s="9"/>
      <c r="H194" s="134"/>
      <c r="I194" s="113"/>
      <c r="J194" s="80"/>
    </row>
    <row r="195" spans="1:10" x14ac:dyDescent="0.3">
      <c r="A195" s="5"/>
      <c r="B195" s="5"/>
      <c r="C195" s="5"/>
      <c r="D195" s="54"/>
      <c r="E195" s="54"/>
      <c r="F195" s="54"/>
      <c r="G195" s="54"/>
      <c r="H195" s="125"/>
      <c r="I195" s="112"/>
      <c r="J195" s="79"/>
    </row>
    <row r="196" spans="1:10" x14ac:dyDescent="0.3">
      <c r="A196" s="6"/>
      <c r="B196" s="6"/>
      <c r="C196" s="6"/>
      <c r="D196" s="9"/>
      <c r="E196" s="9"/>
      <c r="F196" s="9"/>
      <c r="G196" s="9"/>
      <c r="H196" s="134"/>
      <c r="I196" s="113"/>
      <c r="J196" s="80"/>
    </row>
    <row r="197" spans="1:10" x14ac:dyDescent="0.3">
      <c r="A197" s="5"/>
      <c r="B197" s="5"/>
      <c r="C197" s="5"/>
      <c r="D197" s="54"/>
      <c r="E197" s="54"/>
      <c r="F197" s="54"/>
      <c r="G197" s="54"/>
      <c r="H197" s="125"/>
      <c r="I197" s="112"/>
      <c r="J197" s="79"/>
    </row>
    <row r="198" spans="1:10" x14ac:dyDescent="0.3">
      <c r="A198" s="6"/>
      <c r="B198" s="6"/>
      <c r="C198" s="6"/>
      <c r="D198" s="9"/>
      <c r="E198" s="9"/>
      <c r="F198" s="9"/>
      <c r="G198" s="9"/>
      <c r="H198" s="134"/>
      <c r="I198" s="113"/>
      <c r="J198" s="80"/>
    </row>
    <row r="199" spans="1:10" x14ac:dyDescent="0.3">
      <c r="A199" s="5"/>
      <c r="B199" s="5"/>
      <c r="C199" s="5"/>
      <c r="D199" s="54"/>
      <c r="E199" s="54"/>
      <c r="F199" s="54"/>
      <c r="G199" s="54"/>
      <c r="H199" s="125"/>
      <c r="I199" s="112"/>
      <c r="J199" s="79"/>
    </row>
    <row r="200" spans="1:10" x14ac:dyDescent="0.3">
      <c r="A200" s="6"/>
      <c r="B200" s="6"/>
      <c r="C200" s="6"/>
      <c r="D200" s="9"/>
      <c r="E200" s="9"/>
      <c r="F200" s="9"/>
      <c r="G200" s="9"/>
      <c r="H200" s="134"/>
      <c r="I200" s="113"/>
      <c r="J200" s="80"/>
    </row>
    <row r="201" spans="1:10" x14ac:dyDescent="0.3">
      <c r="A201" s="5"/>
      <c r="B201" s="5"/>
      <c r="C201" s="5"/>
      <c r="D201" s="54"/>
      <c r="E201" s="54"/>
      <c r="F201" s="54"/>
      <c r="G201" s="54"/>
      <c r="H201" s="125"/>
      <c r="I201" s="112"/>
      <c r="J201" s="79"/>
    </row>
    <row r="202" spans="1:10" x14ac:dyDescent="0.3">
      <c r="A202" s="6"/>
      <c r="B202" s="6"/>
      <c r="C202" s="6"/>
      <c r="D202" s="9"/>
      <c r="E202" s="9"/>
      <c r="F202" s="9"/>
      <c r="G202" s="9"/>
      <c r="H202" s="134"/>
      <c r="I202" s="113"/>
      <c r="J202" s="80"/>
    </row>
    <row r="203" spans="1:10" x14ac:dyDescent="0.3">
      <c r="A203" s="5"/>
      <c r="B203" s="5"/>
      <c r="C203" s="5"/>
      <c r="D203" s="54"/>
      <c r="E203" s="54"/>
      <c r="F203" s="54"/>
      <c r="G203" s="54"/>
      <c r="H203" s="125"/>
      <c r="I203" s="112"/>
      <c r="J203" s="79"/>
    </row>
    <row r="204" spans="1:10" x14ac:dyDescent="0.3">
      <c r="A204" s="6"/>
      <c r="B204" s="6"/>
      <c r="C204" s="6"/>
      <c r="D204" s="9"/>
      <c r="E204" s="9"/>
      <c r="F204" s="9"/>
      <c r="G204" s="9"/>
      <c r="H204" s="134"/>
      <c r="I204" s="113"/>
      <c r="J204" s="80"/>
    </row>
    <row r="205" spans="1:10" x14ac:dyDescent="0.3">
      <c r="A205" s="5"/>
      <c r="B205" s="5"/>
      <c r="C205" s="5"/>
      <c r="D205" s="54"/>
      <c r="E205" s="54"/>
      <c r="F205" s="54"/>
      <c r="G205" s="54"/>
      <c r="H205" s="125"/>
      <c r="I205" s="112"/>
      <c r="J205" s="79"/>
    </row>
    <row r="206" spans="1:10" x14ac:dyDescent="0.3">
      <c r="A206" s="6"/>
      <c r="B206" s="6"/>
      <c r="C206" s="6"/>
      <c r="D206" s="9"/>
      <c r="E206" s="9"/>
      <c r="F206" s="9"/>
      <c r="G206" s="9"/>
      <c r="H206" s="134"/>
      <c r="I206" s="113"/>
      <c r="J206" s="80"/>
    </row>
    <row r="207" spans="1:10" x14ac:dyDescent="0.3">
      <c r="A207" s="5"/>
      <c r="B207" s="5"/>
      <c r="C207" s="5"/>
      <c r="D207" s="54"/>
      <c r="E207" s="54"/>
      <c r="F207" s="54"/>
      <c r="G207" s="54"/>
      <c r="H207" s="125"/>
      <c r="I207" s="112"/>
      <c r="J207" s="79"/>
    </row>
    <row r="208" spans="1:10" x14ac:dyDescent="0.3">
      <c r="A208" s="6"/>
      <c r="B208" s="6"/>
      <c r="C208" s="6"/>
      <c r="D208" s="9"/>
      <c r="E208" s="9"/>
      <c r="F208" s="9"/>
      <c r="G208" s="9"/>
      <c r="H208" s="134"/>
      <c r="I208" s="113"/>
      <c r="J208" s="80"/>
    </row>
    <row r="209" spans="1:10" x14ac:dyDescent="0.3">
      <c r="A209" s="5"/>
      <c r="B209" s="5"/>
      <c r="C209" s="5"/>
      <c r="D209" s="54"/>
      <c r="E209" s="54"/>
      <c r="F209" s="54"/>
      <c r="G209" s="54"/>
      <c r="H209" s="125"/>
      <c r="I209" s="112"/>
      <c r="J209" s="79"/>
    </row>
    <row r="210" spans="1:10" x14ac:dyDescent="0.3">
      <c r="A210" s="6"/>
      <c r="B210" s="6"/>
      <c r="C210" s="6"/>
      <c r="D210" s="9"/>
      <c r="E210" s="9"/>
      <c r="F210" s="9"/>
      <c r="G210" s="9"/>
      <c r="H210" s="134"/>
      <c r="I210" s="113"/>
      <c r="J210" s="80"/>
    </row>
    <row r="211" spans="1:10" x14ac:dyDescent="0.3">
      <c r="A211" s="5"/>
      <c r="B211" s="5"/>
      <c r="C211" s="5"/>
      <c r="D211" s="54"/>
      <c r="E211" s="54"/>
      <c r="F211" s="54"/>
      <c r="G211" s="54"/>
      <c r="H211" s="125"/>
      <c r="I211" s="112"/>
      <c r="J211" s="79"/>
    </row>
    <row r="212" spans="1:10" x14ac:dyDescent="0.3">
      <c r="A212" s="6"/>
      <c r="B212" s="6"/>
      <c r="C212" s="6"/>
      <c r="D212" s="9"/>
      <c r="E212" s="9"/>
      <c r="F212" s="9"/>
      <c r="G212" s="9"/>
      <c r="H212" s="134"/>
      <c r="I212" s="113"/>
      <c r="J212" s="80"/>
    </row>
    <row r="213" spans="1:10" x14ac:dyDescent="0.3">
      <c r="A213" s="5"/>
      <c r="B213" s="5"/>
      <c r="C213" s="5"/>
      <c r="D213" s="54"/>
      <c r="E213" s="54"/>
      <c r="F213" s="54"/>
      <c r="G213" s="54"/>
      <c r="H213" s="125"/>
      <c r="I213" s="112"/>
      <c r="J213" s="79"/>
    </row>
    <row r="214" spans="1:10" x14ac:dyDescent="0.3">
      <c r="A214" s="6"/>
      <c r="B214" s="6"/>
      <c r="C214" s="6"/>
      <c r="D214" s="9"/>
      <c r="E214" s="9"/>
      <c r="F214" s="9"/>
      <c r="G214" s="9"/>
      <c r="H214" s="134"/>
      <c r="I214" s="113"/>
      <c r="J214" s="80"/>
    </row>
    <row r="215" spans="1:10" x14ac:dyDescent="0.3">
      <c r="A215" s="5"/>
      <c r="B215" s="5"/>
      <c r="C215" s="5"/>
      <c r="D215" s="54"/>
      <c r="E215" s="54"/>
      <c r="F215" s="54"/>
      <c r="G215" s="54"/>
      <c r="H215" s="125"/>
      <c r="I215" s="112"/>
      <c r="J215" s="79"/>
    </row>
    <row r="216" spans="1:10" x14ac:dyDescent="0.3">
      <c r="A216" s="6"/>
      <c r="B216" s="6"/>
      <c r="C216" s="6"/>
      <c r="D216" s="9"/>
      <c r="E216" s="9"/>
      <c r="F216" s="9"/>
      <c r="G216" s="9"/>
      <c r="H216" s="134"/>
      <c r="I216" s="113"/>
      <c r="J216" s="80"/>
    </row>
    <row r="217" spans="1:10" x14ac:dyDescent="0.3">
      <c r="A217" s="5"/>
      <c r="B217" s="5"/>
      <c r="C217" s="5"/>
      <c r="D217" s="54"/>
      <c r="E217" s="54"/>
      <c r="F217" s="54"/>
      <c r="G217" s="54"/>
      <c r="H217" s="125"/>
      <c r="I217" s="112"/>
      <c r="J217" s="79"/>
    </row>
    <row r="218" spans="1:10" x14ac:dyDescent="0.3">
      <c r="A218" s="6"/>
      <c r="B218" s="6"/>
      <c r="C218" s="6"/>
      <c r="D218" s="9"/>
      <c r="E218" s="9"/>
      <c r="F218" s="9"/>
      <c r="G218" s="9"/>
      <c r="H218" s="134"/>
      <c r="I218" s="113"/>
      <c r="J218" s="80"/>
    </row>
    <row r="219" spans="1:10" x14ac:dyDescent="0.3">
      <c r="A219" s="5"/>
      <c r="B219" s="5"/>
      <c r="C219" s="5"/>
      <c r="D219" s="54"/>
      <c r="E219" s="54"/>
      <c r="F219" s="54"/>
      <c r="G219" s="54"/>
      <c r="H219" s="125"/>
      <c r="I219" s="112"/>
      <c r="J219" s="79"/>
    </row>
    <row r="220" spans="1:10" x14ac:dyDescent="0.3">
      <c r="A220" s="6"/>
      <c r="B220" s="6"/>
      <c r="C220" s="6"/>
      <c r="D220" s="9"/>
      <c r="E220" s="9"/>
      <c r="F220" s="9"/>
      <c r="G220" s="9"/>
      <c r="H220" s="134"/>
      <c r="I220" s="113"/>
      <c r="J220" s="80"/>
    </row>
    <row r="221" spans="1:10" x14ac:dyDescent="0.3">
      <c r="A221" s="5"/>
      <c r="B221" s="5"/>
      <c r="C221" s="5"/>
      <c r="D221" s="54"/>
      <c r="E221" s="54"/>
      <c r="F221" s="54"/>
      <c r="G221" s="54"/>
      <c r="H221" s="125"/>
      <c r="I221" s="112"/>
      <c r="J221" s="79"/>
    </row>
    <row r="222" spans="1:10" x14ac:dyDescent="0.3">
      <c r="A222" s="6"/>
      <c r="B222" s="6"/>
      <c r="C222" s="6"/>
      <c r="D222" s="9"/>
      <c r="E222" s="9"/>
      <c r="F222" s="9"/>
      <c r="G222" s="9"/>
      <c r="H222" s="134"/>
      <c r="I222" s="113"/>
      <c r="J222" s="80"/>
    </row>
    <row r="223" spans="1:10" x14ac:dyDescent="0.3">
      <c r="A223" s="5"/>
      <c r="B223" s="5"/>
      <c r="C223" s="5"/>
      <c r="D223" s="54"/>
      <c r="E223" s="54"/>
      <c r="F223" s="54"/>
      <c r="G223" s="54"/>
      <c r="H223" s="125"/>
      <c r="I223" s="112"/>
      <c r="J223" s="79"/>
    </row>
    <row r="224" spans="1:10" x14ac:dyDescent="0.3">
      <c r="A224" s="6"/>
      <c r="B224" s="6"/>
      <c r="C224" s="6"/>
      <c r="D224" s="9"/>
      <c r="E224" s="9"/>
      <c r="F224" s="9"/>
      <c r="G224" s="9"/>
      <c r="H224" s="134"/>
      <c r="I224" s="113"/>
      <c r="J224" s="80"/>
    </row>
    <row r="225" spans="1:10" x14ac:dyDescent="0.3">
      <c r="A225" s="5"/>
      <c r="B225" s="5"/>
      <c r="C225" s="5"/>
      <c r="D225" s="54"/>
      <c r="E225" s="54"/>
      <c r="F225" s="54"/>
      <c r="G225" s="54"/>
      <c r="H225" s="125"/>
      <c r="I225" s="112"/>
      <c r="J225" s="79"/>
    </row>
    <row r="226" spans="1:10" x14ac:dyDescent="0.3">
      <c r="A226" s="6"/>
      <c r="B226" s="6"/>
      <c r="C226" s="6"/>
      <c r="D226" s="9"/>
      <c r="E226" s="9"/>
      <c r="F226" s="9"/>
      <c r="G226" s="9"/>
      <c r="H226" s="134"/>
      <c r="I226" s="113"/>
      <c r="J226" s="80"/>
    </row>
    <row r="227" spans="1:10" x14ac:dyDescent="0.3">
      <c r="A227" s="5"/>
      <c r="B227" s="5"/>
      <c r="C227" s="5"/>
      <c r="D227" s="54"/>
      <c r="E227" s="54"/>
      <c r="F227" s="54"/>
      <c r="G227" s="54"/>
      <c r="H227" s="125"/>
      <c r="I227" s="112"/>
      <c r="J227" s="79"/>
    </row>
    <row r="228" spans="1:10" x14ac:dyDescent="0.3">
      <c r="A228" s="6"/>
      <c r="B228" s="6"/>
      <c r="C228" s="6"/>
      <c r="D228" s="9"/>
      <c r="E228" s="9"/>
      <c r="F228" s="9"/>
      <c r="G228" s="9"/>
      <c r="H228" s="134"/>
      <c r="I228" s="113"/>
      <c r="J228" s="80"/>
    </row>
    <row r="229" spans="1:10" x14ac:dyDescent="0.3">
      <c r="A229" s="5"/>
      <c r="B229" s="5"/>
      <c r="C229" s="5"/>
      <c r="D229" s="54"/>
      <c r="E229" s="54"/>
      <c r="F229" s="54"/>
      <c r="G229" s="54"/>
      <c r="H229" s="125"/>
      <c r="I229" s="112"/>
      <c r="J229" s="79"/>
    </row>
    <row r="230" spans="1:10" x14ac:dyDescent="0.3">
      <c r="A230" s="6"/>
      <c r="B230" s="6"/>
      <c r="C230" s="6"/>
      <c r="D230" s="9"/>
      <c r="E230" s="9"/>
      <c r="F230" s="9"/>
      <c r="G230" s="9"/>
      <c r="H230" s="134"/>
      <c r="I230" s="113"/>
      <c r="J230" s="80"/>
    </row>
    <row r="231" spans="1:10" x14ac:dyDescent="0.3">
      <c r="A231" s="5"/>
      <c r="B231" s="5"/>
      <c r="C231" s="5"/>
      <c r="D231" s="54"/>
      <c r="E231" s="54"/>
      <c r="F231" s="54"/>
      <c r="G231" s="54"/>
      <c r="H231" s="125"/>
      <c r="I231" s="112"/>
      <c r="J231" s="79"/>
    </row>
    <row r="232" spans="1:10" x14ac:dyDescent="0.3">
      <c r="A232" s="6"/>
      <c r="B232" s="6"/>
      <c r="C232" s="6"/>
      <c r="D232" s="9"/>
      <c r="E232" s="9"/>
      <c r="F232" s="9"/>
      <c r="G232" s="9"/>
      <c r="H232" s="134"/>
      <c r="I232" s="113"/>
      <c r="J232" s="80"/>
    </row>
    <row r="233" spans="1:10" x14ac:dyDescent="0.3">
      <c r="A233" s="5"/>
      <c r="B233" s="5"/>
      <c r="C233" s="5"/>
      <c r="D233" s="54"/>
      <c r="E233" s="54"/>
      <c r="F233" s="54"/>
      <c r="G233" s="54"/>
      <c r="H233" s="125"/>
      <c r="I233" s="112"/>
      <c r="J233" s="79"/>
    </row>
    <row r="234" spans="1:10" x14ac:dyDescent="0.3">
      <c r="A234" s="6"/>
      <c r="B234" s="6"/>
      <c r="C234" s="6"/>
      <c r="D234" s="9"/>
      <c r="E234" s="9"/>
      <c r="F234" s="9"/>
      <c r="G234" s="9"/>
      <c r="H234" s="134"/>
      <c r="I234" s="113"/>
      <c r="J234" s="80"/>
    </row>
    <row r="235" spans="1:10" x14ac:dyDescent="0.3">
      <c r="A235" s="5"/>
      <c r="B235" s="5"/>
      <c r="C235" s="5"/>
      <c r="D235" s="54"/>
      <c r="E235" s="54"/>
      <c r="F235" s="54"/>
      <c r="G235" s="54"/>
      <c r="H235" s="125"/>
      <c r="I235" s="112"/>
      <c r="J235" s="79"/>
    </row>
    <row r="236" spans="1:10" x14ac:dyDescent="0.3">
      <c r="A236" s="6"/>
      <c r="B236" s="6"/>
      <c r="C236" s="6"/>
      <c r="D236" s="9"/>
      <c r="E236" s="9"/>
      <c r="F236" s="9"/>
      <c r="G236" s="9"/>
      <c r="H236" s="134"/>
      <c r="I236" s="113"/>
      <c r="J236" s="80"/>
    </row>
    <row r="237" spans="1:10" x14ac:dyDescent="0.3">
      <c r="A237" s="5"/>
      <c r="B237" s="5"/>
      <c r="C237" s="5"/>
      <c r="D237" s="54"/>
      <c r="E237" s="54"/>
      <c r="F237" s="54"/>
      <c r="G237" s="54"/>
      <c r="H237" s="125"/>
      <c r="I237" s="112"/>
      <c r="J237" s="79"/>
    </row>
    <row r="238" spans="1:10" x14ac:dyDescent="0.3">
      <c r="A238" s="6"/>
      <c r="B238" s="6"/>
      <c r="C238" s="6"/>
      <c r="D238" s="9"/>
      <c r="E238" s="9"/>
      <c r="F238" s="9"/>
      <c r="G238" s="9"/>
      <c r="H238" s="134"/>
      <c r="I238" s="113"/>
      <c r="J238" s="80"/>
    </row>
    <row r="239" spans="1:10" x14ac:dyDescent="0.3">
      <c r="A239" s="5"/>
      <c r="B239" s="5"/>
      <c r="C239" s="5"/>
      <c r="D239" s="54"/>
      <c r="E239" s="54"/>
      <c r="F239" s="54"/>
      <c r="G239" s="54"/>
      <c r="H239" s="125"/>
      <c r="I239" s="112"/>
      <c r="J239" s="79"/>
    </row>
    <row r="240" spans="1:10" x14ac:dyDescent="0.3">
      <c r="A240" s="6"/>
      <c r="B240" s="6"/>
      <c r="C240" s="6"/>
      <c r="D240" s="9"/>
      <c r="E240" s="9"/>
      <c r="F240" s="9"/>
      <c r="G240" s="9"/>
      <c r="H240" s="134"/>
      <c r="I240" s="113"/>
      <c r="J240" s="80"/>
    </row>
    <row r="241" spans="1:10" x14ac:dyDescent="0.3">
      <c r="A241" s="5"/>
      <c r="B241" s="5"/>
      <c r="C241" s="5"/>
      <c r="D241" s="54"/>
      <c r="E241" s="54"/>
      <c r="F241" s="54"/>
      <c r="G241" s="54"/>
      <c r="H241" s="125"/>
      <c r="I241" s="112"/>
      <c r="J241" s="79"/>
    </row>
    <row r="242" spans="1:10" x14ac:dyDescent="0.3">
      <c r="A242" s="6"/>
      <c r="B242" s="6"/>
      <c r="C242" s="6"/>
      <c r="D242" s="9"/>
      <c r="E242" s="9"/>
      <c r="F242" s="9"/>
      <c r="G242" s="9"/>
      <c r="H242" s="134"/>
      <c r="I242" s="113"/>
      <c r="J242" s="80"/>
    </row>
    <row r="243" spans="1:10" x14ac:dyDescent="0.3">
      <c r="A243" s="5"/>
      <c r="B243" s="5"/>
      <c r="C243" s="5"/>
      <c r="D243" s="54"/>
      <c r="E243" s="54"/>
      <c r="F243" s="54"/>
      <c r="G243" s="54"/>
      <c r="H243" s="125"/>
      <c r="I243" s="112"/>
      <c r="J243" s="79"/>
    </row>
    <row r="244" spans="1:10" x14ac:dyDescent="0.3">
      <c r="A244" s="6"/>
      <c r="B244" s="6"/>
      <c r="C244" s="6"/>
      <c r="D244" s="9"/>
      <c r="E244" s="9"/>
      <c r="F244" s="9"/>
      <c r="G244" s="9"/>
      <c r="H244" s="134"/>
      <c r="I244" s="113"/>
      <c r="J244" s="80"/>
    </row>
    <row r="245" spans="1:10" x14ac:dyDescent="0.3">
      <c r="A245" s="5"/>
      <c r="B245" s="5"/>
      <c r="C245" s="5"/>
      <c r="D245" s="54"/>
      <c r="E245" s="54"/>
      <c r="F245" s="54"/>
      <c r="G245" s="54"/>
      <c r="H245" s="125"/>
      <c r="I245" s="112"/>
      <c r="J245" s="79"/>
    </row>
    <row r="246" spans="1:10" x14ac:dyDescent="0.3">
      <c r="A246" s="6"/>
      <c r="B246" s="6"/>
      <c r="C246" s="6"/>
      <c r="D246" s="9"/>
      <c r="E246" s="9"/>
      <c r="F246" s="9"/>
      <c r="G246" s="9"/>
      <c r="H246" s="134"/>
      <c r="I246" s="113"/>
      <c r="J246" s="80"/>
    </row>
    <row r="247" spans="1:10" x14ac:dyDescent="0.3">
      <c r="A247" s="5"/>
      <c r="B247" s="5"/>
      <c r="C247" s="5"/>
      <c r="D247" s="54"/>
      <c r="E247" s="54"/>
      <c r="F247" s="54"/>
      <c r="G247" s="54"/>
      <c r="H247" s="125"/>
      <c r="I247" s="112"/>
      <c r="J247" s="79"/>
    </row>
    <row r="248" spans="1:10" x14ac:dyDescent="0.3">
      <c r="A248" s="6"/>
      <c r="B248" s="6"/>
      <c r="C248" s="6"/>
      <c r="D248" s="9"/>
      <c r="E248" s="9"/>
      <c r="F248" s="9"/>
      <c r="G248" s="9"/>
      <c r="H248" s="134"/>
      <c r="I248" s="113"/>
      <c r="J248" s="80"/>
    </row>
    <row r="249" spans="1:10" x14ac:dyDescent="0.3">
      <c r="A249" s="5"/>
      <c r="B249" s="5"/>
      <c r="C249" s="5"/>
      <c r="D249" s="54"/>
      <c r="E249" s="54"/>
      <c r="F249" s="54"/>
      <c r="G249" s="54"/>
      <c r="H249" s="125"/>
      <c r="I249" s="112"/>
      <c r="J249" s="79"/>
    </row>
    <row r="250" spans="1:10" x14ac:dyDescent="0.3">
      <c r="A250" s="6"/>
      <c r="B250" s="6"/>
      <c r="C250" s="6"/>
      <c r="D250" s="9"/>
      <c r="E250" s="9"/>
      <c r="F250" s="9"/>
      <c r="G250" s="9"/>
      <c r="H250" s="134"/>
      <c r="I250" s="113"/>
      <c r="J250" s="80"/>
    </row>
    <row r="251" spans="1:10" x14ac:dyDescent="0.3">
      <c r="A251" s="5"/>
      <c r="B251" s="5"/>
      <c r="C251" s="5"/>
      <c r="D251" s="54"/>
      <c r="E251" s="54"/>
      <c r="F251" s="54"/>
      <c r="G251" s="54"/>
      <c r="H251" s="125"/>
      <c r="I251" s="112"/>
      <c r="J251" s="79"/>
    </row>
    <row r="252" spans="1:10" x14ac:dyDescent="0.3">
      <c r="A252" s="6"/>
      <c r="B252" s="6"/>
      <c r="C252" s="6"/>
      <c r="D252" s="9"/>
      <c r="E252" s="9"/>
      <c r="F252" s="9"/>
      <c r="G252" s="9"/>
      <c r="H252" s="134"/>
      <c r="I252" s="113"/>
      <c r="J252" s="80"/>
    </row>
    <row r="253" spans="1:10" x14ac:dyDescent="0.3">
      <c r="A253" s="5"/>
      <c r="B253" s="5"/>
      <c r="C253" s="5"/>
      <c r="D253" s="54"/>
      <c r="E253" s="54"/>
      <c r="F253" s="54"/>
      <c r="G253" s="54"/>
      <c r="H253" s="125"/>
      <c r="I253" s="112"/>
      <c r="J253" s="79"/>
    </row>
    <row r="254" spans="1:10" x14ac:dyDescent="0.3">
      <c r="A254" s="6"/>
      <c r="B254" s="6"/>
      <c r="C254" s="6"/>
      <c r="D254" s="9"/>
      <c r="E254" s="9"/>
      <c r="F254" s="9"/>
      <c r="G254" s="9"/>
      <c r="H254" s="134"/>
      <c r="I254" s="113"/>
      <c r="J254" s="80"/>
    </row>
    <row r="255" spans="1:10" x14ac:dyDescent="0.3">
      <c r="A255" s="5"/>
      <c r="B255" s="5"/>
      <c r="C255" s="5"/>
      <c r="D255" s="54"/>
      <c r="E255" s="54"/>
      <c r="F255" s="54"/>
      <c r="G255" s="54"/>
      <c r="H255" s="125"/>
      <c r="I255" s="112"/>
      <c r="J255" s="79"/>
    </row>
    <row r="256" spans="1:10" x14ac:dyDescent="0.3">
      <c r="A256" s="6"/>
      <c r="B256" s="6"/>
      <c r="C256" s="6"/>
      <c r="D256" s="9"/>
      <c r="E256" s="9"/>
      <c r="F256" s="9"/>
      <c r="G256" s="9"/>
      <c r="H256" s="134"/>
      <c r="I256" s="113"/>
      <c r="J256" s="80"/>
    </row>
    <row r="257" spans="1:10" x14ac:dyDescent="0.3">
      <c r="A257" s="5"/>
      <c r="B257" s="5"/>
      <c r="C257" s="5"/>
      <c r="D257" s="54"/>
      <c r="E257" s="54"/>
      <c r="F257" s="54"/>
      <c r="G257" s="54"/>
      <c r="H257" s="125"/>
      <c r="I257" s="112"/>
      <c r="J257" s="79"/>
    </row>
    <row r="258" spans="1:10" x14ac:dyDescent="0.3">
      <c r="A258" s="6"/>
      <c r="B258" s="6"/>
      <c r="C258" s="6"/>
      <c r="D258" s="9"/>
      <c r="E258" s="9"/>
      <c r="F258" s="9"/>
      <c r="G258" s="9"/>
      <c r="H258" s="134"/>
      <c r="I258" s="113"/>
      <c r="J258" s="80"/>
    </row>
    <row r="259" spans="1:10" x14ac:dyDescent="0.3">
      <c r="A259" s="5"/>
      <c r="B259" s="5"/>
      <c r="C259" s="5"/>
      <c r="D259" s="54"/>
      <c r="E259" s="54"/>
      <c r="F259" s="54"/>
      <c r="G259" s="54"/>
      <c r="H259" s="125"/>
      <c r="I259" s="112"/>
      <c r="J259" s="79"/>
    </row>
    <row r="260" spans="1:10" x14ac:dyDescent="0.3">
      <c r="A260" s="6"/>
      <c r="B260" s="6"/>
      <c r="C260" s="6"/>
      <c r="D260" s="9"/>
      <c r="E260" s="9"/>
      <c r="F260" s="9"/>
      <c r="G260" s="9"/>
      <c r="H260" s="134"/>
      <c r="I260" s="113"/>
      <c r="J260" s="80"/>
    </row>
    <row r="261" spans="1:10" x14ac:dyDescent="0.3">
      <c r="A261" s="5"/>
      <c r="B261" s="5"/>
      <c r="C261" s="5"/>
      <c r="D261" s="54"/>
      <c r="E261" s="54"/>
      <c r="F261" s="54"/>
      <c r="G261" s="54"/>
      <c r="H261" s="125"/>
      <c r="I261" s="112"/>
      <c r="J261" s="79"/>
    </row>
    <row r="262" spans="1:10" x14ac:dyDescent="0.3">
      <c r="A262" s="6"/>
      <c r="B262" s="6"/>
      <c r="C262" s="6"/>
      <c r="D262" s="9"/>
      <c r="E262" s="9"/>
      <c r="F262" s="9"/>
      <c r="G262" s="9"/>
      <c r="H262" s="134"/>
      <c r="I262" s="113"/>
      <c r="J262" s="80"/>
    </row>
    <row r="263" spans="1:10" x14ac:dyDescent="0.3">
      <c r="A263" s="5"/>
      <c r="B263" s="5"/>
      <c r="C263" s="5"/>
      <c r="D263" s="54"/>
      <c r="E263" s="54"/>
      <c r="F263" s="54"/>
      <c r="G263" s="54"/>
      <c r="H263" s="125"/>
      <c r="I263" s="112"/>
      <c r="J263" s="79"/>
    </row>
    <row r="264" spans="1:10" x14ac:dyDescent="0.3">
      <c r="A264" s="6"/>
      <c r="B264" s="6"/>
      <c r="C264" s="6"/>
      <c r="D264" s="9"/>
      <c r="E264" s="9"/>
      <c r="F264" s="9"/>
      <c r="G264" s="9"/>
      <c r="H264" s="134"/>
      <c r="I264" s="113"/>
      <c r="J264" s="80"/>
    </row>
    <row r="265" spans="1:10" x14ac:dyDescent="0.3">
      <c r="A265" s="5"/>
      <c r="B265" s="5"/>
      <c r="C265" s="5"/>
      <c r="D265" s="54"/>
      <c r="E265" s="54"/>
      <c r="F265" s="54"/>
      <c r="G265" s="54"/>
      <c r="H265" s="125"/>
      <c r="I265" s="112"/>
      <c r="J265" s="79"/>
    </row>
    <row r="266" spans="1:10" x14ac:dyDescent="0.3">
      <c r="A266" s="6"/>
      <c r="B266" s="6"/>
      <c r="C266" s="6"/>
      <c r="D266" s="9"/>
      <c r="E266" s="9"/>
      <c r="F266" s="9"/>
      <c r="G266" s="9"/>
      <c r="H266" s="134"/>
      <c r="I266" s="113"/>
      <c r="J266" s="80"/>
    </row>
    <row r="267" spans="1:10" x14ac:dyDescent="0.3">
      <c r="A267" s="5"/>
      <c r="B267" s="5"/>
      <c r="C267" s="5"/>
      <c r="D267" s="54"/>
      <c r="E267" s="54"/>
      <c r="F267" s="54"/>
      <c r="G267" s="54"/>
      <c r="H267" s="125"/>
      <c r="I267" s="112"/>
      <c r="J267" s="79"/>
    </row>
    <row r="268" spans="1:10" x14ac:dyDescent="0.3">
      <c r="A268" s="6"/>
      <c r="B268" s="6"/>
      <c r="C268" s="6"/>
      <c r="D268" s="9"/>
      <c r="E268" s="9"/>
      <c r="F268" s="9"/>
      <c r="G268" s="9"/>
      <c r="H268" s="134"/>
      <c r="I268" s="113"/>
      <c r="J268" s="80"/>
    </row>
    <row r="269" spans="1:10" x14ac:dyDescent="0.3">
      <c r="A269" s="5"/>
      <c r="B269" s="5"/>
      <c r="C269" s="5"/>
      <c r="D269" s="54"/>
      <c r="E269" s="54"/>
      <c r="F269" s="54"/>
      <c r="G269" s="54"/>
      <c r="H269" s="125"/>
      <c r="I269" s="112"/>
      <c r="J269" s="79"/>
    </row>
    <row r="270" spans="1:10" x14ac:dyDescent="0.3">
      <c r="A270" s="6"/>
      <c r="B270" s="6"/>
      <c r="C270" s="6"/>
      <c r="D270" s="9"/>
      <c r="E270" s="9"/>
      <c r="F270" s="9"/>
      <c r="G270" s="9"/>
      <c r="H270" s="134"/>
      <c r="I270" s="113"/>
      <c r="J270" s="80"/>
    </row>
    <row r="271" spans="1:10" x14ac:dyDescent="0.3">
      <c r="A271" s="5"/>
      <c r="B271" s="5"/>
      <c r="C271" s="5"/>
      <c r="D271" s="54"/>
      <c r="E271" s="54"/>
      <c r="F271" s="54"/>
      <c r="G271" s="54"/>
      <c r="H271" s="125"/>
      <c r="I271" s="112"/>
      <c r="J271" s="79"/>
    </row>
    <row r="272" spans="1:10" x14ac:dyDescent="0.3">
      <c r="A272" s="6"/>
      <c r="B272" s="6"/>
      <c r="C272" s="6"/>
      <c r="D272" s="9"/>
      <c r="E272" s="9"/>
      <c r="F272" s="9"/>
      <c r="G272" s="9"/>
      <c r="H272" s="134"/>
      <c r="I272" s="113"/>
      <c r="J272" s="80"/>
    </row>
    <row r="273" spans="1:10" x14ac:dyDescent="0.3">
      <c r="A273" s="5"/>
      <c r="B273" s="5"/>
      <c r="C273" s="5"/>
      <c r="D273" s="54"/>
      <c r="E273" s="54"/>
      <c r="F273" s="54"/>
      <c r="G273" s="54"/>
      <c r="H273" s="125"/>
      <c r="I273" s="112"/>
      <c r="J273" s="79"/>
    </row>
    <row r="274" spans="1:10" x14ac:dyDescent="0.3">
      <c r="A274" s="6"/>
      <c r="B274" s="6"/>
      <c r="C274" s="6"/>
      <c r="D274" s="9"/>
      <c r="E274" s="9"/>
      <c r="F274" s="9"/>
      <c r="G274" s="9"/>
      <c r="H274" s="134"/>
      <c r="I274" s="113"/>
      <c r="J274" s="80"/>
    </row>
    <row r="275" spans="1:10" x14ac:dyDescent="0.3">
      <c r="A275" s="5"/>
      <c r="B275" s="5"/>
      <c r="C275" s="5"/>
      <c r="D275" s="54"/>
      <c r="E275" s="54"/>
      <c r="F275" s="54"/>
      <c r="G275" s="54"/>
      <c r="H275" s="125"/>
      <c r="I275" s="112"/>
      <c r="J275" s="79"/>
    </row>
    <row r="276" spans="1:10" x14ac:dyDescent="0.3">
      <c r="A276" s="6"/>
      <c r="B276" s="6"/>
      <c r="C276" s="6"/>
      <c r="D276" s="9"/>
      <c r="E276" s="9"/>
      <c r="F276" s="9"/>
      <c r="G276" s="9"/>
      <c r="H276" s="134"/>
      <c r="I276" s="113"/>
      <c r="J276" s="80"/>
    </row>
    <row r="277" spans="1:10" x14ac:dyDescent="0.3">
      <c r="A277" s="5"/>
      <c r="B277" s="5"/>
      <c r="C277" s="5"/>
      <c r="D277" s="54"/>
      <c r="E277" s="54"/>
      <c r="F277" s="54"/>
      <c r="G277" s="54"/>
      <c r="H277" s="125"/>
      <c r="I277" s="112"/>
      <c r="J277" s="79"/>
    </row>
    <row r="278" spans="1:10" x14ac:dyDescent="0.3">
      <c r="A278" s="6"/>
      <c r="B278" s="6"/>
      <c r="C278" s="6"/>
      <c r="D278" s="9"/>
      <c r="E278" s="9"/>
      <c r="F278" s="9"/>
      <c r="G278" s="9"/>
      <c r="H278" s="134"/>
      <c r="I278" s="113"/>
      <c r="J278" s="80"/>
    </row>
    <row r="279" spans="1:10" x14ac:dyDescent="0.3">
      <c r="A279" s="5"/>
      <c r="B279" s="5"/>
      <c r="C279" s="5"/>
      <c r="D279" s="54"/>
      <c r="E279" s="54"/>
      <c r="F279" s="54"/>
      <c r="G279" s="54"/>
      <c r="H279" s="125"/>
      <c r="I279" s="112"/>
      <c r="J279" s="79"/>
    </row>
    <row r="280" spans="1:10" x14ac:dyDescent="0.3">
      <c r="A280" s="6"/>
      <c r="B280" s="6"/>
      <c r="C280" s="6"/>
      <c r="D280" s="9"/>
      <c r="E280" s="9"/>
      <c r="F280" s="9"/>
      <c r="G280" s="9"/>
      <c r="H280" s="134"/>
      <c r="I280" s="113"/>
      <c r="J280" s="80"/>
    </row>
    <row r="281" spans="1:10" x14ac:dyDescent="0.3">
      <c r="A281" s="5"/>
      <c r="B281" s="5"/>
      <c r="C281" s="5"/>
      <c r="D281" s="54"/>
      <c r="E281" s="54"/>
      <c r="F281" s="54"/>
      <c r="G281" s="54"/>
      <c r="H281" s="125"/>
      <c r="I281" s="112"/>
      <c r="J281" s="79"/>
    </row>
    <row r="282" spans="1:10" x14ac:dyDescent="0.3">
      <c r="A282" s="6"/>
      <c r="B282" s="6"/>
      <c r="C282" s="6"/>
      <c r="D282" s="9"/>
      <c r="E282" s="9"/>
      <c r="F282" s="9"/>
      <c r="G282" s="9"/>
      <c r="H282" s="134"/>
      <c r="I282" s="113"/>
      <c r="J282" s="80"/>
    </row>
    <row r="283" spans="1:10" x14ac:dyDescent="0.3">
      <c r="A283" s="5"/>
      <c r="B283" s="5"/>
      <c r="C283" s="5"/>
      <c r="D283" s="54"/>
      <c r="E283" s="54"/>
      <c r="F283" s="54"/>
      <c r="G283" s="54"/>
      <c r="H283" s="125"/>
      <c r="I283" s="112"/>
      <c r="J283" s="79"/>
    </row>
    <row r="284" spans="1:10" x14ac:dyDescent="0.3">
      <c r="A284" s="6"/>
      <c r="B284" s="6"/>
      <c r="C284" s="6"/>
      <c r="D284" s="9"/>
      <c r="E284" s="9"/>
      <c r="F284" s="9"/>
      <c r="G284" s="9"/>
      <c r="H284" s="134"/>
      <c r="I284" s="113"/>
      <c r="J284" s="80"/>
    </row>
    <row r="285" spans="1:10" x14ac:dyDescent="0.3">
      <c r="A285" s="5"/>
      <c r="B285" s="5"/>
      <c r="C285" s="5"/>
      <c r="D285" s="54"/>
      <c r="E285" s="54"/>
      <c r="F285" s="54"/>
      <c r="G285" s="54"/>
      <c r="H285" s="125"/>
      <c r="I285" s="112"/>
      <c r="J285" s="79"/>
    </row>
    <row r="286" spans="1:10" x14ac:dyDescent="0.3">
      <c r="A286" s="6"/>
      <c r="B286" s="6"/>
      <c r="C286" s="6"/>
      <c r="D286" s="9"/>
      <c r="E286" s="9"/>
      <c r="F286" s="9"/>
      <c r="G286" s="9"/>
      <c r="H286" s="134"/>
      <c r="I286" s="113"/>
      <c r="J286" s="80"/>
    </row>
    <row r="287" spans="1:10" x14ac:dyDescent="0.3">
      <c r="A287" s="5"/>
      <c r="B287" s="5"/>
      <c r="C287" s="5"/>
      <c r="D287" s="54"/>
      <c r="E287" s="54"/>
      <c r="F287" s="54"/>
      <c r="G287" s="54"/>
      <c r="H287" s="125"/>
      <c r="I287" s="112"/>
      <c r="J287" s="79"/>
    </row>
    <row r="288" spans="1:10" x14ac:dyDescent="0.3">
      <c r="A288" s="6"/>
      <c r="B288" s="6"/>
      <c r="C288" s="6"/>
      <c r="D288" s="9"/>
      <c r="E288" s="9"/>
      <c r="F288" s="9"/>
      <c r="G288" s="9"/>
      <c r="H288" s="134"/>
      <c r="I288" s="113"/>
      <c r="J288" s="80"/>
    </row>
    <row r="289" spans="1:10" x14ac:dyDescent="0.3">
      <c r="A289" s="5"/>
      <c r="B289" s="5"/>
      <c r="C289" s="5"/>
      <c r="D289" s="54"/>
      <c r="E289" s="54"/>
      <c r="F289" s="54"/>
      <c r="G289" s="54"/>
      <c r="H289" s="125"/>
      <c r="I289" s="112"/>
      <c r="J289" s="79"/>
    </row>
    <row r="290" spans="1:10" x14ac:dyDescent="0.3">
      <c r="A290" s="6"/>
      <c r="B290" s="6"/>
      <c r="C290" s="6"/>
      <c r="D290" s="9"/>
      <c r="E290" s="9"/>
      <c r="F290" s="9"/>
      <c r="G290" s="9"/>
      <c r="H290" s="134"/>
      <c r="I290" s="113"/>
      <c r="J290" s="80"/>
    </row>
    <row r="291" spans="1:10" x14ac:dyDescent="0.3">
      <c r="A291" s="5"/>
      <c r="B291" s="5"/>
      <c r="C291" s="5"/>
      <c r="D291" s="54"/>
      <c r="E291" s="54"/>
      <c r="F291" s="54"/>
      <c r="G291" s="54"/>
      <c r="H291" s="125"/>
      <c r="I291" s="112"/>
      <c r="J291" s="79"/>
    </row>
    <row r="292" spans="1:10" x14ac:dyDescent="0.3">
      <c r="A292" s="6"/>
      <c r="B292" s="6"/>
      <c r="C292" s="6"/>
      <c r="D292" s="9"/>
      <c r="E292" s="9"/>
      <c r="F292" s="9"/>
      <c r="G292" s="9"/>
      <c r="H292" s="134"/>
      <c r="I292" s="113"/>
      <c r="J292" s="80"/>
    </row>
    <row r="293" spans="1:10" x14ac:dyDescent="0.3">
      <c r="A293" s="5"/>
      <c r="B293" s="5"/>
      <c r="C293" s="5"/>
      <c r="D293" s="54"/>
      <c r="E293" s="54"/>
      <c r="F293" s="54"/>
      <c r="G293" s="54"/>
      <c r="H293" s="125"/>
      <c r="I293" s="112"/>
      <c r="J293" s="79"/>
    </row>
    <row r="294" spans="1:10" x14ac:dyDescent="0.3">
      <c r="A294" s="6"/>
      <c r="B294" s="6"/>
      <c r="C294" s="6"/>
      <c r="D294" s="9"/>
      <c r="E294" s="9"/>
      <c r="F294" s="9"/>
      <c r="G294" s="9"/>
      <c r="H294" s="134"/>
      <c r="I294" s="113"/>
      <c r="J294" s="80"/>
    </row>
    <row r="295" spans="1:10" x14ac:dyDescent="0.3">
      <c r="A295" s="5"/>
      <c r="B295" s="5"/>
      <c r="C295" s="5"/>
      <c r="D295" s="54"/>
      <c r="E295" s="54"/>
      <c r="F295" s="54"/>
      <c r="G295" s="54"/>
      <c r="H295" s="125"/>
      <c r="I295" s="112"/>
      <c r="J295" s="79"/>
    </row>
    <row r="296" spans="1:10" x14ac:dyDescent="0.3">
      <c r="A296" s="6"/>
      <c r="B296" s="6"/>
      <c r="C296" s="6"/>
      <c r="D296" s="9"/>
      <c r="E296" s="9"/>
      <c r="F296" s="9"/>
      <c r="G296" s="9"/>
      <c r="H296" s="134"/>
      <c r="I296" s="113"/>
      <c r="J296" s="80"/>
    </row>
    <row r="297" spans="1:10" x14ac:dyDescent="0.3">
      <c r="A297" s="5"/>
      <c r="B297" s="5"/>
      <c r="C297" s="5"/>
      <c r="D297" s="54"/>
      <c r="E297" s="54"/>
      <c r="F297" s="54"/>
      <c r="G297" s="54"/>
      <c r="H297" s="125"/>
      <c r="I297" s="112"/>
      <c r="J297" s="79"/>
    </row>
    <row r="298" spans="1:10" x14ac:dyDescent="0.3">
      <c r="A298" s="6"/>
      <c r="B298" s="6"/>
      <c r="C298" s="6"/>
      <c r="D298" s="9"/>
      <c r="E298" s="9"/>
      <c r="F298" s="9"/>
      <c r="G298" s="9"/>
      <c r="H298" s="134"/>
      <c r="I298" s="113"/>
      <c r="J298" s="80"/>
    </row>
    <row r="299" spans="1:10" x14ac:dyDescent="0.3">
      <c r="A299" s="5"/>
      <c r="B299" s="5"/>
      <c r="C299" s="5"/>
      <c r="D299" s="54"/>
      <c r="E299" s="54"/>
      <c r="F299" s="54"/>
      <c r="G299" s="54"/>
      <c r="H299" s="125"/>
      <c r="I299" s="112"/>
      <c r="J299" s="79"/>
    </row>
    <row r="300" spans="1:10" x14ac:dyDescent="0.3">
      <c r="A300" s="6"/>
      <c r="B300" s="6"/>
      <c r="C300" s="6"/>
      <c r="D300" s="9"/>
      <c r="E300" s="9"/>
      <c r="F300" s="9"/>
      <c r="G300" s="9"/>
      <c r="H300" s="134"/>
      <c r="I300" s="113"/>
      <c r="J300" s="80"/>
    </row>
    <row r="301" spans="1:10" x14ac:dyDescent="0.3">
      <c r="A301" s="5"/>
      <c r="B301" s="5"/>
      <c r="C301" s="5"/>
      <c r="D301" s="54"/>
      <c r="E301" s="54"/>
      <c r="F301" s="54"/>
      <c r="G301" s="54"/>
      <c r="H301" s="125"/>
      <c r="I301" s="112"/>
      <c r="J301" s="79"/>
    </row>
    <row r="302" spans="1:10" x14ac:dyDescent="0.3">
      <c r="A302" s="6"/>
      <c r="B302" s="6"/>
      <c r="C302" s="6"/>
      <c r="D302" s="9"/>
      <c r="E302" s="9"/>
      <c r="F302" s="9"/>
      <c r="G302" s="9"/>
      <c r="H302" s="134"/>
      <c r="I302" s="113"/>
      <c r="J302" s="80"/>
    </row>
    <row r="303" spans="1:10" x14ac:dyDescent="0.3">
      <c r="A303" s="5"/>
      <c r="B303" s="5"/>
      <c r="C303" s="5"/>
      <c r="D303" s="54"/>
      <c r="E303" s="54"/>
      <c r="F303" s="54"/>
      <c r="G303" s="54"/>
      <c r="H303" s="125"/>
      <c r="I303" s="112"/>
      <c r="J303" s="79"/>
    </row>
    <row r="304" spans="1:10" x14ac:dyDescent="0.3">
      <c r="A304" s="6"/>
      <c r="B304" s="6"/>
      <c r="C304" s="6"/>
      <c r="D304" s="9"/>
      <c r="E304" s="9"/>
      <c r="F304" s="9"/>
      <c r="G304" s="9"/>
      <c r="H304" s="134"/>
      <c r="I304" s="113"/>
      <c r="J304" s="80"/>
    </row>
    <row r="305" spans="1:10" x14ac:dyDescent="0.3">
      <c r="A305" s="5"/>
      <c r="B305" s="5"/>
      <c r="C305" s="5"/>
      <c r="D305" s="54"/>
      <c r="E305" s="54"/>
      <c r="F305" s="54"/>
      <c r="G305" s="54"/>
      <c r="H305" s="125"/>
      <c r="I305" s="112"/>
      <c r="J305" s="79"/>
    </row>
    <row r="306" spans="1:10" x14ac:dyDescent="0.3">
      <c r="A306" s="6"/>
      <c r="B306" s="6"/>
      <c r="C306" s="6"/>
      <c r="D306" s="9"/>
      <c r="E306" s="9"/>
      <c r="F306" s="9"/>
      <c r="G306" s="9"/>
      <c r="H306" s="134"/>
      <c r="I306" s="113"/>
      <c r="J306" s="80"/>
    </row>
    <row r="307" spans="1:10" x14ac:dyDescent="0.3">
      <c r="A307" s="5"/>
      <c r="B307" s="5"/>
      <c r="C307" s="5"/>
      <c r="D307" s="54"/>
      <c r="E307" s="54"/>
      <c r="F307" s="54"/>
      <c r="G307" s="54"/>
      <c r="H307" s="125"/>
      <c r="I307" s="112"/>
      <c r="J307" s="79"/>
    </row>
    <row r="308" spans="1:10" x14ac:dyDescent="0.3">
      <c r="A308" s="6"/>
      <c r="B308" s="6"/>
      <c r="C308" s="6"/>
      <c r="D308" s="9"/>
      <c r="E308" s="9"/>
      <c r="F308" s="9"/>
      <c r="G308" s="9"/>
      <c r="H308" s="134"/>
      <c r="I308" s="113"/>
      <c r="J308" s="80"/>
    </row>
    <row r="309" spans="1:10" x14ac:dyDescent="0.3">
      <c r="A309" s="5"/>
      <c r="B309" s="5"/>
      <c r="C309" s="5"/>
      <c r="D309" s="54"/>
      <c r="E309" s="54"/>
      <c r="F309" s="54"/>
      <c r="G309" s="54"/>
      <c r="H309" s="125"/>
      <c r="I309" s="112"/>
      <c r="J309" s="79"/>
    </row>
    <row r="310" spans="1:10" x14ac:dyDescent="0.3">
      <c r="A310" s="6"/>
      <c r="B310" s="6"/>
      <c r="C310" s="6"/>
      <c r="D310" s="9"/>
      <c r="E310" s="9"/>
      <c r="F310" s="9"/>
      <c r="G310" s="9"/>
      <c r="H310" s="134"/>
      <c r="I310" s="113"/>
      <c r="J310" s="80"/>
    </row>
    <row r="311" spans="1:10" x14ac:dyDescent="0.3">
      <c r="A311" s="5"/>
      <c r="B311" s="5"/>
      <c r="C311" s="5"/>
      <c r="D311" s="54"/>
      <c r="E311" s="54"/>
      <c r="F311" s="54"/>
      <c r="G311" s="54"/>
      <c r="H311" s="125"/>
      <c r="I311" s="112"/>
      <c r="J311" s="79"/>
    </row>
    <row r="312" spans="1:10" x14ac:dyDescent="0.3">
      <c r="A312" s="6"/>
      <c r="B312" s="6"/>
      <c r="C312" s="6"/>
      <c r="D312" s="9"/>
      <c r="E312" s="9"/>
      <c r="F312" s="9"/>
      <c r="G312" s="9"/>
      <c r="H312" s="134"/>
      <c r="I312" s="113"/>
      <c r="J312" s="80"/>
    </row>
    <row r="313" spans="1:10" x14ac:dyDescent="0.3">
      <c r="A313" s="5"/>
      <c r="B313" s="5"/>
      <c r="C313" s="5"/>
      <c r="D313" s="54"/>
      <c r="E313" s="54"/>
      <c r="F313" s="54"/>
      <c r="G313" s="54"/>
      <c r="H313" s="125"/>
      <c r="I313" s="112"/>
      <c r="J313" s="79"/>
    </row>
    <row r="314" spans="1:10" x14ac:dyDescent="0.3">
      <c r="A314" s="6"/>
      <c r="B314" s="6"/>
      <c r="C314" s="6"/>
      <c r="D314" s="9"/>
      <c r="E314" s="9"/>
      <c r="F314" s="9"/>
      <c r="G314" s="9"/>
      <c r="H314" s="134"/>
      <c r="I314" s="113"/>
      <c r="J314" s="80"/>
    </row>
    <row r="315" spans="1:10" x14ac:dyDescent="0.3">
      <c r="A315" s="5"/>
      <c r="B315" s="5"/>
      <c r="C315" s="5"/>
      <c r="D315" s="54"/>
      <c r="E315" s="54"/>
      <c r="F315" s="54"/>
      <c r="G315" s="54"/>
      <c r="H315" s="125"/>
      <c r="I315" s="112"/>
      <c r="J315" s="79"/>
    </row>
    <row r="316" spans="1:10" x14ac:dyDescent="0.3">
      <c r="A316" s="6"/>
      <c r="B316" s="6"/>
      <c r="C316" s="6"/>
      <c r="D316" s="9"/>
      <c r="E316" s="9"/>
      <c r="F316" s="9"/>
      <c r="G316" s="9"/>
      <c r="H316" s="134"/>
      <c r="I316" s="113"/>
      <c r="J316" s="80"/>
    </row>
    <row r="317" spans="1:10" x14ac:dyDescent="0.3">
      <c r="A317" s="5"/>
      <c r="B317" s="5"/>
      <c r="C317" s="5"/>
      <c r="D317" s="54"/>
      <c r="E317" s="54"/>
      <c r="F317" s="54"/>
      <c r="G317" s="54"/>
      <c r="H317" s="125"/>
      <c r="I317" s="112"/>
      <c r="J317" s="79"/>
    </row>
    <row r="318" spans="1:10" x14ac:dyDescent="0.3">
      <c r="A318" s="6"/>
      <c r="B318" s="6"/>
      <c r="C318" s="6"/>
      <c r="D318" s="9"/>
      <c r="E318" s="9"/>
      <c r="F318" s="9"/>
      <c r="G318" s="9"/>
      <c r="H318" s="134"/>
      <c r="I318" s="113"/>
      <c r="J318" s="80"/>
    </row>
    <row r="319" spans="1:10" x14ac:dyDescent="0.3">
      <c r="A319" s="5"/>
      <c r="B319" s="5"/>
      <c r="C319" s="5"/>
      <c r="D319" s="54"/>
      <c r="E319" s="54"/>
      <c r="F319" s="54"/>
      <c r="G319" s="54"/>
      <c r="H319" s="125"/>
      <c r="I319" s="112"/>
      <c r="J319" s="79"/>
    </row>
    <row r="320" spans="1:10" x14ac:dyDescent="0.3">
      <c r="A320" s="6"/>
      <c r="B320" s="6"/>
      <c r="C320" s="6"/>
      <c r="D320" s="9"/>
      <c r="E320" s="9"/>
      <c r="F320" s="9"/>
      <c r="G320" s="9"/>
      <c r="H320" s="134"/>
      <c r="I320" s="113"/>
      <c r="J320" s="80"/>
    </row>
    <row r="321" spans="1:10" x14ac:dyDescent="0.3">
      <c r="A321" s="5"/>
      <c r="B321" s="5"/>
      <c r="C321" s="5"/>
      <c r="D321" s="54"/>
      <c r="E321" s="54"/>
      <c r="F321" s="54"/>
      <c r="G321" s="54"/>
      <c r="H321" s="125"/>
      <c r="I321" s="112"/>
      <c r="J321" s="79"/>
    </row>
    <row r="322" spans="1:10" x14ac:dyDescent="0.3">
      <c r="A322" s="6"/>
      <c r="B322" s="6"/>
      <c r="C322" s="6"/>
      <c r="D322" s="9"/>
      <c r="E322" s="9"/>
      <c r="F322" s="9"/>
      <c r="G322" s="9"/>
      <c r="H322" s="134"/>
      <c r="I322" s="113"/>
      <c r="J322" s="80"/>
    </row>
    <row r="323" spans="1:10" x14ac:dyDescent="0.3">
      <c r="A323" s="5"/>
      <c r="B323" s="5"/>
      <c r="C323" s="5"/>
      <c r="D323" s="54"/>
      <c r="E323" s="54"/>
      <c r="F323" s="54"/>
      <c r="G323" s="54"/>
      <c r="H323" s="125"/>
      <c r="I323" s="112"/>
      <c r="J323" s="79"/>
    </row>
    <row r="324" spans="1:10" x14ac:dyDescent="0.3">
      <c r="A324" s="6"/>
      <c r="B324" s="6"/>
      <c r="C324" s="6"/>
      <c r="D324" s="9"/>
      <c r="E324" s="9"/>
      <c r="F324" s="9"/>
      <c r="G324" s="9"/>
      <c r="H324" s="134"/>
      <c r="I324" s="113"/>
      <c r="J324" s="80"/>
    </row>
    <row r="325" spans="1:10" x14ac:dyDescent="0.3">
      <c r="A325" s="5"/>
      <c r="B325" s="5"/>
      <c r="C325" s="5"/>
      <c r="D325" s="54"/>
      <c r="E325" s="54"/>
      <c r="F325" s="54"/>
      <c r="G325" s="54"/>
      <c r="H325" s="125"/>
      <c r="I325" s="112"/>
      <c r="J325" s="79"/>
    </row>
    <row r="326" spans="1:10" x14ac:dyDescent="0.3">
      <c r="A326" s="6"/>
      <c r="B326" s="6"/>
      <c r="C326" s="6"/>
      <c r="D326" s="9"/>
      <c r="E326" s="9"/>
      <c r="F326" s="9"/>
      <c r="G326" s="9"/>
      <c r="H326" s="134"/>
      <c r="I326" s="113"/>
      <c r="J326" s="80"/>
    </row>
    <row r="327" spans="1:10" x14ac:dyDescent="0.3">
      <c r="A327" s="5"/>
      <c r="B327" s="5"/>
      <c r="C327" s="5"/>
      <c r="D327" s="54"/>
      <c r="E327" s="54"/>
      <c r="F327" s="54"/>
      <c r="G327" s="54"/>
      <c r="H327" s="125"/>
      <c r="I327" s="112"/>
      <c r="J327" s="79"/>
    </row>
    <row r="328" spans="1:10" x14ac:dyDescent="0.3">
      <c r="A328" s="6"/>
      <c r="B328" s="6"/>
      <c r="C328" s="6"/>
      <c r="D328" s="9"/>
      <c r="E328" s="9"/>
      <c r="F328" s="9"/>
      <c r="G328" s="9"/>
      <c r="H328" s="134"/>
      <c r="I328" s="113"/>
      <c r="J328" s="80"/>
    </row>
    <row r="329" spans="1:10" x14ac:dyDescent="0.3">
      <c r="A329" s="5"/>
      <c r="B329" s="5"/>
      <c r="C329" s="5"/>
      <c r="D329" s="54"/>
      <c r="E329" s="54"/>
      <c r="F329" s="54"/>
      <c r="G329" s="54"/>
      <c r="H329" s="125"/>
      <c r="I329" s="112"/>
      <c r="J329" s="79"/>
    </row>
    <row r="330" spans="1:10" x14ac:dyDescent="0.3">
      <c r="A330" s="6"/>
      <c r="B330" s="6"/>
      <c r="C330" s="6"/>
      <c r="D330" s="9"/>
      <c r="E330" s="9"/>
      <c r="F330" s="9"/>
      <c r="G330" s="9"/>
      <c r="H330" s="134"/>
      <c r="I330" s="113"/>
      <c r="J330" s="80"/>
    </row>
    <row r="331" spans="1:10" x14ac:dyDescent="0.3">
      <c r="A331" s="5"/>
      <c r="B331" s="5"/>
      <c r="C331" s="5"/>
      <c r="D331" s="54"/>
      <c r="E331" s="54"/>
      <c r="F331" s="54"/>
      <c r="G331" s="54"/>
      <c r="H331" s="125"/>
      <c r="I331" s="112"/>
      <c r="J331" s="79"/>
    </row>
    <row r="332" spans="1:10" x14ac:dyDescent="0.3">
      <c r="A332" s="6"/>
      <c r="B332" s="6"/>
      <c r="C332" s="6"/>
      <c r="D332" s="9"/>
      <c r="E332" s="9"/>
      <c r="F332" s="9"/>
      <c r="G332" s="9"/>
      <c r="H332" s="134"/>
      <c r="I332" s="113"/>
      <c r="J332" s="80"/>
    </row>
    <row r="333" spans="1:10" x14ac:dyDescent="0.3">
      <c r="A333" s="5"/>
      <c r="B333" s="5"/>
      <c r="C333" s="5"/>
      <c r="D333" s="54"/>
      <c r="E333" s="54"/>
      <c r="F333" s="54"/>
      <c r="G333" s="54"/>
      <c r="H333" s="125"/>
      <c r="I333" s="112"/>
      <c r="J333" s="79"/>
    </row>
    <row r="334" spans="1:10" x14ac:dyDescent="0.3">
      <c r="A334" s="6"/>
      <c r="B334" s="6"/>
      <c r="C334" s="6"/>
      <c r="D334" s="9"/>
      <c r="E334" s="9"/>
      <c r="F334" s="9"/>
      <c r="G334" s="9"/>
      <c r="H334" s="134"/>
      <c r="I334" s="113"/>
      <c r="J334" s="80"/>
    </row>
    <row r="335" spans="1:10" x14ac:dyDescent="0.3">
      <c r="A335" s="5"/>
      <c r="B335" s="5"/>
      <c r="C335" s="5"/>
      <c r="D335" s="54"/>
      <c r="E335" s="54"/>
      <c r="F335" s="54"/>
      <c r="G335" s="54"/>
      <c r="H335" s="125"/>
      <c r="I335" s="112"/>
      <c r="J335" s="79"/>
    </row>
    <row r="336" spans="1:10" x14ac:dyDescent="0.3">
      <c r="A336" s="6"/>
      <c r="B336" s="6"/>
      <c r="C336" s="6"/>
      <c r="D336" s="9"/>
      <c r="E336" s="9"/>
      <c r="F336" s="9"/>
      <c r="G336" s="9"/>
      <c r="H336" s="134"/>
      <c r="I336" s="113"/>
      <c r="J336" s="80"/>
    </row>
    <row r="337" spans="1:10" x14ac:dyDescent="0.3">
      <c r="A337" s="5"/>
      <c r="B337" s="5"/>
      <c r="C337" s="5"/>
      <c r="D337" s="54"/>
      <c r="E337" s="54"/>
      <c r="F337" s="54"/>
      <c r="G337" s="54"/>
      <c r="H337" s="125"/>
      <c r="I337" s="112"/>
      <c r="J337" s="79"/>
    </row>
    <row r="338" spans="1:10" x14ac:dyDescent="0.3">
      <c r="A338" s="6"/>
      <c r="B338" s="6"/>
      <c r="C338" s="6"/>
      <c r="D338" s="9"/>
      <c r="E338" s="9"/>
      <c r="F338" s="9"/>
      <c r="G338" s="9"/>
      <c r="H338" s="134"/>
      <c r="I338" s="113"/>
      <c r="J338" s="80"/>
    </row>
    <row r="339" spans="1:10" x14ac:dyDescent="0.3">
      <c r="A339" s="5"/>
      <c r="B339" s="5"/>
      <c r="C339" s="5"/>
      <c r="D339" s="54"/>
      <c r="E339" s="54"/>
      <c r="F339" s="54"/>
      <c r="G339" s="54"/>
      <c r="H339" s="125"/>
      <c r="I339" s="112"/>
      <c r="J339" s="79"/>
    </row>
    <row r="340" spans="1:10" x14ac:dyDescent="0.3">
      <c r="A340" s="6"/>
      <c r="B340" s="6"/>
      <c r="C340" s="6"/>
      <c r="D340" s="9"/>
      <c r="E340" s="9"/>
      <c r="F340" s="9"/>
      <c r="G340" s="9"/>
      <c r="H340" s="134"/>
      <c r="I340" s="113"/>
      <c r="J340" s="80"/>
    </row>
    <row r="341" spans="1:10" x14ac:dyDescent="0.3">
      <c r="A341" s="5"/>
      <c r="B341" s="5"/>
      <c r="C341" s="5"/>
      <c r="D341" s="54"/>
      <c r="E341" s="54"/>
      <c r="F341" s="54"/>
      <c r="G341" s="54"/>
      <c r="H341" s="125"/>
      <c r="I341" s="112"/>
      <c r="J341" s="79"/>
    </row>
    <row r="342" spans="1:10" x14ac:dyDescent="0.3">
      <c r="A342" s="6"/>
      <c r="B342" s="6"/>
      <c r="C342" s="6"/>
      <c r="D342" s="9"/>
      <c r="E342" s="9"/>
      <c r="F342" s="9"/>
      <c r="G342" s="9"/>
      <c r="H342" s="134"/>
      <c r="I342" s="113"/>
      <c r="J342" s="80"/>
    </row>
    <row r="343" spans="1:10" x14ac:dyDescent="0.3">
      <c r="A343" s="5"/>
      <c r="B343" s="5"/>
      <c r="C343" s="5"/>
      <c r="D343" s="54"/>
      <c r="E343" s="54"/>
      <c r="F343" s="54"/>
      <c r="G343" s="54"/>
      <c r="H343" s="125"/>
      <c r="I343" s="112"/>
      <c r="J343" s="79"/>
    </row>
    <row r="344" spans="1:10" x14ac:dyDescent="0.3">
      <c r="A344" s="6"/>
      <c r="B344" s="6"/>
      <c r="C344" s="6"/>
      <c r="D344" s="9"/>
      <c r="E344" s="9"/>
      <c r="F344" s="9"/>
      <c r="G344" s="9"/>
      <c r="H344" s="134"/>
      <c r="I344" s="113"/>
      <c r="J344" s="80"/>
    </row>
    <row r="345" spans="1:10" x14ac:dyDescent="0.3">
      <c r="A345" s="5"/>
      <c r="B345" s="5"/>
      <c r="C345" s="5"/>
      <c r="D345" s="54"/>
      <c r="E345" s="54"/>
      <c r="F345" s="54"/>
      <c r="G345" s="54"/>
      <c r="H345" s="125"/>
      <c r="I345" s="112"/>
      <c r="J345" s="79"/>
    </row>
    <row r="346" spans="1:10" x14ac:dyDescent="0.3">
      <c r="A346" s="6"/>
      <c r="B346" s="6"/>
      <c r="C346" s="6"/>
      <c r="D346" s="9"/>
      <c r="E346" s="9"/>
      <c r="F346" s="9"/>
      <c r="G346" s="9"/>
      <c r="H346" s="134"/>
      <c r="I346" s="113"/>
      <c r="J346" s="80"/>
    </row>
    <row r="347" spans="1:10" x14ac:dyDescent="0.3">
      <c r="A347" s="5"/>
      <c r="B347" s="5"/>
      <c r="C347" s="5"/>
      <c r="D347" s="54"/>
      <c r="E347" s="54"/>
      <c r="F347" s="54"/>
      <c r="G347" s="54"/>
      <c r="H347" s="125"/>
      <c r="I347" s="112"/>
      <c r="J347" s="79"/>
    </row>
    <row r="348" spans="1:10" x14ac:dyDescent="0.3">
      <c r="A348" s="6"/>
      <c r="B348" s="6"/>
      <c r="C348" s="6"/>
      <c r="D348" s="9"/>
      <c r="E348" s="9"/>
      <c r="F348" s="9"/>
      <c r="G348" s="9"/>
      <c r="H348" s="134"/>
      <c r="I348" s="113"/>
      <c r="J348" s="80"/>
    </row>
    <row r="349" spans="1:10" x14ac:dyDescent="0.3">
      <c r="A349" s="5"/>
      <c r="B349" s="5"/>
      <c r="C349" s="5"/>
      <c r="D349" s="54"/>
      <c r="E349" s="54"/>
      <c r="F349" s="54"/>
      <c r="G349" s="54"/>
      <c r="H349" s="125"/>
      <c r="I349" s="112"/>
      <c r="J349" s="79"/>
    </row>
    <row r="350" spans="1:10" x14ac:dyDescent="0.3">
      <c r="A350" s="6"/>
      <c r="B350" s="6"/>
      <c r="C350" s="6"/>
      <c r="D350" s="9"/>
      <c r="E350" s="9"/>
      <c r="F350" s="9"/>
      <c r="G350" s="9"/>
      <c r="H350" s="134"/>
      <c r="I350" s="113"/>
      <c r="J350" s="80"/>
    </row>
    <row r="351" spans="1:10" x14ac:dyDescent="0.3">
      <c r="A351" s="5"/>
      <c r="B351" s="5"/>
      <c r="C351" s="5"/>
      <c r="D351" s="54"/>
      <c r="E351" s="54"/>
      <c r="F351" s="54"/>
      <c r="G351" s="54"/>
      <c r="H351" s="125"/>
      <c r="I351" s="112"/>
      <c r="J351" s="79"/>
    </row>
    <row r="352" spans="1:10" x14ac:dyDescent="0.3">
      <c r="A352" s="6"/>
      <c r="B352" s="6"/>
      <c r="C352" s="6"/>
      <c r="D352" s="9"/>
      <c r="E352" s="9"/>
      <c r="F352" s="9"/>
      <c r="G352" s="9"/>
      <c r="H352" s="134"/>
      <c r="I352" s="113"/>
      <c r="J352" s="80"/>
    </row>
    <row r="353" spans="1:10" x14ac:dyDescent="0.3">
      <c r="A353" s="5"/>
      <c r="B353" s="5"/>
      <c r="C353" s="5"/>
      <c r="D353" s="54"/>
      <c r="E353" s="54"/>
      <c r="F353" s="54"/>
      <c r="G353" s="54"/>
      <c r="H353" s="125"/>
      <c r="I353" s="112"/>
      <c r="J353" s="79"/>
    </row>
    <row r="354" spans="1:10" x14ac:dyDescent="0.3">
      <c r="A354" s="6"/>
      <c r="B354" s="6"/>
      <c r="C354" s="6"/>
      <c r="D354" s="9"/>
      <c r="E354" s="9"/>
      <c r="F354" s="9"/>
      <c r="G354" s="9"/>
      <c r="H354" s="134"/>
      <c r="I354" s="113"/>
      <c r="J354" s="80"/>
    </row>
    <row r="355" spans="1:10" x14ac:dyDescent="0.3">
      <c r="A355" s="5"/>
      <c r="B355" s="5"/>
      <c r="C355" s="5"/>
      <c r="D355" s="54"/>
      <c r="E355" s="54"/>
      <c r="F355" s="54"/>
      <c r="G355" s="54"/>
      <c r="H355" s="125"/>
      <c r="I355" s="112"/>
      <c r="J355" s="79"/>
    </row>
    <row r="356" spans="1:10" x14ac:dyDescent="0.3">
      <c r="A356" s="6"/>
      <c r="B356" s="6"/>
      <c r="C356" s="6"/>
      <c r="D356" s="9"/>
      <c r="E356" s="9"/>
      <c r="F356" s="9"/>
      <c r="G356" s="9"/>
      <c r="H356" s="134"/>
      <c r="I356" s="113"/>
      <c r="J356" s="80"/>
    </row>
    <row r="357" spans="1:10" x14ac:dyDescent="0.3">
      <c r="A357" s="5"/>
      <c r="B357" s="5"/>
      <c r="C357" s="5"/>
      <c r="D357" s="54"/>
      <c r="E357" s="54"/>
      <c r="F357" s="54"/>
      <c r="G357" s="54"/>
      <c r="H357" s="125"/>
      <c r="I357" s="112"/>
      <c r="J357" s="79"/>
    </row>
    <row r="358" spans="1:10" x14ac:dyDescent="0.3">
      <c r="A358" s="6"/>
      <c r="B358" s="6"/>
      <c r="C358" s="6"/>
      <c r="D358" s="9"/>
      <c r="E358" s="9"/>
      <c r="F358" s="9"/>
      <c r="G358" s="9"/>
      <c r="H358" s="134"/>
      <c r="I358" s="113"/>
      <c r="J358" s="80"/>
    </row>
    <row r="359" spans="1:10" x14ac:dyDescent="0.3">
      <c r="A359" s="5"/>
      <c r="B359" s="5"/>
      <c r="C359" s="5"/>
      <c r="D359" s="54"/>
      <c r="E359" s="54"/>
      <c r="F359" s="54"/>
      <c r="G359" s="54"/>
      <c r="H359" s="125"/>
      <c r="I359" s="112"/>
      <c r="J359" s="79"/>
    </row>
    <row r="360" spans="1:10" x14ac:dyDescent="0.3">
      <c r="A360" s="6"/>
      <c r="B360" s="6"/>
      <c r="C360" s="6"/>
      <c r="D360" s="9"/>
      <c r="E360" s="9"/>
      <c r="F360" s="9"/>
      <c r="G360" s="9"/>
      <c r="H360" s="134"/>
      <c r="I360" s="113"/>
      <c r="J360" s="80"/>
    </row>
    <row r="361" spans="1:10" x14ac:dyDescent="0.3">
      <c r="A361" s="5"/>
      <c r="B361" s="5"/>
      <c r="C361" s="5"/>
      <c r="D361" s="54"/>
      <c r="E361" s="54"/>
      <c r="F361" s="54"/>
      <c r="G361" s="54"/>
      <c r="H361" s="125"/>
      <c r="I361" s="112"/>
      <c r="J361" s="79"/>
    </row>
    <row r="362" spans="1:10" x14ac:dyDescent="0.3">
      <c r="A362" s="6"/>
      <c r="B362" s="6"/>
      <c r="C362" s="6"/>
      <c r="D362" s="9"/>
      <c r="E362" s="9"/>
      <c r="F362" s="9"/>
      <c r="G362" s="9"/>
      <c r="H362" s="134"/>
      <c r="I362" s="113"/>
      <c r="J362" s="80"/>
    </row>
    <row r="363" spans="1:10" x14ac:dyDescent="0.3">
      <c r="A363" s="5"/>
      <c r="B363" s="5"/>
      <c r="C363" s="5"/>
      <c r="D363" s="54"/>
      <c r="E363" s="54"/>
      <c r="F363" s="54"/>
      <c r="G363" s="54"/>
      <c r="H363" s="125"/>
      <c r="I363" s="112"/>
      <c r="J363" s="79"/>
    </row>
    <row r="364" spans="1:10" x14ac:dyDescent="0.3">
      <c r="A364" s="6"/>
      <c r="B364" s="6"/>
      <c r="C364" s="6"/>
      <c r="D364" s="9"/>
      <c r="E364" s="9"/>
      <c r="F364" s="9"/>
      <c r="G364" s="9"/>
      <c r="H364" s="134"/>
      <c r="I364" s="113"/>
      <c r="J364" s="80"/>
    </row>
    <row r="365" spans="1:10" x14ac:dyDescent="0.3">
      <c r="A365" s="5"/>
      <c r="B365" s="5"/>
      <c r="C365" s="5"/>
      <c r="D365" s="54"/>
      <c r="E365" s="54"/>
      <c r="F365" s="54"/>
      <c r="G365" s="54"/>
      <c r="H365" s="125"/>
      <c r="I365" s="112"/>
      <c r="J365" s="79"/>
    </row>
    <row r="366" spans="1:10" x14ac:dyDescent="0.3">
      <c r="A366" s="6"/>
      <c r="B366" s="6"/>
      <c r="C366" s="6"/>
      <c r="D366" s="9"/>
      <c r="E366" s="9"/>
      <c r="F366" s="9"/>
      <c r="G366" s="9"/>
      <c r="H366" s="134"/>
      <c r="I366" s="113"/>
      <c r="J366" s="80"/>
    </row>
    <row r="367" spans="1:10" x14ac:dyDescent="0.3">
      <c r="A367" s="5"/>
      <c r="B367" s="5"/>
      <c r="C367" s="5"/>
      <c r="D367" s="54"/>
      <c r="E367" s="54"/>
      <c r="F367" s="54"/>
      <c r="G367" s="54"/>
      <c r="H367" s="125"/>
      <c r="I367" s="112"/>
      <c r="J367" s="79"/>
    </row>
    <row r="368" spans="1:10" x14ac:dyDescent="0.3">
      <c r="A368" s="6"/>
      <c r="B368" s="6"/>
      <c r="C368" s="6"/>
      <c r="D368" s="9"/>
      <c r="E368" s="9"/>
      <c r="F368" s="9"/>
      <c r="G368" s="9"/>
      <c r="H368" s="134"/>
      <c r="I368" s="113"/>
      <c r="J368" s="80"/>
    </row>
    <row r="369" spans="1:10" x14ac:dyDescent="0.3">
      <c r="A369" s="5"/>
      <c r="B369" s="5"/>
      <c r="C369" s="5"/>
      <c r="D369" s="54"/>
      <c r="E369" s="54"/>
      <c r="F369" s="54"/>
      <c r="G369" s="54"/>
      <c r="H369" s="125"/>
      <c r="I369" s="112"/>
      <c r="J369" s="79"/>
    </row>
    <row r="370" spans="1:10" x14ac:dyDescent="0.3">
      <c r="A370" s="6"/>
      <c r="B370" s="6"/>
      <c r="C370" s="6"/>
      <c r="D370" s="9"/>
      <c r="E370" s="9"/>
      <c r="F370" s="9"/>
      <c r="G370" s="9"/>
      <c r="H370" s="134"/>
      <c r="I370" s="113"/>
      <c r="J370" s="80"/>
    </row>
    <row r="371" spans="1:10" x14ac:dyDescent="0.3">
      <c r="A371" s="5"/>
      <c r="B371" s="5"/>
      <c r="C371" s="5"/>
      <c r="D371" s="54"/>
      <c r="E371" s="54"/>
      <c r="F371" s="54"/>
      <c r="G371" s="54"/>
      <c r="H371" s="125"/>
      <c r="I371" s="112"/>
      <c r="J371" s="79"/>
    </row>
    <row r="372" spans="1:10" x14ac:dyDescent="0.3">
      <c r="A372" s="6"/>
      <c r="B372" s="6"/>
      <c r="C372" s="6"/>
      <c r="D372" s="9"/>
      <c r="E372" s="9"/>
      <c r="F372" s="9"/>
      <c r="G372" s="9"/>
      <c r="H372" s="134"/>
      <c r="I372" s="113"/>
      <c r="J372" s="80"/>
    </row>
    <row r="373" spans="1:10" x14ac:dyDescent="0.3">
      <c r="A373" s="5"/>
      <c r="B373" s="5"/>
      <c r="C373" s="5"/>
      <c r="D373" s="54"/>
      <c r="E373" s="54"/>
      <c r="F373" s="54"/>
      <c r="G373" s="54"/>
      <c r="H373" s="125"/>
      <c r="I373" s="112"/>
      <c r="J373" s="79"/>
    </row>
    <row r="374" spans="1:10" x14ac:dyDescent="0.3">
      <c r="A374" s="6"/>
      <c r="B374" s="6"/>
      <c r="C374" s="6"/>
      <c r="D374" s="9"/>
      <c r="E374" s="9"/>
      <c r="F374" s="9"/>
      <c r="G374" s="9"/>
      <c r="H374" s="134"/>
      <c r="I374" s="113"/>
      <c r="J374" s="80"/>
    </row>
    <row r="375" spans="1:10" x14ac:dyDescent="0.3">
      <c r="A375" s="5"/>
      <c r="B375" s="5"/>
      <c r="C375" s="5"/>
      <c r="D375" s="54"/>
      <c r="E375" s="54"/>
      <c r="F375" s="54"/>
      <c r="G375" s="54"/>
      <c r="H375" s="125"/>
      <c r="I375" s="112"/>
      <c r="J375" s="79"/>
    </row>
    <row r="376" spans="1:10" x14ac:dyDescent="0.3">
      <c r="A376" s="6"/>
      <c r="B376" s="6"/>
      <c r="C376" s="6"/>
      <c r="D376" s="9"/>
      <c r="E376" s="9"/>
      <c r="F376" s="9"/>
      <c r="G376" s="9"/>
      <c r="H376" s="134"/>
      <c r="I376" s="113"/>
      <c r="J376" s="80"/>
    </row>
    <row r="377" spans="1:10" x14ac:dyDescent="0.3">
      <c r="A377" s="5"/>
      <c r="B377" s="5"/>
      <c r="C377" s="5"/>
      <c r="D377" s="54"/>
      <c r="E377" s="54"/>
      <c r="F377" s="54"/>
      <c r="G377" s="54"/>
      <c r="H377" s="125"/>
      <c r="I377" s="112"/>
      <c r="J377" s="79"/>
    </row>
    <row r="378" spans="1:10" x14ac:dyDescent="0.3">
      <c r="A378" s="6"/>
      <c r="B378" s="6"/>
      <c r="C378" s="6"/>
      <c r="D378" s="9"/>
      <c r="E378" s="9"/>
      <c r="F378" s="9"/>
      <c r="G378" s="9"/>
      <c r="H378" s="134"/>
      <c r="I378" s="113"/>
      <c r="J378" s="80"/>
    </row>
    <row r="379" spans="1:10" x14ac:dyDescent="0.3">
      <c r="A379" s="5"/>
      <c r="B379" s="5"/>
      <c r="C379" s="5"/>
      <c r="D379" s="54"/>
      <c r="E379" s="54"/>
      <c r="F379" s="54"/>
      <c r="G379" s="54"/>
      <c r="H379" s="125"/>
      <c r="I379" s="112"/>
      <c r="J379" s="79"/>
    </row>
    <row r="380" spans="1:10" x14ac:dyDescent="0.3">
      <c r="A380" s="6"/>
      <c r="B380" s="6"/>
      <c r="C380" s="6"/>
      <c r="D380" s="9"/>
      <c r="E380" s="9"/>
      <c r="F380" s="9"/>
      <c r="G380" s="9"/>
      <c r="H380" s="134"/>
      <c r="I380" s="113"/>
      <c r="J380" s="80"/>
    </row>
    <row r="381" spans="1:10" x14ac:dyDescent="0.3">
      <c r="A381" s="5"/>
      <c r="B381" s="5"/>
      <c r="C381" s="5"/>
      <c r="D381" s="54"/>
      <c r="E381" s="54"/>
      <c r="F381" s="54"/>
      <c r="G381" s="54"/>
      <c r="H381" s="125"/>
      <c r="I381" s="112"/>
      <c r="J381" s="79"/>
    </row>
    <row r="382" spans="1:10" x14ac:dyDescent="0.3">
      <c r="A382" s="6"/>
      <c r="B382" s="6"/>
      <c r="C382" s="6"/>
      <c r="D382" s="9"/>
      <c r="E382" s="9"/>
      <c r="F382" s="9"/>
      <c r="G382" s="9"/>
      <c r="H382" s="134"/>
      <c r="I382" s="113"/>
      <c r="J382" s="80"/>
    </row>
    <row r="383" spans="1:10" x14ac:dyDescent="0.3">
      <c r="A383" s="5"/>
      <c r="B383" s="5"/>
      <c r="C383" s="5"/>
      <c r="D383" s="54"/>
      <c r="E383" s="54"/>
      <c r="F383" s="54"/>
      <c r="G383" s="54"/>
      <c r="H383" s="125"/>
      <c r="I383" s="112"/>
      <c r="J383" s="79"/>
    </row>
    <row r="384" spans="1:10" x14ac:dyDescent="0.3">
      <c r="A384" s="6"/>
      <c r="B384" s="6"/>
      <c r="C384" s="6"/>
      <c r="D384" s="9"/>
      <c r="E384" s="9"/>
      <c r="F384" s="9"/>
      <c r="G384" s="9"/>
      <c r="H384" s="134"/>
      <c r="I384" s="113"/>
      <c r="J384" s="80"/>
    </row>
    <row r="385" spans="1:10" x14ac:dyDescent="0.3">
      <c r="A385" s="5"/>
      <c r="B385" s="5"/>
      <c r="C385" s="5"/>
      <c r="D385" s="54"/>
      <c r="E385" s="54"/>
      <c r="F385" s="54"/>
      <c r="G385" s="54"/>
      <c r="H385" s="125"/>
      <c r="I385" s="112"/>
      <c r="J385" s="79"/>
    </row>
    <row r="386" spans="1:10" x14ac:dyDescent="0.3">
      <c r="A386" s="6"/>
      <c r="B386" s="6"/>
      <c r="C386" s="6"/>
      <c r="D386" s="9"/>
      <c r="E386" s="9"/>
      <c r="F386" s="9"/>
      <c r="G386" s="9"/>
      <c r="H386" s="134"/>
      <c r="I386" s="113"/>
      <c r="J386" s="80"/>
    </row>
    <row r="387" spans="1:10" x14ac:dyDescent="0.3">
      <c r="A387" s="5"/>
      <c r="B387" s="5"/>
      <c r="C387" s="5"/>
      <c r="D387" s="54"/>
      <c r="E387" s="54"/>
      <c r="F387" s="54"/>
      <c r="G387" s="54"/>
      <c r="H387" s="125"/>
      <c r="I387" s="112"/>
      <c r="J387" s="79"/>
    </row>
    <row r="388" spans="1:10" x14ac:dyDescent="0.3">
      <c r="A388" s="6"/>
      <c r="B388" s="6"/>
      <c r="C388" s="6"/>
      <c r="D388" s="9"/>
      <c r="E388" s="9"/>
      <c r="F388" s="9"/>
      <c r="G388" s="9"/>
      <c r="H388" s="134"/>
      <c r="I388" s="113"/>
      <c r="J388" s="80"/>
    </row>
    <row r="389" spans="1:10" x14ac:dyDescent="0.3">
      <c r="A389" s="5"/>
      <c r="B389" s="5"/>
      <c r="C389" s="5"/>
      <c r="D389" s="54"/>
      <c r="E389" s="54"/>
      <c r="F389" s="54"/>
      <c r="G389" s="54"/>
      <c r="H389" s="125"/>
      <c r="I389" s="112"/>
      <c r="J389" s="79"/>
    </row>
    <row r="390" spans="1:10" x14ac:dyDescent="0.3">
      <c r="A390" s="6"/>
      <c r="B390" s="6"/>
      <c r="C390" s="6"/>
      <c r="D390" s="9"/>
      <c r="E390" s="9"/>
      <c r="F390" s="9"/>
      <c r="G390" s="9"/>
      <c r="H390" s="134"/>
      <c r="I390" s="113"/>
      <c r="J390" s="80"/>
    </row>
    <row r="391" spans="1:10" x14ac:dyDescent="0.3">
      <c r="A391" s="5"/>
      <c r="B391" s="5"/>
      <c r="C391" s="5"/>
      <c r="D391" s="54"/>
      <c r="E391" s="54"/>
      <c r="F391" s="54"/>
      <c r="G391" s="54"/>
      <c r="H391" s="125"/>
      <c r="I391" s="112"/>
      <c r="J391" s="79"/>
    </row>
    <row r="392" spans="1:10" x14ac:dyDescent="0.3">
      <c r="A392" s="6"/>
      <c r="B392" s="6"/>
      <c r="C392" s="6"/>
      <c r="D392" s="9"/>
      <c r="E392" s="9"/>
      <c r="F392" s="9"/>
      <c r="G392" s="9"/>
      <c r="H392" s="134"/>
      <c r="I392" s="113"/>
      <c r="J392" s="80"/>
    </row>
    <row r="393" spans="1:10" x14ac:dyDescent="0.3">
      <c r="A393" s="5"/>
      <c r="B393" s="5"/>
      <c r="C393" s="5"/>
      <c r="D393" s="54"/>
      <c r="E393" s="54"/>
      <c r="F393" s="54"/>
      <c r="G393" s="54"/>
      <c r="H393" s="125"/>
      <c r="I393" s="112"/>
      <c r="J393" s="79"/>
    </row>
    <row r="394" spans="1:10" x14ac:dyDescent="0.3">
      <c r="A394" s="6"/>
      <c r="B394" s="6"/>
      <c r="C394" s="6"/>
      <c r="D394" s="9"/>
      <c r="E394" s="9"/>
      <c r="F394" s="9"/>
      <c r="G394" s="9"/>
      <c r="H394" s="134"/>
      <c r="I394" s="113"/>
      <c r="J394" s="80"/>
    </row>
    <row r="395" spans="1:10" x14ac:dyDescent="0.3">
      <c r="A395" s="5"/>
      <c r="B395" s="5"/>
      <c r="C395" s="5"/>
      <c r="D395" s="54"/>
      <c r="E395" s="54"/>
      <c r="F395" s="54"/>
      <c r="G395" s="54"/>
      <c r="H395" s="125"/>
      <c r="I395" s="112"/>
      <c r="J395" s="79"/>
    </row>
    <row r="396" spans="1:10" x14ac:dyDescent="0.3">
      <c r="A396" s="6"/>
      <c r="B396" s="6"/>
      <c r="C396" s="6"/>
      <c r="D396" s="9"/>
      <c r="E396" s="9"/>
      <c r="F396" s="9"/>
      <c r="G396" s="9"/>
      <c r="H396" s="134"/>
      <c r="I396" s="113"/>
      <c r="J396" s="80"/>
    </row>
    <row r="397" spans="1:10" x14ac:dyDescent="0.3">
      <c r="A397" s="5"/>
      <c r="B397" s="5"/>
      <c r="C397" s="5"/>
      <c r="D397" s="54"/>
      <c r="E397" s="54"/>
      <c r="F397" s="54"/>
      <c r="G397" s="54"/>
      <c r="H397" s="125"/>
      <c r="I397" s="112"/>
      <c r="J397" s="79"/>
    </row>
    <row r="398" spans="1:10" x14ac:dyDescent="0.3">
      <c r="A398" s="6"/>
      <c r="B398" s="6"/>
      <c r="C398" s="6"/>
      <c r="D398" s="9"/>
      <c r="E398" s="9"/>
      <c r="F398" s="9"/>
      <c r="G398" s="9"/>
      <c r="H398" s="134"/>
      <c r="I398" s="113"/>
      <c r="J398" s="80"/>
    </row>
    <row r="399" spans="1:10" x14ac:dyDescent="0.3">
      <c r="A399" s="5"/>
      <c r="B399" s="5"/>
      <c r="C399" s="5"/>
      <c r="D399" s="54"/>
      <c r="E399" s="54"/>
      <c r="F399" s="54"/>
      <c r="G399" s="54"/>
      <c r="H399" s="125"/>
      <c r="I399" s="112"/>
      <c r="J399" s="79"/>
    </row>
    <row r="400" spans="1:10" x14ac:dyDescent="0.3">
      <c r="A400" s="6"/>
      <c r="B400" s="6"/>
      <c r="C400" s="6"/>
      <c r="D400" s="9"/>
      <c r="E400" s="9"/>
      <c r="F400" s="9"/>
      <c r="G400" s="9"/>
      <c r="H400" s="134"/>
      <c r="I400" s="113"/>
      <c r="J400" s="80"/>
    </row>
    <row r="401" spans="1:10" x14ac:dyDescent="0.3">
      <c r="A401" s="5"/>
      <c r="B401" s="5"/>
      <c r="C401" s="5"/>
      <c r="D401" s="54"/>
      <c r="E401" s="54"/>
      <c r="F401" s="54"/>
      <c r="G401" s="54"/>
      <c r="H401" s="125"/>
      <c r="I401" s="112"/>
      <c r="J401" s="79"/>
    </row>
    <row r="402" spans="1:10" x14ac:dyDescent="0.3">
      <c r="A402" s="6"/>
      <c r="B402" s="6"/>
      <c r="C402" s="6"/>
      <c r="D402" s="9"/>
      <c r="E402" s="9"/>
      <c r="F402" s="9"/>
      <c r="G402" s="9"/>
      <c r="H402" s="134"/>
      <c r="I402" s="113"/>
      <c r="J402" s="80"/>
    </row>
    <row r="403" spans="1:10" x14ac:dyDescent="0.3">
      <c r="A403" s="5"/>
      <c r="B403" s="5"/>
      <c r="C403" s="5"/>
      <c r="D403" s="54"/>
      <c r="E403" s="54"/>
      <c r="F403" s="54"/>
      <c r="G403" s="54"/>
      <c r="H403" s="125"/>
      <c r="I403" s="112"/>
      <c r="J403" s="79"/>
    </row>
    <row r="404" spans="1:10" x14ac:dyDescent="0.3">
      <c r="A404" s="6"/>
      <c r="B404" s="6"/>
      <c r="C404" s="6"/>
      <c r="D404" s="9"/>
      <c r="E404" s="9"/>
      <c r="F404" s="9"/>
      <c r="G404" s="9"/>
      <c r="H404" s="134"/>
      <c r="I404" s="113"/>
      <c r="J404" s="80"/>
    </row>
    <row r="405" spans="1:10" x14ac:dyDescent="0.3">
      <c r="A405" s="5"/>
      <c r="B405" s="5"/>
      <c r="C405" s="5"/>
      <c r="D405" s="54"/>
      <c r="E405" s="54"/>
      <c r="F405" s="54"/>
      <c r="G405" s="54"/>
      <c r="H405" s="125"/>
      <c r="I405" s="112"/>
      <c r="J405" s="79"/>
    </row>
    <row r="406" spans="1:10" x14ac:dyDescent="0.3">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88671875" defaultRowHeight="14.4" x14ac:dyDescent="0.3"/>
  <cols>
    <col min="1" max="1" width="14.88671875" style="1" customWidth="1"/>
    <col min="2" max="2" width="12.88671875" style="1" customWidth="1"/>
    <col min="3" max="3" width="13.109375" style="1" bestFit="1" customWidth="1"/>
    <col min="4" max="4" width="61.109375" style="1" bestFit="1" customWidth="1"/>
    <col min="5" max="5" width="68.109375" style="1" bestFit="1" customWidth="1"/>
    <col min="6" max="6" width="9.44140625" style="1" bestFit="1" customWidth="1"/>
    <col min="7" max="7" width="16.5546875" style="1" customWidth="1"/>
    <col min="8" max="16384" width="8.88671875" style="1"/>
  </cols>
  <sheetData>
    <row r="1" spans="1:7" x14ac:dyDescent="0.3">
      <c r="A1" s="2"/>
      <c r="B1" s="2"/>
      <c r="C1" s="2"/>
      <c r="D1" s="2"/>
      <c r="E1" s="2"/>
      <c r="F1" s="2"/>
      <c r="G1" s="2"/>
    </row>
    <row r="2" spans="1:7" x14ac:dyDescent="0.3">
      <c r="A2" s="424" t="s">
        <v>556</v>
      </c>
      <c r="B2" s="424"/>
      <c r="C2" s="424"/>
      <c r="D2" s="424"/>
      <c r="E2" s="110"/>
      <c r="F2" s="24" t="s">
        <v>1895</v>
      </c>
      <c r="G2" s="140" t="s">
        <v>1896</v>
      </c>
    </row>
    <row r="3" spans="1:7" s="49" customFormat="1" ht="185.1" customHeight="1" x14ac:dyDescent="0.3">
      <c r="A3" s="46" t="s">
        <v>1897</v>
      </c>
      <c r="B3" s="46" t="s">
        <v>1898</v>
      </c>
      <c r="C3" s="46" t="s">
        <v>575</v>
      </c>
      <c r="D3" s="46" t="s">
        <v>1899</v>
      </c>
      <c r="E3" s="46" t="s">
        <v>1900</v>
      </c>
      <c r="F3" s="114" t="s">
        <v>1901</v>
      </c>
      <c r="G3" s="119" t="s">
        <v>1902</v>
      </c>
    </row>
    <row r="4" spans="1:7" x14ac:dyDescent="0.3">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4" x14ac:dyDescent="0.3"/>
  <cols>
    <col min="1" max="1" width="5" style="1" bestFit="1" customWidth="1"/>
    <col min="2" max="2" width="5" style="1" customWidth="1"/>
    <col min="3" max="3" width="6.109375" style="1" bestFit="1" customWidth="1"/>
    <col min="4" max="10" width="14.88671875" style="1" bestFit="1" customWidth="1"/>
    <col min="11" max="16384" width="15" style="1"/>
  </cols>
  <sheetData>
    <row r="1" spans="1:13" x14ac:dyDescent="0.3">
      <c r="A1" s="2"/>
      <c r="B1" s="2"/>
      <c r="C1" s="2"/>
      <c r="D1" s="2"/>
      <c r="E1" s="2"/>
      <c r="F1" s="2"/>
      <c r="G1" s="2"/>
      <c r="H1" s="2"/>
      <c r="I1" s="2"/>
      <c r="J1" s="2"/>
    </row>
    <row r="2" spans="1:13" x14ac:dyDescent="0.3">
      <c r="A2" s="7"/>
      <c r="B2" s="7"/>
      <c r="C2" s="7"/>
      <c r="D2" s="24" t="s">
        <v>448</v>
      </c>
      <c r="E2" s="24" t="s">
        <v>448</v>
      </c>
      <c r="F2" s="24" t="s">
        <v>448</v>
      </c>
      <c r="G2" s="24" t="s">
        <v>448</v>
      </c>
      <c r="H2" s="24" t="s">
        <v>448</v>
      </c>
      <c r="I2" s="24" t="s">
        <v>448</v>
      </c>
      <c r="J2" s="24" t="s">
        <v>448</v>
      </c>
    </row>
    <row r="3" spans="1:13" ht="28.8" x14ac:dyDescent="0.3">
      <c r="A3" s="8" t="s">
        <v>1880</v>
      </c>
      <c r="B3" s="8" t="s">
        <v>1881</v>
      </c>
      <c r="C3" s="8" t="s">
        <v>1882</v>
      </c>
      <c r="D3" s="15">
        <f>Parameters!$B$13</f>
        <v>2022</v>
      </c>
      <c r="E3" s="15">
        <v>2025</v>
      </c>
      <c r="F3" s="15">
        <v>2030</v>
      </c>
      <c r="G3" s="15">
        <v>2035</v>
      </c>
      <c r="H3" s="15">
        <v>2040</v>
      </c>
      <c r="I3" s="15">
        <v>2045</v>
      </c>
      <c r="J3" s="15">
        <v>2050</v>
      </c>
    </row>
    <row r="4" spans="1:13" ht="15" customHeight="1" x14ac:dyDescent="0.3">
      <c r="A4" s="431" t="s">
        <v>1887</v>
      </c>
      <c r="B4" s="431"/>
      <c r="C4" s="431"/>
      <c r="D4" s="91" t="s">
        <v>1903</v>
      </c>
      <c r="E4" s="91" t="s">
        <v>1903</v>
      </c>
      <c r="F4" s="91" t="s">
        <v>1903</v>
      </c>
      <c r="G4" s="91" t="s">
        <v>1903</v>
      </c>
      <c r="H4" s="91" t="s">
        <v>1903</v>
      </c>
      <c r="I4" s="91" t="s">
        <v>1903</v>
      </c>
      <c r="J4" s="91" t="s">
        <v>1903</v>
      </c>
      <c r="L4" s="384"/>
      <c r="M4" s="384"/>
    </row>
    <row r="5" spans="1:13" x14ac:dyDescent="0.3">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
      <c r="A9" s="5">
        <v>5</v>
      </c>
      <c r="B9" s="5">
        <v>1</v>
      </c>
      <c r="C9" s="5">
        <v>1</v>
      </c>
      <c r="D9" s="380">
        <v>10.558730001050776</v>
      </c>
      <c r="E9" s="25">
        <v>24.84</v>
      </c>
      <c r="F9" s="380">
        <v>2.9066365584203013</v>
      </c>
      <c r="G9" s="25">
        <v>32.79</v>
      </c>
      <c r="H9" s="380">
        <v>5.668365670602539E-2</v>
      </c>
      <c r="I9" s="25">
        <v>34.68</v>
      </c>
      <c r="J9" s="380">
        <v>2.1224464091033335</v>
      </c>
    </row>
    <row r="10" spans="1:13" x14ac:dyDescent="0.3">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H6" sqref="H6"/>
    </sheetView>
  </sheetViews>
  <sheetFormatPr defaultColWidth="8.88671875" defaultRowHeight="14.4" x14ac:dyDescent="0.3"/>
  <cols>
    <col min="1" max="8" width="9.88671875" style="1" customWidth="1"/>
    <col min="9" max="9" width="23.44140625" style="1" customWidth="1"/>
    <col min="10" max="10" width="25.109375" style="1" customWidth="1"/>
    <col min="11" max="11" width="17.44140625" style="1" bestFit="1" customWidth="1"/>
    <col min="12" max="12" width="10.88671875" style="1" bestFit="1" customWidth="1"/>
    <col min="13" max="13" width="8.88671875" style="1" bestFit="1" customWidth="1"/>
    <col min="14" max="14" width="8.44140625" style="1" bestFit="1" customWidth="1"/>
    <col min="15" max="15" width="8.109375" style="1" bestFit="1" customWidth="1"/>
    <col min="16" max="16" width="12.5546875" style="1" bestFit="1" customWidth="1"/>
    <col min="17" max="17" width="11.109375" style="1" bestFit="1" customWidth="1"/>
    <col min="18" max="18" width="9.5546875" style="1" bestFit="1" customWidth="1"/>
    <col min="19" max="16384" width="8.88671875" style="1"/>
  </cols>
  <sheetData>
    <row r="1" spans="1:24" ht="15" customHeight="1" x14ac:dyDescent="0.3">
      <c r="A1" s="411" t="s">
        <v>1904</v>
      </c>
      <c r="B1" s="411"/>
      <c r="C1" s="411"/>
      <c r="D1" s="411"/>
      <c r="E1" s="411"/>
      <c r="F1" s="411"/>
      <c r="G1" s="411"/>
      <c r="H1" s="411"/>
      <c r="I1" s="411"/>
      <c r="J1" s="31"/>
      <c r="K1" s="31"/>
      <c r="L1" s="31"/>
      <c r="M1" s="31"/>
      <c r="N1" s="31"/>
      <c r="O1" s="31"/>
      <c r="P1" s="31"/>
      <c r="Q1" s="31"/>
    </row>
    <row r="2" spans="1:24" ht="30" customHeight="1" x14ac:dyDescent="0.3">
      <c r="A2" s="147"/>
      <c r="B2" s="433" t="s">
        <v>1905</v>
      </c>
      <c r="C2" s="433"/>
      <c r="D2" s="433"/>
      <c r="E2" s="433"/>
      <c r="F2" s="433"/>
      <c r="G2" s="433"/>
      <c r="H2" s="433"/>
      <c r="I2" s="144" t="s">
        <v>1906</v>
      </c>
      <c r="J2" s="143" t="s">
        <v>1907</v>
      </c>
      <c r="K2" s="434" t="s">
        <v>1908</v>
      </c>
      <c r="L2" s="434"/>
      <c r="M2" s="434"/>
      <c r="N2" s="434"/>
      <c r="O2" s="434"/>
      <c r="P2" s="434"/>
      <c r="Q2" s="157" t="s">
        <v>17</v>
      </c>
      <c r="R2" s="433" t="s">
        <v>1909</v>
      </c>
      <c r="S2" s="433"/>
      <c r="T2" s="433"/>
      <c r="U2" s="433"/>
      <c r="V2" s="433"/>
      <c r="W2" s="433"/>
      <c r="X2" s="433"/>
    </row>
    <row r="3" spans="1:24" ht="30" customHeight="1" x14ac:dyDescent="0.3">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
      <c r="A4" s="12" t="s">
        <v>305</v>
      </c>
      <c r="B4" s="432" t="s">
        <v>1915</v>
      </c>
      <c r="C4" s="432"/>
      <c r="D4" s="432"/>
      <c r="E4" s="432"/>
      <c r="F4" s="432"/>
      <c r="G4" s="432"/>
      <c r="H4" s="432"/>
      <c r="I4" s="154" t="s">
        <v>1916</v>
      </c>
      <c r="J4" s="155" t="s">
        <v>1916</v>
      </c>
      <c r="K4" s="435" t="s">
        <v>1917</v>
      </c>
      <c r="L4" s="435"/>
      <c r="M4" s="435"/>
      <c r="N4" s="435"/>
      <c r="O4" s="435"/>
      <c r="P4" s="435"/>
      <c r="Q4" s="156" t="s">
        <v>26</v>
      </c>
      <c r="R4" s="432" t="s">
        <v>1915</v>
      </c>
      <c r="S4" s="432"/>
      <c r="T4" s="432"/>
      <c r="U4" s="432"/>
      <c r="V4" s="432"/>
      <c r="W4" s="432"/>
      <c r="X4" s="432"/>
    </row>
    <row r="5" spans="1:24" x14ac:dyDescent="0.3">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88671875" defaultRowHeight="14.4" x14ac:dyDescent="0.3"/>
  <cols>
    <col min="1" max="1" width="50.109375" style="1" customWidth="1"/>
    <col min="2" max="2" width="12" style="1" bestFit="1" customWidth="1"/>
    <col min="3" max="3" width="19.88671875" style="1" bestFit="1" customWidth="1"/>
    <col min="4" max="4" width="7.44140625" style="1" bestFit="1" customWidth="1"/>
    <col min="5" max="5" width="11.109375" style="1" bestFit="1" customWidth="1"/>
    <col min="6" max="6" width="8.88671875" style="1"/>
    <col min="7" max="8" width="9.5546875" style="1" bestFit="1" customWidth="1"/>
    <col min="9" max="16384" width="8.88671875" style="1"/>
  </cols>
  <sheetData>
    <row r="1" spans="1:5" ht="15" customHeight="1" x14ac:dyDescent="0.3">
      <c r="A1" s="411" t="s">
        <v>1918</v>
      </c>
      <c r="B1" s="411"/>
      <c r="C1" s="411"/>
      <c r="D1" s="411"/>
      <c r="E1" s="411"/>
    </row>
    <row r="2" spans="1:5" x14ac:dyDescent="0.3">
      <c r="A2" s="11"/>
      <c r="B2" s="11"/>
      <c r="C2" s="11"/>
      <c r="D2" s="11"/>
      <c r="E2" s="84" t="s">
        <v>17</v>
      </c>
    </row>
    <row r="3" spans="1:5" x14ac:dyDescent="0.3">
      <c r="A3" s="12" t="s">
        <v>578</v>
      </c>
      <c r="B3" s="12" t="s">
        <v>1895</v>
      </c>
      <c r="C3" s="12" t="s">
        <v>1919</v>
      </c>
      <c r="D3" s="12" t="s">
        <v>1920</v>
      </c>
      <c r="E3" s="85" t="s">
        <v>26</v>
      </c>
    </row>
    <row r="4" spans="1:5" x14ac:dyDescent="0.3">
      <c r="A4" s="33" t="s">
        <v>1921</v>
      </c>
      <c r="B4" s="142">
        <v>70</v>
      </c>
      <c r="C4" s="33" t="s">
        <v>1773</v>
      </c>
      <c r="D4" s="33" t="s">
        <v>1922</v>
      </c>
      <c r="E4" s="79" t="s">
        <v>502</v>
      </c>
    </row>
    <row r="5" spans="1:5" x14ac:dyDescent="0.3">
      <c r="A5" s="14" t="s">
        <v>1923</v>
      </c>
      <c r="B5" s="66">
        <v>0.02</v>
      </c>
      <c r="C5" s="14" t="s">
        <v>315</v>
      </c>
      <c r="D5" s="14" t="s">
        <v>1922</v>
      </c>
      <c r="E5" s="80" t="s">
        <v>502</v>
      </c>
    </row>
    <row r="6" spans="1:5" x14ac:dyDescent="0.3">
      <c r="A6" s="33" t="s">
        <v>1924</v>
      </c>
      <c r="B6" s="142">
        <v>0.05</v>
      </c>
      <c r="C6" s="33" t="s">
        <v>315</v>
      </c>
      <c r="D6" s="33" t="s">
        <v>1922</v>
      </c>
      <c r="E6" s="79" t="s">
        <v>502</v>
      </c>
    </row>
    <row r="7" spans="1:5" x14ac:dyDescent="0.3">
      <c r="A7" s="14" t="s">
        <v>1925</v>
      </c>
      <c r="B7" s="66">
        <v>0</v>
      </c>
      <c r="C7" s="14" t="s">
        <v>1926</v>
      </c>
      <c r="D7" s="14" t="s">
        <v>1922</v>
      </c>
      <c r="E7" s="80" t="s">
        <v>502</v>
      </c>
    </row>
    <row r="8" spans="1:5" x14ac:dyDescent="0.3">
      <c r="A8" s="33" t="s">
        <v>1927</v>
      </c>
      <c r="B8" s="142">
        <f>3000/3.6</f>
        <v>833.33333333333326</v>
      </c>
      <c r="C8" s="33" t="s">
        <v>1928</v>
      </c>
      <c r="D8" s="33" t="s">
        <v>1929</v>
      </c>
      <c r="E8" s="79" t="s">
        <v>1930</v>
      </c>
    </row>
    <row r="9" spans="1:5" x14ac:dyDescent="0.3">
      <c r="A9" s="14" t="s">
        <v>1931</v>
      </c>
      <c r="B9" s="66">
        <v>0.9</v>
      </c>
      <c r="C9" s="14" t="s">
        <v>315</v>
      </c>
      <c r="D9" s="14" t="s">
        <v>1929</v>
      </c>
      <c r="E9" s="80" t="s">
        <v>502</v>
      </c>
    </row>
    <row r="10" spans="1:5" x14ac:dyDescent="0.3">
      <c r="A10" s="33" t="s">
        <v>1932</v>
      </c>
      <c r="B10" s="142">
        <v>4.0143999999999999E-2</v>
      </c>
      <c r="C10" s="33" t="s">
        <v>315</v>
      </c>
      <c r="D10" s="33" t="s">
        <v>1929</v>
      </c>
      <c r="E10" s="79" t="s">
        <v>502</v>
      </c>
    </row>
    <row r="11" spans="1:5" x14ac:dyDescent="0.3">
      <c r="A11" s="14" t="s">
        <v>1933</v>
      </c>
      <c r="B11" s="66">
        <v>0</v>
      </c>
      <c r="C11" s="14" t="s">
        <v>1934</v>
      </c>
      <c r="D11" s="14" t="s">
        <v>1929</v>
      </c>
      <c r="E11" s="80" t="s">
        <v>502</v>
      </c>
    </row>
    <row r="12" spans="1:5" x14ac:dyDescent="0.3">
      <c r="A12" s="33" t="s">
        <v>1935</v>
      </c>
      <c r="B12" s="67">
        <v>0.02</v>
      </c>
      <c r="C12" s="33" t="s">
        <v>640</v>
      </c>
      <c r="D12" s="33" t="s">
        <v>1936</v>
      </c>
      <c r="E12" s="79" t="s">
        <v>502</v>
      </c>
    </row>
    <row r="13" spans="1:5" x14ac:dyDescent="0.3">
      <c r="A13" s="14" t="s">
        <v>1937</v>
      </c>
      <c r="B13" s="66">
        <v>2022</v>
      </c>
      <c r="C13" s="14" t="s">
        <v>642</v>
      </c>
      <c r="D13" s="14" t="s">
        <v>1936</v>
      </c>
      <c r="E13" s="80" t="s">
        <v>502</v>
      </c>
    </row>
    <row r="14" spans="1:5" x14ac:dyDescent="0.3">
      <c r="A14" s="33" t="s">
        <v>1938</v>
      </c>
      <c r="B14" s="142">
        <v>3.8284E-3</v>
      </c>
      <c r="C14" s="33" t="s">
        <v>1939</v>
      </c>
      <c r="D14" s="33" t="s">
        <v>1929</v>
      </c>
      <c r="E14" s="79" t="s">
        <v>452</v>
      </c>
    </row>
    <row r="15" spans="1:5" x14ac:dyDescent="0.3">
      <c r="A15" s="14" t="s">
        <v>1940</v>
      </c>
      <c r="B15" s="66">
        <v>4.9858999999999997E-3</v>
      </c>
      <c r="C15" s="14" t="s">
        <v>1939</v>
      </c>
      <c r="D15" s="14" t="s">
        <v>1929</v>
      </c>
      <c r="E15" s="80" t="s">
        <v>452</v>
      </c>
    </row>
    <row r="16" spans="1:5" x14ac:dyDescent="0.3">
      <c r="A16" s="33" t="s">
        <v>1941</v>
      </c>
      <c r="B16" s="142">
        <v>6.1434000000000002E-3</v>
      </c>
      <c r="C16" s="33" t="s">
        <v>1939</v>
      </c>
      <c r="D16" s="33" t="s">
        <v>1929</v>
      </c>
      <c r="E16" s="79" t="s">
        <v>452</v>
      </c>
    </row>
    <row r="17" spans="1:5" x14ac:dyDescent="0.3">
      <c r="A17" s="14" t="s">
        <v>1942</v>
      </c>
      <c r="B17" s="66">
        <v>9.2E-6</v>
      </c>
      <c r="C17" s="14" t="s">
        <v>1943</v>
      </c>
      <c r="D17" s="14" t="s">
        <v>1929</v>
      </c>
      <c r="E17" s="80" t="s">
        <v>452</v>
      </c>
    </row>
    <row r="18" spans="1:5" x14ac:dyDescent="0.3">
      <c r="A18" s="33" t="s">
        <v>1944</v>
      </c>
      <c r="B18" s="142">
        <v>8.8000000000000004E-6</v>
      </c>
      <c r="C18" s="33" t="s">
        <v>1943</v>
      </c>
      <c r="D18" s="33" t="s">
        <v>1929</v>
      </c>
      <c r="E18" s="79" t="s">
        <v>452</v>
      </c>
    </row>
    <row r="19" spans="1:5" x14ac:dyDescent="0.3">
      <c r="A19" s="14" t="s">
        <v>1945</v>
      </c>
      <c r="B19" s="66">
        <v>7.9000000000000006E-6</v>
      </c>
      <c r="C19" s="14" t="s">
        <v>1943</v>
      </c>
      <c r="D19" s="14" t="s">
        <v>1929</v>
      </c>
      <c r="E19" s="80" t="s">
        <v>452</v>
      </c>
    </row>
    <row r="20" spans="1:5" x14ac:dyDescent="0.3">
      <c r="A20" s="33" t="s">
        <v>1946</v>
      </c>
      <c r="B20" s="142">
        <v>5.8000000000000004E-6</v>
      </c>
      <c r="C20" s="33" t="s">
        <v>1943</v>
      </c>
      <c r="D20" s="33" t="s">
        <v>1929</v>
      </c>
      <c r="E20" s="79" t="s">
        <v>452</v>
      </c>
    </row>
    <row r="21" spans="1:5" x14ac:dyDescent="0.3">
      <c r="A21" s="14" t="s">
        <v>1947</v>
      </c>
      <c r="B21" s="66">
        <v>4.6999999999999999E-6</v>
      </c>
      <c r="C21" s="14" t="s">
        <v>1943</v>
      </c>
      <c r="D21" s="14" t="s">
        <v>1929</v>
      </c>
      <c r="E21" s="80" t="s">
        <v>452</v>
      </c>
    </row>
    <row r="22" spans="1:5" x14ac:dyDescent="0.3">
      <c r="A22" s="33" t="s">
        <v>1948</v>
      </c>
      <c r="B22" s="142">
        <v>1.4E-5</v>
      </c>
      <c r="C22" s="33" t="s">
        <v>1943</v>
      </c>
      <c r="D22" s="33" t="s">
        <v>1929</v>
      </c>
      <c r="E22" s="79" t="s">
        <v>452</v>
      </c>
    </row>
    <row r="23" spans="1:5" x14ac:dyDescent="0.3">
      <c r="A23" s="14" t="s">
        <v>1949</v>
      </c>
      <c r="B23" s="66">
        <v>1.1800000000000001E-5</v>
      </c>
      <c r="C23" s="14" t="s">
        <v>1943</v>
      </c>
      <c r="D23" s="14" t="s">
        <v>1929</v>
      </c>
      <c r="E23" s="80" t="s">
        <v>452</v>
      </c>
    </row>
    <row r="24" spans="1:5" x14ac:dyDescent="0.3">
      <c r="A24" s="33" t="s">
        <v>1950</v>
      </c>
      <c r="B24" s="142">
        <v>1.06E-5</v>
      </c>
      <c r="C24" s="33" t="s">
        <v>1943</v>
      </c>
      <c r="D24" s="33" t="s">
        <v>1929</v>
      </c>
      <c r="E24" s="79" t="s">
        <v>452</v>
      </c>
    </row>
    <row r="25" spans="1:5" x14ac:dyDescent="0.3">
      <c r="A25" s="14" t="s">
        <v>1951</v>
      </c>
      <c r="B25" s="66">
        <v>7.7999999999999999E-6</v>
      </c>
      <c r="C25" s="14" t="s">
        <v>1943</v>
      </c>
      <c r="D25" s="14" t="s">
        <v>1929</v>
      </c>
      <c r="E25" s="80" t="s">
        <v>452</v>
      </c>
    </row>
    <row r="26" spans="1:5" x14ac:dyDescent="0.3">
      <c r="A26" s="33" t="s">
        <v>1952</v>
      </c>
      <c r="B26" s="142">
        <v>6.2999999999999998E-6</v>
      </c>
      <c r="C26" s="33" t="s">
        <v>1943</v>
      </c>
      <c r="D26" s="33" t="s">
        <v>1929</v>
      </c>
      <c r="E26" s="79" t="s">
        <v>452</v>
      </c>
    </row>
    <row r="27" spans="1:5" x14ac:dyDescent="0.3">
      <c r="A27" s="14" t="s">
        <v>1953</v>
      </c>
      <c r="B27" s="66">
        <v>2.1699999999999999E-5</v>
      </c>
      <c r="C27" s="14" t="s">
        <v>1943</v>
      </c>
      <c r="D27" s="14" t="s">
        <v>1929</v>
      </c>
      <c r="E27" s="80" t="s">
        <v>452</v>
      </c>
    </row>
    <row r="28" spans="1:5" x14ac:dyDescent="0.3">
      <c r="A28" s="33" t="s">
        <v>1954</v>
      </c>
      <c r="B28" s="142">
        <v>1.8600000000000001E-5</v>
      </c>
      <c r="C28" s="33" t="s">
        <v>1943</v>
      </c>
      <c r="D28" s="33" t="s">
        <v>1929</v>
      </c>
      <c r="E28" s="79" t="s">
        <v>452</v>
      </c>
    </row>
    <row r="29" spans="1:5" x14ac:dyDescent="0.3">
      <c r="A29" s="14" t="s">
        <v>1955</v>
      </c>
      <c r="B29" s="66">
        <v>1.6399999999999999E-5</v>
      </c>
      <c r="C29" s="14" t="s">
        <v>1943</v>
      </c>
      <c r="D29" s="14" t="s">
        <v>1929</v>
      </c>
      <c r="E29" s="80" t="s">
        <v>452</v>
      </c>
    </row>
    <row r="30" spans="1:5" x14ac:dyDescent="0.3">
      <c r="A30" s="33" t="s">
        <v>1956</v>
      </c>
      <c r="B30" s="142">
        <v>1.2099999999999999E-5</v>
      </c>
      <c r="C30" s="33" t="s">
        <v>1943</v>
      </c>
      <c r="D30" s="33" t="s">
        <v>1929</v>
      </c>
      <c r="E30" s="79" t="s">
        <v>452</v>
      </c>
    </row>
    <row r="31" spans="1:5" x14ac:dyDescent="0.3">
      <c r="A31" s="14" t="s">
        <v>1957</v>
      </c>
      <c r="B31" s="66">
        <v>9.7999999999999993E-6</v>
      </c>
      <c r="C31" s="14" t="s">
        <v>1943</v>
      </c>
      <c r="D31" s="14" t="s">
        <v>1929</v>
      </c>
      <c r="E31" s="80" t="s">
        <v>452</v>
      </c>
    </row>
    <row r="32" spans="1:5" x14ac:dyDescent="0.3">
      <c r="A32" s="33" t="s">
        <v>1958</v>
      </c>
      <c r="B32" s="142">
        <v>30.8</v>
      </c>
      <c r="C32" s="33" t="s">
        <v>1959</v>
      </c>
      <c r="D32" s="33" t="s">
        <v>1929</v>
      </c>
      <c r="E32" s="79" t="s">
        <v>1875</v>
      </c>
    </row>
    <row r="33" spans="1:5" x14ac:dyDescent="0.3">
      <c r="A33" s="14" t="s">
        <v>1960</v>
      </c>
      <c r="B33" s="66">
        <v>0.13800000000000001</v>
      </c>
      <c r="C33" s="14" t="s">
        <v>1961</v>
      </c>
      <c r="D33" s="14" t="s">
        <v>1929</v>
      </c>
      <c r="E33" s="80" t="s">
        <v>452</v>
      </c>
    </row>
    <row r="34" spans="1:5" x14ac:dyDescent="0.3">
      <c r="A34" s="33" t="s">
        <v>1962</v>
      </c>
      <c r="B34" s="142">
        <v>7.2700000000000001E-2</v>
      </c>
      <c r="C34" s="33" t="s">
        <v>1961</v>
      </c>
      <c r="D34" s="33" t="s">
        <v>1929</v>
      </c>
      <c r="E34" s="79" t="s">
        <v>452</v>
      </c>
    </row>
    <row r="35" spans="1:5" x14ac:dyDescent="0.3">
      <c r="A35" s="14" t="s">
        <v>1963</v>
      </c>
      <c r="B35" s="66">
        <v>5.8599999999999999E-2</v>
      </c>
      <c r="C35" s="14" t="s">
        <v>1961</v>
      </c>
      <c r="D35" s="14" t="s">
        <v>1929</v>
      </c>
      <c r="E35" s="80" t="s">
        <v>452</v>
      </c>
    </row>
    <row r="36" spans="1:5" x14ac:dyDescent="0.3">
      <c r="A36" s="33" t="s">
        <v>1964</v>
      </c>
      <c r="B36" s="142">
        <v>4.3900000000000002E-2</v>
      </c>
      <c r="C36" s="33" t="s">
        <v>1961</v>
      </c>
      <c r="D36" s="33" t="s">
        <v>1929</v>
      </c>
      <c r="E36" s="79" t="s">
        <v>452</v>
      </c>
    </row>
    <row r="37" spans="1:5" x14ac:dyDescent="0.3">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88671875" defaultRowHeight="14.4" x14ac:dyDescent="0.3"/>
  <cols>
    <col min="1" max="1" width="21.44140625" style="1" bestFit="1" customWidth="1"/>
    <col min="2" max="2" width="15.109375" style="1" bestFit="1" customWidth="1"/>
    <col min="3" max="3" width="14.88671875" style="1" bestFit="1" customWidth="1"/>
    <col min="4" max="5" width="15.5546875" style="1" bestFit="1" customWidth="1"/>
    <col min="6" max="6" width="19" style="1" bestFit="1" customWidth="1"/>
    <col min="7" max="7" width="10.109375" style="1" bestFit="1" customWidth="1"/>
    <col min="8" max="8" width="6.88671875" style="1" bestFit="1" customWidth="1"/>
    <col min="9" max="9" width="13.5546875" style="1" bestFit="1" customWidth="1"/>
    <col min="10" max="10" width="9.109375" style="1" bestFit="1" customWidth="1"/>
    <col min="11" max="11" width="13.109375" style="1" bestFit="1" customWidth="1"/>
    <col min="12" max="12" width="11.88671875" style="1" bestFit="1" customWidth="1"/>
    <col min="13" max="13" width="13.5546875" style="1" bestFit="1" customWidth="1"/>
    <col min="14" max="14" width="23" style="1" customWidth="1"/>
    <col min="15" max="16384" width="8.88671875" style="1"/>
  </cols>
  <sheetData>
    <row r="1" spans="1:14" x14ac:dyDescent="0.3">
      <c r="A1" s="31"/>
      <c r="B1" s="31"/>
      <c r="C1" s="31"/>
      <c r="D1" s="31"/>
      <c r="E1" s="31"/>
      <c r="F1" s="31"/>
      <c r="G1" s="31"/>
      <c r="H1" s="31"/>
      <c r="I1" s="31"/>
      <c r="J1" s="31"/>
      <c r="K1" s="31"/>
      <c r="L1" s="31"/>
      <c r="M1" s="31"/>
      <c r="N1" s="31"/>
    </row>
    <row r="2" spans="1:14" x14ac:dyDescent="0.3">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
      <c r="A7" s="14" t="s">
        <v>458</v>
      </c>
      <c r="B7" s="14" t="s">
        <v>534</v>
      </c>
      <c r="C7" s="14" t="s">
        <v>1571</v>
      </c>
      <c r="D7" s="14" t="s">
        <v>1311</v>
      </c>
      <c r="E7" s="14" t="s">
        <v>1315</v>
      </c>
      <c r="F7" s="14" t="s">
        <v>741</v>
      </c>
      <c r="G7" s="14">
        <v>1</v>
      </c>
      <c r="K7" s="14" t="s">
        <v>485</v>
      </c>
      <c r="L7" s="14"/>
      <c r="M7" s="14" t="s">
        <v>29</v>
      </c>
      <c r="N7" s="14" t="s">
        <v>740</v>
      </c>
    </row>
    <row r="8" spans="1:14" x14ac:dyDescent="0.3">
      <c r="A8" s="13" t="s">
        <v>449</v>
      </c>
      <c r="B8" s="13" t="s">
        <v>418</v>
      </c>
      <c r="C8" s="13" t="s">
        <v>982</v>
      </c>
      <c r="D8" s="58" t="s">
        <v>1057</v>
      </c>
      <c r="E8" s="58" t="s">
        <v>932</v>
      </c>
      <c r="F8" s="13" t="s">
        <v>1144</v>
      </c>
      <c r="G8" s="13">
        <v>1</v>
      </c>
      <c r="K8" s="13" t="s">
        <v>478</v>
      </c>
      <c r="L8" s="13">
        <v>1</v>
      </c>
      <c r="N8" s="13" t="s">
        <v>1143</v>
      </c>
    </row>
    <row r="9" spans="1:14" x14ac:dyDescent="0.3">
      <c r="B9" s="14" t="s">
        <v>1986</v>
      </c>
      <c r="C9" s="14" t="s">
        <v>765</v>
      </c>
      <c r="D9" s="14" t="s">
        <v>1060</v>
      </c>
      <c r="E9" s="51" t="s">
        <v>1987</v>
      </c>
      <c r="F9" s="14" t="s">
        <v>1031</v>
      </c>
      <c r="G9" s="14">
        <v>1</v>
      </c>
      <c r="K9" s="14" t="s">
        <v>493</v>
      </c>
      <c r="L9" s="14"/>
      <c r="N9" s="14" t="s">
        <v>1245</v>
      </c>
    </row>
    <row r="10" spans="1:14" x14ac:dyDescent="0.3">
      <c r="B10" s="13" t="s">
        <v>550</v>
      </c>
      <c r="C10" s="13" t="s">
        <v>1577</v>
      </c>
      <c r="E10" s="58" t="s">
        <v>1988</v>
      </c>
      <c r="F10" s="13" t="s">
        <v>1989</v>
      </c>
      <c r="G10" s="13"/>
      <c r="K10" s="13" t="s">
        <v>497</v>
      </c>
      <c r="L10" s="13">
        <v>1</v>
      </c>
      <c r="N10" s="13" t="s">
        <v>1207</v>
      </c>
    </row>
    <row r="11" spans="1:14" x14ac:dyDescent="0.3">
      <c r="B11" s="1" t="s">
        <v>500</v>
      </c>
      <c r="C11" s="14" t="s">
        <v>1990</v>
      </c>
      <c r="E11" s="14" t="s">
        <v>1991</v>
      </c>
      <c r="F11" s="14" t="s">
        <v>1236</v>
      </c>
      <c r="G11" s="14"/>
      <c r="K11" s="14" t="s">
        <v>503</v>
      </c>
      <c r="L11" s="14"/>
    </row>
    <row r="12" spans="1:14" x14ac:dyDescent="0.3">
      <c r="E12" s="58" t="s">
        <v>1390</v>
      </c>
      <c r="F12" s="13" t="s">
        <v>1249</v>
      </c>
      <c r="G12" s="13"/>
      <c r="K12" s="13" t="s">
        <v>504</v>
      </c>
      <c r="L12" s="13">
        <v>1</v>
      </c>
    </row>
    <row r="13" spans="1:14" x14ac:dyDescent="0.3">
      <c r="F13" s="14" t="s">
        <v>1215</v>
      </c>
      <c r="G13" s="14"/>
      <c r="K13" s="14" t="s">
        <v>468</v>
      </c>
      <c r="L13" s="14"/>
    </row>
    <row r="14" spans="1:14" x14ac:dyDescent="0.3">
      <c r="F14" s="13" t="s">
        <v>1378</v>
      </c>
      <c r="G14" s="13"/>
      <c r="K14" s="13" t="s">
        <v>506</v>
      </c>
      <c r="L14" s="13"/>
    </row>
    <row r="15" spans="1:14" x14ac:dyDescent="0.3">
      <c r="F15" s="14" t="s">
        <v>1563</v>
      </c>
      <c r="G15" s="14"/>
      <c r="K15" s="14" t="s">
        <v>509</v>
      </c>
      <c r="L15" s="14"/>
    </row>
    <row r="16" spans="1:14" x14ac:dyDescent="0.3">
      <c r="F16" s="13" t="s">
        <v>497</v>
      </c>
      <c r="G16" s="13"/>
      <c r="K16" s="13" t="s">
        <v>526</v>
      </c>
      <c r="L16" s="13">
        <v>1</v>
      </c>
    </row>
    <row r="17" spans="6:12" x14ac:dyDescent="0.3">
      <c r="F17" s="14" t="s">
        <v>503</v>
      </c>
      <c r="G17" s="14"/>
      <c r="K17" s="14" t="s">
        <v>528</v>
      </c>
      <c r="L17" s="14">
        <v>1</v>
      </c>
    </row>
    <row r="18" spans="6:12" x14ac:dyDescent="0.3">
      <c r="F18" s="13" t="s">
        <v>1654</v>
      </c>
      <c r="G18" s="13"/>
      <c r="K18" s="13" t="s">
        <v>530</v>
      </c>
      <c r="L18" s="13">
        <v>1</v>
      </c>
    </row>
    <row r="19" spans="6:12" x14ac:dyDescent="0.3">
      <c r="F19" s="14" t="s">
        <v>1471</v>
      </c>
      <c r="G19" s="14"/>
      <c r="K19" s="14" t="s">
        <v>441</v>
      </c>
      <c r="L19" s="14"/>
    </row>
    <row r="20" spans="6:12" x14ac:dyDescent="0.3">
      <c r="F20" s="13" t="s">
        <v>509</v>
      </c>
      <c r="G20" s="13"/>
      <c r="K20" s="13" t="s">
        <v>419</v>
      </c>
      <c r="L20" s="13"/>
    </row>
    <row r="21" spans="6:12" x14ac:dyDescent="0.3">
      <c r="F21" s="14" t="s">
        <v>1135</v>
      </c>
      <c r="G21" s="14"/>
      <c r="K21" s="1" t="s">
        <v>1992</v>
      </c>
    </row>
    <row r="22" spans="6:12" x14ac:dyDescent="0.3">
      <c r="F22" s="13" t="s">
        <v>1498</v>
      </c>
      <c r="G22" s="13"/>
      <c r="K22" s="1" t="s">
        <v>29</v>
      </c>
    </row>
    <row r="23" spans="6:12" x14ac:dyDescent="0.3">
      <c r="F23" s="14" t="s">
        <v>1993</v>
      </c>
      <c r="G23" s="14"/>
    </row>
    <row r="24" spans="6:12" x14ac:dyDescent="0.3">
      <c r="F24" s="13" t="s">
        <v>1775</v>
      </c>
      <c r="G24" s="13"/>
    </row>
    <row r="25" spans="6:12" x14ac:dyDescent="0.3">
      <c r="F25" s="14" t="s">
        <v>534</v>
      </c>
      <c r="G25" s="14"/>
    </row>
    <row r="26" spans="6:12" x14ac:dyDescent="0.3">
      <c r="F26" s="13" t="s">
        <v>1211</v>
      </c>
      <c r="G26" s="13"/>
    </row>
    <row r="27" spans="6:12" x14ac:dyDescent="0.3">
      <c r="F27" s="14" t="s">
        <v>419</v>
      </c>
      <c r="G27" s="14"/>
    </row>
    <row r="28" spans="6:12" x14ac:dyDescent="0.3">
      <c r="F28" s="13" t="s">
        <v>971</v>
      </c>
      <c r="G28" s="13"/>
    </row>
    <row r="29" spans="6:12" x14ac:dyDescent="0.3">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88671875" defaultRowHeight="14.4" x14ac:dyDescent="0.3"/>
  <cols>
    <col min="1" max="1" width="13.88671875" style="1" customWidth="1"/>
    <col min="2" max="2" width="10.88671875" style="1" customWidth="1"/>
    <col min="3" max="4" width="10.88671875" style="1" bestFit="1" customWidth="1"/>
    <col min="5" max="5" width="15.5546875" style="1" bestFit="1" customWidth="1"/>
    <col min="6" max="6" width="12.109375" style="1" bestFit="1" customWidth="1"/>
    <col min="7" max="7" width="15.5546875" style="1" bestFit="1" customWidth="1"/>
    <col min="8" max="8" width="13.109375" style="1" bestFit="1" customWidth="1"/>
    <col min="9" max="9" width="10.88671875" style="1" bestFit="1" customWidth="1"/>
    <col min="10" max="10" width="13.109375" style="1" bestFit="1" customWidth="1"/>
    <col min="11" max="11" width="14.109375" style="1" bestFit="1" customWidth="1"/>
    <col min="12" max="16384" width="8.88671875" style="1"/>
  </cols>
  <sheetData>
    <row r="1" spans="1:11" ht="15" customHeight="1" x14ac:dyDescent="0.3">
      <c r="A1" s="31"/>
      <c r="B1" s="31"/>
      <c r="C1" s="31"/>
      <c r="D1" s="31"/>
      <c r="E1" s="31"/>
      <c r="F1" s="31"/>
      <c r="G1" s="31"/>
      <c r="H1" s="31"/>
      <c r="I1" s="31"/>
      <c r="J1" s="31"/>
      <c r="K1" s="31"/>
    </row>
    <row r="2" spans="1:11" x14ac:dyDescent="0.3">
      <c r="A2" s="11" t="s">
        <v>1994</v>
      </c>
      <c r="B2" s="11"/>
      <c r="C2" s="11"/>
      <c r="D2" s="11"/>
      <c r="E2" s="11"/>
      <c r="F2" s="11"/>
      <c r="G2" s="11"/>
      <c r="H2" s="11"/>
      <c r="I2" s="11"/>
      <c r="J2" s="11"/>
      <c r="K2" s="11"/>
    </row>
    <row r="3" spans="1:11" x14ac:dyDescent="0.3">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
      <c r="A4" s="58" t="s">
        <v>766</v>
      </c>
      <c r="B4" s="58" t="s">
        <v>766</v>
      </c>
      <c r="D4" s="58" t="s">
        <v>1350</v>
      </c>
      <c r="E4" s="58" t="s">
        <v>667</v>
      </c>
      <c r="F4" s="58" t="s">
        <v>667</v>
      </c>
      <c r="G4" s="58" t="s">
        <v>667</v>
      </c>
      <c r="H4" s="58" t="s">
        <v>766</v>
      </c>
      <c r="I4" s="58"/>
      <c r="J4" s="58"/>
      <c r="K4" s="58"/>
    </row>
    <row r="5" spans="1:11" s="37" customFormat="1" x14ac:dyDescent="0.3">
      <c r="A5" s="51" t="s">
        <v>667</v>
      </c>
      <c r="B5" s="51" t="s">
        <v>932</v>
      </c>
      <c r="E5" s="51" t="s">
        <v>1315</v>
      </c>
      <c r="F5" s="51" t="s">
        <v>1315</v>
      </c>
      <c r="G5" s="51" t="s">
        <v>932</v>
      </c>
      <c r="H5" s="51" t="s">
        <v>667</v>
      </c>
    </row>
    <row r="6" spans="1:11" s="37" customFormat="1" x14ac:dyDescent="0.3">
      <c r="A6" s="58" t="s">
        <v>932</v>
      </c>
      <c r="E6" s="58" t="s">
        <v>932</v>
      </c>
      <c r="F6" s="58" t="s">
        <v>932</v>
      </c>
    </row>
    <row r="7" spans="1:11" s="37" customFormat="1" x14ac:dyDescent="0.3">
      <c r="E7" s="51" t="s">
        <v>1987</v>
      </c>
      <c r="F7" s="51" t="s">
        <v>1987</v>
      </c>
    </row>
    <row r="8" spans="1:11" s="37" customFormat="1" x14ac:dyDescent="0.3">
      <c r="E8" s="58" t="s">
        <v>1988</v>
      </c>
      <c r="F8" s="58" t="s">
        <v>1988</v>
      </c>
    </row>
    <row r="9" spans="1:11" s="37" customFormat="1" x14ac:dyDescent="0.3">
      <c r="E9" s="51" t="s">
        <v>1991</v>
      </c>
      <c r="F9" s="51" t="s">
        <v>1991</v>
      </c>
    </row>
    <row r="10" spans="1:11" s="37" customFormat="1" x14ac:dyDescent="0.3">
      <c r="E10" s="58" t="s">
        <v>1390</v>
      </c>
      <c r="F10" s="58" t="s">
        <v>1390</v>
      </c>
    </row>
    <row r="11" spans="1:11" s="37" customFormat="1" x14ac:dyDescent="0.3">
      <c r="F11" s="1"/>
    </row>
    <row r="12" spans="1:11" s="37" customFormat="1" x14ac:dyDescent="0.3">
      <c r="F12" s="1"/>
    </row>
    <row r="13" spans="1:11" s="37" customFormat="1" x14ac:dyDescent="0.3"/>
    <row r="14" spans="1:11" s="37" customFormat="1" x14ac:dyDescent="0.3"/>
    <row r="15" spans="1:11" x14ac:dyDescent="0.3">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109375" defaultRowHeight="14.4" x14ac:dyDescent="0.3"/>
  <cols>
    <col min="1" max="1" width="13.88671875" style="1" bestFit="1" customWidth="1"/>
    <col min="2" max="2" width="10.109375" style="1" bestFit="1" customWidth="1"/>
    <col min="3" max="3" width="7.88671875" style="1" bestFit="1" customWidth="1"/>
    <col min="4" max="4" width="6.44140625" style="1" bestFit="1" customWidth="1"/>
    <col min="5" max="5" width="6.5546875" style="1" bestFit="1" customWidth="1"/>
    <col min="6" max="6" width="7" style="1" bestFit="1" customWidth="1"/>
    <col min="7" max="7" width="1.5546875" style="1" customWidth="1"/>
    <col min="8" max="8" width="12.109375" style="1" bestFit="1" customWidth="1"/>
    <col min="9" max="9" width="17.88671875" style="1" bestFit="1" customWidth="1"/>
    <col min="10" max="10" width="11.88671875" style="1" bestFit="1" customWidth="1"/>
    <col min="11" max="16384" width="9.109375" style="1"/>
  </cols>
  <sheetData>
    <row r="1" spans="1:10" ht="30" customHeight="1" x14ac:dyDescent="0.3">
      <c r="A1" s="436" t="s">
        <v>1998</v>
      </c>
      <c r="B1" s="436"/>
      <c r="C1" s="436"/>
      <c r="D1" s="436"/>
      <c r="E1" s="436"/>
      <c r="F1" s="436"/>
      <c r="G1" s="436"/>
      <c r="H1" s="436"/>
      <c r="I1" s="436"/>
      <c r="J1" s="436"/>
    </row>
    <row r="2" spans="1:10" ht="28.8" x14ac:dyDescent="0.3">
      <c r="A2" s="46" t="s">
        <v>1999</v>
      </c>
      <c r="B2" s="46" t="s">
        <v>303</v>
      </c>
      <c r="C2" s="46" t="s">
        <v>304</v>
      </c>
      <c r="D2" s="46" t="s">
        <v>305</v>
      </c>
      <c r="E2" s="46" t="s">
        <v>306</v>
      </c>
      <c r="F2" s="8" t="s">
        <v>307</v>
      </c>
      <c r="H2" s="46" t="s">
        <v>2000</v>
      </c>
      <c r="I2" s="46" t="s">
        <v>2001</v>
      </c>
      <c r="J2" s="46" t="s">
        <v>2002</v>
      </c>
    </row>
    <row r="3" spans="1:10" x14ac:dyDescent="0.3">
      <c r="A3" s="65" t="s">
        <v>2003</v>
      </c>
      <c r="B3" s="65" t="s">
        <v>312</v>
      </c>
      <c r="C3" s="65" t="s">
        <v>312</v>
      </c>
      <c r="D3" s="65" t="s">
        <v>312</v>
      </c>
      <c r="E3" s="65" t="s">
        <v>313</v>
      </c>
      <c r="F3" s="65" t="s">
        <v>312</v>
      </c>
      <c r="H3" s="65" t="s">
        <v>2004</v>
      </c>
      <c r="I3" s="65" t="s">
        <v>2005</v>
      </c>
      <c r="J3" s="65" t="s">
        <v>1807</v>
      </c>
    </row>
    <row r="4" spans="1:10" x14ac:dyDescent="0.3">
      <c r="A4" s="5"/>
      <c r="B4" s="5"/>
      <c r="C4" s="5"/>
      <c r="D4" s="5"/>
      <c r="E4" s="5"/>
      <c r="F4" s="5"/>
      <c r="H4" s="5"/>
      <c r="I4" s="5"/>
      <c r="J4" s="5"/>
    </row>
    <row r="5" spans="1:10" x14ac:dyDescent="0.3">
      <c r="A5" s="6"/>
      <c r="B5" s="6"/>
      <c r="C5" s="6"/>
      <c r="D5" s="6"/>
      <c r="E5" s="6"/>
      <c r="F5" s="6"/>
      <c r="H5" s="5"/>
      <c r="I5" s="5"/>
      <c r="J5" s="5"/>
    </row>
    <row r="6" spans="1:10" x14ac:dyDescent="0.3">
      <c r="H6" s="5"/>
      <c r="I6" s="5"/>
      <c r="J6" s="5"/>
    </row>
    <row r="7" spans="1:10" x14ac:dyDescent="0.3">
      <c r="H7" s="5"/>
      <c r="I7" s="5"/>
      <c r="J7" s="5"/>
    </row>
    <row r="8" spans="1:10" x14ac:dyDescent="0.3">
      <c r="H8" s="5"/>
      <c r="I8" s="5"/>
      <c r="J8" s="5"/>
    </row>
    <row r="9" spans="1:10" x14ac:dyDescent="0.3">
      <c r="H9" s="5"/>
      <c r="I9" s="5"/>
      <c r="J9" s="5"/>
    </row>
    <row r="10" spans="1:10" x14ac:dyDescent="0.3">
      <c r="H10" s="5"/>
      <c r="I10" s="5"/>
      <c r="J10" s="5"/>
    </row>
    <row r="11" spans="1:10" x14ac:dyDescent="0.3">
      <c r="H11" s="5"/>
      <c r="I11" s="5"/>
      <c r="J11" s="5"/>
    </row>
    <row r="12" spans="1:10" x14ac:dyDescent="0.3">
      <c r="H12" s="5"/>
      <c r="I12" s="5"/>
      <c r="J12" s="5"/>
    </row>
    <row r="13" spans="1:10" x14ac:dyDescent="0.3">
      <c r="H13" s="5"/>
      <c r="I13" s="5"/>
      <c r="J13" s="5"/>
    </row>
    <row r="14" spans="1:10" x14ac:dyDescent="0.3">
      <c r="H14" s="5"/>
      <c r="I14" s="5"/>
      <c r="J14" s="5"/>
    </row>
    <row r="15" spans="1:10" x14ac:dyDescent="0.3">
      <c r="H15" s="5"/>
      <c r="I15" s="5"/>
      <c r="J15" s="5"/>
    </row>
    <row r="16" spans="1:10" x14ac:dyDescent="0.3">
      <c r="H16" s="5"/>
      <c r="I16" s="5"/>
      <c r="J16" s="5"/>
    </row>
    <row r="17" spans="8:10" x14ac:dyDescent="0.3">
      <c r="H17" s="5"/>
      <c r="I17" s="5"/>
      <c r="J17" s="5"/>
    </row>
    <row r="18" spans="8:10" x14ac:dyDescent="0.3">
      <c r="H18" s="5"/>
      <c r="I18" s="5"/>
      <c r="J18" s="5"/>
    </row>
    <row r="19" spans="8:10" x14ac:dyDescent="0.3">
      <c r="H19" s="5"/>
      <c r="I19" s="5"/>
      <c r="J19" s="5"/>
    </row>
    <row r="20" spans="8:10" x14ac:dyDescent="0.3">
      <c r="H20" s="5"/>
      <c r="I20" s="5"/>
      <c r="J20" s="5"/>
    </row>
    <row r="21" spans="8:10" x14ac:dyDescent="0.3">
      <c r="H21" s="5"/>
      <c r="I21" s="5"/>
      <c r="J21" s="5"/>
    </row>
    <row r="22" spans="8:10" x14ac:dyDescent="0.3">
      <c r="H22" s="5"/>
      <c r="I22" s="5"/>
      <c r="J22" s="5"/>
    </row>
    <row r="23" spans="8:10" x14ac:dyDescent="0.3">
      <c r="H23" s="5"/>
      <c r="I23" s="5"/>
      <c r="J23" s="5"/>
    </row>
    <row r="24" spans="8:10" x14ac:dyDescent="0.3">
      <c r="H24" s="6"/>
      <c r="I24" s="6"/>
      <c r="J24" s="6"/>
    </row>
    <row r="25" spans="8:10" x14ac:dyDescent="0.3">
      <c r="H25" s="6"/>
      <c r="I25" s="6"/>
      <c r="J25" s="6"/>
    </row>
    <row r="26" spans="8:10" x14ac:dyDescent="0.3">
      <c r="H26" s="6"/>
      <c r="I26" s="6"/>
      <c r="J26" s="6"/>
    </row>
    <row r="27" spans="8:10" x14ac:dyDescent="0.3">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4" x14ac:dyDescent="0.3"/>
  <sheetData>
    <row r="3" spans="1:2" x14ac:dyDescent="0.3">
      <c r="A3">
        <v>1</v>
      </c>
      <c r="B3" t="s">
        <v>2006</v>
      </c>
    </row>
    <row r="4" spans="1:2" x14ac:dyDescent="0.3">
      <c r="A4">
        <v>2</v>
      </c>
      <c r="B4" t="s">
        <v>2007</v>
      </c>
    </row>
    <row r="5" spans="1:2" x14ac:dyDescent="0.3">
      <c r="A5">
        <v>3</v>
      </c>
      <c r="B5" t="s">
        <v>2008</v>
      </c>
    </row>
    <row r="6" spans="1:2" x14ac:dyDescent="0.3">
      <c r="A6">
        <v>4</v>
      </c>
      <c r="B6" t="s">
        <v>2009</v>
      </c>
    </row>
    <row r="7" spans="1:2" x14ac:dyDescent="0.3">
      <c r="A7">
        <v>5</v>
      </c>
      <c r="B7" t="s">
        <v>2010</v>
      </c>
    </row>
    <row r="8" spans="1:2" x14ac:dyDescent="0.3">
      <c r="A8">
        <v>6</v>
      </c>
      <c r="B8" t="s">
        <v>2011</v>
      </c>
    </row>
    <row r="9" spans="1:2" x14ac:dyDescent="0.3">
      <c r="A9">
        <v>7</v>
      </c>
      <c r="B9" t="s">
        <v>2012</v>
      </c>
    </row>
    <row r="10" spans="1:2" x14ac:dyDescent="0.3">
      <c r="A10">
        <v>8</v>
      </c>
      <c r="B10" t="s">
        <v>2013</v>
      </c>
    </row>
    <row r="11" spans="1:2" x14ac:dyDescent="0.3">
      <c r="B11" t="s">
        <v>2014</v>
      </c>
    </row>
    <row r="12" spans="1:2" x14ac:dyDescent="0.3">
      <c r="A12">
        <v>9</v>
      </c>
      <c r="B12" t="s">
        <v>2015</v>
      </c>
    </row>
    <row r="13" spans="1:2" x14ac:dyDescent="0.3">
      <c r="A13">
        <v>10</v>
      </c>
      <c r="B13" t="s">
        <v>2016</v>
      </c>
    </row>
    <row r="14" spans="1:2" x14ac:dyDescent="0.3">
      <c r="A14">
        <v>11</v>
      </c>
      <c r="B14" t="s">
        <v>2017</v>
      </c>
    </row>
    <row r="15" spans="1:2" x14ac:dyDescent="0.3">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2025-11-26T00:22:51Z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