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5" yWindow="-15" windowWidth="9720" windowHeight="9240"/>
  </bookViews>
  <sheets>
    <sheet name="FUNCIONALIDADES e VALORES" sheetId="5" r:id="rId1"/>
    <sheet name="ESTIMATIVAS" sheetId="3" r:id="rId2"/>
    <sheet name="DIST. ESFORÇO" sheetId="1" r:id="rId3"/>
    <sheet name="FINANCEIRO e PRAZOS" sheetId="8" r:id="rId4"/>
    <sheet name="PADRÕES e DEFINIÇÕES" sheetId="2" r:id="rId5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6" i="5" l="1"/>
  <c r="L27" i="5"/>
  <c r="L22" i="5"/>
  <c r="L17" i="5"/>
  <c r="L12" i="5"/>
  <c r="L7" i="5"/>
  <c r="L2" i="5"/>
  <c r="H26" i="5"/>
  <c r="H25" i="5"/>
  <c r="J22" i="5" s="1"/>
  <c r="H24" i="5"/>
  <c r="H23" i="5"/>
  <c r="H22" i="5"/>
  <c r="H16" i="5"/>
  <c r="H15" i="5"/>
  <c r="H14" i="5"/>
  <c r="H13" i="5"/>
  <c r="H12" i="5"/>
  <c r="H21" i="5"/>
  <c r="H20" i="5"/>
  <c r="H19" i="5"/>
  <c r="H18" i="5"/>
  <c r="H17" i="5"/>
  <c r="H31" i="5"/>
  <c r="H30" i="5"/>
  <c r="H29" i="5"/>
  <c r="H28" i="5"/>
  <c r="H27" i="5"/>
  <c r="I17" i="5" l="1"/>
  <c r="J12" i="5"/>
  <c r="I22" i="5"/>
  <c r="J17" i="5"/>
  <c r="I12" i="5"/>
  <c r="J27" i="5"/>
  <c r="I27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6" i="5"/>
  <c r="H35" i="5"/>
  <c r="H34" i="5"/>
  <c r="H33" i="5"/>
  <c r="H32" i="5"/>
  <c r="H11" i="5"/>
  <c r="H10" i="5"/>
  <c r="H9" i="5"/>
  <c r="H8" i="5"/>
  <c r="H7" i="5"/>
  <c r="H6" i="5"/>
  <c r="H5" i="5"/>
  <c r="H4" i="5"/>
  <c r="H3" i="5"/>
  <c r="H2" i="5"/>
  <c r="D28" i="3"/>
  <c r="D27" i="3"/>
  <c r="D26" i="3"/>
  <c r="D22" i="3"/>
  <c r="D21" i="3"/>
  <c r="D20" i="3"/>
  <c r="D16" i="3"/>
  <c r="D15" i="3"/>
  <c r="D14" i="3"/>
  <c r="D10" i="3"/>
  <c r="D9" i="3"/>
  <c r="D8" i="3"/>
  <c r="D4" i="3"/>
  <c r="D3" i="3"/>
  <c r="D2" i="3"/>
  <c r="J49" i="5" l="1"/>
  <c r="I39" i="5"/>
  <c r="I61" i="5"/>
  <c r="J44" i="5"/>
  <c r="J66" i="5"/>
  <c r="I56" i="5"/>
  <c r="I44" i="5"/>
  <c r="I66" i="5"/>
  <c r="J56" i="5"/>
  <c r="I49" i="5"/>
  <c r="J39" i="5"/>
  <c r="J61" i="5"/>
  <c r="I7" i="5"/>
  <c r="I32" i="5"/>
  <c r="I2" i="5"/>
  <c r="J29" i="1"/>
  <c r="D48" i="3"/>
  <c r="D49" i="3" s="1"/>
  <c r="C8" i="3"/>
  <c r="E8" i="3" s="1"/>
  <c r="C28" i="3"/>
  <c r="E28" i="3" s="1"/>
  <c r="C27" i="3"/>
  <c r="E27" i="3" s="1"/>
  <c r="C26" i="3"/>
  <c r="E26" i="3" s="1"/>
  <c r="C22" i="3"/>
  <c r="E22" i="3" s="1"/>
  <c r="C21" i="3"/>
  <c r="E21" i="3" s="1"/>
  <c r="C20" i="3"/>
  <c r="E20" i="3" s="1"/>
  <c r="C16" i="3"/>
  <c r="E16" i="3" s="1"/>
  <c r="C15" i="3"/>
  <c r="E15" i="3" s="1"/>
  <c r="C14" i="3"/>
  <c r="E14" i="3" s="1"/>
  <c r="C10" i="3"/>
  <c r="E10" i="3" s="1"/>
  <c r="C9" i="3"/>
  <c r="E9" i="3" s="1"/>
  <c r="C4" i="3"/>
  <c r="E4" i="3" s="1"/>
  <c r="C3" i="3"/>
  <c r="E3" i="3" s="1"/>
  <c r="C2" i="3"/>
  <c r="E2" i="3" s="1"/>
  <c r="M33" i="2"/>
  <c r="I33" i="2"/>
  <c r="E33" i="2"/>
  <c r="D33" i="2"/>
  <c r="B33" i="2"/>
  <c r="M32" i="2"/>
  <c r="I32" i="2"/>
  <c r="E32" i="2"/>
  <c r="D32" i="2"/>
  <c r="B32" i="2"/>
  <c r="M31" i="2"/>
  <c r="I31" i="2"/>
  <c r="E31" i="2"/>
  <c r="D31" i="2"/>
  <c r="B31" i="2"/>
  <c r="M22" i="2"/>
  <c r="I22" i="2"/>
  <c r="E22" i="2"/>
  <c r="D22" i="2"/>
  <c r="B22" i="2"/>
  <c r="M21" i="2"/>
  <c r="I21" i="2"/>
  <c r="E21" i="2"/>
  <c r="D21" i="2"/>
  <c r="B21" i="2"/>
  <c r="M20" i="2"/>
  <c r="I20" i="2"/>
  <c r="E20" i="2"/>
  <c r="D20" i="2"/>
  <c r="B20" i="2"/>
  <c r="D11" i="2"/>
  <c r="B11" i="2"/>
  <c r="D10" i="2"/>
  <c r="B10" i="2"/>
  <c r="D9" i="2"/>
  <c r="B9" i="2"/>
  <c r="M11" i="2"/>
  <c r="I11" i="2"/>
  <c r="M10" i="2"/>
  <c r="I10" i="2"/>
  <c r="M9" i="2"/>
  <c r="I9" i="2"/>
  <c r="E11" i="2"/>
  <c r="E10" i="2"/>
  <c r="E9" i="2"/>
  <c r="E17" i="3" l="1"/>
  <c r="E29" i="3"/>
  <c r="E5" i="3"/>
  <c r="E23" i="3"/>
  <c r="E11" i="3"/>
  <c r="E31" i="3" l="1"/>
  <c r="D51" i="3" s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C25" i="1"/>
  <c r="C24" i="1"/>
  <c r="C23" i="1"/>
  <c r="C22" i="1"/>
  <c r="C21" i="1"/>
  <c r="C20" i="1"/>
  <c r="C19" i="1"/>
  <c r="C18" i="1"/>
  <c r="C17" i="1"/>
  <c r="B25" i="1"/>
  <c r="B24" i="1"/>
  <c r="B23" i="1"/>
  <c r="B22" i="1"/>
  <c r="B21" i="1"/>
  <c r="B20" i="1"/>
  <c r="B19" i="1"/>
  <c r="B18" i="1"/>
  <c r="B17" i="1"/>
  <c r="B37" i="1" l="1"/>
  <c r="B35" i="1"/>
  <c r="B33" i="1"/>
  <c r="B31" i="1"/>
  <c r="D38" i="1"/>
  <c r="E37" i="1"/>
  <c r="C37" i="1"/>
  <c r="D36" i="1"/>
  <c r="E35" i="1"/>
  <c r="C35" i="1"/>
  <c r="D34" i="1"/>
  <c r="E33" i="1"/>
  <c r="C33" i="1"/>
  <c r="D32" i="1"/>
  <c r="E31" i="1"/>
  <c r="C31" i="1"/>
  <c r="D30" i="1"/>
  <c r="B30" i="1"/>
  <c r="B38" i="1"/>
  <c r="B36" i="1"/>
  <c r="B34" i="1"/>
  <c r="B32" i="1"/>
  <c r="E38" i="1"/>
  <c r="C38" i="1"/>
  <c r="D37" i="1"/>
  <c r="E36" i="1"/>
  <c r="C36" i="1"/>
  <c r="D35" i="1"/>
  <c r="E34" i="1"/>
  <c r="C34" i="1"/>
  <c r="D33" i="1"/>
  <c r="E32" i="1"/>
  <c r="C32" i="1"/>
  <c r="D31" i="1"/>
  <c r="E30" i="1"/>
  <c r="C30" i="1"/>
  <c r="D26" i="1"/>
  <c r="E26" i="1"/>
  <c r="F25" i="1"/>
  <c r="F22" i="1"/>
  <c r="F18" i="1"/>
  <c r="C26" i="1"/>
  <c r="B26" i="1"/>
  <c r="F17" i="1"/>
  <c r="F19" i="1"/>
  <c r="F20" i="1"/>
  <c r="F21" i="1"/>
  <c r="F23" i="1"/>
  <c r="F24" i="1"/>
  <c r="F8" i="1"/>
  <c r="F12" i="1"/>
  <c r="F11" i="1"/>
  <c r="F10" i="1"/>
  <c r="F9" i="1"/>
  <c r="F7" i="1"/>
  <c r="F6" i="1"/>
  <c r="F5" i="1"/>
  <c r="F4" i="1"/>
  <c r="E13" i="1"/>
  <c r="D13" i="1"/>
  <c r="C13" i="1"/>
  <c r="F3" i="1"/>
  <c r="F33" i="1" l="1"/>
  <c r="D39" i="1"/>
  <c r="F38" i="1"/>
  <c r="F36" i="1"/>
  <c r="C39" i="1"/>
  <c r="F31" i="1"/>
  <c r="F37" i="1"/>
  <c r="F35" i="1"/>
  <c r="F34" i="1"/>
  <c r="F32" i="1"/>
  <c r="E39" i="1"/>
  <c r="F30" i="1"/>
  <c r="B39" i="1"/>
  <c r="F26" i="1"/>
  <c r="B13" i="1"/>
  <c r="F39" i="1" l="1"/>
  <c r="C8" i="8" s="1"/>
  <c r="B8" i="8" s="1"/>
  <c r="D8" i="8" l="1"/>
  <c r="E9" i="8"/>
  <c r="D9" i="8" l="1"/>
  <c r="D10" i="8" s="1"/>
  <c r="D11" i="8" s="1"/>
  <c r="D12" i="8" s="1"/>
  <c r="C9" i="8"/>
  <c r="C10" i="8" s="1"/>
  <c r="C11" i="8" s="1"/>
  <c r="C12" i="8" s="1"/>
  <c r="J32" i="5" s="1"/>
  <c r="B9" i="8"/>
  <c r="B10" i="8" s="1"/>
  <c r="B11" i="8" s="1"/>
  <c r="B12" i="8" s="1"/>
  <c r="E10" i="8"/>
  <c r="E11" i="8" s="1"/>
  <c r="J2" i="5" l="1"/>
  <c r="J7" i="5"/>
  <c r="E12" i="8"/>
  <c r="B25" i="8" l="1"/>
  <c r="E21" i="8"/>
  <c r="B18" i="8"/>
  <c r="D24" i="8"/>
  <c r="D21" i="8"/>
  <c r="D25" i="8"/>
  <c r="E17" i="8"/>
  <c r="C23" i="8"/>
  <c r="E23" i="8"/>
  <c r="D19" i="8"/>
  <c r="B23" i="8"/>
  <c r="D23" i="8"/>
  <c r="E18" i="8"/>
  <c r="C21" i="8"/>
  <c r="B22" i="8"/>
  <c r="E25" i="8"/>
  <c r="E22" i="8"/>
  <c r="C25" i="8"/>
  <c r="F25" i="8" s="1"/>
  <c r="C19" i="8"/>
  <c r="E20" i="8"/>
  <c r="B20" i="8"/>
  <c r="C17" i="8"/>
  <c r="D18" i="8"/>
  <c r="E24" i="8"/>
  <c r="D20" i="8"/>
  <c r="C20" i="8"/>
  <c r="D22" i="8"/>
  <c r="B17" i="8"/>
  <c r="C18" i="8"/>
  <c r="F18" i="8" s="1"/>
  <c r="C24" i="8"/>
  <c r="B19" i="8"/>
  <c r="B21" i="8"/>
  <c r="C22" i="8"/>
  <c r="F22" i="8" s="1"/>
  <c r="B24" i="8"/>
  <c r="D17" i="8"/>
  <c r="E19" i="8"/>
  <c r="F24" i="8" l="1"/>
  <c r="C26" i="8"/>
  <c r="D26" i="8"/>
  <c r="F23" i="8"/>
  <c r="F19" i="8"/>
  <c r="F21" i="8"/>
  <c r="E26" i="8"/>
  <c r="F17" i="8"/>
  <c r="B26" i="8"/>
  <c r="F20" i="8"/>
  <c r="F26" i="8" l="1"/>
</calcChain>
</file>

<file path=xl/sharedStrings.xml><?xml version="1.0" encoding="utf-8"?>
<sst xmlns="http://schemas.openxmlformats.org/spreadsheetml/2006/main" count="338" uniqueCount="127">
  <si>
    <t>Iniciação</t>
  </si>
  <si>
    <t>Elaboração</t>
  </si>
  <si>
    <t>Construção</t>
  </si>
  <si>
    <t>Transição</t>
  </si>
  <si>
    <t>Mod. De Negócios</t>
  </si>
  <si>
    <t>Requisitos</t>
  </si>
  <si>
    <t>Análise / Design</t>
  </si>
  <si>
    <t>Implementação</t>
  </si>
  <si>
    <t>Teste</t>
  </si>
  <si>
    <t>Implantação</t>
  </si>
  <si>
    <t>G. C. Mudanças</t>
  </si>
  <si>
    <t>G. Projetos</t>
  </si>
  <si>
    <t>Ambiente</t>
  </si>
  <si>
    <t>Dinâmica</t>
  </si>
  <si>
    <t>ESFORÇO TOTAL</t>
  </si>
  <si>
    <t>FASES</t>
  </si>
  <si>
    <t>DISCIPLINAS</t>
  </si>
  <si>
    <t>"Dados de esforço típico (%)"</t>
  </si>
  <si>
    <t>ESFORÇO TOTAL - PROPORCIONAL</t>
  </si>
  <si>
    <t>Número de Registros Lógicos</t>
  </si>
  <si>
    <t>Apenas</t>
  </si>
  <si>
    <t>a</t>
  </si>
  <si>
    <t>ou</t>
  </si>
  <si>
    <t>SIMPLES</t>
  </si>
  <si>
    <t>MÉDIA</t>
  </si>
  <si>
    <t>COMPLEXA</t>
  </si>
  <si>
    <t>ou mais</t>
  </si>
  <si>
    <t>Número de Arquivos Referenciados</t>
  </si>
  <si>
    <t>Tabela 3 - Tabela de Identificação da Complexidade de Saídas e Consultas Externas</t>
  </si>
  <si>
    <t>Tabela 2 - Tabela de Identificação da Complexidade de Entradas Externas</t>
  </si>
  <si>
    <t>Tabela 1 - Tabela de Identificação da Complexidade das Funções de Dados</t>
  </si>
  <si>
    <t>de</t>
  </si>
  <si>
    <t>Número de Itens de Dados Referenciados</t>
  </si>
  <si>
    <t>Complexidade das Funções de Dados - ALI</t>
  </si>
  <si>
    <t>Tabela 4 - Contribuição das Funções na Contagem de PF's Não Ajustados</t>
  </si>
  <si>
    <t>ALI</t>
  </si>
  <si>
    <t>AIE</t>
  </si>
  <si>
    <t>EE</t>
  </si>
  <si>
    <t>SE</t>
  </si>
  <si>
    <t>CE</t>
  </si>
  <si>
    <t>COMPLEXIDADE</t>
  </si>
  <si>
    <t>FUNÇÃO</t>
  </si>
  <si>
    <r>
      <t>CONTRIBUIÇÃO (C</t>
    </r>
    <r>
      <rPr>
        <b/>
        <vertAlign val="subscript"/>
        <sz val="11"/>
        <color theme="1"/>
        <rFont val="Calibri"/>
        <family val="2"/>
        <scheme val="minor"/>
      </rPr>
      <t>j</t>
    </r>
    <r>
      <rPr>
        <b/>
        <sz val="11"/>
        <color theme="1"/>
        <rFont val="Calibri"/>
        <family val="2"/>
        <scheme val="minor"/>
      </rPr>
      <t>)</t>
    </r>
  </si>
  <si>
    <r>
      <t>QUANTIDADE (NC</t>
    </r>
    <r>
      <rPr>
        <b/>
        <vertAlign val="subscript"/>
        <sz val="11"/>
        <color theme="1"/>
        <rFont val="Calibri"/>
        <family val="2"/>
        <scheme val="minor"/>
      </rPr>
      <t>j</t>
    </r>
    <r>
      <rPr>
        <b/>
        <sz val="11"/>
        <color theme="1"/>
        <rFont val="Calibri"/>
        <family val="2"/>
        <scheme val="minor"/>
      </rPr>
      <t>)</t>
    </r>
  </si>
  <si>
    <r>
      <t>NC</t>
    </r>
    <r>
      <rPr>
        <b/>
        <vertAlign val="subscript"/>
        <sz val="11"/>
        <color theme="1"/>
        <rFont val="Calibri"/>
        <family val="2"/>
        <scheme val="minor"/>
      </rPr>
      <t>j</t>
    </r>
    <r>
      <rPr>
        <b/>
        <sz val="11"/>
        <color theme="1"/>
        <rFont val="Calibri"/>
        <family val="2"/>
        <scheme val="minor"/>
      </rPr>
      <t xml:space="preserve"> * C</t>
    </r>
    <r>
      <rPr>
        <b/>
        <vertAlign val="subscript"/>
        <sz val="11"/>
        <color theme="1"/>
        <rFont val="Calibri"/>
        <family val="2"/>
        <scheme val="minor"/>
      </rPr>
      <t>j</t>
    </r>
  </si>
  <si>
    <r>
      <t>Consultas Externas</t>
    </r>
    <r>
      <rPr>
        <vertAlign val="subscript"/>
        <sz val="11"/>
        <color theme="1"/>
        <rFont val="Calibri"/>
        <family val="2"/>
        <scheme val="minor"/>
      </rPr>
      <t>1</t>
    </r>
  </si>
  <si>
    <r>
      <t>Consultas Externas</t>
    </r>
    <r>
      <rPr>
        <vertAlign val="subscript"/>
        <sz val="11"/>
        <color theme="1"/>
        <rFont val="Calibri"/>
        <family val="2"/>
        <scheme val="minor"/>
      </rPr>
      <t>2</t>
    </r>
  </si>
  <si>
    <r>
      <t>Consultas Externas</t>
    </r>
    <r>
      <rPr>
        <vertAlign val="subscript"/>
        <sz val="11"/>
        <color theme="1"/>
        <rFont val="Calibri"/>
        <family val="2"/>
        <scheme val="minor"/>
      </rPr>
      <t>3</t>
    </r>
  </si>
  <si>
    <r>
      <t>Saídas Externas</t>
    </r>
    <r>
      <rPr>
        <vertAlign val="subscript"/>
        <sz val="11"/>
        <color theme="1"/>
        <rFont val="Calibri"/>
        <family val="2"/>
        <scheme val="minor"/>
      </rPr>
      <t>1</t>
    </r>
  </si>
  <si>
    <r>
      <t>Saídas Externas</t>
    </r>
    <r>
      <rPr>
        <vertAlign val="subscript"/>
        <sz val="11"/>
        <color theme="1"/>
        <rFont val="Calibri"/>
        <family val="2"/>
        <scheme val="minor"/>
      </rPr>
      <t>2</t>
    </r>
  </si>
  <si>
    <r>
      <t>Saídas Externas</t>
    </r>
    <r>
      <rPr>
        <vertAlign val="subscript"/>
        <sz val="11"/>
        <color theme="1"/>
        <rFont val="Calibri"/>
        <family val="2"/>
        <scheme val="minor"/>
      </rPr>
      <t>3</t>
    </r>
  </si>
  <si>
    <r>
      <t>TOTAIS DE PONTOS DE FUNÇÃO (NPF</t>
    </r>
    <r>
      <rPr>
        <b/>
        <vertAlign val="subscript"/>
        <sz val="11"/>
        <color theme="1"/>
        <rFont val="Calibri"/>
        <family val="2"/>
        <scheme val="minor"/>
      </rPr>
      <t>5</t>
    </r>
    <r>
      <rPr>
        <b/>
        <sz val="11"/>
        <color theme="1"/>
        <rFont val="Calibri"/>
        <family val="2"/>
        <scheme val="minor"/>
      </rPr>
      <t>)</t>
    </r>
  </si>
  <si>
    <r>
      <t>TOTAIS DE PONTOS DE FUNÇÃO (NPF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>)</t>
    </r>
  </si>
  <si>
    <r>
      <t>Entradas Externas</t>
    </r>
    <r>
      <rPr>
        <vertAlign val="subscript"/>
        <sz val="11"/>
        <color theme="1"/>
        <rFont val="Calibri"/>
        <family val="2"/>
        <scheme val="minor"/>
      </rPr>
      <t>1</t>
    </r>
  </si>
  <si>
    <r>
      <t>Entradas Externas</t>
    </r>
    <r>
      <rPr>
        <vertAlign val="subscript"/>
        <sz val="11"/>
        <color theme="1"/>
        <rFont val="Calibri"/>
        <family val="2"/>
        <scheme val="minor"/>
      </rPr>
      <t>2</t>
    </r>
  </si>
  <si>
    <r>
      <t>Entradas Externas</t>
    </r>
    <r>
      <rPr>
        <vertAlign val="subscript"/>
        <sz val="11"/>
        <color theme="1"/>
        <rFont val="Calibri"/>
        <family val="2"/>
        <scheme val="minor"/>
      </rPr>
      <t>3</t>
    </r>
  </si>
  <si>
    <r>
      <t>TOTAIS DE PONTOS DE FUNÇÃO (NPF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)</t>
    </r>
  </si>
  <si>
    <r>
      <t>Arquivos de Interface Externa</t>
    </r>
    <r>
      <rPr>
        <vertAlign val="subscript"/>
        <sz val="11"/>
        <color theme="1"/>
        <rFont val="Calibri"/>
        <family val="2"/>
        <scheme val="minor"/>
      </rPr>
      <t>1</t>
    </r>
  </si>
  <si>
    <r>
      <t>Arquivos de Interface Externa</t>
    </r>
    <r>
      <rPr>
        <vertAlign val="subscript"/>
        <sz val="11"/>
        <color theme="1"/>
        <rFont val="Calibri"/>
        <family val="2"/>
        <scheme val="minor"/>
      </rPr>
      <t>2</t>
    </r>
  </si>
  <si>
    <r>
      <t>Arquivos de Interface Externa</t>
    </r>
    <r>
      <rPr>
        <vertAlign val="subscript"/>
        <sz val="11"/>
        <color theme="1"/>
        <rFont val="Calibri"/>
        <family val="2"/>
        <scheme val="minor"/>
      </rPr>
      <t>3</t>
    </r>
  </si>
  <si>
    <r>
      <t>TOTAIS DE PONTOS DE FUNÇÃO (NPF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</si>
  <si>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>TOTAIS DE PONTOS DE FUNÇÃO (NPF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)</t>
    </r>
  </si>
  <si>
    <r>
      <t>Arquivos Lógicos Internos</t>
    </r>
    <r>
      <rPr>
        <vertAlign val="subscript"/>
        <sz val="11"/>
        <color theme="1"/>
        <rFont val="Calibri"/>
        <family val="2"/>
        <scheme val="minor"/>
      </rPr>
      <t>1</t>
    </r>
  </si>
  <si>
    <r>
      <t>Arquivos Lógicos Internos</t>
    </r>
    <r>
      <rPr>
        <vertAlign val="subscript"/>
        <sz val="11"/>
        <color theme="1"/>
        <rFont val="Calibri"/>
        <family val="2"/>
        <scheme val="minor"/>
      </rPr>
      <t>2</t>
    </r>
  </si>
  <si>
    <r>
      <t>Arquivos Lógicos Internos</t>
    </r>
    <r>
      <rPr>
        <vertAlign val="subscript"/>
        <sz val="11"/>
        <color theme="1"/>
        <rFont val="Calibri"/>
        <family val="2"/>
        <scheme val="minor"/>
      </rPr>
      <t>3</t>
    </r>
  </si>
  <si>
    <t>GRAU (0 a 5)</t>
  </si>
  <si>
    <r>
      <t>COMUNICAÇÃO DE DADOS</t>
    </r>
    <r>
      <rPr>
        <vertAlign val="subscript"/>
        <sz val="11"/>
        <color theme="1"/>
        <rFont val="Calibri"/>
        <family val="2"/>
        <scheme val="minor"/>
      </rPr>
      <t>1</t>
    </r>
  </si>
  <si>
    <r>
      <t>PROCESSAMENTO DE DADOS DISTRIBUÍDO</t>
    </r>
    <r>
      <rPr>
        <vertAlign val="subscript"/>
        <sz val="11"/>
        <color theme="1"/>
        <rFont val="Calibri"/>
        <family val="2"/>
        <scheme val="minor"/>
      </rPr>
      <t>2</t>
    </r>
  </si>
  <si>
    <r>
      <t>DESEMPENHO</t>
    </r>
    <r>
      <rPr>
        <vertAlign val="subscript"/>
        <sz val="11"/>
        <color theme="1"/>
        <rFont val="Calibri"/>
        <family val="2"/>
        <scheme val="minor"/>
      </rPr>
      <t>3</t>
    </r>
  </si>
  <si>
    <r>
      <t>UTILIZAÇÃO DO EQUIPAMENTO</t>
    </r>
    <r>
      <rPr>
        <vertAlign val="subscript"/>
        <sz val="11"/>
        <color theme="1"/>
        <rFont val="Calibri"/>
        <family val="2"/>
        <scheme val="minor"/>
      </rPr>
      <t>4</t>
    </r>
  </si>
  <si>
    <r>
      <t>VOLUME DE TRANSAÇÕES</t>
    </r>
    <r>
      <rPr>
        <vertAlign val="subscript"/>
        <sz val="11"/>
        <color theme="1"/>
        <rFont val="Calibri"/>
        <family val="2"/>
        <scheme val="minor"/>
      </rPr>
      <t>5</t>
    </r>
  </si>
  <si>
    <r>
      <t>ENTRADA DE DADOS ON-LINE</t>
    </r>
    <r>
      <rPr>
        <vertAlign val="subscript"/>
        <sz val="11"/>
        <color theme="1"/>
        <rFont val="Calibri"/>
        <family val="2"/>
        <scheme val="minor"/>
      </rPr>
      <t>6</t>
    </r>
  </si>
  <si>
    <r>
      <t>EFICIÊNCIA DO USUÁRIO FINAL</t>
    </r>
    <r>
      <rPr>
        <vertAlign val="subscript"/>
        <sz val="11"/>
        <color theme="1"/>
        <rFont val="Calibri"/>
        <family val="2"/>
        <scheme val="minor"/>
      </rPr>
      <t>7</t>
    </r>
  </si>
  <si>
    <r>
      <t>ATUALIZAÇÃO ON-LINE</t>
    </r>
    <r>
      <rPr>
        <vertAlign val="subscript"/>
        <sz val="11"/>
        <color theme="1"/>
        <rFont val="Calibri"/>
        <family val="2"/>
        <scheme val="minor"/>
      </rPr>
      <t>8</t>
    </r>
  </si>
  <si>
    <r>
      <t>PROCESSAMENTO COMPLEXO</t>
    </r>
    <r>
      <rPr>
        <vertAlign val="subscript"/>
        <sz val="11"/>
        <color theme="1"/>
        <rFont val="Calibri"/>
        <family val="2"/>
        <scheme val="minor"/>
      </rPr>
      <t>9</t>
    </r>
  </si>
  <si>
    <r>
      <t>REUSABILIDADE</t>
    </r>
    <r>
      <rPr>
        <vertAlign val="subscript"/>
        <sz val="11"/>
        <color theme="1"/>
        <rFont val="Calibri"/>
        <family val="2"/>
        <scheme val="minor"/>
      </rPr>
      <t>10</t>
    </r>
  </si>
  <si>
    <r>
      <t>FACILIDADE DE IMPLANTAÇÃO</t>
    </r>
    <r>
      <rPr>
        <vertAlign val="subscript"/>
        <sz val="11"/>
        <color theme="1"/>
        <rFont val="Calibri"/>
        <family val="2"/>
        <scheme val="minor"/>
      </rPr>
      <t>11</t>
    </r>
  </si>
  <si>
    <r>
      <t>FACILIDADE OPERACIONAL</t>
    </r>
    <r>
      <rPr>
        <vertAlign val="subscript"/>
        <sz val="11"/>
        <color theme="1"/>
        <rFont val="Calibri"/>
        <family val="2"/>
        <scheme val="minor"/>
      </rPr>
      <t>12</t>
    </r>
  </si>
  <si>
    <r>
      <t>MÚLTIPLOS LOCAIS E ORGANIZAÇÕES DO USUÁRIO</t>
    </r>
    <r>
      <rPr>
        <vertAlign val="subscript"/>
        <sz val="11"/>
        <color theme="1"/>
        <rFont val="Calibri"/>
        <family val="2"/>
        <scheme val="minor"/>
      </rPr>
      <t>13</t>
    </r>
  </si>
  <si>
    <r>
      <t>FACILIDADE DE MUDANÇAS</t>
    </r>
    <r>
      <rPr>
        <vertAlign val="subscript"/>
        <sz val="11"/>
        <color theme="1"/>
        <rFont val="Calibri"/>
        <family val="2"/>
        <scheme val="minor"/>
      </rPr>
      <t>14</t>
    </r>
  </si>
  <si>
    <r>
      <t>GRAUS DE INFLUÊNCIA (GI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</t>
    </r>
  </si>
  <si>
    <t>NÍVEL DE INFLUÊNCIA TOTAL (NIT)</t>
  </si>
  <si>
    <t>VALOR DO FATOR DE AJUSTE (VFA)</t>
  </si>
  <si>
    <t>PONTOS DE FUNÇÃO AJUSTADOS (PFA)</t>
  </si>
  <si>
    <t>Liguagem de Progamação</t>
  </si>
  <si>
    <t>Esforço Total (h)</t>
  </si>
  <si>
    <t>JAVA</t>
  </si>
  <si>
    <t>PHP</t>
  </si>
  <si>
    <t>C++</t>
  </si>
  <si>
    <t>LIN. PROG.</t>
  </si>
  <si>
    <t>horas/PFA</t>
  </si>
  <si>
    <t>QUANTIDADE DE PROFISSIONAIS</t>
  </si>
  <si>
    <t>CUSTO DIRETO</t>
  </si>
  <si>
    <t>CUSTO INDIRETO</t>
  </si>
  <si>
    <t>PRAZO</t>
  </si>
  <si>
    <t>PREÇO FINAL</t>
  </si>
  <si>
    <t>DIAS</t>
  </si>
  <si>
    <t>PF</t>
  </si>
  <si>
    <t>FUNCIONALIDADES DE PROJETO DE DESENVOLVIMENTO</t>
  </si>
  <si>
    <t>FUNCIONALIDADES DE APLICAÇÕES INSTALADAS</t>
  </si>
  <si>
    <t>FUNCIONALIDADES DE PROJETO DE MANUTENÇÃO</t>
  </si>
  <si>
    <t>NÚMERO DE ITENS DE DADOS REFERENCIADOS</t>
  </si>
  <si>
    <t>NÚMERO DE REGISTROS LÓGICOS</t>
  </si>
  <si>
    <t>NÚMERO DE ARQUIVOS REFERENCIADOS</t>
  </si>
  <si>
    <t>FUNÇÕES</t>
  </si>
  <si>
    <t>Complexidade das Funções de Dados - AIE</t>
  </si>
  <si>
    <t>Complexidade de Entradas Externas - EE</t>
  </si>
  <si>
    <t>Complexidade de Saídas Externas - SE</t>
  </si>
  <si>
    <t>Complexidade de Consultas Externas - CE</t>
  </si>
  <si>
    <r>
      <t xml:space="preserve">TOTAL DE PONTOS DE FUNÇÃO NÃO AJUSTADOS (PFNA = </t>
    </r>
    <r>
      <rPr>
        <b/>
        <sz val="11"/>
        <color theme="1"/>
        <rFont val="Calibri"/>
        <family val="2"/>
      </rPr>
      <t>∑ NPF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  <scheme val="minor"/>
      </rPr>
      <t>)</t>
    </r>
  </si>
  <si>
    <t>CUSTO (hora / programador)</t>
  </si>
  <si>
    <t>JORNADA DE TRABALHO (h / semana)</t>
  </si>
  <si>
    <t>SEMANAS</t>
  </si>
  <si>
    <t>MESES</t>
  </si>
  <si>
    <t>LUCRO</t>
  </si>
  <si>
    <t>TOTAL</t>
  </si>
  <si>
    <t>VALORES TOTAIS DISTRIBUIDOS POR FASES e DISCIPLINAS</t>
  </si>
  <si>
    <t>CUSTOS E DESPESAS INDIRETAS (% CD)</t>
  </si>
  <si>
    <t>MARGEM DE LUCRO (% CT)</t>
  </si>
  <si>
    <t>VALOR</t>
  </si>
  <si>
    <t>VALIDAR SENHA</t>
  </si>
  <si>
    <t>MANTER CADASTRO DE USUÁRIOS</t>
  </si>
  <si>
    <t>REGISTRAR APLICAÇÃO/EMBALAGEM VAZIA - SAÍDA</t>
  </si>
  <si>
    <t>REGISTRAR RETORNO EMBALAGEM - RETORNO</t>
  </si>
  <si>
    <t>REGISTRAR ENTRADA E MANTER CADASTRO AGROTÓXICOS - ENTRADA</t>
  </si>
  <si>
    <t>EMITIR RELATÓRIOS (4)</t>
  </si>
  <si>
    <t>ESTIMATIVAS!D51*J29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</si>
</sst>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8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 style="medium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medium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30">
    <xf numFmtId="0" fontId="0" fillId="0" borderId="0" xfId="0"/>
    <xf numFmtId="9" fontId="0" fillId="0" borderId="0" xfId="1" applyFont="1" applyAlignment="1">
      <alignment horizontal="center" vertical="center"/>
    </xf>
    <xf numFmtId="9" fontId="0" fillId="0" borderId="11" xfId="1" applyFont="1" applyBorder="1" applyAlignment="1">
      <alignment horizontal="center" vertical="center"/>
    </xf>
    <xf numFmtId="9" fontId="0" fillId="0" borderId="13" xfId="1" applyFont="1" applyBorder="1" applyAlignment="1">
      <alignment horizontal="center" vertical="center"/>
    </xf>
    <xf numFmtId="9" fontId="0" fillId="0" borderId="16" xfId="1" applyFont="1" applyBorder="1" applyAlignment="1">
      <alignment horizontal="center" vertical="center"/>
    </xf>
    <xf numFmtId="9" fontId="0" fillId="0" borderId="23" xfId="1" applyFont="1" applyBorder="1" applyAlignment="1">
      <alignment horizontal="center" vertical="center"/>
    </xf>
    <xf numFmtId="9" fontId="0" fillId="0" borderId="27" xfId="1" applyFont="1" applyBorder="1" applyAlignment="1">
      <alignment horizontal="center" vertical="center"/>
    </xf>
    <xf numFmtId="9" fontId="0" fillId="0" borderId="28" xfId="1" applyFont="1" applyBorder="1" applyAlignment="1">
      <alignment horizontal="center" vertical="center"/>
    </xf>
    <xf numFmtId="9" fontId="0" fillId="0" borderId="29" xfId="1" applyFont="1" applyBorder="1" applyAlignment="1">
      <alignment horizontal="center" vertical="center"/>
    </xf>
    <xf numFmtId="9" fontId="0" fillId="0" borderId="30" xfId="1" applyFont="1" applyBorder="1" applyAlignment="1">
      <alignment horizontal="center" vertical="center"/>
    </xf>
    <xf numFmtId="9" fontId="0" fillId="0" borderId="31" xfId="1" applyFont="1" applyBorder="1" applyAlignment="1">
      <alignment horizontal="center" vertical="center"/>
    </xf>
    <xf numFmtId="9" fontId="0" fillId="0" borderId="34" xfId="1" applyFont="1" applyBorder="1" applyAlignment="1">
      <alignment horizontal="center" vertical="center"/>
    </xf>
    <xf numFmtId="9" fontId="3" fillId="0" borderId="19" xfId="1" applyFont="1" applyBorder="1" applyAlignment="1">
      <alignment horizontal="center" vertical="center"/>
    </xf>
    <xf numFmtId="9" fontId="3" fillId="0" borderId="24" xfId="1" applyFont="1" applyBorder="1" applyAlignment="1">
      <alignment horizontal="center" vertical="center"/>
    </xf>
    <xf numFmtId="9" fontId="3" fillId="0" borderId="25" xfId="1" applyFont="1" applyBorder="1" applyAlignment="1">
      <alignment horizontal="center" vertical="center"/>
    </xf>
    <xf numFmtId="9" fontId="3" fillId="0" borderId="34" xfId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10" fontId="0" fillId="0" borderId="23" xfId="1" applyNumberFormat="1" applyFont="1" applyBorder="1" applyAlignment="1">
      <alignment horizontal="center" vertical="center"/>
    </xf>
    <xf numFmtId="10" fontId="0" fillId="0" borderId="27" xfId="1" applyNumberFormat="1" applyFont="1" applyBorder="1" applyAlignment="1">
      <alignment horizontal="center" vertical="center"/>
    </xf>
    <xf numFmtId="10" fontId="0" fillId="0" borderId="28" xfId="1" applyNumberFormat="1" applyFont="1" applyBorder="1" applyAlignment="1">
      <alignment horizontal="center" vertical="center"/>
    </xf>
    <xf numFmtId="10" fontId="0" fillId="0" borderId="29" xfId="1" applyNumberFormat="1" applyFont="1" applyBorder="1" applyAlignment="1">
      <alignment horizontal="center" vertical="center"/>
    </xf>
    <xf numFmtId="10" fontId="0" fillId="0" borderId="30" xfId="1" applyNumberFormat="1" applyFont="1" applyBorder="1" applyAlignment="1">
      <alignment horizontal="center" vertical="center"/>
    </xf>
    <xf numFmtId="10" fontId="0" fillId="0" borderId="31" xfId="1" applyNumberFormat="1" applyFon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4" xfId="1" applyNumberFormat="1" applyFont="1" applyBorder="1" applyAlignment="1">
      <alignment horizontal="center" vertical="center"/>
    </xf>
    <xf numFmtId="10" fontId="0" fillId="0" borderId="40" xfId="1" applyNumberFormat="1" applyFont="1" applyBorder="1" applyAlignment="1">
      <alignment horizontal="center" vertical="center"/>
    </xf>
    <xf numFmtId="10" fontId="0" fillId="0" borderId="17" xfId="1" applyNumberFormat="1" applyFont="1" applyBorder="1" applyAlignment="1">
      <alignment horizontal="center" vertical="center"/>
    </xf>
    <xf numFmtId="10" fontId="0" fillId="0" borderId="32" xfId="1" applyNumberFormat="1" applyFont="1" applyBorder="1" applyAlignment="1">
      <alignment horizontal="center" vertical="center"/>
    </xf>
    <xf numFmtId="10" fontId="0" fillId="0" borderId="33" xfId="1" applyNumberFormat="1" applyFont="1" applyBorder="1" applyAlignment="1">
      <alignment horizontal="center" vertical="center"/>
    </xf>
    <xf numFmtId="10" fontId="0" fillId="0" borderId="46" xfId="1" applyNumberFormat="1" applyFont="1" applyBorder="1" applyAlignment="1">
      <alignment horizontal="center" vertical="center"/>
    </xf>
    <xf numFmtId="2" fontId="0" fillId="0" borderId="28" xfId="1" applyNumberFormat="1" applyFont="1" applyBorder="1" applyAlignment="1">
      <alignment horizontal="center" vertical="center"/>
    </xf>
    <xf numFmtId="2" fontId="0" fillId="0" borderId="29" xfId="1" applyNumberFormat="1" applyFont="1" applyBorder="1" applyAlignment="1">
      <alignment horizontal="center" vertical="center"/>
    </xf>
    <xf numFmtId="2" fontId="0" fillId="0" borderId="30" xfId="1" applyNumberFormat="1" applyFont="1" applyBorder="1" applyAlignment="1">
      <alignment horizontal="center" vertical="center"/>
    </xf>
    <xf numFmtId="2" fontId="0" fillId="0" borderId="23" xfId="1" applyNumberFormat="1" applyFont="1" applyBorder="1" applyAlignment="1">
      <alignment horizontal="center" vertical="center"/>
    </xf>
    <xf numFmtId="2" fontId="0" fillId="0" borderId="31" xfId="1" applyNumberFormat="1" applyFont="1" applyBorder="1" applyAlignment="1">
      <alignment horizontal="center" vertical="center"/>
    </xf>
    <xf numFmtId="2" fontId="0" fillId="0" borderId="9" xfId="1" applyNumberFormat="1" applyFont="1" applyBorder="1" applyAlignment="1">
      <alignment horizontal="center" vertical="center"/>
    </xf>
    <xf numFmtId="2" fontId="0" fillId="0" borderId="14" xfId="1" applyNumberFormat="1" applyFont="1" applyBorder="1" applyAlignment="1">
      <alignment horizontal="center" vertical="center"/>
    </xf>
    <xf numFmtId="2" fontId="0" fillId="0" borderId="40" xfId="1" applyNumberFormat="1" applyFont="1" applyBorder="1" applyAlignment="1">
      <alignment horizontal="center" vertical="center"/>
    </xf>
    <xf numFmtId="2" fontId="0" fillId="0" borderId="17" xfId="1" applyNumberFormat="1" applyFont="1" applyBorder="1" applyAlignment="1">
      <alignment horizontal="center" vertical="center"/>
    </xf>
    <xf numFmtId="2" fontId="0" fillId="0" borderId="32" xfId="1" applyNumberFormat="1" applyFont="1" applyBorder="1" applyAlignment="1">
      <alignment horizontal="center" vertical="center"/>
    </xf>
    <xf numFmtId="2" fontId="0" fillId="0" borderId="33" xfId="1" applyNumberFormat="1" applyFont="1" applyBorder="1" applyAlignment="1">
      <alignment horizontal="center" vertical="center"/>
    </xf>
    <xf numFmtId="2" fontId="0" fillId="0" borderId="46" xfId="1" applyNumberFormat="1" applyFont="1" applyBorder="1" applyAlignment="1">
      <alignment horizontal="center" vertical="center"/>
    </xf>
    <xf numFmtId="2" fontId="0" fillId="0" borderId="0" xfId="0" applyNumberFormat="1"/>
    <xf numFmtId="2" fontId="0" fillId="0" borderId="27" xfId="2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0" fillId="0" borderId="59" xfId="0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64" xfId="0" applyBorder="1" applyAlignment="1">
      <alignment vertical="center"/>
    </xf>
    <xf numFmtId="0" fontId="0" fillId="0" borderId="60" xfId="0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47" xfId="0" applyBorder="1" applyAlignment="1">
      <alignment vertical="center"/>
    </xf>
    <xf numFmtId="0" fontId="0" fillId="0" borderId="65" xfId="0" applyBorder="1" applyAlignment="1">
      <alignment vertical="center"/>
    </xf>
    <xf numFmtId="0" fontId="2" fillId="0" borderId="64" xfId="0" applyFont="1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2" fillId="0" borderId="50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0" fillId="0" borderId="21" xfId="0" applyBorder="1" applyAlignment="1">
      <alignment vertical="center"/>
    </xf>
    <xf numFmtId="0" fontId="7" fillId="0" borderId="0" xfId="0" applyFont="1"/>
    <xf numFmtId="0" fontId="2" fillId="0" borderId="0" xfId="0" applyFont="1" applyFill="1" applyBorder="1" applyAlignment="1">
      <alignment horizontal="left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68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 wrapText="1"/>
    </xf>
    <xf numFmtId="0" fontId="2" fillId="0" borderId="46" xfId="0" applyFont="1" applyBorder="1" applyAlignment="1">
      <alignment horizontal="center" vertical="center" wrapText="1"/>
    </xf>
    <xf numFmtId="0" fontId="0" fillId="0" borderId="75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55" xfId="0" applyBorder="1" applyAlignment="1">
      <alignment horizontal="left" vertical="center" wrapText="1"/>
    </xf>
    <xf numFmtId="0" fontId="0" fillId="0" borderId="55" xfId="0" applyBorder="1"/>
    <xf numFmtId="0" fontId="0" fillId="0" borderId="78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44" fontId="0" fillId="0" borderId="0" xfId="0" applyNumberFormat="1"/>
    <xf numFmtId="0" fontId="3" fillId="0" borderId="41" xfId="0" applyFont="1" applyBorder="1" applyAlignment="1">
      <alignment vertical="center"/>
    </xf>
    <xf numFmtId="0" fontId="3" fillId="0" borderId="42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3" fillId="0" borderId="26" xfId="0" applyFont="1" applyBorder="1" applyAlignment="1">
      <alignment vertical="center"/>
    </xf>
    <xf numFmtId="44" fontId="0" fillId="0" borderId="27" xfId="2" applyNumberFormat="1" applyFont="1" applyBorder="1" applyAlignment="1">
      <alignment horizontal="center" vertical="center"/>
    </xf>
    <xf numFmtId="44" fontId="0" fillId="0" borderId="28" xfId="1" applyNumberFormat="1" applyFont="1" applyBorder="1" applyAlignment="1">
      <alignment horizontal="center" vertical="center"/>
    </xf>
    <xf numFmtId="44" fontId="0" fillId="0" borderId="29" xfId="1" applyNumberFormat="1" applyFont="1" applyBorder="1" applyAlignment="1">
      <alignment horizontal="center" vertical="center"/>
    </xf>
    <xf numFmtId="44" fontId="0" fillId="0" borderId="30" xfId="1" applyNumberFormat="1" applyFont="1" applyBorder="1" applyAlignment="1">
      <alignment horizontal="center" vertical="center"/>
    </xf>
    <xf numFmtId="44" fontId="0" fillId="0" borderId="23" xfId="1" applyNumberFormat="1" applyFont="1" applyBorder="1" applyAlignment="1">
      <alignment horizontal="center" vertical="center"/>
    </xf>
    <xf numFmtId="44" fontId="0" fillId="0" borderId="31" xfId="1" applyNumberFormat="1" applyFont="1" applyBorder="1" applyAlignment="1">
      <alignment horizontal="center" vertical="center"/>
    </xf>
    <xf numFmtId="44" fontId="0" fillId="0" borderId="9" xfId="1" applyNumberFormat="1" applyFont="1" applyBorder="1" applyAlignment="1">
      <alignment horizontal="center" vertical="center"/>
    </xf>
    <xf numFmtId="44" fontId="0" fillId="0" borderId="14" xfId="1" applyNumberFormat="1" applyFont="1" applyBorder="1" applyAlignment="1">
      <alignment horizontal="center" vertical="center"/>
    </xf>
    <xf numFmtId="44" fontId="0" fillId="0" borderId="40" xfId="1" applyNumberFormat="1" applyFont="1" applyBorder="1" applyAlignment="1">
      <alignment horizontal="center" vertical="center"/>
    </xf>
    <xf numFmtId="44" fontId="0" fillId="0" borderId="17" xfId="1" applyNumberFormat="1" applyFont="1" applyBorder="1" applyAlignment="1">
      <alignment horizontal="center" vertical="center"/>
    </xf>
    <xf numFmtId="44" fontId="0" fillId="0" borderId="32" xfId="1" applyNumberFormat="1" applyFont="1" applyBorder="1" applyAlignment="1">
      <alignment horizontal="center" vertical="center"/>
    </xf>
    <xf numFmtId="44" fontId="0" fillId="0" borderId="33" xfId="1" applyNumberFormat="1" applyFont="1" applyBorder="1" applyAlignment="1">
      <alignment horizontal="center" vertical="center"/>
    </xf>
    <xf numFmtId="44" fontId="0" fillId="0" borderId="46" xfId="1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83" xfId="0" applyFont="1" applyBorder="1" applyAlignment="1">
      <alignment vertical="center"/>
    </xf>
    <xf numFmtId="0" fontId="2" fillId="0" borderId="59" xfId="0" applyFont="1" applyBorder="1" applyAlignment="1">
      <alignment vertical="center"/>
    </xf>
    <xf numFmtId="44" fontId="0" fillId="0" borderId="60" xfId="0" applyNumberFormat="1" applyBorder="1" applyAlignment="1">
      <alignment horizontal="center" vertical="center"/>
    </xf>
    <xf numFmtId="44" fontId="0" fillId="0" borderId="69" xfId="0" applyNumberFormat="1" applyBorder="1" applyAlignment="1">
      <alignment horizontal="center" vertical="center"/>
    </xf>
    <xf numFmtId="44" fontId="0" fillId="0" borderId="70" xfId="0" applyNumberFormat="1" applyBorder="1" applyAlignment="1">
      <alignment horizontal="center" vertical="center"/>
    </xf>
    <xf numFmtId="0" fontId="2" fillId="0" borderId="64" xfId="0" applyFont="1" applyBorder="1" applyAlignment="1">
      <alignment vertical="center"/>
    </xf>
    <xf numFmtId="44" fontId="0" fillId="0" borderId="74" xfId="0" applyNumberFormat="1" applyBorder="1" applyAlignment="1">
      <alignment horizontal="center" vertical="center"/>
    </xf>
    <xf numFmtId="44" fontId="0" fillId="0" borderId="75" xfId="0" applyNumberFormat="1" applyBorder="1" applyAlignment="1">
      <alignment horizontal="center" vertical="center"/>
    </xf>
    <xf numFmtId="44" fontId="0" fillId="0" borderId="66" xfId="0" applyNumberFormat="1" applyBorder="1" applyAlignment="1">
      <alignment horizontal="center" vertical="center"/>
    </xf>
    <xf numFmtId="0" fontId="2" fillId="0" borderId="84" xfId="0" applyFont="1" applyBorder="1" applyAlignment="1">
      <alignment vertical="center"/>
    </xf>
    <xf numFmtId="44" fontId="0" fillId="0" borderId="71" xfId="0" applyNumberFormat="1" applyBorder="1" applyAlignment="1">
      <alignment horizontal="center" vertical="center"/>
    </xf>
    <xf numFmtId="44" fontId="0" fillId="0" borderId="72" xfId="0" applyNumberFormat="1" applyBorder="1" applyAlignment="1">
      <alignment horizontal="center" vertical="center"/>
    </xf>
    <xf numFmtId="44" fontId="0" fillId="0" borderId="63" xfId="0" applyNumberFormat="1" applyBorder="1" applyAlignment="1">
      <alignment horizontal="center" vertical="center"/>
    </xf>
    <xf numFmtId="2" fontId="2" fillId="0" borderId="17" xfId="0" applyNumberFormat="1" applyFont="1" applyBorder="1" applyAlignment="1">
      <alignment horizontal="center" vertical="center"/>
    </xf>
    <xf numFmtId="2" fontId="2" fillId="0" borderId="32" xfId="0" applyNumberFormat="1" applyFont="1" applyBorder="1" applyAlignment="1">
      <alignment horizontal="center" vertical="center"/>
    </xf>
    <xf numFmtId="0" fontId="2" fillId="0" borderId="46" xfId="0" applyFont="1" applyBorder="1" applyAlignment="1">
      <alignment vertical="center"/>
    </xf>
    <xf numFmtId="44" fontId="2" fillId="0" borderId="13" xfId="0" applyNumberFormat="1" applyFont="1" applyBorder="1" applyAlignment="1">
      <alignment horizontal="center" vertical="center"/>
    </xf>
    <xf numFmtId="44" fontId="2" fillId="0" borderId="16" xfId="0" applyNumberFormat="1" applyFont="1" applyBorder="1" applyAlignment="1">
      <alignment horizontal="center" vertical="center"/>
    </xf>
    <xf numFmtId="44" fontId="2" fillId="0" borderId="53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vertical="center" wrapText="1"/>
    </xf>
    <xf numFmtId="9" fontId="0" fillId="0" borderId="46" xfId="1" applyFont="1" applyBorder="1" applyAlignment="1">
      <alignment horizontal="center" vertical="center"/>
    </xf>
    <xf numFmtId="44" fontId="0" fillId="0" borderId="46" xfId="0" applyNumberFormat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44" fontId="2" fillId="0" borderId="26" xfId="0" applyNumberFormat="1" applyFont="1" applyBorder="1" applyAlignment="1">
      <alignment horizontal="center" vertical="center"/>
    </xf>
    <xf numFmtId="44" fontId="2" fillId="0" borderId="21" xfId="0" applyNumberFormat="1" applyFont="1" applyBorder="1" applyAlignment="1">
      <alignment horizontal="center" vertical="center"/>
    </xf>
    <xf numFmtId="44" fontId="2" fillId="0" borderId="83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4" fontId="2" fillId="0" borderId="73" xfId="0" applyNumberFormat="1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2" fillId="0" borderId="69" xfId="0" applyFont="1" applyBorder="1" applyAlignment="1">
      <alignment horizontal="center" vertical="center"/>
    </xf>
    <xf numFmtId="0" fontId="2" fillId="0" borderId="76" xfId="0" applyFont="1" applyBorder="1" applyAlignment="1">
      <alignment horizontal="center" vertical="center"/>
    </xf>
    <xf numFmtId="0" fontId="0" fillId="0" borderId="68" xfId="0" applyBorder="1" applyAlignment="1">
      <alignment horizontal="left" vertical="center" wrapText="1"/>
    </xf>
    <xf numFmtId="0" fontId="0" fillId="0" borderId="70" xfId="0" applyBorder="1" applyAlignment="1">
      <alignment horizontal="left" vertical="center" wrapText="1"/>
    </xf>
    <xf numFmtId="0" fontId="0" fillId="0" borderId="77" xfId="0" applyBorder="1" applyAlignment="1">
      <alignment horizontal="left" vertical="center" wrapText="1"/>
    </xf>
    <xf numFmtId="0" fontId="2" fillId="0" borderId="81" xfId="0" applyFont="1" applyBorder="1" applyAlignment="1">
      <alignment horizontal="center" vertical="center"/>
    </xf>
    <xf numFmtId="0" fontId="0" fillId="0" borderId="79" xfId="0" applyBorder="1" applyAlignment="1">
      <alignment horizontal="left" vertical="center" wrapText="1"/>
    </xf>
    <xf numFmtId="0" fontId="2" fillId="0" borderId="74" xfId="0" applyFont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0" fillId="0" borderId="75" xfId="0" applyBorder="1" applyAlignment="1">
      <alignment horizontal="left" vertical="center" wrapText="1"/>
    </xf>
    <xf numFmtId="0" fontId="0" fillId="0" borderId="72" xfId="0" applyBorder="1" applyAlignment="1">
      <alignment horizontal="left" vertical="center" wrapText="1"/>
    </xf>
    <xf numFmtId="0" fontId="2" fillId="0" borderId="54" xfId="0" applyFont="1" applyBorder="1" applyAlignment="1">
      <alignment horizontal="right" vertical="center"/>
    </xf>
    <xf numFmtId="0" fontId="2" fillId="0" borderId="55" xfId="0" applyFont="1" applyBorder="1" applyAlignment="1">
      <alignment horizontal="right" vertical="center"/>
    </xf>
    <xf numFmtId="0" fontId="2" fillId="0" borderId="46" xfId="0" applyFont="1" applyBorder="1" applyAlignment="1">
      <alignment horizontal="right" vertical="center"/>
    </xf>
    <xf numFmtId="1" fontId="2" fillId="0" borderId="54" xfId="0" applyNumberFormat="1" applyFont="1" applyBorder="1" applyAlignment="1">
      <alignment horizontal="center" vertical="center"/>
    </xf>
    <xf numFmtId="1" fontId="2" fillId="0" borderId="46" xfId="0" applyNumberFormat="1" applyFon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52" xfId="0" applyBorder="1" applyAlignment="1">
      <alignment horizontal="left" vertical="center"/>
    </xf>
    <xf numFmtId="0" fontId="0" fillId="0" borderId="53" xfId="0" applyBorder="1" applyAlignment="1">
      <alignment horizontal="left" vertical="center"/>
    </xf>
    <xf numFmtId="0" fontId="2" fillId="0" borderId="55" xfId="0" applyFont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47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0" fillId="0" borderId="56" xfId="0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2" fontId="3" fillId="0" borderId="47" xfId="0" applyNumberFormat="1" applyFont="1" applyBorder="1" applyAlignment="1">
      <alignment horizontal="center" vertical="center"/>
    </xf>
    <xf numFmtId="2" fontId="3" fillId="0" borderId="48" xfId="0" applyNumberFormat="1" applyFont="1" applyBorder="1" applyAlignment="1">
      <alignment horizontal="center" vertical="center"/>
    </xf>
    <xf numFmtId="2" fontId="3" fillId="0" borderId="49" xfId="0" applyNumberFormat="1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4" fillId="0" borderId="54" xfId="0" applyFont="1" applyBorder="1" applyAlignment="1">
      <alignment horizontal="left" vertical="center"/>
    </xf>
    <xf numFmtId="0" fontId="4" fillId="0" borderId="55" xfId="0" applyFont="1" applyBorder="1" applyAlignment="1">
      <alignment horizontal="left" vertical="center"/>
    </xf>
    <xf numFmtId="0" fontId="4" fillId="0" borderId="46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vertical="center" wrapText="1"/>
    </xf>
    <xf numFmtId="0" fontId="0" fillId="0" borderId="56" xfId="0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</cellXfs>
  <cellStyles count="3">
    <cellStyle name="Normal" xfId="0" builtinId="0"/>
    <cellStyle name="Porcentagem" xfId="1" builtinId="5"/>
    <cellStyle name="Vírgula" xfId="2" builtin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tabSelected="1" zoomScale="90" zoomScaleNormal="90" workbookViewId="0"/>
  </sheetViews>
  <sheetFormatPr defaultRowHeight="15" x14ac:dyDescent="0.25"/>
  <cols>
    <col min="1" max="1" width="4.5703125" customWidth="1"/>
    <col min="2" max="2" width="96" customWidth="1"/>
    <col min="4" max="7" width="15.85546875" customWidth="1"/>
    <col min="8" max="8" width="18.7109375" hidden="1" customWidth="1"/>
    <col min="9" max="9" width="0" hidden="1" customWidth="1"/>
    <col min="10" max="10" width="15.7109375" customWidth="1"/>
    <col min="12" max="12" width="19.5703125" customWidth="1"/>
  </cols>
  <sheetData>
    <row r="1" spans="1:15" ht="48" customHeight="1" thickBot="1" x14ac:dyDescent="0.3">
      <c r="A1" s="88" t="s">
        <v>97</v>
      </c>
      <c r="B1" s="89" t="s">
        <v>98</v>
      </c>
      <c r="C1" s="89" t="s">
        <v>104</v>
      </c>
      <c r="D1" s="90" t="s">
        <v>101</v>
      </c>
      <c r="E1" s="90" t="s">
        <v>102</v>
      </c>
      <c r="F1" s="90" t="s">
        <v>103</v>
      </c>
      <c r="G1" s="91" t="s">
        <v>40</v>
      </c>
      <c r="J1" s="145" t="s">
        <v>119</v>
      </c>
    </row>
    <row r="2" spans="1:15" x14ac:dyDescent="0.25">
      <c r="A2" s="151">
        <v>1</v>
      </c>
      <c r="B2" s="154" t="s">
        <v>120</v>
      </c>
      <c r="C2" s="85" t="s">
        <v>35</v>
      </c>
      <c r="D2" s="85"/>
      <c r="E2" s="85"/>
      <c r="F2" s="85"/>
      <c r="G2" s="82"/>
      <c r="H2" s="52" t="str">
        <f>IF(G2="SIMPLES",ESTIMATIVAS!$C$2,IF(G2="MÉDIA",ESTIMATIVAS!$C$3,IF(G2="COMPLEXA",ESTIMATIVAS!$C$4,"")))</f>
        <v/>
      </c>
      <c r="I2" s="149" t="str">
        <f>IF(SUM(H2:H6)=0,"",(SUM(H2:H6)*ESTIMATIVAS!$D$49*'DIST. ESFORÇO'!$J$29))</f>
        <v/>
      </c>
      <c r="J2" s="150" t="str">
        <f>IF(SUM(H2:H6)=0,"",I2*('FINANCEIRO e PRAZOS'!$C$12/44))</f>
        <v/>
      </c>
      <c r="K2">
        <v>2</v>
      </c>
      <c r="L2">
        <f>$O$2*K2</f>
        <v>10</v>
      </c>
      <c r="N2">
        <v>1</v>
      </c>
      <c r="O2">
        <v>5</v>
      </c>
    </row>
    <row r="3" spans="1:15" x14ac:dyDescent="0.25">
      <c r="A3" s="152"/>
      <c r="B3" s="155"/>
      <c r="C3" s="86" t="s">
        <v>36</v>
      </c>
      <c r="D3" s="86"/>
      <c r="E3" s="86"/>
      <c r="F3" s="86"/>
      <c r="G3" s="79"/>
      <c r="H3" s="52" t="str">
        <f>IF(G3="SIMPLES",ESTIMATIVAS!$C$8,IF(G3="MÉDIA",ESTIMATIVAS!$C$9,IF(G3="COMPLEXA",ESTIMATIVAS!$C$10,"")))</f>
        <v/>
      </c>
      <c r="I3" s="149"/>
      <c r="J3" s="146"/>
    </row>
    <row r="4" spans="1:15" x14ac:dyDescent="0.25">
      <c r="A4" s="152"/>
      <c r="B4" s="155"/>
      <c r="C4" s="86" t="s">
        <v>37</v>
      </c>
      <c r="D4" s="86"/>
      <c r="E4" s="86"/>
      <c r="F4" s="86"/>
      <c r="G4" s="79"/>
      <c r="H4" s="52" t="str">
        <f>IF(G4="SIMPLES",ESTIMATIVAS!$C$14,IF(G4="MÉDIA",ESTIMATIVAS!$C$15,IF(G4="COMPLEXA",ESTIMATIVAS!$C$16,"")))</f>
        <v/>
      </c>
      <c r="I4" s="149"/>
      <c r="J4" s="146"/>
    </row>
    <row r="5" spans="1:15" x14ac:dyDescent="0.25">
      <c r="A5" s="152"/>
      <c r="B5" s="155"/>
      <c r="C5" s="86" t="s">
        <v>38</v>
      </c>
      <c r="D5" s="86"/>
      <c r="E5" s="86"/>
      <c r="F5" s="86"/>
      <c r="G5" s="79"/>
      <c r="H5" s="52" t="str">
        <f>IF(G5="SIMPLES",ESTIMATIVAS!$C$20,IF(G5="MÉDIA",ESTIMATIVAS!$C$21,IF(G5="COMPLEXA",ESTIMATIVAS!$C$22,"")))</f>
        <v/>
      </c>
      <c r="I5" s="149"/>
      <c r="J5" s="146"/>
    </row>
    <row r="6" spans="1:15" x14ac:dyDescent="0.25">
      <c r="A6" s="153"/>
      <c r="B6" s="156"/>
      <c r="C6" s="93" t="s">
        <v>39</v>
      </c>
      <c r="D6" s="93"/>
      <c r="E6" s="93"/>
      <c r="F6" s="93"/>
      <c r="G6" s="97"/>
      <c r="H6" s="52" t="str">
        <f>IF(G6="SIMPLES",ESTIMATIVAS!$C$26,IF(G6="MÉDIA",ESTIMATIVAS!$C$27,IF(G6="COMPLEXA",ESTIMATIVAS!$C$28,"")))</f>
        <v/>
      </c>
      <c r="I6" s="149"/>
      <c r="J6" s="146"/>
    </row>
    <row r="7" spans="1:15" x14ac:dyDescent="0.25">
      <c r="A7" s="157">
        <v>2</v>
      </c>
      <c r="B7" s="158" t="s">
        <v>121</v>
      </c>
      <c r="C7" s="94" t="s">
        <v>35</v>
      </c>
      <c r="D7" s="94"/>
      <c r="E7" s="94"/>
      <c r="F7" s="94"/>
      <c r="G7" s="98"/>
      <c r="H7" s="52" t="str">
        <f>IF(G7="SIMPLES",ESTIMATIVAS!$C$2,IF(G7="MÉDIA",ESTIMATIVAS!$C$3,IF(G7="COMPLEXA",ESTIMATIVAS!$C$4,"")))</f>
        <v/>
      </c>
      <c r="I7" s="149" t="str">
        <f>IF(SUM(H7:H11)=0,"",(SUM(H7:H11)*ESTIMATIVAS!$D$49*'DIST. ESFORÇO'!$J$29))</f>
        <v/>
      </c>
      <c r="J7" s="146" t="str">
        <f>IF(SUM(H7:H11)=0,"",I7*('FINANCEIRO e PRAZOS'!$C$12/44))</f>
        <v/>
      </c>
      <c r="K7">
        <v>3</v>
      </c>
      <c r="L7">
        <f>$O$2*K7</f>
        <v>15</v>
      </c>
    </row>
    <row r="8" spans="1:15" x14ac:dyDescent="0.25">
      <c r="A8" s="152"/>
      <c r="B8" s="155"/>
      <c r="C8" s="86" t="s">
        <v>36</v>
      </c>
      <c r="D8" s="86"/>
      <c r="E8" s="86"/>
      <c r="F8" s="86"/>
      <c r="G8" s="79"/>
      <c r="H8" s="52" t="str">
        <f>IF(G8="SIMPLES",ESTIMATIVAS!$C$8,IF(G8="MÉDIA",ESTIMATIVAS!$C$9,IF(G8="COMPLEXA",ESTIMATIVAS!$C$10,"")))</f>
        <v/>
      </c>
      <c r="I8" s="149"/>
      <c r="J8" s="146"/>
    </row>
    <row r="9" spans="1:15" x14ac:dyDescent="0.25">
      <c r="A9" s="152"/>
      <c r="B9" s="155"/>
      <c r="C9" s="86" t="s">
        <v>37</v>
      </c>
      <c r="D9" s="86"/>
      <c r="E9" s="86"/>
      <c r="F9" s="86"/>
      <c r="G9" s="79"/>
      <c r="H9" s="52" t="str">
        <f>IF(G9="SIMPLES",ESTIMATIVAS!$C$14,IF(G9="MÉDIA",ESTIMATIVAS!$C$15,IF(G9="COMPLEXA",ESTIMATIVAS!$C$16,"")))</f>
        <v/>
      </c>
      <c r="I9" s="149"/>
      <c r="J9" s="146"/>
    </row>
    <row r="10" spans="1:15" x14ac:dyDescent="0.25">
      <c r="A10" s="152"/>
      <c r="B10" s="155"/>
      <c r="C10" s="86" t="s">
        <v>38</v>
      </c>
      <c r="D10" s="86"/>
      <c r="E10" s="86"/>
      <c r="F10" s="86"/>
      <c r="G10" s="79"/>
      <c r="H10" s="52" t="str">
        <f>IF(G10="SIMPLES",ESTIMATIVAS!$C$20,IF(G10="MÉDIA",ESTIMATIVAS!$C$21,IF(G10="COMPLEXA",ESTIMATIVAS!$C$22,"")))</f>
        <v/>
      </c>
      <c r="I10" s="149"/>
      <c r="J10" s="146"/>
    </row>
    <row r="11" spans="1:15" x14ac:dyDescent="0.25">
      <c r="A11" s="153"/>
      <c r="B11" s="156"/>
      <c r="C11" s="93" t="s">
        <v>39</v>
      </c>
      <c r="D11" s="93"/>
      <c r="E11" s="93"/>
      <c r="F11" s="93"/>
      <c r="G11" s="97"/>
      <c r="H11" s="52" t="str">
        <f>IF(G11="SIMPLES",ESTIMATIVAS!$C$26,IF(G11="MÉDIA",ESTIMATIVAS!$C$27,IF(G11="COMPLEXA",ESTIMATIVAS!$C$28,"")))</f>
        <v/>
      </c>
      <c r="I11" s="149"/>
      <c r="J11" s="146"/>
    </row>
    <row r="12" spans="1:15" x14ac:dyDescent="0.25">
      <c r="A12" s="157">
        <v>3</v>
      </c>
      <c r="B12" s="158" t="s">
        <v>124</v>
      </c>
      <c r="C12" s="94" t="s">
        <v>35</v>
      </c>
      <c r="D12" s="94"/>
      <c r="E12" s="94"/>
      <c r="F12" s="94"/>
      <c r="G12" s="98"/>
      <c r="H12" s="52" t="str">
        <f>IF(G12="SIMPLES",ESTIMATIVAS!$C$2,IF(G12="MÉDIA",ESTIMATIVAS!$C$3,IF(G12="COMPLEXA",ESTIMATIVAS!$C$4,"")))</f>
        <v/>
      </c>
      <c r="I12" s="149" t="str">
        <f>IF(SUM(H12:H16)=0,"",(SUM(H12:H16)*ESTIMATIVAS!$D$49*'DIST. ESFORÇO'!$J$29))</f>
        <v/>
      </c>
      <c r="J12" s="146" t="str">
        <f>IF(SUM(H12:H16)=0,"",I12*('FINANCEIRO e PRAZOS'!$C$12/44))</f>
        <v/>
      </c>
      <c r="K12">
        <v>34</v>
      </c>
      <c r="L12">
        <f>$O$2*K12</f>
        <v>170</v>
      </c>
    </row>
    <row r="13" spans="1:15" x14ac:dyDescent="0.25">
      <c r="A13" s="152"/>
      <c r="B13" s="155"/>
      <c r="C13" s="86" t="s">
        <v>36</v>
      </c>
      <c r="D13" s="86"/>
      <c r="E13" s="86"/>
      <c r="F13" s="86"/>
      <c r="G13" s="83"/>
      <c r="H13" s="52" t="str">
        <f>IF(G13="SIMPLES",ESTIMATIVAS!$C$8,IF(G13="MÉDIA",ESTIMATIVAS!$C$9,IF(G13="COMPLEXA",ESTIMATIVAS!$C$10,"")))</f>
        <v/>
      </c>
      <c r="I13" s="149"/>
      <c r="J13" s="146"/>
    </row>
    <row r="14" spans="1:15" x14ac:dyDescent="0.25">
      <c r="A14" s="152"/>
      <c r="B14" s="155"/>
      <c r="C14" s="86" t="s">
        <v>37</v>
      </c>
      <c r="D14" s="86"/>
      <c r="E14" s="86"/>
      <c r="F14" s="86"/>
      <c r="G14" s="83"/>
      <c r="H14" s="52" t="str">
        <f>IF(G14="SIMPLES",ESTIMATIVAS!$C$14,IF(G14="MÉDIA",ESTIMATIVAS!$C$15,IF(G14="COMPLEXA",ESTIMATIVAS!$C$16,"")))</f>
        <v/>
      </c>
      <c r="I14" s="149"/>
      <c r="J14" s="146"/>
    </row>
    <row r="15" spans="1:15" x14ac:dyDescent="0.25">
      <c r="A15" s="152"/>
      <c r="B15" s="155"/>
      <c r="C15" s="86" t="s">
        <v>38</v>
      </c>
      <c r="D15" s="86"/>
      <c r="E15" s="86"/>
      <c r="F15" s="86"/>
      <c r="G15" s="83"/>
      <c r="H15" s="52" t="str">
        <f>IF(G15="SIMPLES",ESTIMATIVAS!$C$20,IF(G15="MÉDIA",ESTIMATIVAS!$C$21,IF(G15="COMPLEXA",ESTIMATIVAS!$C$22,"")))</f>
        <v/>
      </c>
      <c r="I15" s="149"/>
      <c r="J15" s="146"/>
    </row>
    <row r="16" spans="1:15" x14ac:dyDescent="0.25">
      <c r="A16" s="153"/>
      <c r="B16" s="156"/>
      <c r="C16" s="93" t="s">
        <v>39</v>
      </c>
      <c r="D16" s="93"/>
      <c r="E16" s="93"/>
      <c r="F16" s="93"/>
      <c r="G16" s="97"/>
      <c r="H16" s="52" t="str">
        <f>IF(G16="SIMPLES",ESTIMATIVAS!$C$26,IF(G16="MÉDIA",ESTIMATIVAS!$C$27,IF(G16="COMPLEXA",ESTIMATIVAS!$C$28,"")))</f>
        <v/>
      </c>
      <c r="I16" s="149"/>
      <c r="J16" s="146"/>
    </row>
    <row r="17" spans="1:12" x14ac:dyDescent="0.25">
      <c r="A17" s="157">
        <v>4</v>
      </c>
      <c r="B17" s="158" t="s">
        <v>122</v>
      </c>
      <c r="C17" s="94" t="s">
        <v>35</v>
      </c>
      <c r="D17" s="94"/>
      <c r="E17" s="94"/>
      <c r="F17" s="94"/>
      <c r="G17" s="98"/>
      <c r="H17" s="52" t="str">
        <f>IF(G17="SIMPLES",ESTIMATIVAS!$C$2,IF(G17="MÉDIA",ESTIMATIVAS!$C$3,IF(G17="COMPLEXA",ESTIMATIVAS!$C$4,"")))</f>
        <v/>
      </c>
      <c r="I17" s="149" t="str">
        <f>IF(SUM(H17:H21)=0,"",(SUM(H17:H21)*ESTIMATIVAS!$D$49*'DIST. ESFORÇO'!$J$29))</f>
        <v/>
      </c>
      <c r="J17" s="146" t="str">
        <f>IF(SUM(H17:H21)=0,"",I17*('FINANCEIRO e PRAZOS'!$C$12/44))</f>
        <v/>
      </c>
      <c r="K17">
        <v>13</v>
      </c>
      <c r="L17">
        <f>$O$2*K17</f>
        <v>65</v>
      </c>
    </row>
    <row r="18" spans="1:12" x14ac:dyDescent="0.25">
      <c r="A18" s="152"/>
      <c r="B18" s="155"/>
      <c r="C18" s="86" t="s">
        <v>36</v>
      </c>
      <c r="D18" s="86"/>
      <c r="E18" s="86"/>
      <c r="F18" s="86"/>
      <c r="G18" s="83"/>
      <c r="H18" s="52" t="str">
        <f>IF(G18="SIMPLES",ESTIMATIVAS!$C$8,IF(G18="MÉDIA",ESTIMATIVAS!$C$9,IF(G18="COMPLEXA",ESTIMATIVAS!$C$10,"")))</f>
        <v/>
      </c>
      <c r="I18" s="149"/>
      <c r="J18" s="146"/>
    </row>
    <row r="19" spans="1:12" x14ac:dyDescent="0.25">
      <c r="A19" s="152"/>
      <c r="B19" s="155"/>
      <c r="C19" s="86" t="s">
        <v>37</v>
      </c>
      <c r="D19" s="86"/>
      <c r="E19" s="86"/>
      <c r="F19" s="86"/>
      <c r="G19" s="83"/>
      <c r="H19" s="52" t="str">
        <f>IF(G19="SIMPLES",ESTIMATIVAS!$C$14,IF(G19="MÉDIA",ESTIMATIVAS!$C$15,IF(G19="COMPLEXA",ESTIMATIVAS!$C$16,"")))</f>
        <v/>
      </c>
      <c r="I19" s="149"/>
      <c r="J19" s="146"/>
    </row>
    <row r="20" spans="1:12" x14ac:dyDescent="0.25">
      <c r="A20" s="152"/>
      <c r="B20" s="155"/>
      <c r="C20" s="86" t="s">
        <v>38</v>
      </c>
      <c r="D20" s="86"/>
      <c r="E20" s="86"/>
      <c r="F20" s="86"/>
      <c r="G20" s="83"/>
      <c r="H20" s="52" t="str">
        <f>IF(G20="SIMPLES",ESTIMATIVAS!$C$20,IF(G20="MÉDIA",ESTIMATIVAS!$C$21,IF(G20="COMPLEXA",ESTIMATIVAS!$C$22,"")))</f>
        <v/>
      </c>
      <c r="I20" s="149"/>
      <c r="J20" s="146"/>
    </row>
    <row r="21" spans="1:12" x14ac:dyDescent="0.25">
      <c r="A21" s="153"/>
      <c r="B21" s="156"/>
      <c r="C21" s="93" t="s">
        <v>39</v>
      </c>
      <c r="D21" s="93"/>
      <c r="E21" s="93"/>
      <c r="F21" s="93"/>
      <c r="G21" s="97"/>
      <c r="H21" s="52" t="str">
        <f>IF(G21="SIMPLES",ESTIMATIVAS!$C$26,IF(G21="MÉDIA",ESTIMATIVAS!$C$27,IF(G21="COMPLEXA",ESTIMATIVAS!$C$28,"")))</f>
        <v/>
      </c>
      <c r="I21" s="149"/>
      <c r="J21" s="146"/>
    </row>
    <row r="22" spans="1:12" x14ac:dyDescent="0.25">
      <c r="A22" s="157">
        <v>5</v>
      </c>
      <c r="B22" s="158" t="s">
        <v>123</v>
      </c>
      <c r="C22" s="94" t="s">
        <v>35</v>
      </c>
      <c r="D22" s="94"/>
      <c r="E22" s="94"/>
      <c r="F22" s="94"/>
      <c r="G22" s="98"/>
      <c r="H22" s="52" t="str">
        <f>IF(G22="SIMPLES",ESTIMATIVAS!$C$2,IF(G22="MÉDIA",ESTIMATIVAS!$C$3,IF(G22="COMPLEXA",ESTIMATIVAS!$C$4,"")))</f>
        <v/>
      </c>
      <c r="I22" s="149" t="str">
        <f>IF(SUM(H22:H26)=0,"",(SUM(H22:H26)*ESTIMATIVAS!$D$49*'DIST. ESFORÇO'!$J$29))</f>
        <v/>
      </c>
      <c r="J22" s="146" t="str">
        <f>IF(SUM(H22:H26)=0,"",I22*('FINANCEIRO e PRAZOS'!$C$12/44))</f>
        <v/>
      </c>
      <c r="K22">
        <v>21</v>
      </c>
      <c r="L22">
        <f>$O$2*K22</f>
        <v>105</v>
      </c>
    </row>
    <row r="23" spans="1:12" x14ac:dyDescent="0.25">
      <c r="A23" s="152"/>
      <c r="B23" s="155"/>
      <c r="C23" s="86" t="s">
        <v>36</v>
      </c>
      <c r="D23" s="86"/>
      <c r="E23" s="86"/>
      <c r="F23" s="86"/>
      <c r="G23" s="83"/>
      <c r="H23" s="52" t="str">
        <f>IF(G23="SIMPLES",ESTIMATIVAS!$C$8,IF(G23="MÉDIA",ESTIMATIVAS!$C$9,IF(G23="COMPLEXA",ESTIMATIVAS!$C$10,"")))</f>
        <v/>
      </c>
      <c r="I23" s="149"/>
      <c r="J23" s="146"/>
    </row>
    <row r="24" spans="1:12" x14ac:dyDescent="0.25">
      <c r="A24" s="152"/>
      <c r="B24" s="155"/>
      <c r="C24" s="86" t="s">
        <v>37</v>
      </c>
      <c r="D24" s="86"/>
      <c r="E24" s="86"/>
      <c r="F24" s="86"/>
      <c r="G24" s="83"/>
      <c r="H24" s="52" t="str">
        <f>IF(G24="SIMPLES",ESTIMATIVAS!$C$14,IF(G24="MÉDIA",ESTIMATIVAS!$C$15,IF(G24="COMPLEXA",ESTIMATIVAS!$C$16,"")))</f>
        <v/>
      </c>
      <c r="I24" s="149"/>
      <c r="J24" s="146"/>
    </row>
    <row r="25" spans="1:12" x14ac:dyDescent="0.25">
      <c r="A25" s="152"/>
      <c r="B25" s="155"/>
      <c r="C25" s="86" t="s">
        <v>38</v>
      </c>
      <c r="D25" s="86"/>
      <c r="E25" s="86"/>
      <c r="F25" s="86"/>
      <c r="G25" s="83"/>
      <c r="H25" s="52" t="str">
        <f>IF(G25="SIMPLES",ESTIMATIVAS!$C$20,IF(G25="MÉDIA",ESTIMATIVAS!$C$21,IF(G25="COMPLEXA",ESTIMATIVAS!$C$22,"")))</f>
        <v/>
      </c>
      <c r="I25" s="149"/>
      <c r="J25" s="146"/>
    </row>
    <row r="26" spans="1:12" x14ac:dyDescent="0.25">
      <c r="A26" s="153"/>
      <c r="B26" s="156"/>
      <c r="C26" s="93" t="s">
        <v>39</v>
      </c>
      <c r="D26" s="93"/>
      <c r="E26" s="93"/>
      <c r="F26" s="93"/>
      <c r="G26" s="97"/>
      <c r="H26" s="52" t="str">
        <f>IF(G26="SIMPLES",ESTIMATIVAS!$C$26,IF(G26="MÉDIA",ESTIMATIVAS!$C$27,IF(G26="COMPLEXA",ESTIMATIVAS!$C$28,"")))</f>
        <v/>
      </c>
      <c r="I26" s="149"/>
      <c r="J26" s="146"/>
    </row>
    <row r="27" spans="1:12" x14ac:dyDescent="0.25">
      <c r="A27" s="157">
        <v>6</v>
      </c>
      <c r="B27" s="158" t="s">
        <v>125</v>
      </c>
      <c r="C27" s="94" t="s">
        <v>35</v>
      </c>
      <c r="D27" s="94"/>
      <c r="E27" s="94"/>
      <c r="F27" s="94"/>
      <c r="G27" s="98"/>
      <c r="H27" s="52" t="str">
        <f>IF(G27="SIMPLES",ESTIMATIVAS!$C$2,IF(G27="MÉDIA",ESTIMATIVAS!$C$3,IF(G27="COMPLEXA",ESTIMATIVAS!$C$4,"")))</f>
        <v/>
      </c>
      <c r="I27" s="149" t="str">
        <f>IF(SUM(H27:H31)=0,"",(SUM(H27:H31)*ESTIMATIVAS!$D$49*'DIST. ESFORÇO'!$J$29))</f>
        <v/>
      </c>
      <c r="J27" s="146" t="str">
        <f>IF(SUM(H27:H31)=0,"",I27*('FINANCEIRO e PRAZOS'!$C$12/44))</f>
        <v/>
      </c>
      <c r="K27">
        <v>8</v>
      </c>
      <c r="L27">
        <f>$O$2*K27</f>
        <v>40</v>
      </c>
    </row>
    <row r="28" spans="1:12" x14ac:dyDescent="0.25">
      <c r="A28" s="152"/>
      <c r="B28" s="155"/>
      <c r="C28" s="86" t="s">
        <v>36</v>
      </c>
      <c r="D28" s="86"/>
      <c r="E28" s="86"/>
      <c r="F28" s="86"/>
      <c r="G28" s="83"/>
      <c r="H28" s="52" t="str">
        <f>IF(G28="SIMPLES",ESTIMATIVAS!$C$8,IF(G28="MÉDIA",ESTIMATIVAS!$C$9,IF(G28="COMPLEXA",ESTIMATIVAS!$C$10,"")))</f>
        <v/>
      </c>
      <c r="I28" s="149"/>
      <c r="J28" s="146"/>
    </row>
    <row r="29" spans="1:12" x14ac:dyDescent="0.25">
      <c r="A29" s="152"/>
      <c r="B29" s="155"/>
      <c r="C29" s="86" t="s">
        <v>37</v>
      </c>
      <c r="D29" s="86"/>
      <c r="E29" s="86"/>
      <c r="F29" s="86"/>
      <c r="G29" s="83"/>
      <c r="H29" s="52" t="str">
        <f>IF(G29="SIMPLES",ESTIMATIVAS!$C$14,IF(G29="MÉDIA",ESTIMATIVAS!$C$15,IF(G29="COMPLEXA",ESTIMATIVAS!$C$16,"")))</f>
        <v/>
      </c>
      <c r="I29" s="149"/>
      <c r="J29" s="146"/>
    </row>
    <row r="30" spans="1:12" x14ac:dyDescent="0.25">
      <c r="A30" s="152"/>
      <c r="B30" s="155"/>
      <c r="C30" s="86" t="s">
        <v>38</v>
      </c>
      <c r="D30" s="86"/>
      <c r="E30" s="86"/>
      <c r="F30" s="86"/>
      <c r="G30" s="83"/>
      <c r="H30" s="52" t="str">
        <f>IF(G30="SIMPLES",ESTIMATIVAS!$C$20,IF(G30="MÉDIA",ESTIMATIVAS!$C$21,IF(G30="COMPLEXA",ESTIMATIVAS!$C$22,"")))</f>
        <v/>
      </c>
      <c r="I30" s="149"/>
      <c r="J30" s="146"/>
    </row>
    <row r="31" spans="1:12" x14ac:dyDescent="0.25">
      <c r="A31" s="153"/>
      <c r="B31" s="156"/>
      <c r="C31" s="93" t="s">
        <v>39</v>
      </c>
      <c r="D31" s="93"/>
      <c r="E31" s="93"/>
      <c r="F31" s="93"/>
      <c r="G31" s="97"/>
      <c r="H31" s="52" t="str">
        <f>IF(G31="SIMPLES",ESTIMATIVAS!$C$26,IF(G31="MÉDIA",ESTIMATIVAS!$C$27,IF(G31="COMPLEXA",ESTIMATIVAS!$C$28,"")))</f>
        <v/>
      </c>
      <c r="I31" s="149"/>
      <c r="J31" s="146"/>
    </row>
    <row r="32" spans="1:12" x14ac:dyDescent="0.25">
      <c r="A32" s="159"/>
      <c r="B32" s="161"/>
      <c r="C32" s="92" t="s">
        <v>35</v>
      </c>
      <c r="D32" s="92"/>
      <c r="E32" s="92"/>
      <c r="F32" s="92"/>
      <c r="G32" s="72"/>
      <c r="H32" s="52" t="str">
        <f>IF(G32="SIMPLES",ESTIMATIVAS!$C$2,IF(G32="MÉDIA",ESTIMATIVAS!$C$3,IF(G32="COMPLEXA",ESTIMATIVAS!$C$4,"")))</f>
        <v/>
      </c>
      <c r="I32" s="149" t="str">
        <f>IF(SUM(H32:H36)=0,"",(SUM(H32:H36)*ESTIMATIVAS!$D$49*'DIST. ESFORÇO'!$J$29))</f>
        <v/>
      </c>
      <c r="J32" s="147" t="str">
        <f>IF(SUM(H32:H36)=0,"",I32*('FINANCEIRO e PRAZOS'!$C$12/44))</f>
        <v/>
      </c>
    </row>
    <row r="33" spans="1:12" x14ac:dyDescent="0.25">
      <c r="A33" s="152"/>
      <c r="B33" s="155"/>
      <c r="C33" s="86" t="s">
        <v>36</v>
      </c>
      <c r="D33" s="86"/>
      <c r="E33" s="86"/>
      <c r="F33" s="86"/>
      <c r="G33" s="79"/>
      <c r="H33" s="52" t="str">
        <f>IF(G33="SIMPLES",ESTIMATIVAS!$C$8,IF(G33="MÉDIA",ESTIMATIVAS!$C$9,IF(G33="COMPLEXA",ESTIMATIVAS!$C$10,"")))</f>
        <v/>
      </c>
      <c r="I33" s="149"/>
      <c r="J33" s="147"/>
    </row>
    <row r="34" spans="1:12" x14ac:dyDescent="0.25">
      <c r="A34" s="152"/>
      <c r="B34" s="155"/>
      <c r="C34" s="86" t="s">
        <v>37</v>
      </c>
      <c r="D34" s="86"/>
      <c r="E34" s="86"/>
      <c r="F34" s="86"/>
      <c r="G34" s="79"/>
      <c r="H34" s="52" t="str">
        <f>IF(G34="SIMPLES",ESTIMATIVAS!$C$14,IF(G34="MÉDIA",ESTIMATIVAS!$C$15,IF(G34="COMPLEXA",ESTIMATIVAS!$C$16,"")))</f>
        <v/>
      </c>
      <c r="I34" s="149"/>
      <c r="J34" s="147"/>
    </row>
    <row r="35" spans="1:12" x14ac:dyDescent="0.25">
      <c r="A35" s="152"/>
      <c r="B35" s="155"/>
      <c r="C35" s="86" t="s">
        <v>38</v>
      </c>
      <c r="D35" s="86"/>
      <c r="E35" s="86"/>
      <c r="F35" s="86"/>
      <c r="G35" s="79"/>
      <c r="H35" s="52" t="str">
        <f>IF(G35="SIMPLES",ESTIMATIVAS!$C$20,IF(G35="MÉDIA",ESTIMATIVAS!$C$21,IF(G35="COMPLEXA",ESTIMATIVAS!$C$22,"")))</f>
        <v/>
      </c>
      <c r="I35" s="149"/>
      <c r="J35" s="147"/>
    </row>
    <row r="36" spans="1:12" ht="15.75" thickBot="1" x14ac:dyDescent="0.3">
      <c r="A36" s="160"/>
      <c r="B36" s="162"/>
      <c r="C36" s="87" t="s">
        <v>39</v>
      </c>
      <c r="D36" s="87"/>
      <c r="E36" s="87"/>
      <c r="F36" s="87"/>
      <c r="G36" s="78"/>
      <c r="H36" s="52" t="str">
        <f>IF(G36="SIMPLES",ESTIMATIVAS!$C$26,IF(G36="MÉDIA",ESTIMATIVAS!$C$27,IF(G36="COMPLEXA",ESTIMATIVAS!$C$28,"")))</f>
        <v/>
      </c>
      <c r="I36" s="149"/>
      <c r="J36" s="148"/>
      <c r="L36">
        <f>SUM(L2:L35)</f>
        <v>405</v>
      </c>
    </row>
    <row r="37" spans="1:12" ht="15.75" thickBot="1" x14ac:dyDescent="0.3">
      <c r="A37" s="80"/>
      <c r="B37" s="95"/>
      <c r="C37" s="54"/>
      <c r="D37" s="54"/>
      <c r="E37" s="54"/>
      <c r="F37" s="54"/>
      <c r="G37" s="96"/>
    </row>
    <row r="38" spans="1:12" ht="48" customHeight="1" thickBot="1" x14ac:dyDescent="0.3">
      <c r="A38" s="88" t="s">
        <v>97</v>
      </c>
      <c r="B38" s="89" t="s">
        <v>99</v>
      </c>
      <c r="C38" s="89" t="s">
        <v>104</v>
      </c>
      <c r="D38" s="90" t="s">
        <v>101</v>
      </c>
      <c r="E38" s="90" t="s">
        <v>102</v>
      </c>
      <c r="F38" s="90" t="s">
        <v>103</v>
      </c>
      <c r="G38" s="91" t="s">
        <v>40</v>
      </c>
      <c r="J38" s="145" t="s">
        <v>119</v>
      </c>
    </row>
    <row r="39" spans="1:12" x14ac:dyDescent="0.25">
      <c r="A39" s="151">
        <v>1</v>
      </c>
      <c r="B39" s="154"/>
      <c r="C39" s="85" t="s">
        <v>35</v>
      </c>
      <c r="D39" s="85"/>
      <c r="E39" s="85"/>
      <c r="F39" s="85"/>
      <c r="G39" s="82"/>
      <c r="H39" s="52" t="str">
        <f>IF(G39="SIMPLES",ESTIMATIVAS!$C$2,IF(G39="MÉDIA",ESTIMATIVAS!$C$3,IF(G39="COMPLEXA",ESTIMATIVAS!$C$4,"")))</f>
        <v/>
      </c>
      <c r="I39" s="149" t="str">
        <f>IF(SUM(H39:H43)=0,"",(SUM(H39:H43)*ESTIMATIVAS!$D$49*'DIST. ESFORÇO'!$J$29))</f>
        <v/>
      </c>
      <c r="J39" s="150" t="str">
        <f>IF(SUM(H39:H43)=0,"",I39*('FINANCEIRO e PRAZOS'!$C$12/44))</f>
        <v/>
      </c>
    </row>
    <row r="40" spans="1:12" x14ac:dyDescent="0.25">
      <c r="A40" s="152"/>
      <c r="B40" s="155"/>
      <c r="C40" s="86" t="s">
        <v>36</v>
      </c>
      <c r="D40" s="86"/>
      <c r="E40" s="86"/>
      <c r="F40" s="86"/>
      <c r="G40" s="79"/>
      <c r="H40" s="52" t="str">
        <f>IF(G40="SIMPLES",ESTIMATIVAS!$C$8,IF(G40="MÉDIA",ESTIMATIVAS!$C$9,IF(G40="COMPLEXA",ESTIMATIVAS!$C$10,"")))</f>
        <v/>
      </c>
      <c r="I40" s="149"/>
      <c r="J40" s="146"/>
    </row>
    <row r="41" spans="1:12" x14ac:dyDescent="0.25">
      <c r="A41" s="152"/>
      <c r="B41" s="155"/>
      <c r="C41" s="86" t="s">
        <v>37</v>
      </c>
      <c r="D41" s="86"/>
      <c r="E41" s="86"/>
      <c r="F41" s="86"/>
      <c r="G41" s="79"/>
      <c r="H41" s="52" t="str">
        <f>IF(G41="SIMPLES",ESTIMATIVAS!$C$14,IF(G41="MÉDIA",ESTIMATIVAS!$C$15,IF(G41="COMPLEXA",ESTIMATIVAS!$C$16,"")))</f>
        <v/>
      </c>
      <c r="I41" s="149"/>
      <c r="J41" s="146"/>
    </row>
    <row r="42" spans="1:12" x14ac:dyDescent="0.25">
      <c r="A42" s="152"/>
      <c r="B42" s="155"/>
      <c r="C42" s="86" t="s">
        <v>38</v>
      </c>
      <c r="D42" s="86"/>
      <c r="E42" s="86"/>
      <c r="F42" s="86"/>
      <c r="G42" s="79"/>
      <c r="H42" s="52" t="str">
        <f>IF(G42="SIMPLES",ESTIMATIVAS!$C$20,IF(G42="MÉDIA",ESTIMATIVAS!$C$21,IF(G42="COMPLEXA",ESTIMATIVAS!$C$22,"")))</f>
        <v/>
      </c>
      <c r="I42" s="149"/>
      <c r="J42" s="146"/>
    </row>
    <row r="43" spans="1:12" x14ac:dyDescent="0.25">
      <c r="A43" s="153"/>
      <c r="B43" s="156"/>
      <c r="C43" s="93" t="s">
        <v>39</v>
      </c>
      <c r="D43" s="93"/>
      <c r="E43" s="93"/>
      <c r="F43" s="93"/>
      <c r="G43" s="97"/>
      <c r="H43" s="52" t="str">
        <f>IF(G43="SIMPLES",ESTIMATIVAS!$C$26,IF(G43="MÉDIA",ESTIMATIVAS!$C$27,IF(G43="COMPLEXA",ESTIMATIVAS!$C$28,"")))</f>
        <v/>
      </c>
      <c r="I43" s="149"/>
      <c r="J43" s="146"/>
    </row>
    <row r="44" spans="1:12" x14ac:dyDescent="0.25">
      <c r="A44" s="157">
        <v>2</v>
      </c>
      <c r="B44" s="158"/>
      <c r="C44" s="94" t="s">
        <v>35</v>
      </c>
      <c r="D44" s="94"/>
      <c r="E44" s="94"/>
      <c r="F44" s="94"/>
      <c r="G44" s="98"/>
      <c r="H44" s="52" t="str">
        <f>IF(G44="SIMPLES",ESTIMATIVAS!$C$2,IF(G44="MÉDIA",ESTIMATIVAS!$C$3,IF(G44="COMPLEXA",ESTIMATIVAS!$C$4,"")))</f>
        <v/>
      </c>
      <c r="I44" s="149" t="str">
        <f>IF(SUM(H44:H48)=0,"",(SUM(H44:H48)*ESTIMATIVAS!$D$49*'DIST. ESFORÇO'!$J$29))</f>
        <v/>
      </c>
      <c r="J44" s="146" t="str">
        <f>IF(SUM(H44:H48)=0,"",I44*('FINANCEIRO e PRAZOS'!$C$12/44))</f>
        <v/>
      </c>
    </row>
    <row r="45" spans="1:12" x14ac:dyDescent="0.25">
      <c r="A45" s="152"/>
      <c r="B45" s="155"/>
      <c r="C45" s="86" t="s">
        <v>36</v>
      </c>
      <c r="D45" s="86"/>
      <c r="E45" s="86"/>
      <c r="F45" s="86"/>
      <c r="G45" s="79"/>
      <c r="H45" s="52" t="str">
        <f>IF(G45="SIMPLES",ESTIMATIVAS!$C$8,IF(G45="MÉDIA",ESTIMATIVAS!$C$9,IF(G45="COMPLEXA",ESTIMATIVAS!$C$10,"")))</f>
        <v/>
      </c>
      <c r="I45" s="149"/>
      <c r="J45" s="146"/>
    </row>
    <row r="46" spans="1:12" x14ac:dyDescent="0.25">
      <c r="A46" s="152"/>
      <c r="B46" s="155"/>
      <c r="C46" s="86" t="s">
        <v>37</v>
      </c>
      <c r="D46" s="86"/>
      <c r="E46" s="86"/>
      <c r="F46" s="86"/>
      <c r="G46" s="79"/>
      <c r="H46" s="52" t="str">
        <f>IF(G46="SIMPLES",ESTIMATIVAS!$C$14,IF(G46="MÉDIA",ESTIMATIVAS!$C$15,IF(G46="COMPLEXA",ESTIMATIVAS!$C$16,"")))</f>
        <v/>
      </c>
      <c r="I46" s="149"/>
      <c r="J46" s="146"/>
    </row>
    <row r="47" spans="1:12" x14ac:dyDescent="0.25">
      <c r="A47" s="152"/>
      <c r="B47" s="155"/>
      <c r="C47" s="86" t="s">
        <v>38</v>
      </c>
      <c r="D47" s="86"/>
      <c r="E47" s="86"/>
      <c r="F47" s="86"/>
      <c r="G47" s="79"/>
      <c r="H47" s="52" t="str">
        <f>IF(G47="SIMPLES",ESTIMATIVAS!$C$20,IF(G47="MÉDIA",ESTIMATIVAS!$C$21,IF(G47="COMPLEXA",ESTIMATIVAS!$C$22,"")))</f>
        <v/>
      </c>
      <c r="I47" s="149"/>
      <c r="J47" s="146"/>
    </row>
    <row r="48" spans="1:12" x14ac:dyDescent="0.25">
      <c r="A48" s="153"/>
      <c r="B48" s="156"/>
      <c r="C48" s="93" t="s">
        <v>39</v>
      </c>
      <c r="D48" s="93"/>
      <c r="E48" s="93"/>
      <c r="F48" s="93"/>
      <c r="G48" s="97"/>
      <c r="H48" s="52" t="str">
        <f>IF(G48="SIMPLES",ESTIMATIVAS!$C$26,IF(G48="MÉDIA",ESTIMATIVAS!$C$27,IF(G48="COMPLEXA",ESTIMATIVAS!$C$28,"")))</f>
        <v/>
      </c>
      <c r="I48" s="149"/>
      <c r="J48" s="146"/>
    </row>
    <row r="49" spans="1:10" x14ac:dyDescent="0.25">
      <c r="A49" s="159">
        <v>3</v>
      </c>
      <c r="B49" s="161"/>
      <c r="C49" s="92" t="s">
        <v>35</v>
      </c>
      <c r="D49" s="92"/>
      <c r="E49" s="92"/>
      <c r="F49" s="92"/>
      <c r="G49" s="72"/>
      <c r="H49" s="52" t="str">
        <f>IF(G49="SIMPLES",ESTIMATIVAS!$C$2,IF(G49="MÉDIA",ESTIMATIVAS!$C$3,IF(G49="COMPLEXA",ESTIMATIVAS!$C$4,"")))</f>
        <v/>
      </c>
      <c r="I49" s="149" t="str">
        <f>IF(SUM(H49:H53)=0,"",(SUM(H49:H53)*ESTIMATIVAS!$D$49*'DIST. ESFORÇO'!$J$29))</f>
        <v/>
      </c>
      <c r="J49" s="147" t="str">
        <f>IF(SUM(H49:H53)=0,"",I49*('FINANCEIRO e PRAZOS'!$C$12/44))</f>
        <v/>
      </c>
    </row>
    <row r="50" spans="1:10" x14ac:dyDescent="0.25">
      <c r="A50" s="152"/>
      <c r="B50" s="155"/>
      <c r="C50" s="86" t="s">
        <v>36</v>
      </c>
      <c r="D50" s="86"/>
      <c r="E50" s="86"/>
      <c r="F50" s="86"/>
      <c r="G50" s="79"/>
      <c r="H50" s="52" t="str">
        <f>IF(G50="SIMPLES",ESTIMATIVAS!$C$8,IF(G50="MÉDIA",ESTIMATIVAS!$C$9,IF(G50="COMPLEXA",ESTIMATIVAS!$C$10,"")))</f>
        <v/>
      </c>
      <c r="I50" s="149"/>
      <c r="J50" s="147"/>
    </row>
    <row r="51" spans="1:10" x14ac:dyDescent="0.25">
      <c r="A51" s="152"/>
      <c r="B51" s="155"/>
      <c r="C51" s="86" t="s">
        <v>37</v>
      </c>
      <c r="D51" s="86"/>
      <c r="E51" s="86"/>
      <c r="F51" s="86"/>
      <c r="G51" s="79"/>
      <c r="H51" s="52" t="str">
        <f>IF(G51="SIMPLES",ESTIMATIVAS!$C$14,IF(G51="MÉDIA",ESTIMATIVAS!$C$15,IF(G51="COMPLEXA",ESTIMATIVAS!$C$16,"")))</f>
        <v/>
      </c>
      <c r="I51" s="149"/>
      <c r="J51" s="147"/>
    </row>
    <row r="52" spans="1:10" x14ac:dyDescent="0.25">
      <c r="A52" s="152"/>
      <c r="B52" s="155"/>
      <c r="C52" s="86" t="s">
        <v>38</v>
      </c>
      <c r="D52" s="86"/>
      <c r="E52" s="86"/>
      <c r="F52" s="86"/>
      <c r="G52" s="79"/>
      <c r="H52" s="52" t="str">
        <f>IF(G52="SIMPLES",ESTIMATIVAS!$C$20,IF(G52="MÉDIA",ESTIMATIVAS!$C$21,IF(G52="COMPLEXA",ESTIMATIVAS!$C$22,"")))</f>
        <v/>
      </c>
      <c r="I52" s="149"/>
      <c r="J52" s="147"/>
    </row>
    <row r="53" spans="1:10" ht="15.75" thickBot="1" x14ac:dyDescent="0.3">
      <c r="A53" s="160"/>
      <c r="B53" s="162"/>
      <c r="C53" s="87" t="s">
        <v>39</v>
      </c>
      <c r="D53" s="87"/>
      <c r="E53" s="87"/>
      <c r="F53" s="87"/>
      <c r="G53" s="78"/>
      <c r="H53" s="52" t="str">
        <f>IF(G53="SIMPLES",ESTIMATIVAS!$C$26,IF(G53="MÉDIA",ESTIMATIVAS!$C$27,IF(G53="COMPLEXA",ESTIMATIVAS!$C$28,"")))</f>
        <v/>
      </c>
      <c r="I53" s="149"/>
      <c r="J53" s="148"/>
    </row>
    <row r="54" spans="1:10" ht="15.75" thickBot="1" x14ac:dyDescent="0.3">
      <c r="A54" s="80"/>
      <c r="B54" s="95"/>
      <c r="C54" s="54"/>
      <c r="D54" s="54"/>
      <c r="E54" s="54"/>
      <c r="F54" s="54"/>
      <c r="G54" s="96"/>
    </row>
    <row r="55" spans="1:10" ht="48" customHeight="1" thickBot="1" x14ac:dyDescent="0.3">
      <c r="A55" s="88" t="s">
        <v>97</v>
      </c>
      <c r="B55" s="89" t="s">
        <v>100</v>
      </c>
      <c r="C55" s="89" t="s">
        <v>104</v>
      </c>
      <c r="D55" s="90" t="s">
        <v>101</v>
      </c>
      <c r="E55" s="90" t="s">
        <v>102</v>
      </c>
      <c r="F55" s="90" t="s">
        <v>103</v>
      </c>
      <c r="G55" s="91" t="s">
        <v>40</v>
      </c>
      <c r="J55" s="145" t="s">
        <v>119</v>
      </c>
    </row>
    <row r="56" spans="1:10" x14ac:dyDescent="0.25">
      <c r="A56" s="151">
        <v>1</v>
      </c>
      <c r="B56" s="154"/>
      <c r="C56" s="85" t="s">
        <v>35</v>
      </c>
      <c r="D56" s="85"/>
      <c r="E56" s="85"/>
      <c r="F56" s="85"/>
      <c r="G56" s="82"/>
      <c r="H56" s="52" t="str">
        <f>IF(G56="SIMPLES",ESTIMATIVAS!$C$2,IF(G56="MÉDIA",ESTIMATIVAS!$C$3,IF(G56="COMPLEXA",ESTIMATIVAS!$C$4,"")))</f>
        <v/>
      </c>
      <c r="I56" s="149" t="str">
        <f>IF(SUM(H56:H60)=0,"",(SUM(H56:H60)*ESTIMATIVAS!$D$49*'DIST. ESFORÇO'!$J$29))</f>
        <v/>
      </c>
      <c r="J56" s="150" t="str">
        <f>IF(SUM(H56:H60)=0,"",I56*('FINANCEIRO e PRAZOS'!$C$12/44))</f>
        <v/>
      </c>
    </row>
    <row r="57" spans="1:10" x14ac:dyDescent="0.25">
      <c r="A57" s="152"/>
      <c r="B57" s="155"/>
      <c r="C57" s="86" t="s">
        <v>36</v>
      </c>
      <c r="D57" s="86"/>
      <c r="E57" s="86"/>
      <c r="F57" s="86"/>
      <c r="G57" s="79"/>
      <c r="H57" s="52" t="str">
        <f>IF(G57="SIMPLES",ESTIMATIVAS!$C$8,IF(G57="MÉDIA",ESTIMATIVAS!$C$9,IF(G57="COMPLEXA",ESTIMATIVAS!$C$10,"")))</f>
        <v/>
      </c>
      <c r="I57" s="149"/>
      <c r="J57" s="146"/>
    </row>
    <row r="58" spans="1:10" x14ac:dyDescent="0.25">
      <c r="A58" s="152"/>
      <c r="B58" s="155"/>
      <c r="C58" s="86" t="s">
        <v>37</v>
      </c>
      <c r="D58" s="86"/>
      <c r="E58" s="86"/>
      <c r="F58" s="86"/>
      <c r="G58" s="79"/>
      <c r="H58" s="52" t="str">
        <f>IF(G58="SIMPLES",ESTIMATIVAS!$C$14,IF(G58="MÉDIA",ESTIMATIVAS!$C$15,IF(G58="COMPLEXA",ESTIMATIVAS!$C$16,"")))</f>
        <v/>
      </c>
      <c r="I58" s="149"/>
      <c r="J58" s="146"/>
    </row>
    <row r="59" spans="1:10" x14ac:dyDescent="0.25">
      <c r="A59" s="152"/>
      <c r="B59" s="155"/>
      <c r="C59" s="86" t="s">
        <v>38</v>
      </c>
      <c r="D59" s="86"/>
      <c r="E59" s="86"/>
      <c r="F59" s="86"/>
      <c r="G59" s="79"/>
      <c r="H59" s="52" t="str">
        <f>IF(G59="SIMPLES",ESTIMATIVAS!$C$20,IF(G59="MÉDIA",ESTIMATIVAS!$C$21,IF(G59="COMPLEXA",ESTIMATIVAS!$C$22,"")))</f>
        <v/>
      </c>
      <c r="I59" s="149"/>
      <c r="J59" s="146"/>
    </row>
    <row r="60" spans="1:10" x14ac:dyDescent="0.25">
      <c r="A60" s="153"/>
      <c r="B60" s="156"/>
      <c r="C60" s="93" t="s">
        <v>39</v>
      </c>
      <c r="D60" s="93"/>
      <c r="E60" s="93"/>
      <c r="F60" s="93"/>
      <c r="G60" s="97"/>
      <c r="H60" s="52" t="str">
        <f>IF(G60="SIMPLES",ESTIMATIVAS!$C$26,IF(G60="MÉDIA",ESTIMATIVAS!$C$27,IF(G60="COMPLEXA",ESTIMATIVAS!$C$28,"")))</f>
        <v/>
      </c>
      <c r="I60" s="149"/>
      <c r="J60" s="146"/>
    </row>
    <row r="61" spans="1:10" x14ac:dyDescent="0.25">
      <c r="A61" s="157">
        <v>2</v>
      </c>
      <c r="B61" s="158"/>
      <c r="C61" s="94" t="s">
        <v>35</v>
      </c>
      <c r="D61" s="94"/>
      <c r="E61" s="94"/>
      <c r="F61" s="94"/>
      <c r="G61" s="98"/>
      <c r="H61" s="52" t="str">
        <f>IF(G61="SIMPLES",ESTIMATIVAS!$C$2,IF(G61="MÉDIA",ESTIMATIVAS!$C$3,IF(G61="COMPLEXA",ESTIMATIVAS!$C$4,"")))</f>
        <v/>
      </c>
      <c r="I61" s="149" t="str">
        <f>IF(SUM(H61:H65)=0,"",(SUM(H61:H65)*ESTIMATIVAS!$D$49*'DIST. ESFORÇO'!$J$29))</f>
        <v/>
      </c>
      <c r="J61" s="146" t="str">
        <f>IF(SUM(H61:H65)=0,"",I61*('FINANCEIRO e PRAZOS'!$C$12/44))</f>
        <v/>
      </c>
    </row>
    <row r="62" spans="1:10" x14ac:dyDescent="0.25">
      <c r="A62" s="152"/>
      <c r="B62" s="155"/>
      <c r="C62" s="86" t="s">
        <v>36</v>
      </c>
      <c r="D62" s="86"/>
      <c r="E62" s="86"/>
      <c r="F62" s="86"/>
      <c r="G62" s="79"/>
      <c r="H62" s="52" t="str">
        <f>IF(G62="SIMPLES",ESTIMATIVAS!$C$8,IF(G62="MÉDIA",ESTIMATIVAS!$C$9,IF(G62="COMPLEXA",ESTIMATIVAS!$C$10,"")))</f>
        <v/>
      </c>
      <c r="I62" s="149"/>
      <c r="J62" s="146"/>
    </row>
    <row r="63" spans="1:10" x14ac:dyDescent="0.25">
      <c r="A63" s="152"/>
      <c r="B63" s="155"/>
      <c r="C63" s="86" t="s">
        <v>37</v>
      </c>
      <c r="D63" s="86"/>
      <c r="E63" s="86"/>
      <c r="F63" s="86"/>
      <c r="G63" s="79"/>
      <c r="H63" s="52" t="str">
        <f>IF(G63="SIMPLES",ESTIMATIVAS!$C$14,IF(G63="MÉDIA",ESTIMATIVAS!$C$15,IF(G63="COMPLEXA",ESTIMATIVAS!$C$16,"")))</f>
        <v/>
      </c>
      <c r="I63" s="149"/>
      <c r="J63" s="146"/>
    </row>
    <row r="64" spans="1:10" x14ac:dyDescent="0.25">
      <c r="A64" s="152"/>
      <c r="B64" s="155"/>
      <c r="C64" s="86" t="s">
        <v>38</v>
      </c>
      <c r="D64" s="86"/>
      <c r="E64" s="86"/>
      <c r="F64" s="86"/>
      <c r="G64" s="79"/>
      <c r="H64" s="52" t="str">
        <f>IF(G64="SIMPLES",ESTIMATIVAS!$C$20,IF(G64="MÉDIA",ESTIMATIVAS!$C$21,IF(G64="COMPLEXA",ESTIMATIVAS!$C$22,"")))</f>
        <v/>
      </c>
      <c r="I64" s="149"/>
      <c r="J64" s="146"/>
    </row>
    <row r="65" spans="1:10" x14ac:dyDescent="0.25">
      <c r="A65" s="153"/>
      <c r="B65" s="156"/>
      <c r="C65" s="93" t="s">
        <v>39</v>
      </c>
      <c r="D65" s="93"/>
      <c r="E65" s="93"/>
      <c r="F65" s="93"/>
      <c r="G65" s="97"/>
      <c r="H65" s="52" t="str">
        <f>IF(G65="SIMPLES",ESTIMATIVAS!$C$26,IF(G65="MÉDIA",ESTIMATIVAS!$C$27,IF(G65="COMPLEXA",ESTIMATIVAS!$C$28,"")))</f>
        <v/>
      </c>
      <c r="I65" s="149"/>
      <c r="J65" s="146"/>
    </row>
    <row r="66" spans="1:10" x14ac:dyDescent="0.25">
      <c r="A66" s="159">
        <v>3</v>
      </c>
      <c r="B66" s="161"/>
      <c r="C66" s="92" t="s">
        <v>35</v>
      </c>
      <c r="D66" s="92"/>
      <c r="E66" s="92"/>
      <c r="F66" s="92"/>
      <c r="G66" s="72"/>
      <c r="H66" s="52" t="str">
        <f>IF(G66="SIMPLES",ESTIMATIVAS!$C$2,IF(G66="MÉDIA",ESTIMATIVAS!$C$3,IF(G66="COMPLEXA",ESTIMATIVAS!$C$4,"")))</f>
        <v/>
      </c>
      <c r="I66" s="149" t="str">
        <f>IF(SUM(H66:H70)=0,"",(SUM(H66:H70)*ESTIMATIVAS!$D$49*'DIST. ESFORÇO'!$J$29))</f>
        <v/>
      </c>
      <c r="J66" s="147" t="str">
        <f>IF(SUM(H66:H70)=0,"",I66*('FINANCEIRO e PRAZOS'!$C$12/44))</f>
        <v/>
      </c>
    </row>
    <row r="67" spans="1:10" x14ac:dyDescent="0.25">
      <c r="A67" s="152"/>
      <c r="B67" s="155"/>
      <c r="C67" s="86" t="s">
        <v>36</v>
      </c>
      <c r="D67" s="86"/>
      <c r="E67" s="86"/>
      <c r="F67" s="86"/>
      <c r="G67" s="79"/>
      <c r="H67" s="52" t="str">
        <f>IF(G67="SIMPLES",ESTIMATIVAS!$C$8,IF(G67="MÉDIA",ESTIMATIVAS!$C$9,IF(G67="COMPLEXA",ESTIMATIVAS!$C$10,"")))</f>
        <v/>
      </c>
      <c r="I67" s="149"/>
      <c r="J67" s="147"/>
    </row>
    <row r="68" spans="1:10" x14ac:dyDescent="0.25">
      <c r="A68" s="152"/>
      <c r="B68" s="155"/>
      <c r="C68" s="86" t="s">
        <v>37</v>
      </c>
      <c r="D68" s="86"/>
      <c r="E68" s="86"/>
      <c r="F68" s="86"/>
      <c r="G68" s="79"/>
      <c r="H68" s="52" t="str">
        <f>IF(G68="SIMPLES",ESTIMATIVAS!$C$14,IF(G68="MÉDIA",ESTIMATIVAS!$C$15,IF(G68="COMPLEXA",ESTIMATIVAS!$C$16,"")))</f>
        <v/>
      </c>
      <c r="I68" s="149"/>
      <c r="J68" s="147"/>
    </row>
    <row r="69" spans="1:10" x14ac:dyDescent="0.25">
      <c r="A69" s="152"/>
      <c r="B69" s="155"/>
      <c r="C69" s="86" t="s">
        <v>38</v>
      </c>
      <c r="D69" s="86"/>
      <c r="E69" s="86"/>
      <c r="F69" s="86"/>
      <c r="G69" s="79"/>
      <c r="H69" s="52" t="str">
        <f>IF(G69="SIMPLES",ESTIMATIVAS!$C$20,IF(G69="MÉDIA",ESTIMATIVAS!$C$21,IF(G69="COMPLEXA",ESTIMATIVAS!$C$22,"")))</f>
        <v/>
      </c>
      <c r="I69" s="149"/>
      <c r="J69" s="147"/>
    </row>
    <row r="70" spans="1:10" ht="15.75" thickBot="1" x14ac:dyDescent="0.3">
      <c r="A70" s="160"/>
      <c r="B70" s="162"/>
      <c r="C70" s="87" t="s">
        <v>39</v>
      </c>
      <c r="D70" s="87"/>
      <c r="E70" s="87"/>
      <c r="F70" s="87"/>
      <c r="G70" s="78"/>
      <c r="H70" s="52" t="str">
        <f>IF(G70="SIMPLES",ESTIMATIVAS!$C$26,IF(G70="MÉDIA",ESTIMATIVAS!$C$27,IF(G70="COMPLEXA",ESTIMATIVAS!$C$28,"")))</f>
        <v/>
      </c>
      <c r="I70" s="149"/>
      <c r="J70" s="148"/>
    </row>
  </sheetData>
  <mergeCells count="52">
    <mergeCell ref="A2:A6"/>
    <mergeCell ref="B2:B6"/>
    <mergeCell ref="A7:A11"/>
    <mergeCell ref="B7:B11"/>
    <mergeCell ref="A32:A36"/>
    <mergeCell ref="B32:B36"/>
    <mergeCell ref="A27:A31"/>
    <mergeCell ref="B27:B31"/>
    <mergeCell ref="A17:A21"/>
    <mergeCell ref="B17:B21"/>
    <mergeCell ref="A12:A16"/>
    <mergeCell ref="B12:B16"/>
    <mergeCell ref="A22:A26"/>
    <mergeCell ref="B22:B26"/>
    <mergeCell ref="A39:A43"/>
    <mergeCell ref="B39:B43"/>
    <mergeCell ref="A44:A48"/>
    <mergeCell ref="B44:B48"/>
    <mergeCell ref="A49:A53"/>
    <mergeCell ref="B49:B53"/>
    <mergeCell ref="A56:A60"/>
    <mergeCell ref="B56:B60"/>
    <mergeCell ref="A61:A65"/>
    <mergeCell ref="B61:B65"/>
    <mergeCell ref="A66:A70"/>
    <mergeCell ref="B66:B70"/>
    <mergeCell ref="J49:J53"/>
    <mergeCell ref="J56:J60"/>
    <mergeCell ref="I2:I6"/>
    <mergeCell ref="I7:I11"/>
    <mergeCell ref="I32:I36"/>
    <mergeCell ref="I39:I43"/>
    <mergeCell ref="I44:I48"/>
    <mergeCell ref="I49:I53"/>
    <mergeCell ref="I27:I31"/>
    <mergeCell ref="J27:J31"/>
    <mergeCell ref="I17:I21"/>
    <mergeCell ref="J17:J21"/>
    <mergeCell ref="I12:I16"/>
    <mergeCell ref="J12:J16"/>
    <mergeCell ref="I22:I26"/>
    <mergeCell ref="J22:J26"/>
    <mergeCell ref="J2:J6"/>
    <mergeCell ref="J7:J11"/>
    <mergeCell ref="J32:J36"/>
    <mergeCell ref="J39:J43"/>
    <mergeCell ref="J44:J48"/>
    <mergeCell ref="J61:J65"/>
    <mergeCell ref="J66:J70"/>
    <mergeCell ref="I56:I60"/>
    <mergeCell ref="I61:I65"/>
    <mergeCell ref="I66:I70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'PADRÕES e DEFINIÇÕES'!$R$4:$R$7</xm:f>
          </x14:formula1>
          <xm:sqref>G39:G54 G56:G70 G2:G37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opLeftCell="A31" zoomScaleNormal="100" workbookViewId="0">
      <selection sqref="A1:B1"/>
    </sheetView>
  </sheetViews>
  <sheetFormatPr defaultRowHeight="15" x14ac:dyDescent="0.25"/>
  <cols>
    <col min="1" max="1" width="35.42578125" customWidth="1"/>
    <col min="2" max="2" width="10.85546875" bestFit="1" customWidth="1"/>
    <col min="3" max="3" width="18.42578125" bestFit="1" customWidth="1"/>
    <col min="4" max="4" width="18.140625" bestFit="1" customWidth="1"/>
    <col min="5" max="5" width="7.42578125" bestFit="1" customWidth="1"/>
  </cols>
  <sheetData>
    <row r="1" spans="1:8" ht="22.5" customHeight="1" thickBot="1" x14ac:dyDescent="0.3">
      <c r="A1" s="170" t="s">
        <v>33</v>
      </c>
      <c r="B1" s="171"/>
      <c r="C1" s="68" t="s">
        <v>42</v>
      </c>
      <c r="D1" s="62" t="s">
        <v>43</v>
      </c>
      <c r="E1" s="62" t="s">
        <v>44</v>
      </c>
      <c r="H1" s="77"/>
    </row>
    <row r="2" spans="1:8" ht="16.5" customHeight="1" x14ac:dyDescent="0.25">
      <c r="A2" s="70" t="s">
        <v>62</v>
      </c>
      <c r="B2" s="71" t="s">
        <v>23</v>
      </c>
      <c r="C2" s="71">
        <f>IF(B2="SIMPLES",'PADRÕES e DEFINIÇÕES'!E$38,IF(B2="MÉDIA",'PADRÕES e DEFINIÇÕES'!I$38,IF(B2="COMPLEXA",'PADRÕES e DEFINIÇÕES'!M$38)))</f>
        <v>7</v>
      </c>
      <c r="D2" s="72">
        <f>COUNTIFS('FUNCIONALIDADES e VALORES'!C1:C70,"=ALI",'FUNCIONALIDADES e VALORES'!G1:G70,"=SIMPLES")</f>
        <v>0</v>
      </c>
      <c r="E2" s="99">
        <f>D2*C2</f>
        <v>0</v>
      </c>
    </row>
    <row r="3" spans="1:8" ht="16.5" customHeight="1" x14ac:dyDescent="0.25">
      <c r="A3" s="69" t="s">
        <v>63</v>
      </c>
      <c r="B3" s="67" t="s">
        <v>24</v>
      </c>
      <c r="C3" s="67">
        <f>IF(B3="SIMPLES",'PADRÕES e DEFINIÇÕES'!E$38,IF(B3="MÉDIA",'PADRÕES e DEFINIÇÕES'!I$38,IF(B3="COMPLEXA",'PADRÕES e DEFINIÇÕES'!M$38)))</f>
        <v>10</v>
      </c>
      <c r="D3" s="66">
        <f>COUNTIFS('FUNCIONALIDADES e VALORES'!C1:C70,"=ALI",'FUNCIONALIDADES e VALORES'!G1:G70,"=MÉDIA")</f>
        <v>0</v>
      </c>
      <c r="E3" s="100">
        <f t="shared" ref="E3:E4" si="0">D3*C3</f>
        <v>0</v>
      </c>
    </row>
    <row r="4" spans="1:8" ht="16.5" customHeight="1" thickBot="1" x14ac:dyDescent="0.3">
      <c r="A4" s="64" t="s">
        <v>64</v>
      </c>
      <c r="B4" s="51" t="s">
        <v>25</v>
      </c>
      <c r="C4" s="51">
        <f>IF(B4="SIMPLES",'PADRÕES e DEFINIÇÕES'!E$38,IF(B4="MÉDIA",'PADRÕES e DEFINIÇÕES'!I$38,IF(B4="COMPLEXA",'PADRÕES e DEFINIÇÕES'!M$38)))</f>
        <v>15</v>
      </c>
      <c r="D4" s="57">
        <f>COUNTIFS('FUNCIONALIDADES e VALORES'!C1:C70,"=ALI",'FUNCIONALIDADES e VALORES'!G1:G70,"=COMPLEXA")</f>
        <v>0</v>
      </c>
      <c r="E4" s="57">
        <f t="shared" si="0"/>
        <v>0</v>
      </c>
    </row>
    <row r="5" spans="1:8" ht="27.75" customHeight="1" thickBot="1" x14ac:dyDescent="0.3">
      <c r="A5" s="163" t="s">
        <v>61</v>
      </c>
      <c r="B5" s="164"/>
      <c r="C5" s="164"/>
      <c r="D5" s="165"/>
      <c r="E5" s="62">
        <f>SUM(E2:E4)</f>
        <v>0</v>
      </c>
    </row>
    <row r="6" spans="1:8" ht="13.5" customHeight="1" thickBot="1" x14ac:dyDescent="0.3">
      <c r="A6" s="73"/>
      <c r="B6" s="74"/>
      <c r="C6" s="74"/>
      <c r="D6" s="74"/>
      <c r="E6" s="52"/>
    </row>
    <row r="7" spans="1:8" ht="22.5" customHeight="1" thickBot="1" x14ac:dyDescent="0.3">
      <c r="A7" s="170" t="s">
        <v>105</v>
      </c>
      <c r="B7" s="171"/>
      <c r="C7" s="68" t="s">
        <v>42</v>
      </c>
      <c r="D7" s="62" t="s">
        <v>43</v>
      </c>
      <c r="E7" s="62" t="s">
        <v>44</v>
      </c>
    </row>
    <row r="8" spans="1:8" ht="16.5" customHeight="1" x14ac:dyDescent="0.25">
      <c r="A8" s="65" t="s">
        <v>57</v>
      </c>
      <c r="B8" s="71" t="s">
        <v>23</v>
      </c>
      <c r="C8" s="71">
        <f>IF(B8="SIMPLES",'PADRÕES e DEFINIÇÕES'!E$39,IF(B8="MÉDIA",'PADRÕES e DEFINIÇÕES'!I$39,IF(B8="COMPLEXA",'PADRÕES e DEFINIÇÕES'!M$39)))</f>
        <v>5</v>
      </c>
      <c r="D8" s="72">
        <f>COUNTIFS('FUNCIONALIDADES e VALORES'!C1:C70,"=AIE",'FUNCIONALIDADES e VALORES'!G1:G70,"=SIMPLES")</f>
        <v>0</v>
      </c>
      <c r="E8" s="99">
        <f t="shared" ref="E8:E10" si="1">D8*C8</f>
        <v>0</v>
      </c>
    </row>
    <row r="9" spans="1:8" ht="16.5" customHeight="1" x14ac:dyDescent="0.25">
      <c r="A9" s="63" t="s">
        <v>58</v>
      </c>
      <c r="B9" s="67" t="s">
        <v>24</v>
      </c>
      <c r="C9" s="67">
        <f>IF(B9="SIMPLES",'PADRÕES e DEFINIÇÕES'!E$39,IF(B9="MÉDIA",'PADRÕES e DEFINIÇÕES'!I$39,IF(B9="COMPLEXA",'PADRÕES e DEFINIÇÕES'!M$39)))</f>
        <v>7</v>
      </c>
      <c r="D9" s="66">
        <f>COUNTIFS('FUNCIONALIDADES e VALORES'!C1:C70,"=AIE",'FUNCIONALIDADES e VALORES'!G1:G70,"=MÉDIA")</f>
        <v>0</v>
      </c>
      <c r="E9" s="100">
        <f t="shared" si="1"/>
        <v>0</v>
      </c>
    </row>
    <row r="10" spans="1:8" ht="16.5" customHeight="1" thickBot="1" x14ac:dyDescent="0.3">
      <c r="A10" s="75" t="s">
        <v>59</v>
      </c>
      <c r="B10" s="51" t="s">
        <v>25</v>
      </c>
      <c r="C10" s="51">
        <f>IF(B10="SIMPLES",'PADRÕES e DEFINIÇÕES'!E$39,IF(B10="MÉDIA",'PADRÕES e DEFINIÇÕES'!I$39,IF(B10="COMPLEXA",'PADRÕES e DEFINIÇÕES'!M$39)))</f>
        <v>10</v>
      </c>
      <c r="D10" s="57">
        <f>COUNTIFS('FUNCIONALIDADES e VALORES'!C1:C70,"=AIE",'FUNCIONALIDADES e VALORES'!G1:G70,"=COMPLEXA")</f>
        <v>0</v>
      </c>
      <c r="E10" s="57">
        <f t="shared" si="1"/>
        <v>0</v>
      </c>
    </row>
    <row r="11" spans="1:8" ht="27.75" customHeight="1" thickBot="1" x14ac:dyDescent="0.3">
      <c r="A11" s="163" t="s">
        <v>60</v>
      </c>
      <c r="B11" s="164"/>
      <c r="C11" s="164"/>
      <c r="D11" s="165"/>
      <c r="E11" s="62">
        <f>SUM(E8:E10)</f>
        <v>0</v>
      </c>
    </row>
    <row r="12" spans="1:8" ht="13.5" customHeight="1" thickBot="1" x14ac:dyDescent="0.3">
      <c r="A12" s="73"/>
      <c r="B12" s="74"/>
      <c r="C12" s="74"/>
      <c r="D12" s="74"/>
      <c r="E12" s="52"/>
    </row>
    <row r="13" spans="1:8" ht="22.5" customHeight="1" thickBot="1" x14ac:dyDescent="0.3">
      <c r="A13" s="170" t="s">
        <v>106</v>
      </c>
      <c r="B13" s="171"/>
      <c r="C13" s="68" t="s">
        <v>42</v>
      </c>
      <c r="D13" s="62" t="s">
        <v>43</v>
      </c>
      <c r="E13" s="62" t="s">
        <v>44</v>
      </c>
    </row>
    <row r="14" spans="1:8" ht="16.5" customHeight="1" x14ac:dyDescent="0.25">
      <c r="A14" s="65" t="s">
        <v>53</v>
      </c>
      <c r="B14" s="71" t="s">
        <v>23</v>
      </c>
      <c r="C14" s="71">
        <f>IF(B14="SIMPLES",'PADRÕES e DEFINIÇÕES'!E$40,IF(B14="MÉDIA",'PADRÕES e DEFINIÇÕES'!I$40,IF(B14="COMPLEXA",'PADRÕES e DEFINIÇÕES'!M$40)))</f>
        <v>3</v>
      </c>
      <c r="D14" s="72">
        <f>COUNTIFS('FUNCIONALIDADES e VALORES'!C1:C70,"=EE",'FUNCIONALIDADES e VALORES'!G1:G70,"=SIMPLES")</f>
        <v>0</v>
      </c>
      <c r="E14" s="99">
        <f t="shared" ref="E14:E16" si="2">D14*C14</f>
        <v>0</v>
      </c>
    </row>
    <row r="15" spans="1:8" ht="16.5" customHeight="1" x14ac:dyDescent="0.25">
      <c r="A15" s="63" t="s">
        <v>54</v>
      </c>
      <c r="B15" s="67" t="s">
        <v>24</v>
      </c>
      <c r="C15" s="67">
        <f>IF(B15="SIMPLES",'PADRÕES e DEFINIÇÕES'!E$40,IF(B15="MÉDIA",'PADRÕES e DEFINIÇÕES'!I$40,IF(B15="COMPLEXA",'PADRÕES e DEFINIÇÕES'!M$40)))</f>
        <v>4</v>
      </c>
      <c r="D15" s="66">
        <f>COUNTIFS('FUNCIONALIDADES e VALORES'!C1:C70,"=EE",'FUNCIONALIDADES e VALORES'!G1:G70,"=MÉDIA")</f>
        <v>0</v>
      </c>
      <c r="E15" s="100">
        <f t="shared" si="2"/>
        <v>0</v>
      </c>
    </row>
    <row r="16" spans="1:8" ht="16.5" customHeight="1" thickBot="1" x14ac:dyDescent="0.3">
      <c r="A16" s="75" t="s">
        <v>55</v>
      </c>
      <c r="B16" s="51" t="s">
        <v>25</v>
      </c>
      <c r="C16" s="51">
        <f>IF(B16="SIMPLES",'PADRÕES e DEFINIÇÕES'!E$40,IF(B16="MÉDIA",'PADRÕES e DEFINIÇÕES'!I$40,IF(B16="COMPLEXA",'PADRÕES e DEFINIÇÕES'!M$40)))</f>
        <v>6</v>
      </c>
      <c r="D16" s="57">
        <f>COUNTIFS('FUNCIONALIDADES e VALORES'!C1:C70,"=EE",'FUNCIONALIDADES e VALORES'!G1:G70,"=COMPLEXA")</f>
        <v>0</v>
      </c>
      <c r="E16" s="57">
        <f t="shared" si="2"/>
        <v>0</v>
      </c>
    </row>
    <row r="17" spans="1:9" ht="27.75" customHeight="1" thickBot="1" x14ac:dyDescent="0.3">
      <c r="A17" s="163" t="s">
        <v>56</v>
      </c>
      <c r="B17" s="164"/>
      <c r="C17" s="164"/>
      <c r="D17" s="165"/>
      <c r="E17" s="62">
        <f>SUM(E14:E16)</f>
        <v>0</v>
      </c>
    </row>
    <row r="18" spans="1:9" ht="13.5" customHeight="1" thickBot="1" x14ac:dyDescent="0.3">
      <c r="A18" s="73"/>
      <c r="B18" s="74"/>
      <c r="C18" s="74"/>
      <c r="D18" s="74"/>
      <c r="E18" s="52"/>
    </row>
    <row r="19" spans="1:9" ht="22.5" customHeight="1" thickBot="1" x14ac:dyDescent="0.3">
      <c r="A19" s="170" t="s">
        <v>107</v>
      </c>
      <c r="B19" s="171"/>
      <c r="C19" s="68" t="s">
        <v>42</v>
      </c>
      <c r="D19" s="62" t="s">
        <v>43</v>
      </c>
      <c r="E19" s="62" t="s">
        <v>44</v>
      </c>
      <c r="I19" s="76"/>
    </row>
    <row r="20" spans="1:9" ht="16.5" customHeight="1" x14ac:dyDescent="0.25">
      <c r="A20" s="65" t="s">
        <v>48</v>
      </c>
      <c r="B20" s="71" t="s">
        <v>23</v>
      </c>
      <c r="C20" s="71">
        <f>IF(B20="SIMPLES",'PADRÕES e DEFINIÇÕES'!E$41,IF(B20="MÉDIA",'PADRÕES e DEFINIÇÕES'!I$41,IF(B20="COMPLEXA",'PADRÕES e DEFINIÇÕES'!M$41)))</f>
        <v>4</v>
      </c>
      <c r="D20" s="72">
        <f>COUNTIFS('FUNCIONALIDADES e VALORES'!C1:C70,"=SE",'FUNCIONALIDADES e VALORES'!G1:G70,"=SIMPLES")</f>
        <v>0</v>
      </c>
      <c r="E20" s="99">
        <f t="shared" ref="E20:E22" si="3">D20*C20</f>
        <v>0</v>
      </c>
    </row>
    <row r="21" spans="1:9" ht="16.5" customHeight="1" x14ac:dyDescent="0.25">
      <c r="A21" s="63" t="s">
        <v>49</v>
      </c>
      <c r="B21" s="67" t="s">
        <v>24</v>
      </c>
      <c r="C21" s="67">
        <f>IF(B21="SIMPLES",'PADRÕES e DEFINIÇÕES'!E$41,IF(B21="MÉDIA",'PADRÕES e DEFINIÇÕES'!I$41,IF(B21="COMPLEXA",'PADRÕES e DEFINIÇÕES'!M$41)))</f>
        <v>5</v>
      </c>
      <c r="D21" s="66">
        <f>COUNTIFS('FUNCIONALIDADES e VALORES'!C1:C70,"=SE",'FUNCIONALIDADES e VALORES'!G1:G70,"=MÉDIA")</f>
        <v>0</v>
      </c>
      <c r="E21" s="100">
        <f t="shared" si="3"/>
        <v>0</v>
      </c>
    </row>
    <row r="22" spans="1:9" ht="16.5" customHeight="1" thickBot="1" x14ac:dyDescent="0.3">
      <c r="A22" s="75" t="s">
        <v>50</v>
      </c>
      <c r="B22" s="51" t="s">
        <v>25</v>
      </c>
      <c r="C22" s="51">
        <f>IF(B22="SIMPLES",'PADRÕES e DEFINIÇÕES'!E$41,IF(B22="MÉDIA",'PADRÕES e DEFINIÇÕES'!I$41,IF(B22="COMPLEXA",'PADRÕES e DEFINIÇÕES'!M$41)))</f>
        <v>7</v>
      </c>
      <c r="D22" s="57">
        <f>COUNTIFS('FUNCIONALIDADES e VALORES'!C1:C70,"=SE",'FUNCIONALIDADES e VALORES'!G1:G70,"=COMPLEXA")</f>
        <v>0</v>
      </c>
      <c r="E22" s="57">
        <f t="shared" si="3"/>
        <v>0</v>
      </c>
    </row>
    <row r="23" spans="1:9" ht="27.75" customHeight="1" thickBot="1" x14ac:dyDescent="0.3">
      <c r="A23" s="163" t="s">
        <v>52</v>
      </c>
      <c r="B23" s="164"/>
      <c r="C23" s="164"/>
      <c r="D23" s="165"/>
      <c r="E23" s="62">
        <f>SUM(E20:E22)</f>
        <v>0</v>
      </c>
    </row>
    <row r="24" spans="1:9" ht="13.5" customHeight="1" thickBot="1" x14ac:dyDescent="0.3">
      <c r="A24" s="73"/>
      <c r="B24" s="74"/>
      <c r="C24" s="74"/>
      <c r="D24" s="74"/>
      <c r="E24" s="52"/>
    </row>
    <row r="25" spans="1:9" ht="22.5" customHeight="1" thickBot="1" x14ac:dyDescent="0.3">
      <c r="A25" s="170" t="s">
        <v>108</v>
      </c>
      <c r="B25" s="171"/>
      <c r="C25" s="68" t="s">
        <v>42</v>
      </c>
      <c r="D25" s="62" t="s">
        <v>43</v>
      </c>
      <c r="E25" s="62" t="s">
        <v>44</v>
      </c>
    </row>
    <row r="26" spans="1:9" ht="16.5" customHeight="1" x14ac:dyDescent="0.25">
      <c r="A26" s="65" t="s">
        <v>45</v>
      </c>
      <c r="B26" s="71" t="s">
        <v>23</v>
      </c>
      <c r="C26" s="71">
        <f>IF(B26="SIMPLES",'PADRÕES e DEFINIÇÕES'!E$42,IF(B26="MÉDIA",'PADRÕES e DEFINIÇÕES'!I$42,IF(B26="COMPLEXA",'PADRÕES e DEFINIÇÕES'!M$42)))</f>
        <v>3</v>
      </c>
      <c r="D26" s="72">
        <f>COUNTIFS('FUNCIONALIDADES e VALORES'!C1:C70,"=CE",'FUNCIONALIDADES e VALORES'!G1:G70,"=SIMPLES")</f>
        <v>0</v>
      </c>
      <c r="E26" s="99">
        <f t="shared" ref="E26:E28" si="4">D26*C26</f>
        <v>0</v>
      </c>
    </row>
    <row r="27" spans="1:9" ht="16.5" customHeight="1" x14ac:dyDescent="0.25">
      <c r="A27" s="63" t="s">
        <v>46</v>
      </c>
      <c r="B27" s="67" t="s">
        <v>24</v>
      </c>
      <c r="C27" s="67">
        <f>IF(B27="SIMPLES",'PADRÕES e DEFINIÇÕES'!E$42,IF(B27="MÉDIA",'PADRÕES e DEFINIÇÕES'!I$42,IF(B27="COMPLEXA",'PADRÕES e DEFINIÇÕES'!M$42)))</f>
        <v>4</v>
      </c>
      <c r="D27" s="66">
        <f>COUNTIFS('FUNCIONALIDADES e VALORES'!C1:C70,"=CE",'FUNCIONALIDADES e VALORES'!G1:G70,"=MÉDIA")</f>
        <v>0</v>
      </c>
      <c r="E27" s="100">
        <f t="shared" si="4"/>
        <v>0</v>
      </c>
    </row>
    <row r="28" spans="1:9" ht="16.5" customHeight="1" thickBot="1" x14ac:dyDescent="0.3">
      <c r="A28" s="75" t="s">
        <v>47</v>
      </c>
      <c r="B28" s="51" t="s">
        <v>25</v>
      </c>
      <c r="C28" s="51">
        <f>IF(B28="SIMPLES",'PADRÕES e DEFINIÇÕES'!E$42,IF(B28="MÉDIA",'PADRÕES e DEFINIÇÕES'!I$42,IF(B28="COMPLEXA",'PADRÕES e DEFINIÇÕES'!M$42)))</f>
        <v>6</v>
      </c>
      <c r="D28" s="57">
        <f>COUNTIFS('FUNCIONALIDADES e VALORES'!C1:C70,"=CE",'FUNCIONALIDADES e VALORES'!G1:G70,"=COMPLEXA")</f>
        <v>0</v>
      </c>
      <c r="E28" s="57">
        <f t="shared" si="4"/>
        <v>0</v>
      </c>
    </row>
    <row r="29" spans="1:9" ht="27.75" customHeight="1" thickBot="1" x14ac:dyDescent="0.3">
      <c r="A29" s="163" t="s">
        <v>51</v>
      </c>
      <c r="B29" s="164"/>
      <c r="C29" s="164"/>
      <c r="D29" s="165"/>
      <c r="E29" s="62">
        <f>SUM(E26:E28)</f>
        <v>0</v>
      </c>
    </row>
    <row r="30" spans="1:9" ht="15.75" thickBot="1" x14ac:dyDescent="0.3"/>
    <row r="31" spans="1:9" ht="27.75" customHeight="1" thickBot="1" x14ac:dyDescent="0.3">
      <c r="A31" s="163" t="s">
        <v>109</v>
      </c>
      <c r="B31" s="164"/>
      <c r="C31" s="164"/>
      <c r="D31" s="165"/>
      <c r="E31" s="62">
        <f>E5+E11+E17+E23+E29</f>
        <v>0</v>
      </c>
      <c r="H31" s="76"/>
    </row>
    <row r="32" spans="1:9" ht="15.75" thickBot="1" x14ac:dyDescent="0.3"/>
    <row r="33" spans="1:5" ht="22.5" customHeight="1" thickBot="1" x14ac:dyDescent="0.3">
      <c r="A33" s="170" t="s">
        <v>80</v>
      </c>
      <c r="B33" s="177"/>
      <c r="C33" s="171"/>
      <c r="D33" s="177" t="s">
        <v>65</v>
      </c>
      <c r="E33" s="171"/>
    </row>
    <row r="34" spans="1:5" ht="18" x14ac:dyDescent="0.25">
      <c r="A34" s="183" t="s">
        <v>66</v>
      </c>
      <c r="B34" s="184"/>
      <c r="C34" s="185"/>
      <c r="D34" s="178">
        <v>0</v>
      </c>
      <c r="E34" s="179"/>
    </row>
    <row r="35" spans="1:5" ht="18" x14ac:dyDescent="0.25">
      <c r="A35" s="180" t="s">
        <v>67</v>
      </c>
      <c r="B35" s="181"/>
      <c r="C35" s="182"/>
      <c r="D35" s="172">
        <v>0</v>
      </c>
      <c r="E35" s="173"/>
    </row>
    <row r="36" spans="1:5" ht="18" x14ac:dyDescent="0.25">
      <c r="A36" s="180" t="s">
        <v>68</v>
      </c>
      <c r="B36" s="181"/>
      <c r="C36" s="182"/>
      <c r="D36" s="172">
        <v>0</v>
      </c>
      <c r="E36" s="173"/>
    </row>
    <row r="37" spans="1:5" ht="18" x14ac:dyDescent="0.25">
      <c r="A37" s="180" t="s">
        <v>69</v>
      </c>
      <c r="B37" s="181"/>
      <c r="C37" s="182"/>
      <c r="D37" s="172">
        <v>0</v>
      </c>
      <c r="E37" s="173"/>
    </row>
    <row r="38" spans="1:5" ht="18" x14ac:dyDescent="0.25">
      <c r="A38" s="180" t="s">
        <v>70</v>
      </c>
      <c r="B38" s="181"/>
      <c r="C38" s="182"/>
      <c r="D38" s="172">
        <v>0</v>
      </c>
      <c r="E38" s="173"/>
    </row>
    <row r="39" spans="1:5" ht="18" x14ac:dyDescent="0.25">
      <c r="A39" s="180" t="s">
        <v>71</v>
      </c>
      <c r="B39" s="181"/>
      <c r="C39" s="182"/>
      <c r="D39" s="172">
        <v>0</v>
      </c>
      <c r="E39" s="173"/>
    </row>
    <row r="40" spans="1:5" ht="18" x14ac:dyDescent="0.25">
      <c r="A40" s="180" t="s">
        <v>72</v>
      </c>
      <c r="B40" s="181"/>
      <c r="C40" s="182"/>
      <c r="D40" s="172">
        <v>0</v>
      </c>
      <c r="E40" s="173"/>
    </row>
    <row r="41" spans="1:5" ht="18" x14ac:dyDescent="0.25">
      <c r="A41" s="180" t="s">
        <v>73</v>
      </c>
      <c r="B41" s="181"/>
      <c r="C41" s="182"/>
      <c r="D41" s="172">
        <v>0</v>
      </c>
      <c r="E41" s="173"/>
    </row>
    <row r="42" spans="1:5" ht="18" x14ac:dyDescent="0.25">
      <c r="A42" s="180" t="s">
        <v>74</v>
      </c>
      <c r="B42" s="181"/>
      <c r="C42" s="182"/>
      <c r="D42" s="172">
        <v>0</v>
      </c>
      <c r="E42" s="173"/>
    </row>
    <row r="43" spans="1:5" ht="18" x14ac:dyDescent="0.25">
      <c r="A43" s="180" t="s">
        <v>75</v>
      </c>
      <c r="B43" s="181"/>
      <c r="C43" s="182"/>
      <c r="D43" s="172">
        <v>0</v>
      </c>
      <c r="E43" s="173"/>
    </row>
    <row r="44" spans="1:5" ht="18" x14ac:dyDescent="0.25">
      <c r="A44" s="180" t="s">
        <v>76</v>
      </c>
      <c r="B44" s="181"/>
      <c r="C44" s="182"/>
      <c r="D44" s="172">
        <v>0</v>
      </c>
      <c r="E44" s="173"/>
    </row>
    <row r="45" spans="1:5" ht="18" x14ac:dyDescent="0.25">
      <c r="A45" s="180" t="s">
        <v>77</v>
      </c>
      <c r="B45" s="181"/>
      <c r="C45" s="182"/>
      <c r="D45" s="172">
        <v>0</v>
      </c>
      <c r="E45" s="173"/>
    </row>
    <row r="46" spans="1:5" ht="18" x14ac:dyDescent="0.25">
      <c r="A46" s="180" t="s">
        <v>78</v>
      </c>
      <c r="B46" s="181"/>
      <c r="C46" s="182"/>
      <c r="D46" s="172">
        <v>0</v>
      </c>
      <c r="E46" s="173"/>
    </row>
    <row r="47" spans="1:5" ht="18.75" thickBot="1" x14ac:dyDescent="0.3">
      <c r="A47" s="174" t="s">
        <v>79</v>
      </c>
      <c r="B47" s="175"/>
      <c r="C47" s="176"/>
      <c r="D47" s="168">
        <v>0</v>
      </c>
      <c r="E47" s="169"/>
    </row>
    <row r="48" spans="1:5" ht="27.75" customHeight="1" thickBot="1" x14ac:dyDescent="0.3">
      <c r="A48" s="163" t="s">
        <v>81</v>
      </c>
      <c r="B48" s="164"/>
      <c r="C48" s="165"/>
      <c r="D48" s="170">
        <f>SUM(D34:E47)</f>
        <v>0</v>
      </c>
      <c r="E48" s="171"/>
    </row>
    <row r="49" spans="1:5" ht="27.75" customHeight="1" thickBot="1" x14ac:dyDescent="0.3">
      <c r="A49" s="163" t="s">
        <v>82</v>
      </c>
      <c r="B49" s="164"/>
      <c r="C49" s="165"/>
      <c r="D49" s="170">
        <f>(D48*0.01)+0.65</f>
        <v>0.65</v>
      </c>
      <c r="E49" s="171"/>
    </row>
    <row r="50" spans="1:5" ht="15.75" thickBot="1" x14ac:dyDescent="0.3"/>
    <row r="51" spans="1:5" ht="27.75" customHeight="1" thickBot="1" x14ac:dyDescent="0.3">
      <c r="A51" s="163" t="s">
        <v>83</v>
      </c>
      <c r="B51" s="164"/>
      <c r="C51" s="165"/>
      <c r="D51" s="166">
        <f>E31*D49</f>
        <v>0</v>
      </c>
      <c r="E51" s="167"/>
    </row>
  </sheetData>
  <mergeCells count="47">
    <mergeCell ref="A34:C34"/>
    <mergeCell ref="A1:B1"/>
    <mergeCell ref="A13:B13"/>
    <mergeCell ref="A19:B19"/>
    <mergeCell ref="A5:D5"/>
    <mergeCell ref="A11:D11"/>
    <mergeCell ref="A17:D17"/>
    <mergeCell ref="A23:D23"/>
    <mergeCell ref="A29:D29"/>
    <mergeCell ref="A7:B7"/>
    <mergeCell ref="A25:B25"/>
    <mergeCell ref="A31:D31"/>
    <mergeCell ref="A46:C46"/>
    <mergeCell ref="A35:C35"/>
    <mergeCell ref="A36:C36"/>
    <mergeCell ref="A37:C37"/>
    <mergeCell ref="A38:C38"/>
    <mergeCell ref="A39:C39"/>
    <mergeCell ref="A40:C40"/>
    <mergeCell ref="D46:E46"/>
    <mergeCell ref="A47:C47"/>
    <mergeCell ref="A33:C33"/>
    <mergeCell ref="D33:E33"/>
    <mergeCell ref="D34:E34"/>
    <mergeCell ref="D35:E35"/>
    <mergeCell ref="D36:E36"/>
    <mergeCell ref="D37:E37"/>
    <mergeCell ref="D38:E38"/>
    <mergeCell ref="D39:E39"/>
    <mergeCell ref="D40:E40"/>
    <mergeCell ref="A41:C41"/>
    <mergeCell ref="A42:C42"/>
    <mergeCell ref="A43:C43"/>
    <mergeCell ref="A44:C44"/>
    <mergeCell ref="A45:C45"/>
    <mergeCell ref="D41:E41"/>
    <mergeCell ref="D42:E42"/>
    <mergeCell ref="D43:E43"/>
    <mergeCell ref="D44:E44"/>
    <mergeCell ref="D45:E45"/>
    <mergeCell ref="A51:C51"/>
    <mergeCell ref="D51:E51"/>
    <mergeCell ref="D47:E47"/>
    <mergeCell ref="A48:C48"/>
    <mergeCell ref="D48:E48"/>
    <mergeCell ref="A49:C49"/>
    <mergeCell ref="D49:E49"/>
  </mergeCells>
  <pageMargins left="0.511811024" right="0.511811024" top="0.78740157499999996" bottom="0.78740157499999996" header="0.31496062000000002" footer="0.31496062000000002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'PADRÕES e DEFINIÇÕES'!$R$5:$R$7</xm:f>
          </x14:formula1>
          <xm:sqref>B20:B22 B2:B4 B26:B28 B14:B16 B8:B10</xm:sqref>
        </x14:dataValidation>
        <x14:dataValidation type="list" allowBlank="1" showInputMessage="1" showErrorMessage="1">
          <x14:formula1>
            <xm:f>'PADRÕES e DEFINIÇÕES'!$S$4:$S$9</xm:f>
          </x14:formula1>
          <xm:sqref>D34:D47 E34:E41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opLeftCell="A28" workbookViewId="0">
      <selection activeCell="F39" sqref="F39"/>
    </sheetView>
  </sheetViews>
  <sheetFormatPr defaultRowHeight="15" x14ac:dyDescent="0.25"/>
  <cols>
    <col min="1" max="1" width="32.7109375" bestFit="1" customWidth="1"/>
    <col min="2" max="5" width="13.5703125" customWidth="1"/>
    <col min="6" max="6" width="11.85546875" customWidth="1"/>
    <col min="10" max="10" width="9.140625" hidden="1" customWidth="1"/>
  </cols>
  <sheetData>
    <row r="1" spans="1:9" ht="21.75" customHeight="1" x14ac:dyDescent="0.25">
      <c r="A1" s="189" t="s">
        <v>16</v>
      </c>
      <c r="B1" s="186" t="s">
        <v>15</v>
      </c>
      <c r="C1" s="187"/>
      <c r="D1" s="187"/>
      <c r="E1" s="187"/>
      <c r="F1" s="188"/>
    </row>
    <row r="2" spans="1:9" ht="18" customHeight="1" x14ac:dyDescent="0.25">
      <c r="A2" s="190"/>
      <c r="B2" s="16" t="s">
        <v>0</v>
      </c>
      <c r="C2" s="17" t="s">
        <v>1</v>
      </c>
      <c r="D2" s="17" t="s">
        <v>2</v>
      </c>
      <c r="E2" s="18" t="s">
        <v>3</v>
      </c>
      <c r="F2" s="19" t="s">
        <v>13</v>
      </c>
      <c r="G2" s="192" t="s">
        <v>17</v>
      </c>
      <c r="H2" s="192"/>
      <c r="I2" s="193"/>
    </row>
    <row r="3" spans="1:9" ht="15.75" thickBot="1" x14ac:dyDescent="0.3">
      <c r="A3" s="191"/>
      <c r="B3" s="12">
        <v>0.05</v>
      </c>
      <c r="C3" s="13">
        <v>0.2</v>
      </c>
      <c r="D3" s="13">
        <v>0.65</v>
      </c>
      <c r="E3" s="14">
        <v>0.1</v>
      </c>
      <c r="F3" s="15">
        <f>SUM(B3:E3)</f>
        <v>1</v>
      </c>
      <c r="G3" s="194"/>
      <c r="H3" s="194"/>
      <c r="I3" s="195"/>
    </row>
    <row r="4" spans="1:9" ht="20.25" customHeight="1" x14ac:dyDescent="0.25">
      <c r="A4" s="106" t="s">
        <v>4</v>
      </c>
      <c r="B4" s="6">
        <v>0.25</v>
      </c>
      <c r="C4" s="7">
        <v>0.13</v>
      </c>
      <c r="D4" s="7">
        <v>0.05</v>
      </c>
      <c r="E4" s="7">
        <v>0.01</v>
      </c>
      <c r="F4" s="8">
        <f t="shared" ref="F4:F12" si="0">SUM(B4:E4)</f>
        <v>0.44</v>
      </c>
    </row>
    <row r="5" spans="1:9" ht="20.25" customHeight="1" x14ac:dyDescent="0.25">
      <c r="A5" s="107" t="s">
        <v>5</v>
      </c>
      <c r="B5" s="9">
        <v>0.3</v>
      </c>
      <c r="C5" s="5">
        <v>0.15</v>
      </c>
      <c r="D5" s="5">
        <v>0.08</v>
      </c>
      <c r="E5" s="5">
        <v>0.02</v>
      </c>
      <c r="F5" s="10">
        <f t="shared" si="0"/>
        <v>0.54999999999999993</v>
      </c>
    </row>
    <row r="6" spans="1:9" ht="20.25" customHeight="1" x14ac:dyDescent="0.25">
      <c r="A6" s="107" t="s">
        <v>6</v>
      </c>
      <c r="B6" s="9">
        <v>0.15</v>
      </c>
      <c r="C6" s="5">
        <v>0.25</v>
      </c>
      <c r="D6" s="5">
        <v>0.13</v>
      </c>
      <c r="E6" s="5">
        <v>0.02</v>
      </c>
      <c r="F6" s="10">
        <f t="shared" si="0"/>
        <v>0.55000000000000004</v>
      </c>
    </row>
    <row r="7" spans="1:9" ht="20.25" customHeight="1" x14ac:dyDescent="0.25">
      <c r="A7" s="107" t="s">
        <v>7</v>
      </c>
      <c r="B7" s="9">
        <v>0.05</v>
      </c>
      <c r="C7" s="5">
        <v>0.15</v>
      </c>
      <c r="D7" s="5">
        <v>0.25</v>
      </c>
      <c r="E7" s="5">
        <v>0.1</v>
      </c>
      <c r="F7" s="10">
        <f t="shared" si="0"/>
        <v>0.55000000000000004</v>
      </c>
    </row>
    <row r="8" spans="1:9" ht="20.25" customHeight="1" x14ac:dyDescent="0.25">
      <c r="A8" s="107" t="s">
        <v>8</v>
      </c>
      <c r="B8" s="9">
        <v>0.03</v>
      </c>
      <c r="C8" s="5">
        <v>0.05</v>
      </c>
      <c r="D8" s="5">
        <v>7.0000000000000007E-2</v>
      </c>
      <c r="E8" s="5">
        <v>0.08</v>
      </c>
      <c r="F8" s="10">
        <f t="shared" si="0"/>
        <v>0.23000000000000004</v>
      </c>
    </row>
    <row r="9" spans="1:9" ht="20.25" customHeight="1" x14ac:dyDescent="0.25">
      <c r="A9" s="107" t="s">
        <v>9</v>
      </c>
      <c r="B9" s="9">
        <v>0</v>
      </c>
      <c r="C9" s="5">
        <v>0.03</v>
      </c>
      <c r="D9" s="5">
        <v>0.1</v>
      </c>
      <c r="E9" s="5">
        <v>0.15</v>
      </c>
      <c r="F9" s="10">
        <f t="shared" si="0"/>
        <v>0.28000000000000003</v>
      </c>
    </row>
    <row r="10" spans="1:9" ht="20.25" customHeight="1" x14ac:dyDescent="0.25">
      <c r="A10" s="107" t="s">
        <v>10</v>
      </c>
      <c r="B10" s="9">
        <v>0.05</v>
      </c>
      <c r="C10" s="5">
        <v>7.0000000000000007E-2</v>
      </c>
      <c r="D10" s="5">
        <v>0.15</v>
      </c>
      <c r="E10" s="5">
        <v>0.3</v>
      </c>
      <c r="F10" s="10">
        <f t="shared" si="0"/>
        <v>0.57000000000000006</v>
      </c>
    </row>
    <row r="11" spans="1:9" ht="20.25" customHeight="1" x14ac:dyDescent="0.25">
      <c r="A11" s="107" t="s">
        <v>11</v>
      </c>
      <c r="B11" s="9">
        <v>0.1</v>
      </c>
      <c r="C11" s="5">
        <v>0.1</v>
      </c>
      <c r="D11" s="5">
        <v>0.1</v>
      </c>
      <c r="E11" s="5">
        <v>0.25</v>
      </c>
      <c r="F11" s="10">
        <f t="shared" si="0"/>
        <v>0.55000000000000004</v>
      </c>
    </row>
    <row r="12" spans="1:9" ht="20.25" customHeight="1" thickBot="1" x14ac:dyDescent="0.3">
      <c r="A12" s="104" t="s">
        <v>12</v>
      </c>
      <c r="B12" s="3">
        <v>7.0000000000000007E-2</v>
      </c>
      <c r="C12" s="4">
        <v>7.0000000000000007E-2</v>
      </c>
      <c r="D12" s="4">
        <v>7.0000000000000007E-2</v>
      </c>
      <c r="E12" s="4">
        <v>7.0000000000000007E-2</v>
      </c>
      <c r="F12" s="11">
        <f t="shared" si="0"/>
        <v>0.28000000000000003</v>
      </c>
    </row>
    <row r="13" spans="1:9" ht="20.25" customHeight="1" thickBot="1" x14ac:dyDescent="0.3">
      <c r="A13" s="105" t="s">
        <v>14</v>
      </c>
      <c r="B13" s="2">
        <f>SUM(B4:B12)</f>
        <v>1.0000000000000002</v>
      </c>
      <c r="C13" s="4">
        <f t="shared" ref="C13:E13" si="1">SUM(C4:C12)</f>
        <v>1</v>
      </c>
      <c r="D13" s="4">
        <f t="shared" si="1"/>
        <v>1</v>
      </c>
      <c r="E13" s="11">
        <f t="shared" si="1"/>
        <v>1</v>
      </c>
      <c r="F13" s="1"/>
    </row>
    <row r="14" spans="1:9" ht="15.75" thickBot="1" x14ac:dyDescent="0.3"/>
    <row r="15" spans="1:9" ht="21.75" customHeight="1" thickBot="1" x14ac:dyDescent="0.3">
      <c r="A15" s="189" t="s">
        <v>16</v>
      </c>
      <c r="B15" s="196" t="s">
        <v>15</v>
      </c>
      <c r="C15" s="197"/>
      <c r="D15" s="197"/>
      <c r="E15" s="197"/>
      <c r="F15" s="198"/>
    </row>
    <row r="16" spans="1:9" ht="36" customHeight="1" thickBot="1" x14ac:dyDescent="0.3">
      <c r="A16" s="191"/>
      <c r="B16" s="20" t="s">
        <v>0</v>
      </c>
      <c r="C16" s="21" t="s">
        <v>1</v>
      </c>
      <c r="D16" s="21" t="s">
        <v>2</v>
      </c>
      <c r="E16" s="22" t="s">
        <v>3</v>
      </c>
      <c r="F16" s="23" t="s">
        <v>13</v>
      </c>
    </row>
    <row r="17" spans="1:14" ht="20.25" customHeight="1" x14ac:dyDescent="0.25">
      <c r="A17" s="102" t="s">
        <v>4</v>
      </c>
      <c r="B17" s="25">
        <f t="shared" ref="B17:E25" si="2">B4*B$3</f>
        <v>1.2500000000000001E-2</v>
      </c>
      <c r="C17" s="26">
        <f t="shared" si="2"/>
        <v>2.6000000000000002E-2</v>
      </c>
      <c r="D17" s="26">
        <f t="shared" si="2"/>
        <v>3.2500000000000001E-2</v>
      </c>
      <c r="E17" s="26">
        <f t="shared" si="2"/>
        <v>1E-3</v>
      </c>
      <c r="F17" s="27">
        <f t="shared" ref="F17:F25" si="3">SUM(B17:E17)</f>
        <v>7.2000000000000008E-2</v>
      </c>
    </row>
    <row r="18" spans="1:14" ht="20.25" customHeight="1" x14ac:dyDescent="0.25">
      <c r="A18" s="103" t="s">
        <v>5</v>
      </c>
      <c r="B18" s="28">
        <f t="shared" si="2"/>
        <v>1.4999999999999999E-2</v>
      </c>
      <c r="C18" s="24">
        <f t="shared" si="2"/>
        <v>0.03</v>
      </c>
      <c r="D18" s="24">
        <f t="shared" si="2"/>
        <v>5.2000000000000005E-2</v>
      </c>
      <c r="E18" s="24">
        <f t="shared" si="2"/>
        <v>2E-3</v>
      </c>
      <c r="F18" s="29">
        <f t="shared" si="3"/>
        <v>9.9000000000000005E-2</v>
      </c>
    </row>
    <row r="19" spans="1:14" ht="20.25" customHeight="1" x14ac:dyDescent="0.25">
      <c r="A19" s="103" t="s">
        <v>6</v>
      </c>
      <c r="B19" s="28">
        <f t="shared" si="2"/>
        <v>7.4999999999999997E-3</v>
      </c>
      <c r="C19" s="24">
        <f t="shared" si="2"/>
        <v>0.05</v>
      </c>
      <c r="D19" s="24">
        <f t="shared" si="2"/>
        <v>8.4500000000000006E-2</v>
      </c>
      <c r="E19" s="24">
        <f t="shared" si="2"/>
        <v>2E-3</v>
      </c>
      <c r="F19" s="29">
        <f t="shared" si="3"/>
        <v>0.14400000000000002</v>
      </c>
    </row>
    <row r="20" spans="1:14" ht="20.25" customHeight="1" x14ac:dyDescent="0.25">
      <c r="A20" s="103" t="s">
        <v>7</v>
      </c>
      <c r="B20" s="28">
        <f t="shared" si="2"/>
        <v>2.5000000000000005E-3</v>
      </c>
      <c r="C20" s="24">
        <f t="shared" si="2"/>
        <v>0.03</v>
      </c>
      <c r="D20" s="24">
        <f t="shared" si="2"/>
        <v>0.16250000000000001</v>
      </c>
      <c r="E20" s="24">
        <f t="shared" si="2"/>
        <v>1.0000000000000002E-2</v>
      </c>
      <c r="F20" s="29">
        <f t="shared" si="3"/>
        <v>0.20500000000000002</v>
      </c>
    </row>
    <row r="21" spans="1:14" ht="20.25" customHeight="1" x14ac:dyDescent="0.25">
      <c r="A21" s="103" t="s">
        <v>8</v>
      </c>
      <c r="B21" s="28">
        <f t="shared" si="2"/>
        <v>1.5E-3</v>
      </c>
      <c r="C21" s="24">
        <f t="shared" si="2"/>
        <v>1.0000000000000002E-2</v>
      </c>
      <c r="D21" s="24">
        <f t="shared" si="2"/>
        <v>4.5500000000000006E-2</v>
      </c>
      <c r="E21" s="24">
        <f t="shared" si="2"/>
        <v>8.0000000000000002E-3</v>
      </c>
      <c r="F21" s="29">
        <f t="shared" si="3"/>
        <v>6.5000000000000002E-2</v>
      </c>
    </row>
    <row r="22" spans="1:14" ht="20.25" customHeight="1" x14ac:dyDescent="0.25">
      <c r="A22" s="103" t="s">
        <v>9</v>
      </c>
      <c r="B22" s="28">
        <f t="shared" si="2"/>
        <v>0</v>
      </c>
      <c r="C22" s="24">
        <f t="shared" si="2"/>
        <v>6.0000000000000001E-3</v>
      </c>
      <c r="D22" s="24">
        <f t="shared" si="2"/>
        <v>6.5000000000000002E-2</v>
      </c>
      <c r="E22" s="24">
        <f t="shared" si="2"/>
        <v>1.4999999999999999E-2</v>
      </c>
      <c r="F22" s="29">
        <f t="shared" si="3"/>
        <v>8.6000000000000007E-2</v>
      </c>
    </row>
    <row r="23" spans="1:14" ht="20.25" customHeight="1" x14ac:dyDescent="0.25">
      <c r="A23" s="103" t="s">
        <v>10</v>
      </c>
      <c r="B23" s="28">
        <f t="shared" si="2"/>
        <v>2.5000000000000005E-3</v>
      </c>
      <c r="C23" s="24">
        <f t="shared" si="2"/>
        <v>1.4000000000000002E-2</v>
      </c>
      <c r="D23" s="24">
        <f t="shared" si="2"/>
        <v>9.7500000000000003E-2</v>
      </c>
      <c r="E23" s="24">
        <f t="shared" si="2"/>
        <v>0.03</v>
      </c>
      <c r="F23" s="29">
        <f t="shared" si="3"/>
        <v>0.14400000000000002</v>
      </c>
    </row>
    <row r="24" spans="1:14" ht="20.25" customHeight="1" x14ac:dyDescent="0.25">
      <c r="A24" s="103" t="s">
        <v>11</v>
      </c>
      <c r="B24" s="28">
        <f t="shared" si="2"/>
        <v>5.000000000000001E-3</v>
      </c>
      <c r="C24" s="24">
        <f t="shared" si="2"/>
        <v>2.0000000000000004E-2</v>
      </c>
      <c r="D24" s="24">
        <f t="shared" si="2"/>
        <v>6.5000000000000002E-2</v>
      </c>
      <c r="E24" s="24">
        <f t="shared" si="2"/>
        <v>2.5000000000000001E-2</v>
      </c>
      <c r="F24" s="29">
        <f t="shared" si="3"/>
        <v>0.11500000000000002</v>
      </c>
    </row>
    <row r="25" spans="1:14" ht="20.25" customHeight="1" thickBot="1" x14ac:dyDescent="0.3">
      <c r="A25" s="104" t="s">
        <v>12</v>
      </c>
      <c r="B25" s="30">
        <f t="shared" si="2"/>
        <v>3.5000000000000005E-3</v>
      </c>
      <c r="C25" s="31">
        <f t="shared" si="2"/>
        <v>1.4000000000000002E-2</v>
      </c>
      <c r="D25" s="31">
        <f t="shared" si="2"/>
        <v>4.5500000000000006E-2</v>
      </c>
      <c r="E25" s="31">
        <f t="shared" si="2"/>
        <v>7.000000000000001E-3</v>
      </c>
      <c r="F25" s="32">
        <f t="shared" si="3"/>
        <v>7.0000000000000007E-2</v>
      </c>
    </row>
    <row r="26" spans="1:14" ht="20.25" customHeight="1" thickBot="1" x14ac:dyDescent="0.3">
      <c r="A26" s="105" t="s">
        <v>18</v>
      </c>
      <c r="B26" s="33">
        <f>SUM(B17:B25)</f>
        <v>5.0000000000000017E-2</v>
      </c>
      <c r="C26" s="34">
        <f t="shared" ref="C26:E26" si="4">SUM(C17:C25)</f>
        <v>0.20000000000000007</v>
      </c>
      <c r="D26" s="34">
        <f t="shared" si="4"/>
        <v>0.65</v>
      </c>
      <c r="E26" s="35">
        <f t="shared" si="4"/>
        <v>0.1</v>
      </c>
      <c r="F26" s="36">
        <f>SUM(F17:F25)</f>
        <v>1</v>
      </c>
    </row>
    <row r="27" spans="1:14" ht="15.75" thickBot="1" x14ac:dyDescent="0.3"/>
    <row r="28" spans="1:14" ht="21.75" customHeight="1" thickBot="1" x14ac:dyDescent="0.3">
      <c r="A28" s="189" t="s">
        <v>16</v>
      </c>
      <c r="B28" s="196" t="s">
        <v>15</v>
      </c>
      <c r="C28" s="197"/>
      <c r="D28" s="197"/>
      <c r="E28" s="197"/>
      <c r="F28" s="198"/>
      <c r="G28" s="202" t="s">
        <v>84</v>
      </c>
      <c r="H28" s="203"/>
      <c r="I28" s="204"/>
    </row>
    <row r="29" spans="1:14" ht="36" customHeight="1" thickBot="1" x14ac:dyDescent="0.3">
      <c r="A29" s="191"/>
      <c r="B29" s="20" t="s">
        <v>0</v>
      </c>
      <c r="C29" s="21" t="s">
        <v>1</v>
      </c>
      <c r="D29" s="21" t="s">
        <v>2</v>
      </c>
      <c r="E29" s="22" t="s">
        <v>3</v>
      </c>
      <c r="F29" s="23" t="s">
        <v>13</v>
      </c>
      <c r="G29" s="205" t="s">
        <v>86</v>
      </c>
      <c r="H29" s="206"/>
      <c r="I29" s="207"/>
      <c r="J29">
        <f>IF(G29="JAVA",'PADRÕES e DEFINIÇÕES'!V4,IF(G29="PHP",'PADRÕES e DEFINIÇÕES'!V5,IF(G29="C++",'PADRÕES e DEFINIÇÕES'!V6)))</f>
        <v>19</v>
      </c>
    </row>
    <row r="30" spans="1:14" ht="20.25" customHeight="1" x14ac:dyDescent="0.25">
      <c r="A30" s="102" t="s">
        <v>4</v>
      </c>
      <c r="B30" s="50">
        <f>($G$31*B17)</f>
        <v>5.0625</v>
      </c>
      <c r="C30" s="37">
        <f t="shared" ref="C30:E30" si="5">($G$31*C17)</f>
        <v>10.530000000000001</v>
      </c>
      <c r="D30" s="37">
        <f t="shared" si="5"/>
        <v>13.1625</v>
      </c>
      <c r="E30" s="37">
        <f t="shared" si="5"/>
        <v>0.40500000000000003</v>
      </c>
      <c r="F30" s="38">
        <f>SUM(B30:E30)</f>
        <v>29.160000000000004</v>
      </c>
      <c r="G30" s="202" t="s">
        <v>85</v>
      </c>
      <c r="H30" s="203"/>
      <c r="I30" s="204"/>
    </row>
    <row r="31" spans="1:14" ht="20.25" customHeight="1" x14ac:dyDescent="0.25">
      <c r="A31" s="103" t="s">
        <v>5</v>
      </c>
      <c r="B31" s="39">
        <f t="shared" ref="B31:B38" si="6">($G$31*B18)</f>
        <v>6.0750000000000002</v>
      </c>
      <c r="C31" s="40">
        <f t="shared" ref="C31:E31" si="7">($G$31*C18)</f>
        <v>12.15</v>
      </c>
      <c r="D31" s="40">
        <f t="shared" si="7"/>
        <v>21.060000000000002</v>
      </c>
      <c r="E31" s="40">
        <f t="shared" si="7"/>
        <v>0.81</v>
      </c>
      <c r="F31" s="41">
        <f t="shared" ref="F31:F38" si="8">SUM(B31:E31)</f>
        <v>40.095000000000006</v>
      </c>
      <c r="G31" s="199">
        <v>405</v>
      </c>
      <c r="H31" s="200"/>
      <c r="I31" s="201"/>
    </row>
    <row r="32" spans="1:14" ht="20.25" customHeight="1" x14ac:dyDescent="0.25">
      <c r="A32" s="103" t="s">
        <v>6</v>
      </c>
      <c r="B32" s="39">
        <f t="shared" si="6"/>
        <v>3.0375000000000001</v>
      </c>
      <c r="C32" s="40">
        <f t="shared" ref="C32:E32" si="9">($G$31*C19)</f>
        <v>20.25</v>
      </c>
      <c r="D32" s="40">
        <f t="shared" si="9"/>
        <v>34.222500000000004</v>
      </c>
      <c r="E32" s="40">
        <f t="shared" si="9"/>
        <v>0.81</v>
      </c>
      <c r="F32" s="41">
        <f t="shared" si="8"/>
        <v>58.320000000000007</v>
      </c>
      <c r="L32" s="199" t="s">
        <v>126</v>
      </c>
      <c r="M32" s="200"/>
      <c r="N32" s="201"/>
    </row>
    <row r="33" spans="1:6" ht="20.25" customHeight="1" x14ac:dyDescent="0.25">
      <c r="A33" s="103" t="s">
        <v>7</v>
      </c>
      <c r="B33" s="39">
        <f t="shared" si="6"/>
        <v>1.0125000000000002</v>
      </c>
      <c r="C33" s="40">
        <f t="shared" ref="C33:E33" si="10">($G$31*C20)</f>
        <v>12.15</v>
      </c>
      <c r="D33" s="40">
        <f t="shared" si="10"/>
        <v>65.8125</v>
      </c>
      <c r="E33" s="40">
        <f t="shared" si="10"/>
        <v>4.0500000000000007</v>
      </c>
      <c r="F33" s="41">
        <f t="shared" si="8"/>
        <v>83.024999999999991</v>
      </c>
    </row>
    <row r="34" spans="1:6" ht="20.25" customHeight="1" x14ac:dyDescent="0.25">
      <c r="A34" s="103" t="s">
        <v>8</v>
      </c>
      <c r="B34" s="39">
        <f t="shared" si="6"/>
        <v>0.60750000000000004</v>
      </c>
      <c r="C34" s="40">
        <f t="shared" ref="C34:E34" si="11">($G$31*C21)</f>
        <v>4.0500000000000007</v>
      </c>
      <c r="D34" s="40">
        <f t="shared" si="11"/>
        <v>18.427500000000002</v>
      </c>
      <c r="E34" s="40">
        <f t="shared" si="11"/>
        <v>3.24</v>
      </c>
      <c r="F34" s="41">
        <f t="shared" si="8"/>
        <v>26.325000000000003</v>
      </c>
    </row>
    <row r="35" spans="1:6" ht="20.25" customHeight="1" x14ac:dyDescent="0.25">
      <c r="A35" s="103" t="s">
        <v>9</v>
      </c>
      <c r="B35" s="39">
        <f t="shared" si="6"/>
        <v>0</v>
      </c>
      <c r="C35" s="40">
        <f t="shared" ref="C35:E35" si="12">($G$31*C22)</f>
        <v>2.4300000000000002</v>
      </c>
      <c r="D35" s="40">
        <f t="shared" si="12"/>
        <v>26.324999999999999</v>
      </c>
      <c r="E35" s="40">
        <f t="shared" si="12"/>
        <v>6.0750000000000002</v>
      </c>
      <c r="F35" s="41">
        <f t="shared" si="8"/>
        <v>34.83</v>
      </c>
    </row>
    <row r="36" spans="1:6" ht="20.25" customHeight="1" x14ac:dyDescent="0.25">
      <c r="A36" s="103" t="s">
        <v>10</v>
      </c>
      <c r="B36" s="39">
        <f t="shared" si="6"/>
        <v>1.0125000000000002</v>
      </c>
      <c r="C36" s="40">
        <f t="shared" ref="C36:E36" si="13">($G$31*C23)</f>
        <v>5.6700000000000008</v>
      </c>
      <c r="D36" s="40">
        <f t="shared" si="13"/>
        <v>39.487500000000004</v>
      </c>
      <c r="E36" s="40">
        <f t="shared" si="13"/>
        <v>12.15</v>
      </c>
      <c r="F36" s="41">
        <f t="shared" si="8"/>
        <v>58.32</v>
      </c>
    </row>
    <row r="37" spans="1:6" ht="20.25" customHeight="1" x14ac:dyDescent="0.25">
      <c r="A37" s="103" t="s">
        <v>11</v>
      </c>
      <c r="B37" s="39">
        <f t="shared" si="6"/>
        <v>2.0250000000000004</v>
      </c>
      <c r="C37" s="40">
        <f t="shared" ref="C37:E37" si="14">($G$31*C24)</f>
        <v>8.1000000000000014</v>
      </c>
      <c r="D37" s="40">
        <f t="shared" si="14"/>
        <v>26.324999999999999</v>
      </c>
      <c r="E37" s="40">
        <f t="shared" si="14"/>
        <v>10.125</v>
      </c>
      <c r="F37" s="41">
        <f t="shared" si="8"/>
        <v>46.575000000000003</v>
      </c>
    </row>
    <row r="38" spans="1:6" ht="20.25" customHeight="1" thickBot="1" x14ac:dyDescent="0.3">
      <c r="A38" s="104" t="s">
        <v>12</v>
      </c>
      <c r="B38" s="42">
        <f t="shared" si="6"/>
        <v>1.4175000000000002</v>
      </c>
      <c r="C38" s="43">
        <f t="shared" ref="C38:E38" si="15">($G$31*C25)</f>
        <v>5.6700000000000008</v>
      </c>
      <c r="D38" s="43">
        <f t="shared" si="15"/>
        <v>18.427500000000002</v>
      </c>
      <c r="E38" s="43">
        <f t="shared" si="15"/>
        <v>2.8350000000000004</v>
      </c>
      <c r="F38" s="44">
        <f t="shared" si="8"/>
        <v>28.350000000000005</v>
      </c>
    </row>
    <row r="39" spans="1:6" ht="20.25" customHeight="1" thickBot="1" x14ac:dyDescent="0.3">
      <c r="A39" s="105" t="s">
        <v>18</v>
      </c>
      <c r="B39" s="45">
        <f>SUM(B30:B38)</f>
        <v>20.250000000000004</v>
      </c>
      <c r="C39" s="46">
        <f t="shared" ref="C39:E39" si="16">SUM(C30:C38)</f>
        <v>80.999999999999986</v>
      </c>
      <c r="D39" s="46">
        <f t="shared" si="16"/>
        <v>263.25</v>
      </c>
      <c r="E39" s="47">
        <f t="shared" si="16"/>
        <v>40.5</v>
      </c>
      <c r="F39" s="48">
        <f>SUM(F30:F38)</f>
        <v>405</v>
      </c>
    </row>
    <row r="42" spans="1:6" x14ac:dyDescent="0.25">
      <c r="B42" s="49"/>
      <c r="C42" s="49"/>
    </row>
    <row r="43" spans="1:6" x14ac:dyDescent="0.25">
      <c r="B43" s="49"/>
      <c r="C43" s="49"/>
    </row>
    <row r="44" spans="1:6" x14ac:dyDescent="0.25">
      <c r="B44" s="49"/>
      <c r="C44" s="49"/>
    </row>
    <row r="45" spans="1:6" x14ac:dyDescent="0.25">
      <c r="B45" s="49"/>
      <c r="C45" s="49"/>
    </row>
    <row r="46" spans="1:6" x14ac:dyDescent="0.25">
      <c r="B46" s="49"/>
      <c r="C46" s="49"/>
    </row>
    <row r="47" spans="1:6" x14ac:dyDescent="0.25">
      <c r="B47" s="49"/>
      <c r="C47" s="49"/>
    </row>
  </sheetData>
  <mergeCells count="12">
    <mergeCell ref="L32:N32"/>
    <mergeCell ref="A28:A29"/>
    <mergeCell ref="B28:F28"/>
    <mergeCell ref="G31:I31"/>
    <mergeCell ref="G28:I28"/>
    <mergeCell ref="G29:I29"/>
    <mergeCell ref="G30:I30"/>
    <mergeCell ref="B1:F1"/>
    <mergeCell ref="A1:A3"/>
    <mergeCell ref="G2:I3"/>
    <mergeCell ref="A15:A16"/>
    <mergeCell ref="B15:F15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'PADRÕES e DEFINIÇÕES'!$U$4:$U$9</xm:f>
          </x14:formula1>
          <xm:sqref>G29:I29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4" workbookViewId="0">
      <selection activeCell="A17" sqref="A17"/>
    </sheetView>
  </sheetViews>
  <sheetFormatPr defaultRowHeight="15" x14ac:dyDescent="0.25"/>
  <cols>
    <col min="1" max="1" width="34.7109375" customWidth="1"/>
    <col min="2" max="3" width="15.28515625" customWidth="1"/>
    <col min="4" max="4" width="15.85546875" customWidth="1"/>
    <col min="5" max="6" width="15.28515625" customWidth="1"/>
    <col min="7" max="7" width="13.140625" customWidth="1"/>
    <col min="8" max="8" width="16.85546875" customWidth="1"/>
    <col min="9" max="12" width="14.42578125" customWidth="1"/>
  </cols>
  <sheetData>
    <row r="1" spans="1:8" ht="26.25" customHeight="1" thickBot="1" x14ac:dyDescent="0.3">
      <c r="A1" s="141" t="s">
        <v>117</v>
      </c>
      <c r="B1" s="142">
        <v>0.25</v>
      </c>
      <c r="C1" s="84"/>
    </row>
    <row r="2" spans="1:8" ht="26.25" customHeight="1" thickBot="1" x14ac:dyDescent="0.3">
      <c r="A2" s="141" t="s">
        <v>118</v>
      </c>
      <c r="B2" s="142">
        <v>0.2</v>
      </c>
      <c r="C2" s="84"/>
    </row>
    <row r="3" spans="1:8" ht="26.25" customHeight="1" thickBot="1" x14ac:dyDescent="0.3">
      <c r="A3" s="141" t="s">
        <v>110</v>
      </c>
      <c r="B3" s="143">
        <v>20</v>
      </c>
      <c r="C3" s="84"/>
    </row>
    <row r="4" spans="1:8" ht="26.25" customHeight="1" thickBot="1" x14ac:dyDescent="0.3">
      <c r="A4" s="141" t="s">
        <v>91</v>
      </c>
      <c r="B4" s="144">
        <v>1</v>
      </c>
      <c r="C4" s="84"/>
    </row>
    <row r="5" spans="1:8" ht="26.25" customHeight="1" thickBot="1" x14ac:dyDescent="0.3">
      <c r="A5" s="141" t="s">
        <v>111</v>
      </c>
      <c r="B5" s="144">
        <v>44</v>
      </c>
      <c r="C5" s="84"/>
    </row>
    <row r="6" spans="1:8" ht="16.5" customHeight="1" thickBot="1" x14ac:dyDescent="0.3">
      <c r="A6" s="121"/>
      <c r="B6" s="84"/>
      <c r="C6" s="84"/>
    </row>
    <row r="7" spans="1:8" ht="29.25" customHeight="1" thickBot="1" x14ac:dyDescent="0.3">
      <c r="A7" s="84"/>
      <c r="B7" s="88" t="s">
        <v>96</v>
      </c>
      <c r="C7" s="89" t="s">
        <v>112</v>
      </c>
      <c r="D7" s="89" t="s">
        <v>113</v>
      </c>
      <c r="E7" s="81" t="s">
        <v>115</v>
      </c>
    </row>
    <row r="8" spans="1:8" ht="29.25" customHeight="1" thickBot="1" x14ac:dyDescent="0.3">
      <c r="A8" s="105" t="s">
        <v>94</v>
      </c>
      <c r="B8" s="135">
        <f>C8*5.5</f>
        <v>50.625</v>
      </c>
      <c r="C8" s="136">
        <f>'DIST. ESFORÇO'!F39/(B4*B5)</f>
        <v>9.204545454545455</v>
      </c>
      <c r="D8" s="136">
        <f>B8/30</f>
        <v>1.6875</v>
      </c>
      <c r="E8" s="137"/>
    </row>
    <row r="9" spans="1:8" ht="29.25" customHeight="1" x14ac:dyDescent="0.25">
      <c r="A9" s="127" t="s">
        <v>92</v>
      </c>
      <c r="B9" s="128">
        <f>E9/B8</f>
        <v>160</v>
      </c>
      <c r="C9" s="129">
        <f>E9/C8</f>
        <v>880</v>
      </c>
      <c r="D9" s="129">
        <f>E9/D8</f>
        <v>4800</v>
      </c>
      <c r="E9" s="130">
        <f>(B5*B3*B4)*C8</f>
        <v>8100</v>
      </c>
      <c r="H9" s="101"/>
    </row>
    <row r="10" spans="1:8" ht="29.25" customHeight="1" x14ac:dyDescent="0.25">
      <c r="A10" s="123" t="s">
        <v>93</v>
      </c>
      <c r="B10" s="125">
        <f>B9*$B$1</f>
        <v>40</v>
      </c>
      <c r="C10" s="126">
        <f>C9*$B$1</f>
        <v>220</v>
      </c>
      <c r="D10" s="126">
        <f>D9*$B$1</f>
        <v>1200</v>
      </c>
      <c r="E10" s="124">
        <f>E9*$B$1</f>
        <v>2025</v>
      </c>
      <c r="H10" s="101"/>
    </row>
    <row r="11" spans="1:8" ht="29.25" customHeight="1" thickBot="1" x14ac:dyDescent="0.3">
      <c r="A11" s="131" t="s">
        <v>114</v>
      </c>
      <c r="B11" s="132">
        <f>(B9+B10)*$B$2</f>
        <v>40</v>
      </c>
      <c r="C11" s="133">
        <f>(C9+C10)*$B$2</f>
        <v>220</v>
      </c>
      <c r="D11" s="133">
        <f>(D9+D10)*$B$2</f>
        <v>1200</v>
      </c>
      <c r="E11" s="134">
        <f>(E9+E10)*$B$2</f>
        <v>2025</v>
      </c>
    </row>
    <row r="12" spans="1:8" ht="29.25" customHeight="1" thickBot="1" x14ac:dyDescent="0.3">
      <c r="A12" s="122" t="s">
        <v>95</v>
      </c>
      <c r="B12" s="138">
        <f>SUM(B9:B11)</f>
        <v>240</v>
      </c>
      <c r="C12" s="139">
        <f>SUM(C9:C11)</f>
        <v>1320</v>
      </c>
      <c r="D12" s="139">
        <f>SUM(D9:D11)</f>
        <v>7200</v>
      </c>
      <c r="E12" s="140">
        <f>SUM(E9:E11)</f>
        <v>12150</v>
      </c>
    </row>
    <row r="13" spans="1:8" ht="15.75" customHeight="1" thickBot="1" x14ac:dyDescent="0.3">
      <c r="A13" s="121"/>
      <c r="B13" s="84"/>
      <c r="C13" s="84"/>
    </row>
    <row r="14" spans="1:8" ht="36.75" customHeight="1" thickBot="1" x14ac:dyDescent="0.3">
      <c r="A14" s="170" t="s">
        <v>116</v>
      </c>
      <c r="B14" s="177"/>
      <c r="C14" s="177"/>
      <c r="D14" s="177"/>
      <c r="E14" s="177"/>
      <c r="F14" s="171"/>
    </row>
    <row r="15" spans="1:8" ht="20.25" customHeight="1" thickBot="1" x14ac:dyDescent="0.3">
      <c r="A15" s="189" t="s">
        <v>16</v>
      </c>
      <c r="B15" s="170" t="s">
        <v>15</v>
      </c>
      <c r="C15" s="177"/>
      <c r="D15" s="177"/>
      <c r="E15" s="177"/>
      <c r="F15" s="171"/>
    </row>
    <row r="16" spans="1:8" ht="37.5" customHeight="1" thickBot="1" x14ac:dyDescent="0.3">
      <c r="A16" s="191"/>
      <c r="B16" s="20" t="s">
        <v>0</v>
      </c>
      <c r="C16" s="21" t="s">
        <v>1</v>
      </c>
      <c r="D16" s="21" t="s">
        <v>2</v>
      </c>
      <c r="E16" s="22" t="s">
        <v>3</v>
      </c>
      <c r="F16" s="23" t="s">
        <v>13</v>
      </c>
    </row>
    <row r="17" spans="1:6" ht="22.5" customHeight="1" x14ac:dyDescent="0.25">
      <c r="A17" s="102" t="s">
        <v>4</v>
      </c>
      <c r="B17" s="108">
        <f>'DIST. ESFORÇO'!B30*(($E$12/$C$8)/$B$5)</f>
        <v>151.875</v>
      </c>
      <c r="C17" s="109">
        <f>'DIST. ESFORÇO'!C30*(($E$12/$C$8)/$B$5)</f>
        <v>315.90000000000003</v>
      </c>
      <c r="D17" s="109">
        <f>'DIST. ESFORÇO'!D30*(($E$12/$C$8)/$B$5)</f>
        <v>394.875</v>
      </c>
      <c r="E17" s="109">
        <f>'DIST. ESFORÇO'!E30*(($E$12/$C$8)/$B$5)</f>
        <v>12.15</v>
      </c>
      <c r="F17" s="110">
        <f>SUM(B17:E17)</f>
        <v>874.80000000000007</v>
      </c>
    </row>
    <row r="18" spans="1:6" ht="22.5" customHeight="1" x14ac:dyDescent="0.25">
      <c r="A18" s="103" t="s">
        <v>5</v>
      </c>
      <c r="B18" s="111">
        <f>'DIST. ESFORÇO'!B31*(($E$12/$C$8)/$B$5)</f>
        <v>182.25</v>
      </c>
      <c r="C18" s="112">
        <f>'DIST. ESFORÇO'!C31*(($E$12/$C$8)/$B$5)</f>
        <v>364.5</v>
      </c>
      <c r="D18" s="112">
        <f>'DIST. ESFORÇO'!D31*(($E$12/$C$8)/$B$5)</f>
        <v>631.80000000000007</v>
      </c>
      <c r="E18" s="112">
        <f>'DIST. ESFORÇO'!E31*(($E$12/$C$8)/$B$5)</f>
        <v>24.3</v>
      </c>
      <c r="F18" s="113">
        <f t="shared" ref="F18:F25" si="0">SUM(B18:E18)</f>
        <v>1202.8500000000001</v>
      </c>
    </row>
    <row r="19" spans="1:6" ht="22.5" customHeight="1" x14ac:dyDescent="0.25">
      <c r="A19" s="103" t="s">
        <v>6</v>
      </c>
      <c r="B19" s="111">
        <f>'DIST. ESFORÇO'!B32*(($E$12/$C$8)/$B$5)</f>
        <v>91.125</v>
      </c>
      <c r="C19" s="112">
        <f>'DIST. ESFORÇO'!C32*(($E$12/$C$8)/$B$5)</f>
        <v>607.5</v>
      </c>
      <c r="D19" s="112">
        <f>'DIST. ESFORÇO'!D32*(($E$12/$C$8)/$B$5)</f>
        <v>1026.6750000000002</v>
      </c>
      <c r="E19" s="112">
        <f>'DIST. ESFORÇO'!E32*(($E$12/$C$8)/$B$5)</f>
        <v>24.3</v>
      </c>
      <c r="F19" s="113">
        <f t="shared" si="0"/>
        <v>1749.6000000000001</v>
      </c>
    </row>
    <row r="20" spans="1:6" ht="22.5" customHeight="1" x14ac:dyDescent="0.25">
      <c r="A20" s="103" t="s">
        <v>7</v>
      </c>
      <c r="B20" s="111">
        <f>'DIST. ESFORÇO'!B33*(($E$12/$C$8)/$B$5)</f>
        <v>30.375000000000007</v>
      </c>
      <c r="C20" s="112">
        <f>'DIST. ESFORÇO'!C33*(($E$12/$C$8)/$B$5)</f>
        <v>364.5</v>
      </c>
      <c r="D20" s="112">
        <f>'DIST. ESFORÇO'!D33*(($E$12/$C$8)/$B$5)</f>
        <v>1974.375</v>
      </c>
      <c r="E20" s="112">
        <f>'DIST. ESFORÇO'!E33*(($E$12/$C$8)/$B$5)</f>
        <v>121.50000000000003</v>
      </c>
      <c r="F20" s="113">
        <f t="shared" si="0"/>
        <v>2490.75</v>
      </c>
    </row>
    <row r="21" spans="1:6" ht="22.5" customHeight="1" x14ac:dyDescent="0.25">
      <c r="A21" s="103" t="s">
        <v>8</v>
      </c>
      <c r="B21" s="111">
        <f>'DIST. ESFORÇO'!B34*(($E$12/$C$8)/$B$5)</f>
        <v>18.225000000000001</v>
      </c>
      <c r="C21" s="112">
        <f>'DIST. ESFORÇO'!C34*(($E$12/$C$8)/$B$5)</f>
        <v>121.50000000000003</v>
      </c>
      <c r="D21" s="112">
        <f>'DIST. ESFORÇO'!D34*(($E$12/$C$8)/$B$5)</f>
        <v>552.82500000000005</v>
      </c>
      <c r="E21" s="112">
        <f>'DIST. ESFORÇO'!E34*(($E$12/$C$8)/$B$5)</f>
        <v>97.2</v>
      </c>
      <c r="F21" s="113">
        <f t="shared" si="0"/>
        <v>789.75000000000011</v>
      </c>
    </row>
    <row r="22" spans="1:6" ht="22.5" customHeight="1" x14ac:dyDescent="0.25">
      <c r="A22" s="103" t="s">
        <v>9</v>
      </c>
      <c r="B22" s="111">
        <f>'DIST. ESFORÇO'!B35*(($E$12/$C$8)/$B$5)</f>
        <v>0</v>
      </c>
      <c r="C22" s="112">
        <f>'DIST. ESFORÇO'!C35*(($E$12/$C$8)/$B$5)</f>
        <v>72.900000000000006</v>
      </c>
      <c r="D22" s="112">
        <f>'DIST. ESFORÇO'!D35*(($E$12/$C$8)/$B$5)</f>
        <v>789.75</v>
      </c>
      <c r="E22" s="112">
        <f>'DIST. ESFORÇO'!E35*(($E$12/$C$8)/$B$5)</f>
        <v>182.25</v>
      </c>
      <c r="F22" s="113">
        <f t="shared" si="0"/>
        <v>1044.9000000000001</v>
      </c>
    </row>
    <row r="23" spans="1:6" ht="22.5" customHeight="1" x14ac:dyDescent="0.25">
      <c r="A23" s="103" t="s">
        <v>10</v>
      </c>
      <c r="B23" s="111">
        <f>'DIST. ESFORÇO'!B36*(($E$12/$C$8)/$B$5)</f>
        <v>30.375000000000007</v>
      </c>
      <c r="C23" s="112">
        <f>'DIST. ESFORÇO'!C36*(($E$12/$C$8)/$B$5)</f>
        <v>170.10000000000002</v>
      </c>
      <c r="D23" s="112">
        <f>'DIST. ESFORÇO'!D36*(($E$12/$C$8)/$B$5)</f>
        <v>1184.6250000000002</v>
      </c>
      <c r="E23" s="112">
        <f>'DIST. ESFORÇO'!E36*(($E$12/$C$8)/$B$5)</f>
        <v>364.5</v>
      </c>
      <c r="F23" s="113">
        <f t="shared" si="0"/>
        <v>1749.6000000000004</v>
      </c>
    </row>
    <row r="24" spans="1:6" ht="22.5" customHeight="1" x14ac:dyDescent="0.25">
      <c r="A24" s="103" t="s">
        <v>11</v>
      </c>
      <c r="B24" s="111">
        <f>'DIST. ESFORÇO'!B37*(($E$12/$C$8)/$B$5)</f>
        <v>60.750000000000014</v>
      </c>
      <c r="C24" s="112">
        <f>'DIST. ESFORÇO'!C37*(($E$12/$C$8)/$B$5)</f>
        <v>243.00000000000006</v>
      </c>
      <c r="D24" s="112">
        <f>'DIST. ESFORÇO'!D37*(($E$12/$C$8)/$B$5)</f>
        <v>789.75</v>
      </c>
      <c r="E24" s="112">
        <f>'DIST. ESFORÇO'!E37*(($E$12/$C$8)/$B$5)</f>
        <v>303.75</v>
      </c>
      <c r="F24" s="113">
        <f t="shared" si="0"/>
        <v>1397.25</v>
      </c>
    </row>
    <row r="25" spans="1:6" ht="22.5" customHeight="1" thickBot="1" x14ac:dyDescent="0.3">
      <c r="A25" s="104" t="s">
        <v>12</v>
      </c>
      <c r="B25" s="114">
        <f>'DIST. ESFORÇO'!B38*(($E$12/$C$8)/$B$5)</f>
        <v>42.525000000000006</v>
      </c>
      <c r="C25" s="115">
        <f>'DIST. ESFORÇO'!C38*(($E$12/$C$8)/$B$5)</f>
        <v>170.10000000000002</v>
      </c>
      <c r="D25" s="115">
        <f>'DIST. ESFORÇO'!D38*(($E$12/$C$8)/$B$5)</f>
        <v>552.82500000000005</v>
      </c>
      <c r="E25" s="115">
        <f>'DIST. ESFORÇO'!E38*(($E$12/$C$8)/$B$5)</f>
        <v>85.050000000000011</v>
      </c>
      <c r="F25" s="116">
        <f t="shared" si="0"/>
        <v>850.5</v>
      </c>
    </row>
    <row r="26" spans="1:6" ht="30" customHeight="1" thickBot="1" x14ac:dyDescent="0.3">
      <c r="A26" s="105" t="s">
        <v>18</v>
      </c>
      <c r="B26" s="117">
        <f>SUM(B17:B25)</f>
        <v>607.5</v>
      </c>
      <c r="C26" s="118">
        <f t="shared" ref="C26:E26" si="1">SUM(C17:C25)</f>
        <v>2430</v>
      </c>
      <c r="D26" s="118">
        <f t="shared" si="1"/>
        <v>7897.5</v>
      </c>
      <c r="E26" s="119">
        <f t="shared" si="1"/>
        <v>1215</v>
      </c>
      <c r="F26" s="120">
        <f>SUM(F17:F25)</f>
        <v>12150</v>
      </c>
    </row>
    <row r="29" spans="1:6" x14ac:dyDescent="0.25">
      <c r="B29" s="49"/>
      <c r="C29" s="49"/>
    </row>
    <row r="30" spans="1:6" x14ac:dyDescent="0.25">
      <c r="B30" s="49"/>
      <c r="C30" s="49"/>
    </row>
    <row r="31" spans="1:6" x14ac:dyDescent="0.25">
      <c r="B31" s="49"/>
      <c r="C31" s="49"/>
    </row>
    <row r="32" spans="1:6" x14ac:dyDescent="0.25">
      <c r="B32" s="49"/>
      <c r="C32" s="49"/>
    </row>
    <row r="33" spans="2:3" x14ac:dyDescent="0.25">
      <c r="B33" s="49"/>
      <c r="C33" s="49"/>
    </row>
    <row r="34" spans="2:3" x14ac:dyDescent="0.25">
      <c r="B34" s="49"/>
      <c r="C34" s="49"/>
    </row>
  </sheetData>
  <mergeCells count="3">
    <mergeCell ref="A14:F14"/>
    <mergeCell ref="A15:A16"/>
    <mergeCell ref="B15:F15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workbookViewId="0"/>
  </sheetViews>
  <sheetFormatPr defaultRowHeight="15" x14ac:dyDescent="0.25"/>
  <cols>
    <col min="1" max="1" width="8.140625" customWidth="1"/>
    <col min="2" max="2" width="3.28515625" customWidth="1"/>
    <col min="3" max="3" width="8.140625" customWidth="1"/>
    <col min="4" max="4" width="3.28515625" customWidth="1"/>
    <col min="5" max="5" width="7.85546875" customWidth="1"/>
    <col min="6" max="6" width="4" customWidth="1"/>
    <col min="7" max="7" width="7.85546875" customWidth="1"/>
    <col min="8" max="8" width="4" customWidth="1"/>
    <col min="9" max="9" width="7.85546875" customWidth="1"/>
    <col min="10" max="10" width="4" customWidth="1"/>
    <col min="11" max="11" width="7.85546875" customWidth="1"/>
    <col min="12" max="12" width="4" customWidth="1"/>
    <col min="13" max="13" width="7.85546875" customWidth="1"/>
    <col min="14" max="14" width="4" customWidth="1"/>
    <col min="15" max="15" width="7.85546875" customWidth="1"/>
    <col min="16" max="16" width="4" customWidth="1"/>
    <col min="18" max="18" width="10.7109375" bestFit="1" customWidth="1"/>
    <col min="21" max="21" width="10.42578125" bestFit="1" customWidth="1"/>
    <col min="22" max="22" width="10.140625" bestFit="1" customWidth="1"/>
  </cols>
  <sheetData>
    <row r="1" spans="1:22" ht="15.75" thickBot="1" x14ac:dyDescent="0.3"/>
    <row r="2" spans="1:22" ht="25.5" customHeight="1" thickBot="1" x14ac:dyDescent="0.3">
      <c r="A2" s="214" t="s">
        <v>30</v>
      </c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</row>
    <row r="3" spans="1:22" ht="24" customHeight="1" thickBot="1" x14ac:dyDescent="0.3">
      <c r="A3" s="217" t="s">
        <v>19</v>
      </c>
      <c r="B3" s="218"/>
      <c r="C3" s="218"/>
      <c r="D3" s="219"/>
      <c r="E3" s="170" t="s">
        <v>32</v>
      </c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1"/>
      <c r="U3" t="s">
        <v>89</v>
      </c>
      <c r="V3" t="s">
        <v>90</v>
      </c>
    </row>
    <row r="4" spans="1:22" ht="19.5" customHeight="1" thickBot="1" x14ac:dyDescent="0.3">
      <c r="A4" s="220"/>
      <c r="B4" s="221"/>
      <c r="C4" s="221"/>
      <c r="D4" s="222"/>
      <c r="E4" s="53" t="s">
        <v>31</v>
      </c>
      <c r="F4" s="55">
        <v>1</v>
      </c>
      <c r="G4" s="54" t="s">
        <v>21</v>
      </c>
      <c r="H4" s="56">
        <v>19</v>
      </c>
      <c r="I4" s="53" t="s">
        <v>31</v>
      </c>
      <c r="J4" s="55">
        <v>20</v>
      </c>
      <c r="K4" s="54" t="s">
        <v>21</v>
      </c>
      <c r="L4" s="56">
        <v>50</v>
      </c>
      <c r="M4" s="53"/>
      <c r="N4" s="55">
        <v>51</v>
      </c>
      <c r="O4" s="54" t="s">
        <v>26</v>
      </c>
      <c r="P4" s="56"/>
      <c r="S4">
        <v>0</v>
      </c>
      <c r="U4" t="s">
        <v>86</v>
      </c>
      <c r="V4">
        <v>19</v>
      </c>
    </row>
    <row r="5" spans="1:22" ht="15.75" thickBot="1" x14ac:dyDescent="0.3">
      <c r="A5" s="53" t="s">
        <v>20</v>
      </c>
      <c r="B5" s="55">
        <v>1</v>
      </c>
      <c r="C5" s="54"/>
      <c r="D5" s="56"/>
      <c r="E5" s="223" t="s">
        <v>23</v>
      </c>
      <c r="F5" s="178"/>
      <c r="G5" s="178"/>
      <c r="H5" s="179"/>
      <c r="I5" s="223" t="s">
        <v>23</v>
      </c>
      <c r="J5" s="178"/>
      <c r="K5" s="178"/>
      <c r="L5" s="179"/>
      <c r="M5" s="223" t="s">
        <v>24</v>
      </c>
      <c r="N5" s="178"/>
      <c r="O5" s="178"/>
      <c r="P5" s="179"/>
      <c r="R5" t="s">
        <v>23</v>
      </c>
      <c r="S5">
        <v>1</v>
      </c>
      <c r="U5" t="s">
        <v>87</v>
      </c>
      <c r="V5">
        <v>2</v>
      </c>
    </row>
    <row r="6" spans="1:22" ht="15.75" thickBot="1" x14ac:dyDescent="0.3">
      <c r="A6" s="53" t="s">
        <v>31</v>
      </c>
      <c r="B6" s="55">
        <v>2</v>
      </c>
      <c r="C6" s="54" t="s">
        <v>21</v>
      </c>
      <c r="D6" s="56">
        <v>5</v>
      </c>
      <c r="E6" s="172" t="s">
        <v>23</v>
      </c>
      <c r="F6" s="213"/>
      <c r="G6" s="213"/>
      <c r="H6" s="173"/>
      <c r="I6" s="172" t="s">
        <v>24</v>
      </c>
      <c r="J6" s="213"/>
      <c r="K6" s="213"/>
      <c r="L6" s="173"/>
      <c r="M6" s="172" t="s">
        <v>25</v>
      </c>
      <c r="N6" s="213"/>
      <c r="O6" s="213"/>
      <c r="P6" s="173"/>
      <c r="R6" t="s">
        <v>24</v>
      </c>
      <c r="S6">
        <v>2</v>
      </c>
      <c r="U6" t="s">
        <v>88</v>
      </c>
      <c r="V6">
        <v>3</v>
      </c>
    </row>
    <row r="7" spans="1:22" ht="15.75" thickBot="1" x14ac:dyDescent="0.3">
      <c r="A7" s="58"/>
      <c r="B7" s="60">
        <v>6</v>
      </c>
      <c r="C7" s="59" t="s">
        <v>26</v>
      </c>
      <c r="D7" s="61"/>
      <c r="E7" s="227" t="s">
        <v>24</v>
      </c>
      <c r="F7" s="228"/>
      <c r="G7" s="228"/>
      <c r="H7" s="229"/>
      <c r="I7" s="227" t="s">
        <v>25</v>
      </c>
      <c r="J7" s="228"/>
      <c r="K7" s="228"/>
      <c r="L7" s="229"/>
      <c r="M7" s="227" t="s">
        <v>25</v>
      </c>
      <c r="N7" s="228"/>
      <c r="O7" s="228"/>
      <c r="P7" s="229"/>
      <c r="R7" t="s">
        <v>25</v>
      </c>
      <c r="S7">
        <v>3</v>
      </c>
    </row>
    <row r="8" spans="1:22" x14ac:dyDescent="0.25">
      <c r="S8">
        <v>4</v>
      </c>
    </row>
    <row r="9" spans="1:22" ht="13.5" customHeight="1" x14ac:dyDescent="0.25">
      <c r="B9">
        <f>B5</f>
        <v>1</v>
      </c>
      <c r="D9">
        <f>D5</f>
        <v>0</v>
      </c>
      <c r="E9">
        <f>IF(E5="SIMPLES",1,IF(E5="MÉDIA",2,IF(E5="COMPLEXA",3)))</f>
        <v>1</v>
      </c>
      <c r="I9">
        <f>IF(I5="SIMPLES",1,IF(I5="MÉDIA",2,IF(I5="COMPLEXA",3)))</f>
        <v>1</v>
      </c>
      <c r="M9">
        <f>IF(M5="SIMPLES",1,IF(M5="MÉDIA",2,IF(M5="COMPLEXA",3)))</f>
        <v>2</v>
      </c>
      <c r="S9">
        <v>5</v>
      </c>
    </row>
    <row r="10" spans="1:22" ht="13.5" customHeight="1" x14ac:dyDescent="0.25">
      <c r="B10">
        <f>B6</f>
        <v>2</v>
      </c>
      <c r="D10">
        <f>D6</f>
        <v>5</v>
      </c>
      <c r="E10">
        <f>IF(E6="SIMPLES",1,IF(E6="MÉDIA",2,IF(E6="COMPLEXA",3)))</f>
        <v>1</v>
      </c>
      <c r="I10">
        <f>IF(I6="SIMPLES",1,IF(I6="MÉDIA",2,IF(I6="COMPLEXA",3)))</f>
        <v>2</v>
      </c>
      <c r="M10">
        <f>IF(M6="SIMPLES",1,IF(M6="MÉDIA",2,IF(M6="COMPLEXA",3)))</f>
        <v>3</v>
      </c>
    </row>
    <row r="11" spans="1:22" ht="13.5" customHeight="1" x14ac:dyDescent="0.25">
      <c r="B11">
        <f>B7</f>
        <v>6</v>
      </c>
      <c r="D11">
        <f>D7</f>
        <v>0</v>
      </c>
      <c r="E11">
        <f>IF(E7="SIMPLES",1,IF(E7="MÉDIA",2,IF(E7="COMPLEXA",3)))</f>
        <v>2</v>
      </c>
      <c r="I11">
        <f>IF(I7="SIMPLES",1,IF(I7="MÉDIA",2,IF(I7="COMPLEXA",3)))</f>
        <v>3</v>
      </c>
      <c r="M11">
        <f>IF(M7="SIMPLES",1,IF(M7="MÉDIA",2,IF(M7="COMPLEXA",3)))</f>
        <v>3</v>
      </c>
    </row>
    <row r="12" spans="1:22" ht="15.75" thickBot="1" x14ac:dyDescent="0.3"/>
    <row r="13" spans="1:22" ht="25.5" customHeight="1" thickBot="1" x14ac:dyDescent="0.3">
      <c r="A13" s="214" t="s">
        <v>29</v>
      </c>
      <c r="B13" s="215"/>
      <c r="C13" s="215"/>
      <c r="D13" s="215"/>
      <c r="E13" s="215"/>
      <c r="F13" s="215"/>
      <c r="G13" s="215"/>
      <c r="H13" s="215"/>
      <c r="I13" s="215"/>
      <c r="J13" s="215"/>
      <c r="K13" s="215"/>
      <c r="L13" s="215"/>
      <c r="M13" s="215"/>
      <c r="N13" s="215"/>
      <c r="O13" s="215"/>
      <c r="P13" s="216"/>
    </row>
    <row r="14" spans="1:22" ht="24" customHeight="1" thickBot="1" x14ac:dyDescent="0.3">
      <c r="A14" s="217" t="s">
        <v>27</v>
      </c>
      <c r="B14" s="218"/>
      <c r="C14" s="218"/>
      <c r="D14" s="219"/>
      <c r="E14" s="170" t="s">
        <v>32</v>
      </c>
      <c r="F14" s="177"/>
      <c r="G14" s="177"/>
      <c r="H14" s="177"/>
      <c r="I14" s="177"/>
      <c r="J14" s="177"/>
      <c r="K14" s="177"/>
      <c r="L14" s="177"/>
      <c r="M14" s="177"/>
      <c r="N14" s="177"/>
      <c r="O14" s="177"/>
      <c r="P14" s="171"/>
    </row>
    <row r="15" spans="1:22" ht="19.5" customHeight="1" thickBot="1" x14ac:dyDescent="0.3">
      <c r="A15" s="220"/>
      <c r="B15" s="221"/>
      <c r="C15" s="221"/>
      <c r="D15" s="222"/>
      <c r="E15" s="53" t="s">
        <v>31</v>
      </c>
      <c r="F15" s="55">
        <v>1</v>
      </c>
      <c r="G15" s="54" t="s">
        <v>21</v>
      </c>
      <c r="H15" s="56">
        <v>4</v>
      </c>
      <c r="I15" s="53" t="s">
        <v>31</v>
      </c>
      <c r="J15" s="55">
        <v>5</v>
      </c>
      <c r="K15" s="54" t="s">
        <v>21</v>
      </c>
      <c r="L15" s="56">
        <v>15</v>
      </c>
      <c r="M15" s="53"/>
      <c r="N15" s="55">
        <v>16</v>
      </c>
      <c r="O15" s="54" t="s">
        <v>26</v>
      </c>
      <c r="P15" s="56"/>
    </row>
    <row r="16" spans="1:22" ht="15.75" thickBot="1" x14ac:dyDescent="0.3">
      <c r="A16" s="53"/>
      <c r="B16" s="55">
        <v>0</v>
      </c>
      <c r="C16" s="54" t="s">
        <v>22</v>
      </c>
      <c r="D16" s="56">
        <v>1</v>
      </c>
      <c r="E16" s="223" t="s">
        <v>23</v>
      </c>
      <c r="F16" s="178"/>
      <c r="G16" s="178"/>
      <c r="H16" s="179"/>
      <c r="I16" s="223" t="s">
        <v>23</v>
      </c>
      <c r="J16" s="178"/>
      <c r="K16" s="178"/>
      <c r="L16" s="179"/>
      <c r="M16" s="223" t="s">
        <v>24</v>
      </c>
      <c r="N16" s="178"/>
      <c r="O16" s="178"/>
      <c r="P16" s="179"/>
    </row>
    <row r="17" spans="1:16" ht="15.75" thickBot="1" x14ac:dyDescent="0.3">
      <c r="A17" s="53" t="s">
        <v>20</v>
      </c>
      <c r="B17" s="55">
        <v>2</v>
      </c>
      <c r="C17" s="54"/>
      <c r="D17" s="56"/>
      <c r="E17" s="172" t="s">
        <v>23</v>
      </c>
      <c r="F17" s="213"/>
      <c r="G17" s="213"/>
      <c r="H17" s="173"/>
      <c r="I17" s="172" t="s">
        <v>24</v>
      </c>
      <c r="J17" s="213"/>
      <c r="K17" s="213"/>
      <c r="L17" s="173"/>
      <c r="M17" s="172" t="s">
        <v>25</v>
      </c>
      <c r="N17" s="213"/>
      <c r="O17" s="213"/>
      <c r="P17" s="173"/>
    </row>
    <row r="18" spans="1:16" ht="15.75" thickBot="1" x14ac:dyDescent="0.3">
      <c r="A18" s="58"/>
      <c r="B18" s="60">
        <v>3</v>
      </c>
      <c r="C18" s="59" t="s">
        <v>26</v>
      </c>
      <c r="D18" s="61"/>
      <c r="E18" s="227" t="s">
        <v>24</v>
      </c>
      <c r="F18" s="228"/>
      <c r="G18" s="228"/>
      <c r="H18" s="229"/>
      <c r="I18" s="227" t="s">
        <v>25</v>
      </c>
      <c r="J18" s="228"/>
      <c r="K18" s="228"/>
      <c r="L18" s="229"/>
      <c r="M18" s="227" t="s">
        <v>25</v>
      </c>
      <c r="N18" s="228"/>
      <c r="O18" s="228"/>
      <c r="P18" s="229"/>
    </row>
    <row r="20" spans="1:16" ht="13.5" customHeight="1" x14ac:dyDescent="0.25">
      <c r="B20">
        <f>B16</f>
        <v>0</v>
      </c>
      <c r="D20">
        <f>D16</f>
        <v>1</v>
      </c>
      <c r="E20">
        <f>IF(E16="SIMPLES",1,IF(E16="MÉDIA",2,IF(E16="COMPLEXA",3)))</f>
        <v>1</v>
      </c>
      <c r="I20">
        <f>IF(I16="SIMPLES",1,IF(I16="MÉDIA",2,IF(I16="COMPLEXA",3)))</f>
        <v>1</v>
      </c>
      <c r="M20">
        <f>IF(M16="SIMPLES",1,IF(M16="MÉDIA",2,IF(M16="COMPLEXA",3)))</f>
        <v>2</v>
      </c>
    </row>
    <row r="21" spans="1:16" ht="13.5" customHeight="1" x14ac:dyDescent="0.25">
      <c r="B21">
        <f>B17</f>
        <v>2</v>
      </c>
      <c r="D21">
        <f>D17</f>
        <v>0</v>
      </c>
      <c r="E21">
        <f>IF(E17="SIMPLES",1,IF(E17="MÉDIA",2,IF(E17="COMPLEXA",3)))</f>
        <v>1</v>
      </c>
      <c r="I21">
        <f>IF(I17="SIMPLES",1,IF(I17="MÉDIA",2,IF(I17="COMPLEXA",3)))</f>
        <v>2</v>
      </c>
      <c r="M21">
        <f>IF(M17="SIMPLES",1,IF(M17="MÉDIA",2,IF(M17="COMPLEXA",3)))</f>
        <v>3</v>
      </c>
    </row>
    <row r="22" spans="1:16" ht="13.5" customHeight="1" x14ac:dyDescent="0.25">
      <c r="B22">
        <f>B18</f>
        <v>3</v>
      </c>
      <c r="D22">
        <f>D18</f>
        <v>0</v>
      </c>
      <c r="E22">
        <f>IF(E18="SIMPLES",1,IF(E18="MÉDIA",2,IF(E18="COMPLEXA",3)))</f>
        <v>2</v>
      </c>
      <c r="I22">
        <f>IF(I18="SIMPLES",1,IF(I18="MÉDIA",2,IF(I18="COMPLEXA",3)))</f>
        <v>3</v>
      </c>
      <c r="M22">
        <f>IF(M18="SIMPLES",1,IF(M18="MÉDIA",2,IF(M18="COMPLEXA",3)))</f>
        <v>3</v>
      </c>
    </row>
    <row r="23" spans="1:16" ht="15.75" thickBot="1" x14ac:dyDescent="0.3"/>
    <row r="24" spans="1:16" ht="25.5" customHeight="1" thickBot="1" x14ac:dyDescent="0.3">
      <c r="A24" s="214" t="s">
        <v>28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6"/>
    </row>
    <row r="25" spans="1:16" ht="24" customHeight="1" thickBot="1" x14ac:dyDescent="0.3">
      <c r="A25" s="217" t="s">
        <v>27</v>
      </c>
      <c r="B25" s="218"/>
      <c r="C25" s="218"/>
      <c r="D25" s="219"/>
      <c r="E25" s="170" t="s">
        <v>32</v>
      </c>
      <c r="F25" s="177"/>
      <c r="G25" s="177"/>
      <c r="H25" s="177"/>
      <c r="I25" s="177"/>
      <c r="J25" s="177"/>
      <c r="K25" s="177"/>
      <c r="L25" s="177"/>
      <c r="M25" s="177"/>
      <c r="N25" s="177"/>
      <c r="O25" s="177"/>
      <c r="P25" s="171"/>
    </row>
    <row r="26" spans="1:16" ht="19.5" customHeight="1" thickBot="1" x14ac:dyDescent="0.3">
      <c r="A26" s="220"/>
      <c r="B26" s="221"/>
      <c r="C26" s="221"/>
      <c r="D26" s="222"/>
      <c r="E26" s="53" t="s">
        <v>31</v>
      </c>
      <c r="F26" s="55">
        <v>1</v>
      </c>
      <c r="G26" s="54" t="s">
        <v>21</v>
      </c>
      <c r="H26" s="56">
        <v>5</v>
      </c>
      <c r="I26" s="53" t="s">
        <v>31</v>
      </c>
      <c r="J26" s="55">
        <v>6</v>
      </c>
      <c r="K26" s="54" t="s">
        <v>21</v>
      </c>
      <c r="L26" s="56">
        <v>19</v>
      </c>
      <c r="M26" s="53"/>
      <c r="N26" s="55">
        <v>20</v>
      </c>
      <c r="O26" s="54" t="s">
        <v>26</v>
      </c>
      <c r="P26" s="56"/>
    </row>
    <row r="27" spans="1:16" ht="15.75" thickBot="1" x14ac:dyDescent="0.3">
      <c r="A27" s="53"/>
      <c r="B27" s="55">
        <v>0</v>
      </c>
      <c r="C27" s="54" t="s">
        <v>22</v>
      </c>
      <c r="D27" s="56">
        <v>1</v>
      </c>
      <c r="E27" s="223" t="s">
        <v>23</v>
      </c>
      <c r="F27" s="178"/>
      <c r="G27" s="178"/>
      <c r="H27" s="179"/>
      <c r="I27" s="223" t="s">
        <v>23</v>
      </c>
      <c r="J27" s="178"/>
      <c r="K27" s="178"/>
      <c r="L27" s="179"/>
      <c r="M27" s="223" t="s">
        <v>24</v>
      </c>
      <c r="N27" s="178"/>
      <c r="O27" s="178"/>
      <c r="P27" s="179"/>
    </row>
    <row r="28" spans="1:16" ht="15.75" thickBot="1" x14ac:dyDescent="0.3">
      <c r="A28" s="53"/>
      <c r="B28" s="55">
        <v>2</v>
      </c>
      <c r="C28" s="54" t="s">
        <v>22</v>
      </c>
      <c r="D28" s="56">
        <v>3</v>
      </c>
      <c r="E28" s="172" t="s">
        <v>23</v>
      </c>
      <c r="F28" s="213"/>
      <c r="G28" s="213"/>
      <c r="H28" s="173"/>
      <c r="I28" s="172" t="s">
        <v>24</v>
      </c>
      <c r="J28" s="213"/>
      <c r="K28" s="213"/>
      <c r="L28" s="173"/>
      <c r="M28" s="172" t="s">
        <v>25</v>
      </c>
      <c r="N28" s="213"/>
      <c r="O28" s="213"/>
      <c r="P28" s="173"/>
    </row>
    <row r="29" spans="1:16" ht="15.75" thickBot="1" x14ac:dyDescent="0.3">
      <c r="A29" s="58"/>
      <c r="B29" s="60">
        <v>4</v>
      </c>
      <c r="C29" s="59" t="s">
        <v>26</v>
      </c>
      <c r="D29" s="61"/>
      <c r="E29" s="227" t="s">
        <v>24</v>
      </c>
      <c r="F29" s="228"/>
      <c r="G29" s="228"/>
      <c r="H29" s="229"/>
      <c r="I29" s="227" t="s">
        <v>25</v>
      </c>
      <c r="J29" s="228"/>
      <c r="K29" s="228"/>
      <c r="L29" s="229"/>
      <c r="M29" s="227" t="s">
        <v>25</v>
      </c>
      <c r="N29" s="228"/>
      <c r="O29" s="228"/>
      <c r="P29" s="229"/>
    </row>
    <row r="31" spans="1:16" ht="13.5" customHeight="1" x14ac:dyDescent="0.25">
      <c r="B31">
        <f>B27</f>
        <v>0</v>
      </c>
      <c r="D31">
        <f>D27</f>
        <v>1</v>
      </c>
      <c r="E31">
        <f>IF(E27="SIMPLES",1,IF(E27="MÉDIA",2,IF(E27="COMPLEXA",3)))</f>
        <v>1</v>
      </c>
      <c r="I31">
        <f>IF(I27="SIMPLES",1,IF(I27="MÉDIA",2,IF(I27="COMPLEXA",3)))</f>
        <v>1</v>
      </c>
      <c r="M31">
        <f>IF(M27="SIMPLES",1,IF(M27="MÉDIA",2,IF(M27="COMPLEXA",3)))</f>
        <v>2</v>
      </c>
    </row>
    <row r="32" spans="1:16" ht="13.5" customHeight="1" x14ac:dyDescent="0.25">
      <c r="B32">
        <f>B28</f>
        <v>2</v>
      </c>
      <c r="D32">
        <f>D28</f>
        <v>3</v>
      </c>
      <c r="E32">
        <f>IF(E28="SIMPLES",1,IF(E28="MÉDIA",2,IF(E28="COMPLEXA",3)))</f>
        <v>1</v>
      </c>
      <c r="I32">
        <f>IF(I28="SIMPLES",1,IF(I28="MÉDIA",2,IF(I28="COMPLEXA",3)))</f>
        <v>2</v>
      </c>
      <c r="M32">
        <f>IF(M28="SIMPLES",1,IF(M28="MÉDIA",2,IF(M28="COMPLEXA",3)))</f>
        <v>3</v>
      </c>
    </row>
    <row r="33" spans="1:16" ht="13.5" customHeight="1" x14ac:dyDescent="0.25">
      <c r="B33">
        <f>B29</f>
        <v>4</v>
      </c>
      <c r="D33">
        <f>D29</f>
        <v>0</v>
      </c>
      <c r="E33">
        <f>IF(E29="SIMPLES",1,IF(E29="MÉDIA",2,IF(E29="COMPLEXA",3)))</f>
        <v>2</v>
      </c>
      <c r="I33">
        <f>IF(I29="SIMPLES",1,IF(I29="MÉDIA",2,IF(I29="COMPLEXA",3)))</f>
        <v>3</v>
      </c>
      <c r="M33">
        <f>IF(M29="SIMPLES",1,IF(M29="MÉDIA",2,IF(M29="COMPLEXA",3)))</f>
        <v>3</v>
      </c>
    </row>
    <row r="34" spans="1:16" ht="15.75" thickBot="1" x14ac:dyDescent="0.3"/>
    <row r="35" spans="1:16" ht="25.5" customHeight="1" thickBot="1" x14ac:dyDescent="0.3">
      <c r="A35" s="214" t="s">
        <v>34</v>
      </c>
      <c r="B35" s="215"/>
      <c r="C35" s="215"/>
      <c r="D35" s="215"/>
      <c r="E35" s="215"/>
      <c r="F35" s="215"/>
      <c r="G35" s="215"/>
      <c r="H35" s="215"/>
      <c r="I35" s="215"/>
      <c r="J35" s="215"/>
      <c r="K35" s="215"/>
      <c r="L35" s="215"/>
      <c r="M35" s="215"/>
      <c r="N35" s="215"/>
      <c r="O35" s="215"/>
      <c r="P35" s="216"/>
    </row>
    <row r="36" spans="1:16" ht="24" customHeight="1" thickBot="1" x14ac:dyDescent="0.3">
      <c r="A36" s="217" t="s">
        <v>41</v>
      </c>
      <c r="B36" s="218"/>
      <c r="C36" s="218"/>
      <c r="D36" s="219"/>
      <c r="E36" s="170" t="s">
        <v>40</v>
      </c>
      <c r="F36" s="177"/>
      <c r="G36" s="177"/>
      <c r="H36" s="177"/>
      <c r="I36" s="177"/>
      <c r="J36" s="177"/>
      <c r="K36" s="177"/>
      <c r="L36" s="177"/>
      <c r="M36" s="177"/>
      <c r="N36" s="177"/>
      <c r="O36" s="177"/>
      <c r="P36" s="171"/>
    </row>
    <row r="37" spans="1:16" ht="19.5" customHeight="1" thickBot="1" x14ac:dyDescent="0.3">
      <c r="A37" s="220"/>
      <c r="B37" s="221"/>
      <c r="C37" s="221"/>
      <c r="D37" s="222"/>
      <c r="E37" s="170" t="s">
        <v>23</v>
      </c>
      <c r="F37" s="177"/>
      <c r="G37" s="177"/>
      <c r="H37" s="171"/>
      <c r="I37" s="170" t="s">
        <v>24</v>
      </c>
      <c r="J37" s="177"/>
      <c r="K37" s="177"/>
      <c r="L37" s="171"/>
      <c r="M37" s="170" t="s">
        <v>25</v>
      </c>
      <c r="N37" s="177"/>
      <c r="O37" s="177"/>
      <c r="P37" s="171"/>
    </row>
    <row r="38" spans="1:16" x14ac:dyDescent="0.25">
      <c r="A38" s="224" t="s">
        <v>35</v>
      </c>
      <c r="B38" s="225"/>
      <c r="C38" s="225"/>
      <c r="D38" s="226"/>
      <c r="E38" s="223">
        <v>7</v>
      </c>
      <c r="F38" s="178"/>
      <c r="G38" s="178"/>
      <c r="H38" s="179"/>
      <c r="I38" s="223">
        <v>10</v>
      </c>
      <c r="J38" s="178"/>
      <c r="K38" s="178"/>
      <c r="L38" s="179"/>
      <c r="M38" s="223">
        <v>15</v>
      </c>
      <c r="N38" s="178"/>
      <c r="O38" s="178"/>
      <c r="P38" s="179"/>
    </row>
    <row r="39" spans="1:16" x14ac:dyDescent="0.25">
      <c r="A39" s="205" t="s">
        <v>36</v>
      </c>
      <c r="B39" s="206"/>
      <c r="C39" s="206"/>
      <c r="D39" s="212"/>
      <c r="E39" s="172">
        <v>5</v>
      </c>
      <c r="F39" s="213"/>
      <c r="G39" s="213"/>
      <c r="H39" s="173"/>
      <c r="I39" s="172">
        <v>7</v>
      </c>
      <c r="J39" s="213"/>
      <c r="K39" s="213"/>
      <c r="L39" s="173"/>
      <c r="M39" s="172">
        <v>10</v>
      </c>
      <c r="N39" s="213"/>
      <c r="O39" s="213"/>
      <c r="P39" s="173"/>
    </row>
    <row r="40" spans="1:16" x14ac:dyDescent="0.25">
      <c r="A40" s="205" t="s">
        <v>37</v>
      </c>
      <c r="B40" s="206"/>
      <c r="C40" s="206"/>
      <c r="D40" s="212"/>
      <c r="E40" s="172">
        <v>3</v>
      </c>
      <c r="F40" s="213"/>
      <c r="G40" s="213"/>
      <c r="H40" s="173"/>
      <c r="I40" s="172">
        <v>4</v>
      </c>
      <c r="J40" s="213"/>
      <c r="K40" s="213"/>
      <c r="L40" s="173"/>
      <c r="M40" s="172">
        <v>6</v>
      </c>
      <c r="N40" s="213"/>
      <c r="O40" s="213"/>
      <c r="P40" s="173"/>
    </row>
    <row r="41" spans="1:16" x14ac:dyDescent="0.25">
      <c r="A41" s="205" t="s">
        <v>38</v>
      </c>
      <c r="B41" s="206"/>
      <c r="C41" s="206"/>
      <c r="D41" s="212"/>
      <c r="E41" s="172">
        <v>4</v>
      </c>
      <c r="F41" s="213"/>
      <c r="G41" s="213"/>
      <c r="H41" s="173"/>
      <c r="I41" s="172">
        <v>5</v>
      </c>
      <c r="J41" s="213"/>
      <c r="K41" s="213"/>
      <c r="L41" s="173"/>
      <c r="M41" s="172">
        <v>7</v>
      </c>
      <c r="N41" s="213"/>
      <c r="O41" s="213"/>
      <c r="P41" s="173"/>
    </row>
    <row r="42" spans="1:16" ht="15.75" thickBot="1" x14ac:dyDescent="0.3">
      <c r="A42" s="208" t="s">
        <v>39</v>
      </c>
      <c r="B42" s="209"/>
      <c r="C42" s="209"/>
      <c r="D42" s="210"/>
      <c r="E42" s="168">
        <v>3</v>
      </c>
      <c r="F42" s="211"/>
      <c r="G42" s="211"/>
      <c r="H42" s="169"/>
      <c r="I42" s="168">
        <v>4</v>
      </c>
      <c r="J42" s="211"/>
      <c r="K42" s="211"/>
      <c r="L42" s="169"/>
      <c r="M42" s="168">
        <v>6</v>
      </c>
      <c r="N42" s="211"/>
      <c r="O42" s="211"/>
      <c r="P42" s="169"/>
    </row>
  </sheetData>
  <mergeCells count="62">
    <mergeCell ref="A2:P2"/>
    <mergeCell ref="E5:H5"/>
    <mergeCell ref="E6:H6"/>
    <mergeCell ref="E7:H7"/>
    <mergeCell ref="I5:L5"/>
    <mergeCell ref="I6:L6"/>
    <mergeCell ref="I7:L7"/>
    <mergeCell ref="M7:P7"/>
    <mergeCell ref="M6:P6"/>
    <mergeCell ref="M5:P5"/>
    <mergeCell ref="E3:P3"/>
    <mergeCell ref="A3:D4"/>
    <mergeCell ref="A13:P13"/>
    <mergeCell ref="A14:D15"/>
    <mergeCell ref="E14:P14"/>
    <mergeCell ref="E16:H16"/>
    <mergeCell ref="I16:L16"/>
    <mergeCell ref="M16:P16"/>
    <mergeCell ref="E17:H17"/>
    <mergeCell ref="I17:L17"/>
    <mergeCell ref="M17:P17"/>
    <mergeCell ref="E18:H18"/>
    <mergeCell ref="I18:L18"/>
    <mergeCell ref="M18:P18"/>
    <mergeCell ref="A24:P24"/>
    <mergeCell ref="A25:D26"/>
    <mergeCell ref="E25:P25"/>
    <mergeCell ref="E27:H27"/>
    <mergeCell ref="I27:L27"/>
    <mergeCell ref="M27:P27"/>
    <mergeCell ref="E28:H28"/>
    <mergeCell ref="I28:L28"/>
    <mergeCell ref="M28:P28"/>
    <mergeCell ref="E29:H29"/>
    <mergeCell ref="I29:L29"/>
    <mergeCell ref="M29:P29"/>
    <mergeCell ref="A35:P35"/>
    <mergeCell ref="A36:D37"/>
    <mergeCell ref="E36:P36"/>
    <mergeCell ref="E38:H38"/>
    <mergeCell ref="I38:L38"/>
    <mergeCell ref="M38:P38"/>
    <mergeCell ref="E37:H37"/>
    <mergeCell ref="I37:L37"/>
    <mergeCell ref="M37:P37"/>
    <mergeCell ref="A38:D38"/>
    <mergeCell ref="A42:D42"/>
    <mergeCell ref="E42:H42"/>
    <mergeCell ref="I42:L42"/>
    <mergeCell ref="M42:P42"/>
    <mergeCell ref="A39:D39"/>
    <mergeCell ref="A40:D40"/>
    <mergeCell ref="A41:D41"/>
    <mergeCell ref="E41:H41"/>
    <mergeCell ref="I41:L41"/>
    <mergeCell ref="M41:P41"/>
    <mergeCell ref="E39:H39"/>
    <mergeCell ref="I39:L39"/>
    <mergeCell ref="M39:P39"/>
    <mergeCell ref="E40:H40"/>
    <mergeCell ref="I40:L40"/>
    <mergeCell ref="M40:P40"/>
  </mergeCells>
  <dataValidations count="1">
    <dataValidation type="list" allowBlank="1" showInputMessage="1" showErrorMessage="1" sqref="I16:I18 I27:I29 E27:E29 M27:M29 E16:E18 M16:M18 I5:I7 E5:E7 M5:M7 E37:P37">
      <formula1>$R$5:$R$7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FUNCIONALIDADES e VALORES</vt:lpstr>
      <vt:lpstr>ESTIMATIVAS</vt:lpstr>
      <vt:lpstr>DIST. ESFORÇO</vt:lpstr>
      <vt:lpstr>FINANCEIRO e PRAZOS</vt:lpstr>
      <vt:lpstr>PADRÕES e DEFINIÇÕES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Marcio Fernandes Maranho</cp:lastModifiedBy>
  <dcterms:created xsi:type="dcterms:W3CDTF">2016-08-16T13:45:47Z</dcterms:created>
  <dcterms:modified xsi:type="dcterms:W3CDTF">2016-10-04T06:54:21Z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01963310-8907-42f3-b3f0-5526279516cb</vt:lpwstr>
  </property>
</Properties>
</file>