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drawings/drawing7.xml" ContentType="application/vnd.openxmlformats-officedocument.drawing+xml"/>
  <Override PartName="/xl/tables/table5.xml" ContentType="application/vnd.openxmlformats-officedocument.spreadsheetml.table+xml"/>
  <Override PartName="/xl/drawings/drawing8.xml" ContentType="application/vnd.openxmlformats-officedocument.drawing+xml"/>
  <Override PartName="/xl/tables/table6.xml" ContentType="application/vnd.openxmlformats-officedocument.spreadsheetml.table+xml"/>
  <Override PartName="/xl/drawings/drawing9.xml" ContentType="application/vnd.openxmlformats-officedocument.drawing+xml"/>
  <Override PartName="/xl/tables/table7.xml" ContentType="application/vnd.openxmlformats-officedocument.spreadsheetml.table+xml"/>
  <Override PartName="/xl/drawings/drawing10.xml" ContentType="application/vnd.openxmlformats-officedocument.drawing+xml"/>
  <Override PartName="/xl/tables/table8.xml" ContentType="application/vnd.openxmlformats-officedocument.spreadsheetml.table+xml"/>
  <Override PartName="/xl/drawings/drawing11.xml" ContentType="application/vnd.openxmlformats-officedocument.drawing+xml"/>
  <Override PartName="/xl/tables/table9.xml" ContentType="application/vnd.openxmlformats-officedocument.spreadsheetml.tab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tables/table10.xml" ContentType="application/vnd.openxmlformats-officedocument.spreadsheetml.table+xml"/>
  <Override PartName="/xl/drawings/drawing14.xml" ContentType="application/vnd.openxmlformats-officedocument.drawing+xml"/>
  <Override PartName="/xl/tables/table11.xml" ContentType="application/vnd.openxmlformats-officedocument.spreadsheetml.table+xml"/>
  <Override PartName="/xl/drawings/drawing15.xml" ContentType="application/vnd.openxmlformats-officedocument.drawing+xml"/>
  <Override PartName="/xl/tables/table12.xml" ContentType="application/vnd.openxmlformats-officedocument.spreadsheetml.table+xml"/>
  <Override PartName="/xl/drawings/drawing16.xml" ContentType="application/vnd.openxmlformats-officedocument.drawing+xml"/>
  <Override PartName="/xl/tables/table13.xml" ContentType="application/vnd.openxmlformats-officedocument.spreadsheetml.table+xml"/>
  <Override PartName="/xl/drawings/drawing17.xml" ContentType="application/vnd.openxmlformats-officedocument.drawing+xml"/>
  <Override PartName="/xl/tables/table14.xml" ContentType="application/vnd.openxmlformats-officedocument.spreadsheetml.table+xml"/>
  <Override PartName="/xl/drawings/drawing18.xml" ContentType="application/vnd.openxmlformats-officedocument.drawing+xml"/>
  <Override PartName="/xl/tables/table15.xml" ContentType="application/vnd.openxmlformats-officedocument.spreadsheetml.table+xml"/>
  <Override PartName="/xl/drawings/drawing19.xml" ContentType="application/vnd.openxmlformats-officedocument.drawing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/>
  <mc:AlternateContent xmlns:mc="http://schemas.openxmlformats.org/markup-compatibility/2006">
    <mc:Choice Requires="x15">
      <x15ac:absPath xmlns:x15ac="http://schemas.microsoft.com/office/spreadsheetml/2010/11/ac" url="G:\Indian Heritage Crafts\"/>
    </mc:Choice>
  </mc:AlternateContent>
  <xr:revisionPtr revIDLastSave="0" documentId="13_ncr:1_{905E97C9-9621-4249-9330-F360837C1BA6}" xr6:coauthVersionLast="47" xr6:coauthVersionMax="47" xr10:uidLastSave="{00000000-0000-0000-0000-000000000000}"/>
  <workbookProtection workbookAlgorithmName="SHA-512" workbookHashValue="LhYhMrwmSTsdzy8yzZn1zJqtwNFYiqZUNKIihRq8+SzZXy1xIQhqdA8N6w+O9hAk6EapGJq9Z1bfrH7udb7aKQ==" workbookSaltValue="jNvX7rK/MssKDZEaIKzNrg==" workbookSpinCount="100000" lockStructure="1"/>
  <bookViews>
    <workbookView xWindow="-120" yWindow="-120" windowWidth="24240" windowHeight="13140" tabRatio="836" firstSheet="1" activeTab="3" xr2:uid="{B430F305-06C2-4799-BE7C-6E9D28374C77}"/>
  </bookViews>
  <sheets>
    <sheet name="Dashboard" sheetId="1" r:id="rId1"/>
    <sheet name="Sheet9" sheetId="9" r:id="rId2"/>
    <sheet name="Customers" sheetId="2" r:id="rId3"/>
    <sheet name="Vendors" sheetId="3" r:id="rId4"/>
    <sheet name="Products_Category" sheetId="15" r:id="rId5"/>
    <sheet name="Products_Brand" sheetId="16" r:id="rId6"/>
    <sheet name="Products" sheetId="4" r:id="rId7"/>
    <sheet name="Company Info" sheetId="19" r:id="rId8"/>
    <sheet name="Warehouse" sheetId="17" r:id="rId9"/>
    <sheet name="Ledger" sheetId="18" r:id="rId10"/>
    <sheet name="Orders" sheetId="20" r:id="rId11"/>
    <sheet name="New Entry" sheetId="5" r:id="rId12"/>
    <sheet name="Purchase" sheetId="6" r:id="rId13"/>
    <sheet name="Sales" sheetId="7" r:id="rId14"/>
    <sheet name="Payment Entry" sheetId="12" r:id="rId15"/>
    <sheet name="Voucher Entry" sheetId="13" r:id="rId16"/>
    <sheet name="Adjustment" sheetId="21" r:id="rId17"/>
    <sheet name="Transfer" sheetId="22" r:id="rId18"/>
    <sheet name="Inventory" sheetId="8" r:id="rId19"/>
    <sheet name="Drop Down List" sheetId="10" r:id="rId20"/>
  </sheets>
  <definedNames>
    <definedName name="accountid" localSheetId="16">Table4101114[Account_ID]</definedName>
    <definedName name="accountid" localSheetId="10">Table4101114[Account_ID]</definedName>
    <definedName name="accountid" localSheetId="17">Table4101114[Account_ID]</definedName>
    <definedName name="accountid">Table4101114[Account_ID]</definedName>
    <definedName name="accountname">'Drop Down List'!$I$40:$I$42</definedName>
    <definedName name="accountstatus">'Drop Down List'!$M$2:$M$4</definedName>
    <definedName name="accounttype">'Drop Down List'!$K$40:$K$44</definedName>
    <definedName name="acctransid" localSheetId="16">Table4101113[Account_ID]</definedName>
    <definedName name="acctransid" localSheetId="7">Table4101113[Account_ID]</definedName>
    <definedName name="acctransid" localSheetId="10">Table4101113[Account_ID]</definedName>
    <definedName name="acctransid" localSheetId="17">Table4101113[Account_ID]</definedName>
    <definedName name="acctransid">Table4101113[Account_ID]</definedName>
    <definedName name="acctstatus">'Drop Down List'!$I$47:$I$48</definedName>
    <definedName name="adjustmentreson">'Drop Down List'!$M$40:$M$42</definedName>
    <definedName name="backorderallow">'Drop Down List'!$G$40:$G$41</definedName>
    <definedName name="brandname" localSheetId="16">Table41011[Brand Name]</definedName>
    <definedName name="brandname" localSheetId="7">Table4101114[Company  Name]</definedName>
    <definedName name="brandname" localSheetId="9">Table4101113[Account Name]</definedName>
    <definedName name="brandname" localSheetId="10">Table4101115[Product Name]</definedName>
    <definedName name="brandname" localSheetId="17">Table41011[Brand Name]</definedName>
    <definedName name="brandname" localSheetId="8">Table4101112[Location]</definedName>
    <definedName name="brandname">Table41011[Brand Name]</definedName>
    <definedName name="businesstype">'Drop Down List'!$A$2:$A$6</definedName>
    <definedName name="categoryname" localSheetId="16">Table410[Category Name]</definedName>
    <definedName name="categoryname" localSheetId="7">Table4101114[Company  Name]</definedName>
    <definedName name="categoryname" localSheetId="9">Table4101113[Account Name]</definedName>
    <definedName name="categoryname" localSheetId="10">Table4101115[Product Name]</definedName>
    <definedName name="categoryname" localSheetId="5">Table41011[Brand Name]</definedName>
    <definedName name="categoryname" localSheetId="17">Table410[Category Name]</definedName>
    <definedName name="categoryname" localSheetId="8">Table41011[Brand Name]</definedName>
    <definedName name="categoryname">Table410[Category Name]</definedName>
    <definedName name="CategoryTbl" localSheetId="16">Table410[#All]</definedName>
    <definedName name="CategoryTbl" localSheetId="7">Table4101114[#All]</definedName>
    <definedName name="CategoryTbl" localSheetId="9">Table4101113[#All]</definedName>
    <definedName name="CategoryTbl" localSheetId="10">Table4101115[#All]</definedName>
    <definedName name="CategoryTbl" localSheetId="5">Table41011[#All]</definedName>
    <definedName name="CategoryTbl" localSheetId="17">Table410[#All]</definedName>
    <definedName name="CategoryTbl" localSheetId="8">Table41011[#All]</definedName>
    <definedName name="CategoryTbl">Table410[#All]</definedName>
    <definedName name="compstatus">'Drop Down List'!$G$2:$G$3</definedName>
    <definedName name="costmethod">'Drop Down List'!$K$27:$K$29</definedName>
    <definedName name="countrylist">'Drop Down List'!$E$40:$E$52</definedName>
    <definedName name="Cust_ID" localSheetId="16">customersdata[Customer_ID]</definedName>
    <definedName name="Cust_ID" localSheetId="7">customersdata[Customer_ID]</definedName>
    <definedName name="Cust_ID" localSheetId="9">customersdata[Customer_ID]</definedName>
    <definedName name="Cust_ID" localSheetId="10">customersdata[Customer_ID]</definedName>
    <definedName name="Cust_ID" localSheetId="14">customersdata[Customer_ID]</definedName>
    <definedName name="Cust_ID" localSheetId="5">customersdata[Customer_ID]</definedName>
    <definedName name="Cust_ID" localSheetId="4">customersdata[Customer_ID]</definedName>
    <definedName name="Cust_ID" localSheetId="17">customersdata[Customer_ID]</definedName>
    <definedName name="Cust_ID" localSheetId="15">customersdata[Customer_ID]</definedName>
    <definedName name="Cust_ID" localSheetId="8">customersdata[Customer_ID]</definedName>
    <definedName name="Cust_ID">customersdata[Customer_ID]</definedName>
    <definedName name="custid" localSheetId="16">customersdata[Customer_ID]</definedName>
    <definedName name="custid" localSheetId="7">customersdata[Customer_ID]</definedName>
    <definedName name="custid" localSheetId="9">customersdata[Customer_ID]</definedName>
    <definedName name="custid" localSheetId="10">customersdata[Customer_ID]</definedName>
    <definedName name="custid" localSheetId="17">customersdata[Customer_ID]</definedName>
    <definedName name="custid" localSheetId="8">customersdata[Customer_ID]</definedName>
    <definedName name="custid">customersdata[Customer_ID]</definedName>
    <definedName name="custnotes">'Drop Down List'!$A$9:$A$10</definedName>
    <definedName name="custtype">'Drop Down List'!$K$2:$K$3</definedName>
    <definedName name="delivrtstatus">'Drop Down List'!$I$20:$I$23</definedName>
    <definedName name="delivryterms">'Drop Down List'!$G$20:$G$21</definedName>
    <definedName name="Featured_Product">'Drop Down List'!$A$19:$A$20</definedName>
    <definedName name="gender">'Drop Down List'!$E$9:$E$11</definedName>
    <definedName name="HSNCode" localSheetId="16">Table4[HSN Code]</definedName>
    <definedName name="HSNCode" localSheetId="7">#REF!</definedName>
    <definedName name="HSNCode" localSheetId="9">#REF!</definedName>
    <definedName name="HSNCode" localSheetId="10">#REF!</definedName>
    <definedName name="HSNCode" localSheetId="14">Table4[HSN Code]</definedName>
    <definedName name="HSNCode" localSheetId="5">#REF!</definedName>
    <definedName name="HSNCode" localSheetId="4">#REF!</definedName>
    <definedName name="HSNCode" localSheetId="17">Table4[HSN Code]</definedName>
    <definedName name="HSNCode" localSheetId="15">Table4[HSN Code]</definedName>
    <definedName name="HSNCode" localSheetId="8">#REF!</definedName>
    <definedName name="HSNCode">Table4[HSN Code]</definedName>
    <definedName name="inventorystatus">'Drop Down List'!$M$27:$M$29</definedName>
    <definedName name="isadvancepayment">'Drop Down List'!$K$33:$K$34</definedName>
    <definedName name="isdamgdstock">'Drop Down List'!$A$33:$A$34</definedName>
    <definedName name="isreturnable">'Drop Down List'!$C$33:$C$34</definedName>
    <definedName name="legalentitytype">'Drop Down List'!$C$2:$C$4</definedName>
    <definedName name="newslatersubs">'Drop Down List'!$C$9:$C$10</definedName>
    <definedName name="orderstatus">'Drop Down List'!$K$47:$K$48</definedName>
    <definedName name="orderTbl" localSheetId="16">Table4101115[#All]</definedName>
    <definedName name="orderTbl" localSheetId="17">Table4101115[#All]</definedName>
    <definedName name="orderTbl">Table4101115[#All]</definedName>
    <definedName name="ordertype">'Drop Down List'!$G$47:$G$48</definedName>
    <definedName name="paymentstatus">'Drop Down List'!$K$20:$K$24</definedName>
    <definedName name="paymentterms">'Drop Down List'!$I$2:$I$5</definedName>
    <definedName name="paymentype">'Drop Down List'!$G$33:$G$36</definedName>
    <definedName name="ppmethod">'Drop Down List'!$E$2:$E$7</definedName>
    <definedName name="prefedcnctchnl">'Drop Down List'!$G$9:$G$12</definedName>
    <definedName name="prodbrandid" localSheetId="16">Table41011[Brand_ID]</definedName>
    <definedName name="prodbrandid" localSheetId="7">Table4101114[Company_ID]</definedName>
    <definedName name="prodbrandid" localSheetId="9">Table4101113[Account_ID]</definedName>
    <definedName name="prodbrandid" localSheetId="10">Table4101115[Order ID]</definedName>
    <definedName name="prodbrandid" localSheetId="17">Table41011[Brand_ID]</definedName>
    <definedName name="prodbrandid" localSheetId="8">Table4101112[Warehouse_ID]</definedName>
    <definedName name="prodbrandid">Table41011[Brand_ID]</definedName>
    <definedName name="prodcateid" localSheetId="16">Table410[Category_ID]</definedName>
    <definedName name="prodcateid" localSheetId="7">Table410[Category_ID]</definedName>
    <definedName name="prodcateid" localSheetId="9">Table410[Category_ID]</definedName>
    <definedName name="prodcateid" localSheetId="10">Table410[Category_ID]</definedName>
    <definedName name="prodcateid" localSheetId="17">Table410[Category_ID]</definedName>
    <definedName name="prodcateid" localSheetId="8">Table410[Category_ID]</definedName>
    <definedName name="prodcateid">Table410[Category_ID]</definedName>
    <definedName name="Product_Name" localSheetId="16">Table4[Product Name]</definedName>
    <definedName name="Product_Name" localSheetId="7">Table4[Product Name]</definedName>
    <definedName name="Product_Name" localSheetId="9">Table4[Product Name]</definedName>
    <definedName name="Product_Name" localSheetId="10">Table4[Product Name]</definedName>
    <definedName name="Product_Name" localSheetId="5">Table4[Product Name]</definedName>
    <definedName name="Product_Name" localSheetId="17">Table4[Product Name]</definedName>
    <definedName name="Product_Name" localSheetId="8">Table4[Product Name]</definedName>
    <definedName name="Product_Name">Table4[Product Name]</definedName>
    <definedName name="productid" localSheetId="16">Table4[Product_ID]</definedName>
    <definedName name="productid" localSheetId="7">Table4[Product_ID]</definedName>
    <definedName name="productid" localSheetId="9">Table4[Product_ID]</definedName>
    <definedName name="productid" localSheetId="10">Table4[Product_ID]</definedName>
    <definedName name="productid" localSheetId="17">Table4[Product_ID]</definedName>
    <definedName name="productid" localSheetId="8">Table4[Product_ID]</definedName>
    <definedName name="productid">Table4[Product_ID]</definedName>
    <definedName name="publishedstatus">'Drop Down List'!$M$9:$M$11</definedName>
    <definedName name="purchasestatus">'Drop Down List'!$M$20:$M$24</definedName>
    <definedName name="purchasetype">'Drop Down List'!$C$20:$C$22</definedName>
    <definedName name="purchsdfrm">'Drop Down List'!$I$9:$I$16</definedName>
    <definedName name="returnstatus">'Drop Down List'!$G$27:$G$29</definedName>
    <definedName name="saleschannel">'Drop Down List'!$A$27:$A$29</definedName>
    <definedName name="salesstatus">'Drop Down List'!$E$27:$E$30</definedName>
    <definedName name="salestype">'Drop Down List'!$I$27:$I$28</definedName>
    <definedName name="shippingmethod">'Drop Down List'!$C$27:$C$28</definedName>
    <definedName name="statelist">'Drop Down List'!$A$50:$A$86</definedName>
    <definedName name="Tax_GST">'Drop Down List'!$K$9:$K$15</definedName>
    <definedName name="taxtype">'Drop Down List'!$E$20:$E$22</definedName>
    <definedName name="transType">'Drop Down List'!$I$33:$I$35</definedName>
    <definedName name="unitofmeasure">'Drop Down List'!$E$33:$E$37</definedName>
    <definedName name="usernamenrole">'Drop Down List'!$C$40</definedName>
    <definedName name="vendid" localSheetId="16">vendorsdata[Vendor_ID]</definedName>
    <definedName name="vendid" localSheetId="7">vendorsdata[Vendor_ID]</definedName>
    <definedName name="vendid" localSheetId="9">vendorsdata[Vendor_ID]</definedName>
    <definedName name="vendid" localSheetId="10">vendorsdata[Vendor_ID]</definedName>
    <definedName name="vendid" localSheetId="17">vendorsdata[Vendor_ID]</definedName>
    <definedName name="vendid" localSheetId="8">vendorsdata[Vendor_ID]</definedName>
    <definedName name="vendid">vendorsdata[Vendor_ID]</definedName>
    <definedName name="vendorid" localSheetId="16">vendorsdata[Vendor_ID]</definedName>
    <definedName name="vendorid" localSheetId="7">vendorsdata[Vendor_ID]</definedName>
    <definedName name="vendorid" localSheetId="9">vendorsdata[Vendor_ID]</definedName>
    <definedName name="vendorid" localSheetId="10">vendorsdata[Vendor_ID]</definedName>
    <definedName name="vendorid" localSheetId="14">vendorsdata[Vendor_ID]</definedName>
    <definedName name="vendorid" localSheetId="5">vendorsdata[Vendor_ID]</definedName>
    <definedName name="vendorid" localSheetId="4">vendorsdata[Vendor_ID]</definedName>
    <definedName name="vendorid" localSheetId="17">vendorsdata[Vendor_ID]</definedName>
    <definedName name="vendorid" localSheetId="15">vendorsdata[Vendor_ID]</definedName>
    <definedName name="vendorid" localSheetId="8">vendorsdata[Vendor_ID]</definedName>
    <definedName name="vendorid">vendorsdata[Vendor_ID]</definedName>
    <definedName name="voucherid" localSheetId="16">Table72916[Product_ID]</definedName>
    <definedName name="voucherid" localSheetId="10">Table729[Voucher_ID]</definedName>
    <definedName name="voucherid" localSheetId="17">Table72916[Product_ID]</definedName>
    <definedName name="voucherid">Table729[Voucher_ID]</definedName>
    <definedName name="vouchertype">'Drop Down List'!$A$40:$A$47</definedName>
    <definedName name="warehouseid" localSheetId="16">Table4101112[Warehouse_ID]</definedName>
    <definedName name="warehouseid" localSheetId="7">Table4101112[Warehouse_ID]</definedName>
    <definedName name="warehouseid" localSheetId="9">Table4101112[Warehouse_ID]</definedName>
    <definedName name="warehouseid" localSheetId="10">Table4101112[Warehouse_ID]</definedName>
    <definedName name="warehouseid" localSheetId="17">Table4101112[Warehouse_ID]</definedName>
    <definedName name="warehouseid">Table4101112[Warehouse_ID]</definedName>
    <definedName name="warehousename" localSheetId="16">Table4101112[Location]</definedName>
    <definedName name="warehousename" localSheetId="7">Table4101112[Location]</definedName>
    <definedName name="warehousename" localSheetId="9">Table4101112[Location]</definedName>
    <definedName name="warehousename" localSheetId="10">Table4101112[Location]</definedName>
    <definedName name="warehousename" localSheetId="17">Table4101112[Location]</definedName>
    <definedName name="warehousename">Table4101112[Location]</definedName>
  </definedNames>
  <calcPr calcId="181029"/>
  <pivotCaches>
    <pivotCache cacheId="0" r:id="rId21"/>
    <pivotCache cacheId="1" r:id="rId22"/>
    <pivotCache cacheId="2" r:id="rId23"/>
    <pivotCache cacheId="3" r:id="rId24"/>
    <pivotCache cacheId="4" r:id="rId25"/>
    <pivotCache cacheId="5" r:id="rId2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4" l="1"/>
  <c r="H6" i="4" s="1"/>
  <c r="J6" i="4" s="1"/>
  <c r="L6" i="4"/>
  <c r="M6" i="4"/>
  <c r="V6" i="4"/>
  <c r="Z6" i="4"/>
  <c r="AO6" i="4"/>
  <c r="AZ6" i="4"/>
  <c r="BB6" i="4" s="1"/>
  <c r="BD6" i="4" s="1"/>
  <c r="D7" i="4"/>
  <c r="H7" i="4" s="1"/>
  <c r="J7" i="4" s="1"/>
  <c r="L7" i="4"/>
  <c r="M7" i="4"/>
  <c r="V7" i="4"/>
  <c r="Z7" i="4"/>
  <c r="AA7" i="4" s="1"/>
  <c r="AO7" i="4"/>
  <c r="AZ7" i="4"/>
  <c r="BB7" i="4" s="1"/>
  <c r="D8" i="4"/>
  <c r="I8" i="4" s="1"/>
  <c r="H8" i="4"/>
  <c r="J8" i="4" s="1"/>
  <c r="L8" i="4"/>
  <c r="M8" i="4"/>
  <c r="V8" i="4"/>
  <c r="Z8" i="4"/>
  <c r="AA8" i="4" s="1"/>
  <c r="AB8" i="4"/>
  <c r="AC8" i="4"/>
  <c r="AO8" i="4"/>
  <c r="BF8" i="4"/>
  <c r="BH8" i="4"/>
  <c r="D9" i="4"/>
  <c r="L9" i="4"/>
  <c r="L17" i="4" s="1"/>
  <c r="M9" i="4"/>
  <c r="V9" i="4"/>
  <c r="Z9" i="4"/>
  <c r="AB9" i="4" s="1"/>
  <c r="AA9" i="4"/>
  <c r="AC9" i="4"/>
  <c r="AZ9" i="4"/>
  <c r="BB9" i="4" s="1"/>
  <c r="BD9" i="4" s="1"/>
  <c r="D10" i="4"/>
  <c r="H10" i="4" s="1"/>
  <c r="J10" i="4" s="1"/>
  <c r="L10" i="4"/>
  <c r="M10" i="4"/>
  <c r="V10" i="4"/>
  <c r="Z10" i="4"/>
  <c r="D11" i="4"/>
  <c r="H11" i="4" s="1"/>
  <c r="J11" i="4" s="1"/>
  <c r="L11" i="4"/>
  <c r="M11" i="4"/>
  <c r="V11" i="4"/>
  <c r="Z11" i="4"/>
  <c r="AA11" i="4" s="1"/>
  <c r="D12" i="4"/>
  <c r="I12" i="4" s="1"/>
  <c r="H12" i="4"/>
  <c r="J12" i="4" s="1"/>
  <c r="L12" i="4"/>
  <c r="M12" i="4"/>
  <c r="V12" i="4"/>
  <c r="Z12" i="4"/>
  <c r="AA12" i="4" s="1"/>
  <c r="AO12" i="4"/>
  <c r="BF12" i="4"/>
  <c r="D13" i="4"/>
  <c r="L13" i="4"/>
  <c r="M13" i="4"/>
  <c r="V13" i="4"/>
  <c r="Z13" i="4"/>
  <c r="AC13" i="4" s="1"/>
  <c r="AA13" i="4"/>
  <c r="AB13" i="4"/>
  <c r="AZ13" i="4"/>
  <c r="BB13" i="4" s="1"/>
  <c r="D14" i="4"/>
  <c r="H14" i="4" s="1"/>
  <c r="J14" i="4" s="1"/>
  <c r="M14" i="4"/>
  <c r="V14" i="4"/>
  <c r="Z14" i="4"/>
  <c r="AZ14" i="4"/>
  <c r="BB14" i="4" s="1"/>
  <c r="BD14" i="4" s="1"/>
  <c r="D15" i="4"/>
  <c r="H15" i="4" s="1"/>
  <c r="J15" i="4" s="1"/>
  <c r="I15" i="4"/>
  <c r="M15" i="4"/>
  <c r="V15" i="4"/>
  <c r="Z15" i="4"/>
  <c r="AA15" i="4" s="1"/>
  <c r="AC15" i="4"/>
  <c r="AZ15" i="4"/>
  <c r="BB15" i="4" s="1"/>
  <c r="BH15" i="4"/>
  <c r="D16" i="4"/>
  <c r="H16" i="4"/>
  <c r="J16" i="4" s="1"/>
  <c r="I16" i="4"/>
  <c r="M16" i="4"/>
  <c r="V16" i="4"/>
  <c r="Z16" i="4"/>
  <c r="AA16" i="4" s="1"/>
  <c r="AC16" i="4"/>
  <c r="AO16" i="4"/>
  <c r="AZ16" i="4"/>
  <c r="BB16" i="4" s="1"/>
  <c r="BD16" i="4" s="1"/>
  <c r="BF16" i="4"/>
  <c r="BH16" i="4"/>
  <c r="D17" i="4"/>
  <c r="BF17" i="4" s="1"/>
  <c r="M17" i="4"/>
  <c r="V17" i="4"/>
  <c r="Z17" i="4"/>
  <c r="AA17" i="4" s="1"/>
  <c r="D18" i="4"/>
  <c r="AZ18" i="4" s="1"/>
  <c r="BB18" i="4" s="1"/>
  <c r="M18" i="4"/>
  <c r="V18" i="4"/>
  <c r="Z18" i="4"/>
  <c r="AA18" i="4" s="1"/>
  <c r="AO18" i="4"/>
  <c r="BH18" i="4"/>
  <c r="D19" i="4"/>
  <c r="H19" i="4" s="1"/>
  <c r="J19" i="4" s="1"/>
  <c r="M19" i="4"/>
  <c r="V19" i="4"/>
  <c r="Z19" i="4"/>
  <c r="BH19" i="4"/>
  <c r="D20" i="4"/>
  <c r="H20" i="4" s="1"/>
  <c r="J20" i="4" s="1"/>
  <c r="M20" i="4"/>
  <c r="V20" i="4"/>
  <c r="Z20" i="4"/>
  <c r="AB20" i="4" s="1"/>
  <c r="BF20" i="4"/>
  <c r="D21" i="4"/>
  <c r="H21" i="4" s="1"/>
  <c r="J21" i="4" s="1"/>
  <c r="M21" i="4"/>
  <c r="V21" i="4"/>
  <c r="Z21" i="4"/>
  <c r="AB21" i="4" s="1"/>
  <c r="AC21" i="4"/>
  <c r="D22" i="4"/>
  <c r="H22" i="4" s="1"/>
  <c r="J22" i="4" s="1"/>
  <c r="M22" i="4"/>
  <c r="V22" i="4"/>
  <c r="Z22" i="4"/>
  <c r="AA22" i="4" s="1"/>
  <c r="BF22" i="4"/>
  <c r="D23" i="4"/>
  <c r="H23" i="4" s="1"/>
  <c r="J23" i="4" s="1"/>
  <c r="I23" i="4"/>
  <c r="M23" i="4"/>
  <c r="V23" i="4"/>
  <c r="Z23" i="4"/>
  <c r="AZ23" i="4"/>
  <c r="BB23" i="4" s="1"/>
  <c r="BD23" i="4" s="1"/>
  <c r="BF23" i="4"/>
  <c r="BG23" i="4"/>
  <c r="BH23" i="4"/>
  <c r="D24" i="4"/>
  <c r="H24" i="4" s="1"/>
  <c r="J24" i="4" s="1"/>
  <c r="I24" i="4"/>
  <c r="M24" i="4"/>
  <c r="V24" i="4"/>
  <c r="Z24" i="4"/>
  <c r="AC24" i="4" s="1"/>
  <c r="AZ24" i="4"/>
  <c r="BB24" i="4" s="1"/>
  <c r="BD24" i="4" s="1"/>
  <c r="BG24" i="4"/>
  <c r="D25" i="4"/>
  <c r="H25" i="4" s="1"/>
  <c r="J25" i="4" s="1"/>
  <c r="M25" i="4"/>
  <c r="V25" i="4"/>
  <c r="Z25" i="4"/>
  <c r="AA25" i="4" s="1"/>
  <c r="AB25" i="4"/>
  <c r="BG25" i="4"/>
  <c r="D26" i="4"/>
  <c r="H26" i="4" s="1"/>
  <c r="J26" i="4" s="1"/>
  <c r="M26" i="4"/>
  <c r="V26" i="4"/>
  <c r="Z26" i="4"/>
  <c r="AC26" i="4" s="1"/>
  <c r="AZ26" i="4"/>
  <c r="BB26" i="4" s="1"/>
  <c r="BD26" i="4" s="1"/>
  <c r="BG26" i="4"/>
  <c r="D27" i="4"/>
  <c r="M27" i="4"/>
  <c r="V27" i="4"/>
  <c r="Z27" i="4"/>
  <c r="AA27" i="4" s="1"/>
  <c r="AO27" i="4"/>
  <c r="BG27" i="4"/>
  <c r="D28" i="4"/>
  <c r="H28" i="4" s="1"/>
  <c r="J28" i="4" s="1"/>
  <c r="M28" i="4"/>
  <c r="V28" i="4"/>
  <c r="Z28" i="4"/>
  <c r="AC28" i="4" s="1"/>
  <c r="BG28" i="4"/>
  <c r="D29" i="4"/>
  <c r="H29" i="4" s="1"/>
  <c r="J29" i="4" s="1"/>
  <c r="M29" i="4"/>
  <c r="V29" i="4"/>
  <c r="Z29" i="4"/>
  <c r="AA29" i="4" s="1"/>
  <c r="AO29" i="4"/>
  <c r="BG29" i="4"/>
  <c r="D30" i="4"/>
  <c r="H30" i="4" s="1"/>
  <c r="J30" i="4" s="1"/>
  <c r="M30" i="4"/>
  <c r="V30" i="4"/>
  <c r="Z30" i="4"/>
  <c r="AC30" i="4" s="1"/>
  <c r="AB30" i="4"/>
  <c r="BG30" i="4"/>
  <c r="D31" i="4"/>
  <c r="M31" i="4"/>
  <c r="V31" i="4"/>
  <c r="Z31" i="4"/>
  <c r="AA31" i="4" s="1"/>
  <c r="BG31" i="4"/>
  <c r="D32" i="4"/>
  <c r="H32" i="4" s="1"/>
  <c r="J32" i="4" s="1"/>
  <c r="I32" i="4"/>
  <c r="M32" i="4"/>
  <c r="V32" i="4"/>
  <c r="Z32" i="4"/>
  <c r="AC32" i="4"/>
  <c r="AZ32" i="4"/>
  <c r="BB32" i="4" s="1"/>
  <c r="BD32" i="4" s="1"/>
  <c r="BG32" i="4"/>
  <c r="BH32" i="4"/>
  <c r="D33" i="4"/>
  <c r="I33" i="4" s="1"/>
  <c r="M33" i="4"/>
  <c r="V33" i="4"/>
  <c r="Z33" i="4"/>
  <c r="AA33" i="4" s="1"/>
  <c r="AB33" i="4"/>
  <c r="AO33" i="4"/>
  <c r="BG33" i="4"/>
  <c r="D34" i="4"/>
  <c r="H34" i="4" s="1"/>
  <c r="J34" i="4" s="1"/>
  <c r="M34" i="4"/>
  <c r="V34" i="4"/>
  <c r="Z34" i="4"/>
  <c r="AB34" i="4" s="1"/>
  <c r="AC34" i="4"/>
  <c r="BG34" i="4"/>
  <c r="D35" i="4"/>
  <c r="H35" i="4" s="1"/>
  <c r="J35" i="4" s="1"/>
  <c r="M35" i="4"/>
  <c r="V35" i="4"/>
  <c r="Z35" i="4"/>
  <c r="AC35" i="4" s="1"/>
  <c r="AO35" i="4"/>
  <c r="BF35" i="4"/>
  <c r="BG35" i="4"/>
  <c r="BH35" i="4"/>
  <c r="D36" i="4"/>
  <c r="AZ36" i="4" s="1"/>
  <c r="BB36" i="4" s="1"/>
  <c r="I36" i="4"/>
  <c r="M36" i="4"/>
  <c r="V36" i="4"/>
  <c r="Z36" i="4"/>
  <c r="AO36" i="4"/>
  <c r="BG36" i="4"/>
  <c r="BH36" i="4"/>
  <c r="D37" i="4"/>
  <c r="I37" i="4" s="1"/>
  <c r="M37" i="4"/>
  <c r="V37" i="4"/>
  <c r="Z37" i="4"/>
  <c r="AB37" i="4" s="1"/>
  <c r="BG37" i="4"/>
  <c r="D38" i="4"/>
  <c r="M38" i="4"/>
  <c r="V38" i="4"/>
  <c r="Z38" i="4"/>
  <c r="AC38" i="4" s="1"/>
  <c r="AA38" i="4"/>
  <c r="BG38" i="4"/>
  <c r="D39" i="4"/>
  <c r="M39" i="4"/>
  <c r="V39" i="4"/>
  <c r="Z39" i="4"/>
  <c r="AA39" i="4" s="1"/>
  <c r="BG39" i="4"/>
  <c r="D40" i="4"/>
  <c r="I40" i="4" s="1"/>
  <c r="H40" i="4"/>
  <c r="J40" i="4" s="1"/>
  <c r="M40" i="4"/>
  <c r="V40" i="4"/>
  <c r="Z40" i="4"/>
  <c r="AZ40" i="4"/>
  <c r="BB40" i="4" s="1"/>
  <c r="BF40" i="4"/>
  <c r="BG40" i="4"/>
  <c r="D41" i="4"/>
  <c r="AO41" i="4" s="1"/>
  <c r="M41" i="4"/>
  <c r="V41" i="4"/>
  <c r="Z41" i="4"/>
  <c r="AB41" i="4" s="1"/>
  <c r="AA41" i="4"/>
  <c r="AC41" i="4"/>
  <c r="BG41" i="4"/>
  <c r="D42" i="4"/>
  <c r="AO42" i="4" s="1"/>
  <c r="M42" i="4"/>
  <c r="V42" i="4"/>
  <c r="Z42" i="4"/>
  <c r="AC42" i="4" s="1"/>
  <c r="BG42" i="4"/>
  <c r="D43" i="4"/>
  <c r="AO43" i="4" s="1"/>
  <c r="M43" i="4"/>
  <c r="V43" i="4"/>
  <c r="Z43" i="4"/>
  <c r="AB43" i="4" s="1"/>
  <c r="BG43" i="4"/>
  <c r="BH43" i="4"/>
  <c r="D44" i="4"/>
  <c r="I44" i="4" s="1"/>
  <c r="H44" i="4"/>
  <c r="J44" i="4" s="1"/>
  <c r="M44" i="4"/>
  <c r="V44" i="4"/>
  <c r="Z44" i="4"/>
  <c r="AA44" i="4" s="1"/>
  <c r="AO44" i="4"/>
  <c r="AZ44" i="4"/>
  <c r="BB44" i="4" s="1"/>
  <c r="BF44" i="4"/>
  <c r="BG44" i="4"/>
  <c r="BH44" i="4"/>
  <c r="D45" i="4"/>
  <c r="I45" i="4" s="1"/>
  <c r="H45" i="4"/>
  <c r="J45" i="4" s="1"/>
  <c r="M45" i="4"/>
  <c r="V45" i="4"/>
  <c r="Z45" i="4"/>
  <c r="AC45" i="4" s="1"/>
  <c r="AB45" i="4"/>
  <c r="BF45" i="4"/>
  <c r="BG45" i="4"/>
  <c r="D46" i="4"/>
  <c r="AZ46" i="4" s="1"/>
  <c r="BB46" i="4" s="1"/>
  <c r="BD46" i="4" s="1"/>
  <c r="M46" i="4"/>
  <c r="V46" i="4"/>
  <c r="Z46" i="4"/>
  <c r="AC46" i="4" s="1"/>
  <c r="AO46" i="4"/>
  <c r="BG46" i="4"/>
  <c r="D47" i="4"/>
  <c r="H47" i="4" s="1"/>
  <c r="J47" i="4" s="1"/>
  <c r="M47" i="4"/>
  <c r="V47" i="4"/>
  <c r="Z47" i="4"/>
  <c r="AB47" i="4" s="1"/>
  <c r="AO47" i="4"/>
  <c r="BG47" i="4"/>
  <c r="D48" i="4"/>
  <c r="AZ48" i="4" s="1"/>
  <c r="BB48" i="4" s="1"/>
  <c r="BD48" i="4" s="1"/>
  <c r="M48" i="4"/>
  <c r="V48" i="4"/>
  <c r="Z48" i="4"/>
  <c r="AB48" i="4" s="1"/>
  <c r="AA48" i="4"/>
  <c r="BG48" i="4"/>
  <c r="D49" i="4"/>
  <c r="I49" i="4" s="1"/>
  <c r="M49" i="4"/>
  <c r="V49" i="4"/>
  <c r="Z49" i="4"/>
  <c r="BG49" i="4"/>
  <c r="D50" i="4"/>
  <c r="AO50" i="4" s="1"/>
  <c r="M50" i="4"/>
  <c r="V50" i="4"/>
  <c r="Z50" i="4"/>
  <c r="AB50" i="4" s="1"/>
  <c r="BG50" i="4"/>
  <c r="D51" i="4"/>
  <c r="AO51" i="4" s="1"/>
  <c r="M51" i="4"/>
  <c r="V51" i="4"/>
  <c r="Z51" i="4"/>
  <c r="AB51" i="4" s="1"/>
  <c r="AZ51" i="4"/>
  <c r="BB51" i="4" s="1"/>
  <c r="BF51" i="4"/>
  <c r="BG51" i="4"/>
  <c r="BH51" i="4"/>
  <c r="D52" i="4"/>
  <c r="H52" i="4" s="1"/>
  <c r="J52" i="4" s="1"/>
  <c r="M52" i="4"/>
  <c r="V52" i="4"/>
  <c r="Z52" i="4"/>
  <c r="AC52" i="4" s="1"/>
  <c r="AB52" i="4"/>
  <c r="AO52" i="4"/>
  <c r="BF52" i="4"/>
  <c r="BG52" i="4"/>
  <c r="BH52" i="4"/>
  <c r="D53" i="4"/>
  <c r="AO53" i="4" s="1"/>
  <c r="H53" i="4"/>
  <c r="J53" i="4" s="1"/>
  <c r="M53" i="4"/>
  <c r="V53" i="4"/>
  <c r="Z53" i="4"/>
  <c r="AB53" i="4" s="1"/>
  <c r="AA53" i="4"/>
  <c r="AZ53" i="4"/>
  <c r="BB53" i="4" s="1"/>
  <c r="BG53" i="4"/>
  <c r="D54" i="4"/>
  <c r="AO54" i="4" s="1"/>
  <c r="M54" i="4"/>
  <c r="V54" i="4"/>
  <c r="Z54" i="4"/>
  <c r="AB54" i="4" s="1"/>
  <c r="BG54" i="4"/>
  <c r="D55" i="4"/>
  <c r="AO55" i="4" s="1"/>
  <c r="H55" i="4"/>
  <c r="J55" i="4" s="1"/>
  <c r="M55" i="4"/>
  <c r="V55" i="4"/>
  <c r="Z55" i="4"/>
  <c r="AB55" i="4" s="1"/>
  <c r="AA55" i="4"/>
  <c r="AC55" i="4"/>
  <c r="AZ55" i="4"/>
  <c r="BB55" i="4" s="1"/>
  <c r="BE55" i="4" s="1"/>
  <c r="BF55" i="4"/>
  <c r="BG55" i="4"/>
  <c r="BH55" i="4"/>
  <c r="D56" i="4"/>
  <c r="M56" i="4"/>
  <c r="V56" i="4"/>
  <c r="Z56" i="4"/>
  <c r="AB56" i="4" s="1"/>
  <c r="AO56" i="4"/>
  <c r="BG56" i="4"/>
  <c r="D57" i="4"/>
  <c r="H57" i="4" s="1"/>
  <c r="J57" i="4" s="1"/>
  <c r="M57" i="4"/>
  <c r="V57" i="4"/>
  <c r="Z57" i="4"/>
  <c r="AB57" i="4" s="1"/>
  <c r="AC57" i="4"/>
  <c r="BG57" i="4"/>
  <c r="D58" i="4"/>
  <c r="BF58" i="4" s="1"/>
  <c r="M58" i="4"/>
  <c r="V58" i="4"/>
  <c r="Z58" i="4"/>
  <c r="AB58" i="4" s="1"/>
  <c r="BG58" i="4"/>
  <c r="D59" i="4"/>
  <c r="M59" i="4"/>
  <c r="V59" i="4"/>
  <c r="Z59" i="4"/>
  <c r="AO59" i="4"/>
  <c r="BG59" i="4"/>
  <c r="BH59" i="4"/>
  <c r="D60" i="4"/>
  <c r="M60" i="4"/>
  <c r="V60" i="4"/>
  <c r="Z60" i="4"/>
  <c r="AB60" i="4" s="1"/>
  <c r="BG60" i="4"/>
  <c r="D61" i="4"/>
  <c r="AO61" i="4" s="1"/>
  <c r="M61" i="4"/>
  <c r="V61" i="4"/>
  <c r="Z61" i="4"/>
  <c r="AB61" i="4" s="1"/>
  <c r="BG61" i="4"/>
  <c r="D62" i="4"/>
  <c r="M62" i="4"/>
  <c r="V62" i="4"/>
  <c r="Z62" i="4"/>
  <c r="AC62" i="4" s="1"/>
  <c r="BG62" i="4"/>
  <c r="D63" i="4"/>
  <c r="BF63" i="4" s="1"/>
  <c r="M63" i="4"/>
  <c r="V63" i="4"/>
  <c r="Z63" i="4"/>
  <c r="AC63" i="4" s="1"/>
  <c r="AZ63" i="4"/>
  <c r="BB63" i="4" s="1"/>
  <c r="BD63" i="4" s="1"/>
  <c r="BG63" i="4"/>
  <c r="D64" i="4"/>
  <c r="BF64" i="4" s="1"/>
  <c r="M64" i="4"/>
  <c r="V64" i="4"/>
  <c r="Z64" i="4"/>
  <c r="AC64" i="4" s="1"/>
  <c r="AZ64" i="4"/>
  <c r="BB64" i="4" s="1"/>
  <c r="BD64" i="4" s="1"/>
  <c r="BG64" i="4"/>
  <c r="D65" i="4"/>
  <c r="BF65" i="4" s="1"/>
  <c r="M65" i="4"/>
  <c r="V65" i="4"/>
  <c r="Z65" i="4"/>
  <c r="AC65" i="4" s="1"/>
  <c r="AZ65" i="4"/>
  <c r="BB65" i="4" s="1"/>
  <c r="BD65" i="4" s="1"/>
  <c r="BG65" i="4"/>
  <c r="D66" i="4"/>
  <c r="M66" i="4"/>
  <c r="V66" i="4"/>
  <c r="Z66" i="4"/>
  <c r="AC66" i="4" s="1"/>
  <c r="BF66" i="4"/>
  <c r="BG66" i="4"/>
  <c r="D67" i="4"/>
  <c r="M67" i="4"/>
  <c r="V67" i="4"/>
  <c r="Z67" i="4"/>
  <c r="AC67" i="4" s="1"/>
  <c r="BG67" i="4"/>
  <c r="D68" i="4"/>
  <c r="AZ68" i="4" s="1"/>
  <c r="BB68" i="4" s="1"/>
  <c r="M68" i="4"/>
  <c r="V68" i="4"/>
  <c r="Z68" i="4"/>
  <c r="AC68" i="4" s="1"/>
  <c r="BG68" i="4"/>
  <c r="D69" i="4"/>
  <c r="M69" i="4"/>
  <c r="V69" i="4"/>
  <c r="Z69" i="4"/>
  <c r="AC69" i="4" s="1"/>
  <c r="BG69" i="4"/>
  <c r="D70" i="4"/>
  <c r="AZ70" i="4" s="1"/>
  <c r="BB70" i="4" s="1"/>
  <c r="M70" i="4"/>
  <c r="V70" i="4"/>
  <c r="Z70" i="4"/>
  <c r="AC70" i="4" s="1"/>
  <c r="BG70" i="4"/>
  <c r="D71" i="4"/>
  <c r="M71" i="4"/>
  <c r="V71" i="4"/>
  <c r="Z71" i="4"/>
  <c r="AC71" i="4" s="1"/>
  <c r="BG71" i="4"/>
  <c r="D72" i="4"/>
  <c r="AZ72" i="4" s="1"/>
  <c r="BB72" i="4" s="1"/>
  <c r="M72" i="4"/>
  <c r="V72" i="4"/>
  <c r="Z72" i="4"/>
  <c r="AC72" i="4" s="1"/>
  <c r="BG72" i="4"/>
  <c r="D73" i="4"/>
  <c r="M73" i="4"/>
  <c r="V73" i="4"/>
  <c r="Z73" i="4"/>
  <c r="AC73" i="4" s="1"/>
  <c r="BG73" i="4"/>
  <c r="D74" i="4"/>
  <c r="AZ74" i="4" s="1"/>
  <c r="BB74" i="4" s="1"/>
  <c r="M74" i="4"/>
  <c r="V74" i="4"/>
  <c r="Z74" i="4"/>
  <c r="AC74" i="4" s="1"/>
  <c r="BG74" i="4"/>
  <c r="D75" i="4"/>
  <c r="BH75" i="4" s="1"/>
  <c r="M75" i="4"/>
  <c r="V75" i="4"/>
  <c r="Z75" i="4"/>
  <c r="AC75" i="4" s="1"/>
  <c r="BG75" i="4"/>
  <c r="D76" i="4"/>
  <c r="AZ76" i="4" s="1"/>
  <c r="BB76" i="4" s="1"/>
  <c r="M76" i="4"/>
  <c r="V76" i="4"/>
  <c r="Z76" i="4"/>
  <c r="AC76" i="4" s="1"/>
  <c r="BG76" i="4"/>
  <c r="D77" i="4"/>
  <c r="BH77" i="4" s="1"/>
  <c r="M77" i="4"/>
  <c r="V77" i="4"/>
  <c r="Z77" i="4"/>
  <c r="AC77" i="4" s="1"/>
  <c r="BG77" i="4"/>
  <c r="D78" i="4"/>
  <c r="AZ78" i="4" s="1"/>
  <c r="BB78" i="4" s="1"/>
  <c r="M78" i="4"/>
  <c r="V78" i="4"/>
  <c r="Z78" i="4"/>
  <c r="AC78" i="4" s="1"/>
  <c r="AB78" i="4"/>
  <c r="BG78" i="4"/>
  <c r="AA78" i="4" l="1"/>
  <c r="AA74" i="4"/>
  <c r="AA72" i="4"/>
  <c r="AA70" i="4"/>
  <c r="AA68" i="4"/>
  <c r="BH61" i="4"/>
  <c r="AZ57" i="4"/>
  <c r="BB57" i="4" s="1"/>
  <c r="BE57" i="4" s="1"/>
  <c r="AZ54" i="4"/>
  <c r="BB54" i="4" s="1"/>
  <c r="BD54" i="4" s="1"/>
  <c r="AZ52" i="4"/>
  <c r="BB52" i="4" s="1"/>
  <c r="AA52" i="4"/>
  <c r="AC43" i="4"/>
  <c r="I43" i="4"/>
  <c r="BH37" i="4"/>
  <c r="AZ35" i="4"/>
  <c r="BB35" i="4" s="1"/>
  <c r="BD35" i="4" s="1"/>
  <c r="BF33" i="4"/>
  <c r="H33" i="4"/>
  <c r="J33" i="4" s="1"/>
  <c r="AB29" i="4"/>
  <c r="AO25" i="4"/>
  <c r="AZ22" i="4"/>
  <c r="BB22" i="4" s="1"/>
  <c r="BD22" i="4" s="1"/>
  <c r="AZ20" i="4"/>
  <c r="BB20" i="4" s="1"/>
  <c r="BD20" i="4" s="1"/>
  <c r="L18" i="4"/>
  <c r="BH10" i="4"/>
  <c r="AO22" i="4"/>
  <c r="AA21" i="4"/>
  <c r="AO20" i="4"/>
  <c r="I20" i="4"/>
  <c r="AZ19" i="4"/>
  <c r="BB19" i="4" s="1"/>
  <c r="BD19" i="4" s="1"/>
  <c r="I19" i="4"/>
  <c r="AC12" i="4"/>
  <c r="AZ11" i="4"/>
  <c r="BB11" i="4" s="1"/>
  <c r="AO10" i="4"/>
  <c r="AB75" i="4"/>
  <c r="AC54" i="4"/>
  <c r="AA77" i="4"/>
  <c r="AA75" i="4"/>
  <c r="AA73" i="4"/>
  <c r="AA71" i="4"/>
  <c r="AA69" i="4"/>
  <c r="AA67" i="4"/>
  <c r="AA54" i="4"/>
  <c r="H54" i="4"/>
  <c r="J54" i="4" s="1"/>
  <c r="AC53" i="4"/>
  <c r="AC51" i="4"/>
  <c r="AC48" i="4"/>
  <c r="AZ45" i="4"/>
  <c r="BB45" i="4" s="1"/>
  <c r="AC44" i="4"/>
  <c r="BH40" i="4"/>
  <c r="AO40" i="4"/>
  <c r="AZ37" i="4"/>
  <c r="BB37" i="4" s="1"/>
  <c r="BD37" i="4" s="1"/>
  <c r="H37" i="4"/>
  <c r="J37" i="4" s="1"/>
  <c r="AB35" i="4"/>
  <c r="AA34" i="4"/>
  <c r="AC33" i="4"/>
  <c r="AB26" i="4"/>
  <c r="BH22" i="4"/>
  <c r="BH20" i="4"/>
  <c r="AB17" i="4"/>
  <c r="BH12" i="4"/>
  <c r="AB12" i="4"/>
  <c r="AC11" i="4"/>
  <c r="AZ43" i="4"/>
  <c r="BB43" i="4" s="1"/>
  <c r="BD43" i="4" s="1"/>
  <c r="BH14" i="4"/>
  <c r="BH6" i="4"/>
  <c r="AB76" i="4"/>
  <c r="AB77" i="4"/>
  <c r="AA76" i="4"/>
  <c r="BH78" i="4"/>
  <c r="BH74" i="4"/>
  <c r="BH11" i="4"/>
  <c r="BH7" i="4"/>
  <c r="AC7" i="4"/>
  <c r="BF6" i="4"/>
  <c r="BH76" i="4"/>
  <c r="AA62" i="4"/>
  <c r="BH57" i="4"/>
  <c r="AO57" i="4"/>
  <c r="BF54" i="4"/>
  <c r="BF53" i="4"/>
  <c r="AA51" i="4"/>
  <c r="H51" i="4"/>
  <c r="J51" i="4" s="1"/>
  <c r="AZ50" i="4"/>
  <c r="BB50" i="4" s="1"/>
  <c r="BD50" i="4" s="1"/>
  <c r="BH49" i="4"/>
  <c r="AZ49" i="4"/>
  <c r="BB49" i="4" s="1"/>
  <c r="BD49" i="4" s="1"/>
  <c r="BH47" i="4"/>
  <c r="AA47" i="4"/>
  <c r="BF46" i="4"/>
  <c r="AB46" i="4"/>
  <c r="H46" i="4"/>
  <c r="J46" i="4" s="1"/>
  <c r="AA45" i="4"/>
  <c r="BF41" i="4"/>
  <c r="AB38" i="4"/>
  <c r="BF37" i="4"/>
  <c r="AO37" i="4"/>
  <c r="AA35" i="4"/>
  <c r="BF34" i="4"/>
  <c r="BH33" i="4"/>
  <c r="AZ33" i="4"/>
  <c r="BB33" i="4" s="1"/>
  <c r="BD33" i="4" s="1"/>
  <c r="AO32" i="4"/>
  <c r="AA30" i="4"/>
  <c r="BF29" i="4"/>
  <c r="AC29" i="4"/>
  <c r="BH28" i="4"/>
  <c r="AZ28" i="4"/>
  <c r="BB28" i="4" s="1"/>
  <c r="BD28" i="4" s="1"/>
  <c r="BF26" i="4"/>
  <c r="AA26" i="4"/>
  <c r="BF25" i="4"/>
  <c r="AC25" i="4"/>
  <c r="BH24" i="4"/>
  <c r="AO24" i="4"/>
  <c r="AO23" i="4"/>
  <c r="AO19" i="4"/>
  <c r="AC17" i="4"/>
  <c r="AO15" i="4"/>
  <c r="AZ12" i="4"/>
  <c r="BB12" i="4" s="1"/>
  <c r="BD12" i="4" s="1"/>
  <c r="I11" i="4"/>
  <c r="AZ10" i="4"/>
  <c r="BB10" i="4" s="1"/>
  <c r="BD10" i="4" s="1"/>
  <c r="AZ8" i="4"/>
  <c r="BB8" i="4" s="1"/>
  <c r="BD8" i="4" s="1"/>
  <c r="I7" i="4"/>
  <c r="AC50" i="4"/>
  <c r="AO49" i="4"/>
  <c r="AB42" i="4"/>
  <c r="I41" i="4"/>
  <c r="I34" i="4"/>
  <c r="I29" i="4"/>
  <c r="AO28" i="4"/>
  <c r="I25" i="4"/>
  <c r="BF21" i="4"/>
  <c r="I21" i="4"/>
  <c r="AA66" i="4"/>
  <c r="AA65" i="4"/>
  <c r="AA64" i="4"/>
  <c r="AA63" i="4"/>
  <c r="AO58" i="4"/>
  <c r="BF57" i="4"/>
  <c r="AA57" i="4"/>
  <c r="AA50" i="4"/>
  <c r="I50" i="4"/>
  <c r="BF49" i="4"/>
  <c r="H49" i="4"/>
  <c r="J49" i="4" s="1"/>
  <c r="BF47" i="4"/>
  <c r="BH46" i="4"/>
  <c r="AA42" i="4"/>
  <c r="AZ41" i="4"/>
  <c r="BB41" i="4" s="1"/>
  <c r="BD41" i="4" s="1"/>
  <c r="H41" i="4"/>
  <c r="J41" i="4" s="1"/>
  <c r="AZ34" i="4"/>
  <c r="BB34" i="4" s="1"/>
  <c r="BD34" i="4" s="1"/>
  <c r="BH29" i="4"/>
  <c r="AZ29" i="4"/>
  <c r="BB29" i="4" s="1"/>
  <c r="BD29" i="4" s="1"/>
  <c r="I28" i="4"/>
  <c r="BH25" i="4"/>
  <c r="AZ25" i="4"/>
  <c r="BB25" i="4" s="1"/>
  <c r="BD25" i="4" s="1"/>
  <c r="AZ21" i="4"/>
  <c r="BB21" i="4" s="1"/>
  <c r="BD21" i="4" s="1"/>
  <c r="AB16" i="4"/>
  <c r="AO14" i="4"/>
  <c r="AO11" i="4"/>
  <c r="BD74" i="4"/>
  <c r="BD78" i="4"/>
  <c r="BD70" i="4"/>
  <c r="BD68" i="4"/>
  <c r="BD72" i="4"/>
  <c r="BD76" i="4"/>
  <c r="H62" i="4"/>
  <c r="J62" i="4" s="1"/>
  <c r="H60" i="4"/>
  <c r="J60" i="4" s="1"/>
  <c r="AZ60" i="4"/>
  <c r="BB60" i="4" s="1"/>
  <c r="AC59" i="4"/>
  <c r="AA59" i="4"/>
  <c r="BD52" i="4"/>
  <c r="BD40" i="4"/>
  <c r="BD13" i="4"/>
  <c r="BF78" i="4"/>
  <c r="H77" i="4"/>
  <c r="J77" i="4" s="1"/>
  <c r="BF76" i="4"/>
  <c r="H75" i="4"/>
  <c r="J75" i="4" s="1"/>
  <c r="BF74" i="4"/>
  <c r="H73" i="4"/>
  <c r="J73" i="4" s="1"/>
  <c r="BF72" i="4"/>
  <c r="H71" i="4"/>
  <c r="J71" i="4" s="1"/>
  <c r="BF70" i="4"/>
  <c r="H69" i="4"/>
  <c r="J69" i="4" s="1"/>
  <c r="BF68" i="4"/>
  <c r="H67" i="4"/>
  <c r="J67" i="4" s="1"/>
  <c r="H66" i="4"/>
  <c r="J66" i="4" s="1"/>
  <c r="H65" i="4"/>
  <c r="J65" i="4" s="1"/>
  <c r="H64" i="4"/>
  <c r="J64" i="4" s="1"/>
  <c r="H63" i="4"/>
  <c r="J63" i="4" s="1"/>
  <c r="BF62" i="4"/>
  <c r="AZ62" i="4"/>
  <c r="BB62" i="4" s="1"/>
  <c r="BF60" i="4"/>
  <c r="AA56" i="4"/>
  <c r="AC56" i="4"/>
  <c r="H48" i="4"/>
  <c r="J48" i="4" s="1"/>
  <c r="BF48" i="4"/>
  <c r="I48" i="4"/>
  <c r="AO48" i="4"/>
  <c r="BH48" i="4"/>
  <c r="H39" i="4"/>
  <c r="J39" i="4" s="1"/>
  <c r="BF39" i="4"/>
  <c r="I39" i="4"/>
  <c r="AO39" i="4"/>
  <c r="AZ39" i="4"/>
  <c r="BB39" i="4" s="1"/>
  <c r="BH39" i="4"/>
  <c r="AO60" i="4"/>
  <c r="H58" i="4"/>
  <c r="J58" i="4" s="1"/>
  <c r="AZ58" i="4"/>
  <c r="BB58" i="4" s="1"/>
  <c r="H78" i="4"/>
  <c r="J78" i="4" s="1"/>
  <c r="BF77" i="4"/>
  <c r="AZ77" i="4"/>
  <c r="BB77" i="4" s="1"/>
  <c r="H76" i="4"/>
  <c r="J76" i="4" s="1"/>
  <c r="BF75" i="4"/>
  <c r="AZ75" i="4"/>
  <c r="BB75" i="4" s="1"/>
  <c r="H74" i="4"/>
  <c r="J74" i="4" s="1"/>
  <c r="BF73" i="4"/>
  <c r="AZ73" i="4"/>
  <c r="BB73" i="4" s="1"/>
  <c r="H72" i="4"/>
  <c r="J72" i="4" s="1"/>
  <c r="BF71" i="4"/>
  <c r="AZ71" i="4"/>
  <c r="BB71" i="4" s="1"/>
  <c r="H70" i="4"/>
  <c r="J70" i="4" s="1"/>
  <c r="BF69" i="4"/>
  <c r="AZ69" i="4"/>
  <c r="BB69" i="4" s="1"/>
  <c r="H68" i="4"/>
  <c r="J68" i="4" s="1"/>
  <c r="BF67" i="4"/>
  <c r="AZ67" i="4"/>
  <c r="BB67" i="4" s="1"/>
  <c r="AZ66" i="4"/>
  <c r="BB66" i="4" s="1"/>
  <c r="AO78" i="4"/>
  <c r="AO77" i="4"/>
  <c r="AO76" i="4"/>
  <c r="AO75" i="4"/>
  <c r="AO74" i="4"/>
  <c r="AO73" i="4"/>
  <c r="AO72" i="4"/>
  <c r="AO71" i="4"/>
  <c r="AO70" i="4"/>
  <c r="AO69" i="4"/>
  <c r="AO68" i="4"/>
  <c r="AO67" i="4"/>
  <c r="AO66" i="4"/>
  <c r="AO65" i="4"/>
  <c r="AO64" i="4"/>
  <c r="AO63" i="4"/>
  <c r="AO62" i="4"/>
  <c r="H61" i="4"/>
  <c r="J61" i="4" s="1"/>
  <c r="AZ61" i="4"/>
  <c r="BB61" i="4" s="1"/>
  <c r="AC60" i="4"/>
  <c r="AA60" i="4"/>
  <c r="H59" i="4"/>
  <c r="J59" i="4" s="1"/>
  <c r="AZ59" i="4"/>
  <c r="BB59" i="4" s="1"/>
  <c r="AC58" i="4"/>
  <c r="AA58" i="4"/>
  <c r="BD53" i="4"/>
  <c r="I42" i="4"/>
  <c r="H42" i="4"/>
  <c r="J42" i="4" s="1"/>
  <c r="AZ42" i="4"/>
  <c r="BB42" i="4" s="1"/>
  <c r="BF42" i="4"/>
  <c r="BH42" i="4"/>
  <c r="I38" i="4"/>
  <c r="AO38" i="4"/>
  <c r="BH38" i="4"/>
  <c r="H38" i="4"/>
  <c r="J38" i="4" s="1"/>
  <c r="BF38" i="4"/>
  <c r="AZ38" i="4"/>
  <c r="BB38" i="4" s="1"/>
  <c r="AB36" i="4"/>
  <c r="AC36" i="4"/>
  <c r="AA36" i="4"/>
  <c r="AC61" i="4"/>
  <c r="AA61" i="4"/>
  <c r="AB74" i="4"/>
  <c r="BH73" i="4"/>
  <c r="AB73" i="4"/>
  <c r="BH72" i="4"/>
  <c r="AB72" i="4"/>
  <c r="BH71" i="4"/>
  <c r="AB71" i="4"/>
  <c r="BH70" i="4"/>
  <c r="AB70" i="4"/>
  <c r="BH69" i="4"/>
  <c r="AB69" i="4"/>
  <c r="BH68" i="4"/>
  <c r="AB68" i="4"/>
  <c r="BH67" i="4"/>
  <c r="AB67" i="4"/>
  <c r="BH66" i="4"/>
  <c r="AB66" i="4"/>
  <c r="BH65" i="4"/>
  <c r="AB65" i="4"/>
  <c r="BH64" i="4"/>
  <c r="AB64" i="4"/>
  <c r="BH63" i="4"/>
  <c r="AB63" i="4"/>
  <c r="BH62" i="4"/>
  <c r="AB62" i="4"/>
  <c r="BF61" i="4"/>
  <c r="BH60" i="4"/>
  <c r="BF59" i="4"/>
  <c r="AB59" i="4"/>
  <c r="BH58" i="4"/>
  <c r="AZ56" i="4"/>
  <c r="BB56" i="4" s="1"/>
  <c r="BF56" i="4"/>
  <c r="H56" i="4"/>
  <c r="J56" i="4" s="1"/>
  <c r="BH56" i="4"/>
  <c r="BD55" i="4"/>
  <c r="O55" i="4" s="1"/>
  <c r="BD51" i="4"/>
  <c r="AA49" i="4"/>
  <c r="AB49" i="4"/>
  <c r="AC49" i="4"/>
  <c r="BD45" i="4"/>
  <c r="BD44" i="4"/>
  <c r="AA40" i="4"/>
  <c r="AB40" i="4"/>
  <c r="AC40" i="4"/>
  <c r="BD36" i="4"/>
  <c r="BF50" i="4"/>
  <c r="H50" i="4"/>
  <c r="J50" i="4" s="1"/>
  <c r="AZ47" i="4"/>
  <c r="BB47" i="4" s="1"/>
  <c r="I47" i="4"/>
  <c r="AA46" i="4"/>
  <c r="AB44" i="4"/>
  <c r="AA43" i="4"/>
  <c r="AB39" i="4"/>
  <c r="AC39" i="4"/>
  <c r="AB31" i="4"/>
  <c r="AC31" i="4"/>
  <c r="H31" i="4"/>
  <c r="J31" i="4" s="1"/>
  <c r="BF31" i="4"/>
  <c r="I31" i="4"/>
  <c r="AO31" i="4"/>
  <c r="AZ31" i="4"/>
  <c r="BB31" i="4" s="1"/>
  <c r="BH31" i="4"/>
  <c r="AA37" i="4"/>
  <c r="AC37" i="4"/>
  <c r="AA32" i="4"/>
  <c r="AB32" i="4"/>
  <c r="AA10" i="4"/>
  <c r="AB10" i="4"/>
  <c r="AC10" i="4"/>
  <c r="BH54" i="4"/>
  <c r="BH53" i="4"/>
  <c r="BH50" i="4"/>
  <c r="AC47" i="4"/>
  <c r="I46" i="4"/>
  <c r="AO45" i="4"/>
  <c r="BH45" i="4"/>
  <c r="H43" i="4"/>
  <c r="J43" i="4" s="1"/>
  <c r="BF43" i="4"/>
  <c r="I30" i="4"/>
  <c r="AO30" i="4"/>
  <c r="BH30" i="4"/>
  <c r="BF30" i="4"/>
  <c r="AZ30" i="4"/>
  <c r="BB30" i="4" s="1"/>
  <c r="AB23" i="4"/>
  <c r="AC23" i="4"/>
  <c r="AA23" i="4"/>
  <c r="BG20" i="4"/>
  <c r="H27" i="4"/>
  <c r="J27" i="4" s="1"/>
  <c r="BF27" i="4"/>
  <c r="I27" i="4"/>
  <c r="BG11" i="4"/>
  <c r="BD7" i="4"/>
  <c r="H36" i="4"/>
  <c r="J36" i="4" s="1"/>
  <c r="BF36" i="4"/>
  <c r="AA28" i="4"/>
  <c r="AB28" i="4"/>
  <c r="AB27" i="4"/>
  <c r="AC27" i="4"/>
  <c r="I26" i="4"/>
  <c r="AO26" i="4"/>
  <c r="BH26" i="4"/>
  <c r="AC22" i="4"/>
  <c r="AB22" i="4"/>
  <c r="BG21" i="4"/>
  <c r="AA20" i="4"/>
  <c r="AC20" i="4"/>
  <c r="AA14" i="4"/>
  <c r="AB14" i="4"/>
  <c r="AC14" i="4"/>
  <c r="BD11" i="4"/>
  <c r="L14" i="4"/>
  <c r="L19" i="4" s="1"/>
  <c r="L15" i="4"/>
  <c r="L16" i="4"/>
  <c r="BH41" i="4"/>
  <c r="I35" i="4"/>
  <c r="AO34" i="4"/>
  <c r="BH34" i="4"/>
  <c r="BH27" i="4"/>
  <c r="AZ27" i="4"/>
  <c r="BB27" i="4" s="1"/>
  <c r="AA24" i="4"/>
  <c r="AB24" i="4"/>
  <c r="BG19" i="4"/>
  <c r="AA19" i="4"/>
  <c r="AB19" i="4"/>
  <c r="AC19" i="4"/>
  <c r="BD18" i="4"/>
  <c r="H17" i="4"/>
  <c r="J17" i="4" s="1"/>
  <c r="I17" i="4"/>
  <c r="AO17" i="4"/>
  <c r="BH17" i="4"/>
  <c r="AZ17" i="4"/>
  <c r="BB17" i="4" s="1"/>
  <c r="BG15" i="4"/>
  <c r="AA6" i="4"/>
  <c r="AB6" i="4"/>
  <c r="AC6" i="4"/>
  <c r="BF32" i="4"/>
  <c r="BF28" i="4"/>
  <c r="BF24" i="4"/>
  <c r="I22" i="4"/>
  <c r="AO21" i="4"/>
  <c r="BH21" i="4"/>
  <c r="H18" i="4"/>
  <c r="J18" i="4" s="1"/>
  <c r="BF18" i="4"/>
  <c r="I18" i="4"/>
  <c r="H13" i="4"/>
  <c r="J13" i="4" s="1"/>
  <c r="BF13" i="4"/>
  <c r="I13" i="4"/>
  <c r="AO13" i="4"/>
  <c r="BH13" i="4"/>
  <c r="BG8" i="4"/>
  <c r="H9" i="4"/>
  <c r="J9" i="4" s="1"/>
  <c r="BF9" i="4"/>
  <c r="BG12" i="4"/>
  <c r="BG16" i="4"/>
  <c r="I9" i="4"/>
  <c r="BG9" i="4"/>
  <c r="BG13" i="4"/>
  <c r="BG17" i="4"/>
  <c r="AO9" i="4"/>
  <c r="BH9" i="4"/>
  <c r="BG10" i="4"/>
  <c r="BG14" i="4"/>
  <c r="BG18" i="4"/>
  <c r="BG22" i="4"/>
  <c r="AB18" i="4"/>
  <c r="AC18" i="4"/>
  <c r="BD15" i="4"/>
  <c r="BF19" i="4"/>
  <c r="BF15" i="4"/>
  <c r="AB15" i="4"/>
  <c r="I14" i="4"/>
  <c r="BF11" i="4"/>
  <c r="AB11" i="4"/>
  <c r="I10" i="4"/>
  <c r="BF7" i="4"/>
  <c r="AB7" i="4"/>
  <c r="I6" i="4"/>
  <c r="BF14" i="4"/>
  <c r="BF10" i="4"/>
  <c r="BD57" i="4" l="1"/>
  <c r="O57" i="4" s="1"/>
  <c r="Q57" i="4" s="1"/>
  <c r="L23" i="4"/>
  <c r="L22" i="4"/>
  <c r="L21" i="4"/>
  <c r="BD42" i="4"/>
  <c r="BD59" i="4"/>
  <c r="BD67" i="4"/>
  <c r="BD71" i="4"/>
  <c r="BD75" i="4"/>
  <c r="BD58" i="4"/>
  <c r="BD30" i="4"/>
  <c r="BD17" i="4"/>
  <c r="L24" i="4"/>
  <c r="L20" i="4"/>
  <c r="L26" i="4"/>
  <c r="BD47" i="4"/>
  <c r="BD62" i="4"/>
  <c r="BD69" i="4"/>
  <c r="BD73" i="4"/>
  <c r="BD77" i="4"/>
  <c r="Q55" i="4"/>
  <c r="BD39" i="4"/>
  <c r="BD27" i="4"/>
  <c r="L25" i="4"/>
  <c r="BD31" i="4"/>
  <c r="BD56" i="4"/>
  <c r="BE56" i="4"/>
  <c r="BD38" i="4"/>
  <c r="BD61" i="4"/>
  <c r="BD66" i="4"/>
  <c r="BD60" i="4"/>
  <c r="D17" i="3"/>
  <c r="D8" i="17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R6" i="8"/>
  <c r="R7" i="8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7" i="19"/>
  <c r="F6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H6" i="18"/>
  <c r="G7" i="18" s="1"/>
  <c r="H7" i="18" s="1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R6" i="6"/>
  <c r="R7" i="6"/>
  <c r="R8" i="6"/>
  <c r="R9" i="6"/>
  <c r="R10" i="6"/>
  <c r="T10" i="6" s="1"/>
  <c r="R11" i="6"/>
  <c r="T11" i="6" s="1"/>
  <c r="R12" i="6"/>
  <c r="R13" i="6"/>
  <c r="R14" i="6"/>
  <c r="T14" i="6" s="1"/>
  <c r="R15" i="6"/>
  <c r="R16" i="6"/>
  <c r="R17" i="6"/>
  <c r="R18" i="6"/>
  <c r="T18" i="6" s="1"/>
  <c r="R19" i="6"/>
  <c r="T19" i="6" s="1"/>
  <c r="R20" i="6"/>
  <c r="R21" i="6"/>
  <c r="R22" i="6"/>
  <c r="T22" i="6" s="1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6" i="17"/>
  <c r="D7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L28" i="4" l="1"/>
  <c r="O56" i="4"/>
  <c r="Q56" i="4" s="1"/>
  <c r="L31" i="4"/>
  <c r="L30" i="4"/>
  <c r="L29" i="4"/>
  <c r="L27" i="4"/>
  <c r="L33" i="4"/>
  <c r="J8" i="22"/>
  <c r="H15" i="22"/>
  <c r="H11" i="22"/>
  <c r="H7" i="22"/>
  <c r="J15" i="22"/>
  <c r="J11" i="22"/>
  <c r="J7" i="22"/>
  <c r="H18" i="22"/>
  <c r="H14" i="22"/>
  <c r="H10" i="22"/>
  <c r="J18" i="22"/>
  <c r="J14" i="22"/>
  <c r="J10" i="22"/>
  <c r="H17" i="22"/>
  <c r="H13" i="22"/>
  <c r="H9" i="22"/>
  <c r="J17" i="22"/>
  <c r="J13" i="22"/>
  <c r="J9" i="22"/>
  <c r="H16" i="22"/>
  <c r="H12" i="22"/>
  <c r="H8" i="22"/>
  <c r="J16" i="22"/>
  <c r="J12" i="22"/>
  <c r="I9" i="8"/>
  <c r="Y11" i="6"/>
  <c r="I16" i="8"/>
  <c r="I12" i="8"/>
  <c r="I8" i="8"/>
  <c r="I15" i="8"/>
  <c r="I11" i="8"/>
  <c r="I7" i="8"/>
  <c r="Y10" i="6"/>
  <c r="I18" i="8"/>
  <c r="I14" i="8"/>
  <c r="I10" i="8"/>
  <c r="I6" i="8"/>
  <c r="I17" i="8"/>
  <c r="I13" i="8"/>
  <c r="G8" i="18"/>
  <c r="H8" i="18" s="1"/>
  <c r="G9" i="18" s="1"/>
  <c r="H9" i="18" s="1"/>
  <c r="G10" i="18" s="1"/>
  <c r="H10" i="18" s="1"/>
  <c r="G11" i="18" s="1"/>
  <c r="H11" i="18" s="1"/>
  <c r="G12" i="18" s="1"/>
  <c r="H12" i="18" s="1"/>
  <c r="G13" i="18" s="1"/>
  <c r="H13" i="18" s="1"/>
  <c r="G14" i="18" s="1"/>
  <c r="H14" i="18" s="1"/>
  <c r="G15" i="18" s="1"/>
  <c r="H15" i="18" s="1"/>
  <c r="G16" i="18" s="1"/>
  <c r="H16" i="18" s="1"/>
  <c r="G17" i="18" s="1"/>
  <c r="H17" i="18" s="1"/>
  <c r="G18" i="18" s="1"/>
  <c r="H18" i="18" s="1"/>
  <c r="G19" i="18" s="1"/>
  <c r="H19" i="18" s="1"/>
  <c r="G20" i="18" s="1"/>
  <c r="H20" i="18" s="1"/>
  <c r="G21" i="18" s="1"/>
  <c r="H21" i="18" s="1"/>
  <c r="G22" i="18" s="1"/>
  <c r="H22" i="18" s="1"/>
  <c r="G23" i="18" s="1"/>
  <c r="H23" i="18" s="1"/>
  <c r="G24" i="18" s="1"/>
  <c r="H24" i="18" s="1"/>
  <c r="G25" i="18" s="1"/>
  <c r="H25" i="18" s="1"/>
  <c r="G26" i="18" s="1"/>
  <c r="H26" i="18" s="1"/>
  <c r="G27" i="18" s="1"/>
  <c r="H27" i="18" s="1"/>
  <c r="G28" i="18" s="1"/>
  <c r="H28" i="18" s="1"/>
  <c r="G29" i="18" s="1"/>
  <c r="H29" i="18" s="1"/>
  <c r="G30" i="18" s="1"/>
  <c r="H30" i="18" s="1"/>
  <c r="G31" i="18" s="1"/>
  <c r="H31" i="18" s="1"/>
  <c r="G32" i="18" s="1"/>
  <c r="H32" i="18" s="1"/>
  <c r="G33" i="18" s="1"/>
  <c r="H33" i="18" s="1"/>
  <c r="G34" i="18" s="1"/>
  <c r="H34" i="18" s="1"/>
  <c r="G35" i="18" s="1"/>
  <c r="H35" i="18" s="1"/>
  <c r="G36" i="18" s="1"/>
  <c r="H36" i="18" s="1"/>
  <c r="G37" i="18" s="1"/>
  <c r="H37" i="18" s="1"/>
  <c r="G38" i="18" s="1"/>
  <c r="H38" i="18" s="1"/>
  <c r="G39" i="18" s="1"/>
  <c r="H39" i="18" s="1"/>
  <c r="G40" i="18" s="1"/>
  <c r="H40" i="18" s="1"/>
  <c r="G41" i="18" s="1"/>
  <c r="H41" i="18" s="1"/>
  <c r="G42" i="18" s="1"/>
  <c r="H42" i="18" s="1"/>
  <c r="G43" i="18" s="1"/>
  <c r="H43" i="18" s="1"/>
  <c r="G44" i="18" s="1"/>
  <c r="H44" i="18" s="1"/>
  <c r="G45" i="18" s="1"/>
  <c r="H45" i="18" s="1"/>
  <c r="G46" i="18" s="1"/>
  <c r="H46" i="18" s="1"/>
  <c r="G47" i="18" s="1"/>
  <c r="H47" i="18" s="1"/>
  <c r="G48" i="18" s="1"/>
  <c r="H48" i="18" s="1"/>
  <c r="G49" i="18" s="1"/>
  <c r="H49" i="18" s="1"/>
  <c r="G50" i="18" s="1"/>
  <c r="H50" i="18" s="1"/>
  <c r="G51" i="18" s="1"/>
  <c r="H51" i="18" s="1"/>
  <c r="G52" i="18" s="1"/>
  <c r="H52" i="18" s="1"/>
  <c r="Y19" i="6"/>
  <c r="Y22" i="6"/>
  <c r="Y18" i="6"/>
  <c r="Y14" i="6"/>
  <c r="T15" i="6"/>
  <c r="Y15" i="6" s="1"/>
  <c r="T21" i="6"/>
  <c r="Y21" i="6" s="1"/>
  <c r="T17" i="6"/>
  <c r="Y17" i="6" s="1"/>
  <c r="T13" i="6"/>
  <c r="Y13" i="6" s="1"/>
  <c r="T9" i="6"/>
  <c r="Y9" i="6" s="1"/>
  <c r="T20" i="6"/>
  <c r="Y20" i="6" s="1"/>
  <c r="T16" i="6"/>
  <c r="Y16" i="6" s="1"/>
  <c r="T12" i="6"/>
  <c r="Y12" i="6" s="1"/>
  <c r="T8" i="6"/>
  <c r="Y8" i="6" s="1"/>
  <c r="T6" i="6"/>
  <c r="Y6" i="6" s="1"/>
  <c r="T7" i="6"/>
  <c r="Y7" i="6" s="1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6" i="13"/>
  <c r="G6" i="13" s="1"/>
  <c r="D7" i="13"/>
  <c r="G7" i="13" s="1"/>
  <c r="D8" i="13"/>
  <c r="G8" i="13" s="1"/>
  <c r="D9" i="13"/>
  <c r="G9" i="13" s="1"/>
  <c r="D10" i="13"/>
  <c r="G10" i="13" s="1"/>
  <c r="D11" i="13"/>
  <c r="G11" i="13" s="1"/>
  <c r="D12" i="13"/>
  <c r="G12" i="13" s="1"/>
  <c r="D13" i="13"/>
  <c r="G13" i="13" s="1"/>
  <c r="D14" i="13"/>
  <c r="G14" i="13" s="1"/>
  <c r="D15" i="13"/>
  <c r="G15" i="13" s="1"/>
  <c r="D16" i="13"/>
  <c r="G16" i="13" s="1"/>
  <c r="D17" i="13"/>
  <c r="G17" i="13" s="1"/>
  <c r="D18" i="13"/>
  <c r="G18" i="13" s="1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16" i="3"/>
  <c r="D6" i="3"/>
  <c r="D8" i="3"/>
  <c r="D9" i="3"/>
  <c r="D10" i="3"/>
  <c r="D11" i="3"/>
  <c r="D12" i="3"/>
  <c r="D13" i="3"/>
  <c r="D14" i="3"/>
  <c r="D15" i="3"/>
  <c r="D6" i="2"/>
  <c r="D7" i="2"/>
  <c r="D8" i="2"/>
  <c r="D9" i="2"/>
  <c r="D10" i="2"/>
  <c r="D11" i="2"/>
  <c r="D12" i="2"/>
  <c r="C6" i="9"/>
  <c r="C3" i="9"/>
  <c r="C12" i="9"/>
  <c r="C9" i="9"/>
  <c r="L34" i="4" l="1"/>
  <c r="L35" i="4"/>
  <c r="L40" i="4" s="1"/>
  <c r="L32" i="4"/>
  <c r="L36" i="4"/>
  <c r="M25" i="17"/>
  <c r="M21" i="17"/>
  <c r="M8" i="17"/>
  <c r="M14" i="17"/>
  <c r="M19" i="17"/>
  <c r="M24" i="17"/>
  <c r="M29" i="17"/>
  <c r="M33" i="17"/>
  <c r="M37" i="17"/>
  <c r="M41" i="17"/>
  <c r="M45" i="17"/>
  <c r="M49" i="17"/>
  <c r="L6" i="17"/>
  <c r="L10" i="17"/>
  <c r="L14" i="17"/>
  <c r="L18" i="17"/>
  <c r="L22" i="17"/>
  <c r="L26" i="17"/>
  <c r="L30" i="17"/>
  <c r="L34" i="17"/>
  <c r="L38" i="17"/>
  <c r="L42" i="17"/>
  <c r="L46" i="17"/>
  <c r="L50" i="17"/>
  <c r="M10" i="17"/>
  <c r="M15" i="17"/>
  <c r="M20" i="17"/>
  <c r="M26" i="17"/>
  <c r="M30" i="17"/>
  <c r="M34" i="17"/>
  <c r="M38" i="17"/>
  <c r="M42" i="17"/>
  <c r="M46" i="17"/>
  <c r="M50" i="17"/>
  <c r="L7" i="17"/>
  <c r="L11" i="17"/>
  <c r="L15" i="17"/>
  <c r="L19" i="17"/>
  <c r="L23" i="17"/>
  <c r="L27" i="17"/>
  <c r="L31" i="17"/>
  <c r="L35" i="17"/>
  <c r="L39" i="17"/>
  <c r="L43" i="17"/>
  <c r="L47" i="17"/>
  <c r="L51" i="17"/>
  <c r="M6" i="17"/>
  <c r="M11" i="17"/>
  <c r="M16" i="17"/>
  <c r="M22" i="17"/>
  <c r="M27" i="17"/>
  <c r="M31" i="17"/>
  <c r="M35" i="17"/>
  <c r="M39" i="17"/>
  <c r="M43" i="17"/>
  <c r="M47" i="17"/>
  <c r="M51" i="17"/>
  <c r="L8" i="17"/>
  <c r="L12" i="17"/>
  <c r="L16" i="17"/>
  <c r="L20" i="17"/>
  <c r="L24" i="17"/>
  <c r="L28" i="17"/>
  <c r="L32" i="17"/>
  <c r="L36" i="17"/>
  <c r="L40" i="17"/>
  <c r="L44" i="17"/>
  <c r="L48" i="17"/>
  <c r="L52" i="17"/>
  <c r="M7" i="17"/>
  <c r="M12" i="17"/>
  <c r="M18" i="17"/>
  <c r="M23" i="17"/>
  <c r="M28" i="17"/>
  <c r="M32" i="17"/>
  <c r="M36" i="17"/>
  <c r="M40" i="17"/>
  <c r="M44" i="17"/>
  <c r="M48" i="17"/>
  <c r="M52" i="17"/>
  <c r="L9" i="17"/>
  <c r="L13" i="17"/>
  <c r="L17" i="17"/>
  <c r="L21" i="17"/>
  <c r="L25" i="17"/>
  <c r="L29" i="17"/>
  <c r="L33" i="17"/>
  <c r="L37" i="17"/>
  <c r="L41" i="17"/>
  <c r="L45" i="17"/>
  <c r="L49" i="17"/>
  <c r="M13" i="17"/>
  <c r="M9" i="17"/>
  <c r="M17" i="17"/>
  <c r="AA6" i="8"/>
  <c r="AA10" i="8"/>
  <c r="AA14" i="8"/>
  <c r="AA18" i="8"/>
  <c r="AA7" i="8"/>
  <c r="AA11" i="8"/>
  <c r="AA15" i="8"/>
  <c r="AA8" i="8"/>
  <c r="AA12" i="8"/>
  <c r="AA16" i="8"/>
  <c r="AA9" i="8"/>
  <c r="AA13" i="8"/>
  <c r="AA17" i="8"/>
  <c r="F8" i="20"/>
  <c r="F12" i="20"/>
  <c r="F16" i="20"/>
  <c r="F20" i="20"/>
  <c r="F24" i="20"/>
  <c r="F28" i="20"/>
  <c r="F32" i="20"/>
  <c r="F36" i="20"/>
  <c r="F40" i="20"/>
  <c r="F44" i="20"/>
  <c r="F48" i="20"/>
  <c r="F52" i="20"/>
  <c r="F6" i="20"/>
  <c r="F14" i="20"/>
  <c r="F18" i="20"/>
  <c r="F22" i="20"/>
  <c r="F26" i="20"/>
  <c r="F30" i="20"/>
  <c r="F38" i="20"/>
  <c r="F42" i="20"/>
  <c r="F11" i="20"/>
  <c r="F23" i="20"/>
  <c r="F31" i="20"/>
  <c r="F39" i="20"/>
  <c r="F47" i="20"/>
  <c r="F9" i="20"/>
  <c r="F13" i="20"/>
  <c r="F17" i="20"/>
  <c r="F21" i="20"/>
  <c r="F25" i="20"/>
  <c r="F29" i="20"/>
  <c r="F33" i="20"/>
  <c r="F37" i="20"/>
  <c r="F41" i="20"/>
  <c r="F45" i="20"/>
  <c r="F49" i="20"/>
  <c r="F10" i="20"/>
  <c r="F34" i="20"/>
  <c r="F46" i="20"/>
  <c r="F50" i="20"/>
  <c r="F7" i="20"/>
  <c r="F15" i="20"/>
  <c r="F19" i="20"/>
  <c r="F27" i="20"/>
  <c r="F35" i="20"/>
  <c r="F43" i="20"/>
  <c r="F51" i="20"/>
  <c r="F8" i="8"/>
  <c r="F12" i="8"/>
  <c r="F16" i="8"/>
  <c r="F9" i="8"/>
  <c r="F13" i="8"/>
  <c r="F17" i="8"/>
  <c r="F6" i="8"/>
  <c r="F10" i="8"/>
  <c r="F14" i="8"/>
  <c r="F18" i="8"/>
  <c r="F7" i="8"/>
  <c r="F11" i="8"/>
  <c r="F15" i="8"/>
  <c r="J20" i="6"/>
  <c r="J14" i="6"/>
  <c r="R14" i="8" s="1"/>
  <c r="AB8" i="6"/>
  <c r="AB9" i="6"/>
  <c r="AB13" i="6"/>
  <c r="AB17" i="6"/>
  <c r="AB21" i="6"/>
  <c r="AA8" i="6"/>
  <c r="AA12" i="6"/>
  <c r="AA16" i="6"/>
  <c r="AA20" i="6"/>
  <c r="Z7" i="6"/>
  <c r="Z11" i="6"/>
  <c r="Z15" i="6"/>
  <c r="Z19" i="6"/>
  <c r="AB6" i="6"/>
  <c r="AB10" i="6"/>
  <c r="AB14" i="6"/>
  <c r="AB18" i="6"/>
  <c r="AB22" i="6"/>
  <c r="AA9" i="6"/>
  <c r="AA13" i="6"/>
  <c r="AA17" i="6"/>
  <c r="AA21" i="6"/>
  <c r="Z8" i="6"/>
  <c r="Z12" i="6"/>
  <c r="Z16" i="6"/>
  <c r="Z20" i="6"/>
  <c r="AB7" i="6"/>
  <c r="AB11" i="6"/>
  <c r="AB15" i="6"/>
  <c r="AB19" i="6"/>
  <c r="AA6" i="6"/>
  <c r="AA10" i="6"/>
  <c r="AA14" i="6"/>
  <c r="AA18" i="6"/>
  <c r="AA22" i="6"/>
  <c r="Z9" i="6"/>
  <c r="Z13" i="6"/>
  <c r="Z17" i="6"/>
  <c r="Z21" i="6"/>
  <c r="AB12" i="6"/>
  <c r="AB16" i="6"/>
  <c r="AB20" i="6"/>
  <c r="AA7" i="6"/>
  <c r="AA11" i="6"/>
  <c r="AA15" i="6"/>
  <c r="AA19" i="6"/>
  <c r="Z6" i="6"/>
  <c r="Z10" i="6"/>
  <c r="Z14" i="6"/>
  <c r="Z18" i="6"/>
  <c r="Z22" i="6"/>
  <c r="J11" i="6"/>
  <c r="R11" i="8" s="1"/>
  <c r="J10" i="6"/>
  <c r="R10" i="8" s="1"/>
  <c r="J12" i="6"/>
  <c r="R12" i="8" s="1"/>
  <c r="J22" i="6"/>
  <c r="J18" i="6"/>
  <c r="R18" i="8" s="1"/>
  <c r="J9" i="6"/>
  <c r="R9" i="8" s="1"/>
  <c r="J13" i="6"/>
  <c r="R13" i="8" s="1"/>
  <c r="J21" i="6"/>
  <c r="J17" i="6"/>
  <c r="R17" i="8" s="1"/>
  <c r="J16" i="6"/>
  <c r="R16" i="8" s="1"/>
  <c r="J19" i="6"/>
  <c r="J8" i="6"/>
  <c r="J15" i="6"/>
  <c r="R15" i="8" s="1"/>
  <c r="L41" i="4" l="1"/>
  <c r="L37" i="4"/>
  <c r="L42" i="4" s="1"/>
  <c r="L38" i="4"/>
  <c r="L43" i="4"/>
  <c r="L39" i="4"/>
  <c r="BI6" i="4"/>
  <c r="N8" i="4"/>
  <c r="BI10" i="4"/>
  <c r="N12" i="4"/>
  <c r="BI14" i="4"/>
  <c r="N16" i="4"/>
  <c r="BA6" i="4"/>
  <c r="BE6" i="4" s="1"/>
  <c r="O6" i="4" s="1"/>
  <c r="BI7" i="4"/>
  <c r="BI11" i="4"/>
  <c r="BI15" i="4"/>
  <c r="BG6" i="4"/>
  <c r="BI8" i="4"/>
  <c r="BI12" i="4"/>
  <c r="BI16" i="4"/>
  <c r="BI20" i="4"/>
  <c r="N7" i="4"/>
  <c r="N11" i="4"/>
  <c r="N19" i="4"/>
  <c r="BI19" i="4"/>
  <c r="BI21" i="4"/>
  <c r="BI22" i="4"/>
  <c r="BA23" i="4"/>
  <c r="BE23" i="4" s="1"/>
  <c r="O23" i="4" s="1"/>
  <c r="BI24" i="4"/>
  <c r="BI28" i="4"/>
  <c r="BA8" i="4"/>
  <c r="BE8" i="4" s="1"/>
  <c r="O8" i="4" s="1"/>
  <c r="BA12" i="4"/>
  <c r="BE12" i="4" s="1"/>
  <c r="O12" i="4" s="1"/>
  <c r="BI25" i="4"/>
  <c r="BI29" i="4"/>
  <c r="BI33" i="4"/>
  <c r="BA16" i="4"/>
  <c r="BE16" i="4" s="1"/>
  <c r="O16" i="4" s="1"/>
  <c r="N23" i="4"/>
  <c r="BI23" i="4"/>
  <c r="N25" i="4"/>
  <c r="BA25" i="4"/>
  <c r="BE25" i="4" s="1"/>
  <c r="O25" i="4" s="1"/>
  <c r="BI35" i="4"/>
  <c r="BI40" i="4"/>
  <c r="BI44" i="4"/>
  <c r="N15" i="4"/>
  <c r="BA20" i="4"/>
  <c r="BE20" i="4" s="1"/>
  <c r="O20" i="4" s="1"/>
  <c r="BA22" i="4"/>
  <c r="BE22" i="4" s="1"/>
  <c r="O22" i="4" s="1"/>
  <c r="N24" i="4"/>
  <c r="BA26" i="4"/>
  <c r="BE26" i="4" s="1"/>
  <c r="O26" i="4" s="1"/>
  <c r="BI26" i="4"/>
  <c r="N29" i="4"/>
  <c r="BA29" i="4"/>
  <c r="BE29" i="4" s="1"/>
  <c r="O29" i="4" s="1"/>
  <c r="N33" i="4"/>
  <c r="N34" i="4"/>
  <c r="BI37" i="4"/>
  <c r="BA40" i="4"/>
  <c r="BE40" i="4" s="1"/>
  <c r="O40" i="4" s="1"/>
  <c r="BI18" i="4"/>
  <c r="N20" i="4"/>
  <c r="N36" i="4"/>
  <c r="N40" i="4"/>
  <c r="N41" i="4"/>
  <c r="BI46" i="4"/>
  <c r="BI49" i="4"/>
  <c r="BI53" i="4"/>
  <c r="BI30" i="4"/>
  <c r="BI32" i="4"/>
  <c r="BA34" i="4"/>
  <c r="BE34" i="4" s="1"/>
  <c r="O34" i="4" s="1"/>
  <c r="BI34" i="4"/>
  <c r="BA37" i="4"/>
  <c r="BE37" i="4" s="1"/>
  <c r="O37" i="4" s="1"/>
  <c r="BA41" i="4"/>
  <c r="BE41" i="4" s="1"/>
  <c r="O41" i="4" s="1"/>
  <c r="N43" i="4"/>
  <c r="N44" i="4"/>
  <c r="N45" i="4"/>
  <c r="BA49" i="4"/>
  <c r="BE49" i="4" s="1"/>
  <c r="O49" i="4" s="1"/>
  <c r="BI50" i="4"/>
  <c r="BI51" i="4"/>
  <c r="BI52" i="4"/>
  <c r="BA21" i="4"/>
  <c r="BE21" i="4" s="1"/>
  <c r="O21" i="4" s="1"/>
  <c r="N28" i="4"/>
  <c r="BA30" i="4"/>
  <c r="BE30" i="4" s="1"/>
  <c r="O30" i="4" s="1"/>
  <c r="N37" i="4"/>
  <c r="BI41" i="4"/>
  <c r="BA44" i="4"/>
  <c r="BE44" i="4" s="1"/>
  <c r="O44" i="4" s="1"/>
  <c r="BA45" i="4"/>
  <c r="BE45" i="4" s="1"/>
  <c r="O45" i="4" s="1"/>
  <c r="BA46" i="4"/>
  <c r="BE46" i="4" s="1"/>
  <c r="O46" i="4" s="1"/>
  <c r="BA51" i="4"/>
  <c r="BE51" i="4" s="1"/>
  <c r="O51" i="4" s="1"/>
  <c r="BA52" i="4"/>
  <c r="BE52" i="4" s="1"/>
  <c r="O52" i="4" s="1"/>
  <c r="BA53" i="4"/>
  <c r="BE53" i="4" s="1"/>
  <c r="O53" i="4" s="1"/>
  <c r="BA54" i="4"/>
  <c r="BE54" i="4" s="1"/>
  <c r="O54" i="4" s="1"/>
  <c r="BI57" i="4"/>
  <c r="BI31" i="4"/>
  <c r="N32" i="4"/>
  <c r="BA35" i="4"/>
  <c r="BE35" i="4" s="1"/>
  <c r="O35" i="4" s="1"/>
  <c r="BI43" i="4"/>
  <c r="N55" i="4"/>
  <c r="P55" i="4" s="1"/>
  <c r="BI56" i="4"/>
  <c r="BE63" i="4"/>
  <c r="O63" i="4" s="1"/>
  <c r="BE66" i="4"/>
  <c r="O66" i="4" s="1"/>
  <c r="BE69" i="4"/>
  <c r="O69" i="4" s="1"/>
  <c r="BE72" i="4"/>
  <c r="O72" i="4" s="1"/>
  <c r="BE76" i="4"/>
  <c r="O76" i="4" s="1"/>
  <c r="N21" i="4"/>
  <c r="N51" i="4"/>
  <c r="N57" i="4"/>
  <c r="P57" i="4" s="1"/>
  <c r="BG7" i="4"/>
  <c r="N54" i="4"/>
  <c r="BE64" i="4"/>
  <c r="O64" i="4" s="1"/>
  <c r="BE67" i="4"/>
  <c r="O67" i="4" s="1"/>
  <c r="BE71" i="4"/>
  <c r="O71" i="4" s="1"/>
  <c r="BE74" i="4"/>
  <c r="O74" i="4" s="1"/>
  <c r="BE77" i="4"/>
  <c r="O77" i="4" s="1"/>
  <c r="BA33" i="4"/>
  <c r="BE33" i="4" s="1"/>
  <c r="O33" i="4" s="1"/>
  <c r="BI42" i="4"/>
  <c r="BA47" i="4"/>
  <c r="BE47" i="4" s="1"/>
  <c r="O47" i="4" s="1"/>
  <c r="N50" i="4"/>
  <c r="N53" i="4"/>
  <c r="BE59" i="4"/>
  <c r="O59" i="4" s="1"/>
  <c r="BE61" i="4"/>
  <c r="O61" i="4" s="1"/>
  <c r="BI45" i="4"/>
  <c r="N52" i="4"/>
  <c r="BI54" i="4"/>
  <c r="BE65" i="4"/>
  <c r="O65" i="4" s="1"/>
  <c r="BE68" i="4"/>
  <c r="O68" i="4" s="1"/>
  <c r="BE70" i="4"/>
  <c r="O70" i="4" s="1"/>
  <c r="BE73" i="4"/>
  <c r="O73" i="4" s="1"/>
  <c r="BE75" i="4"/>
  <c r="O75" i="4" s="1"/>
  <c r="BE78" i="4"/>
  <c r="O78" i="4" s="1"/>
  <c r="N77" i="4"/>
  <c r="N69" i="4"/>
  <c r="BI58" i="4"/>
  <c r="BI62" i="4"/>
  <c r="N42" i="4"/>
  <c r="BA42" i="4"/>
  <c r="BE42" i="4" s="1"/>
  <c r="O42" i="4" s="1"/>
  <c r="BI47" i="4"/>
  <c r="BA36" i="4"/>
  <c r="BE36" i="4" s="1"/>
  <c r="O36" i="4" s="1"/>
  <c r="N35" i="4"/>
  <c r="BA17" i="4"/>
  <c r="BE17" i="4" s="1"/>
  <c r="O17" i="4" s="1"/>
  <c r="BA13" i="4"/>
  <c r="BE13" i="4" s="1"/>
  <c r="O13" i="4" s="1"/>
  <c r="BA10" i="4"/>
  <c r="BE10" i="4" s="1"/>
  <c r="O10" i="4" s="1"/>
  <c r="N9" i="4"/>
  <c r="BA14" i="4"/>
  <c r="BE14" i="4" s="1"/>
  <c r="O14" i="4" s="1"/>
  <c r="N60" i="4"/>
  <c r="N75" i="4"/>
  <c r="N67" i="4"/>
  <c r="N63" i="4"/>
  <c r="BI77" i="4"/>
  <c r="BI73" i="4"/>
  <c r="BI69" i="4"/>
  <c r="BI65" i="4"/>
  <c r="N56" i="4"/>
  <c r="P56" i="4" s="1"/>
  <c r="BA31" i="4"/>
  <c r="BE31" i="4" s="1"/>
  <c r="O31" i="4" s="1"/>
  <c r="N22" i="4"/>
  <c r="N13" i="4"/>
  <c r="BI9" i="4"/>
  <c r="N6" i="4"/>
  <c r="N62" i="4"/>
  <c r="BI60" i="4"/>
  <c r="N71" i="4"/>
  <c r="N66" i="4"/>
  <c r="N64" i="4"/>
  <c r="N39" i="4"/>
  <c r="BI39" i="4"/>
  <c r="N78" i="4"/>
  <c r="N76" i="4"/>
  <c r="N74" i="4"/>
  <c r="N72" i="4"/>
  <c r="N70" i="4"/>
  <c r="N68" i="4"/>
  <c r="BI78" i="4"/>
  <c r="BI76" i="4"/>
  <c r="BI74" i="4"/>
  <c r="BI72" i="4"/>
  <c r="BI70" i="4"/>
  <c r="BI68" i="4"/>
  <c r="BI66" i="4"/>
  <c r="BI63" i="4"/>
  <c r="BI61" i="4"/>
  <c r="N59" i="4"/>
  <c r="BI48" i="4"/>
  <c r="BA38" i="4"/>
  <c r="BE38" i="4" s="1"/>
  <c r="O38" i="4" s="1"/>
  <c r="BE60" i="4"/>
  <c r="O60" i="4" s="1"/>
  <c r="BE58" i="4"/>
  <c r="O58" i="4" s="1"/>
  <c r="BA50" i="4"/>
  <c r="BE50" i="4" s="1"/>
  <c r="O50" i="4" s="1"/>
  <c r="N46" i="4"/>
  <c r="BA43" i="4"/>
  <c r="BE43" i="4" s="1"/>
  <c r="O43" i="4" s="1"/>
  <c r="N27" i="4"/>
  <c r="BI27" i="4"/>
  <c r="N26" i="4"/>
  <c r="BA32" i="4"/>
  <c r="BE32" i="4" s="1"/>
  <c r="O32" i="4" s="1"/>
  <c r="BA24" i="4"/>
  <c r="BE24" i="4" s="1"/>
  <c r="O24" i="4" s="1"/>
  <c r="BA9" i="4"/>
  <c r="BE9" i="4" s="1"/>
  <c r="O9" i="4" s="1"/>
  <c r="BA15" i="4"/>
  <c r="BE15" i="4" s="1"/>
  <c r="O15" i="4" s="1"/>
  <c r="N10" i="4"/>
  <c r="BA7" i="4"/>
  <c r="BE7" i="4" s="1"/>
  <c r="O7" i="4" s="1"/>
  <c r="N31" i="4"/>
  <c r="BI36" i="4"/>
  <c r="N17" i="4"/>
  <c r="N18" i="4"/>
  <c r="BI13" i="4"/>
  <c r="N65" i="4"/>
  <c r="BA48" i="4"/>
  <c r="BE48" i="4" s="1"/>
  <c r="O48" i="4" s="1"/>
  <c r="BI75" i="4"/>
  <c r="BI71" i="4"/>
  <c r="BI67" i="4"/>
  <c r="BI59" i="4"/>
  <c r="N38" i="4"/>
  <c r="BI55" i="4"/>
  <c r="BA18" i="4"/>
  <c r="BE18" i="4" s="1"/>
  <c r="O18" i="4" s="1"/>
  <c r="N14" i="4"/>
  <c r="N73" i="4"/>
  <c r="N48" i="4"/>
  <c r="BA39" i="4"/>
  <c r="BE39" i="4" s="1"/>
  <c r="O39" i="4" s="1"/>
  <c r="N58" i="4"/>
  <c r="BI64" i="4"/>
  <c r="BI38" i="4"/>
  <c r="BE62" i="4"/>
  <c r="O62" i="4" s="1"/>
  <c r="N47" i="4"/>
  <c r="N30" i="4"/>
  <c r="BA27" i="4"/>
  <c r="BE27" i="4" s="1"/>
  <c r="O27" i="4" s="1"/>
  <c r="BI17" i="4"/>
  <c r="BA19" i="4"/>
  <c r="BE19" i="4" s="1"/>
  <c r="O19" i="4" s="1"/>
  <c r="N61" i="4"/>
  <c r="N49" i="4"/>
  <c r="BA28" i="4"/>
  <c r="BE28" i="4" s="1"/>
  <c r="O28" i="4" s="1"/>
  <c r="BA11" i="4"/>
  <c r="BE11" i="4" s="1"/>
  <c r="O11" i="4" s="1"/>
  <c r="T6" i="8"/>
  <c r="Z6" i="8" s="1"/>
  <c r="T10" i="8"/>
  <c r="Z10" i="8" s="1"/>
  <c r="T14" i="8"/>
  <c r="Z14" i="8" s="1"/>
  <c r="T18" i="8"/>
  <c r="Z18" i="8" s="1"/>
  <c r="R8" i="8"/>
  <c r="T8" i="8"/>
  <c r="Z8" i="8" s="1"/>
  <c r="T16" i="8"/>
  <c r="Z16" i="8" s="1"/>
  <c r="T13" i="8"/>
  <c r="Z13" i="8" s="1"/>
  <c r="T7" i="8"/>
  <c r="Z7" i="8" s="1"/>
  <c r="T11" i="8"/>
  <c r="Z11" i="8" s="1"/>
  <c r="T15" i="8"/>
  <c r="Z15" i="8" s="1"/>
  <c r="T12" i="8"/>
  <c r="Z12" i="8" s="1"/>
  <c r="T9" i="8"/>
  <c r="Z9" i="8" s="1"/>
  <c r="T17" i="8"/>
  <c r="Z17" i="8" s="1"/>
  <c r="N9" i="8"/>
  <c r="M11" i="8"/>
  <c r="M6" i="8"/>
  <c r="M9" i="8"/>
  <c r="M10" i="8"/>
  <c r="M16" i="8"/>
  <c r="M7" i="8"/>
  <c r="M18" i="8"/>
  <c r="M17" i="8"/>
  <c r="M12" i="8"/>
  <c r="M15" i="8"/>
  <c r="M14" i="8"/>
  <c r="M13" i="8"/>
  <c r="M8" i="8"/>
  <c r="K6" i="8"/>
  <c r="K10" i="8"/>
  <c r="K14" i="8"/>
  <c r="K18" i="8"/>
  <c r="K7" i="8"/>
  <c r="K11" i="8"/>
  <c r="K15" i="8"/>
  <c r="K8" i="8"/>
  <c r="K12" i="8"/>
  <c r="K16" i="8"/>
  <c r="K9" i="8"/>
  <c r="K13" i="8"/>
  <c r="K17" i="8"/>
  <c r="I8" i="1" a="1"/>
  <c r="L44" i="4" l="1"/>
  <c r="L49" i="4" s="1"/>
  <c r="N14" i="8"/>
  <c r="N10" i="8"/>
  <c r="N16" i="8"/>
  <c r="N12" i="8"/>
  <c r="N8" i="8"/>
  <c r="N15" i="8"/>
  <c r="N11" i="8"/>
  <c r="N13" i="8"/>
  <c r="L47" i="4"/>
  <c r="L48" i="4"/>
  <c r="P7" i="4"/>
  <c r="Q7" i="4"/>
  <c r="P24" i="4"/>
  <c r="Q24" i="4"/>
  <c r="P58" i="4"/>
  <c r="Q58" i="4"/>
  <c r="Q31" i="4"/>
  <c r="P31" i="4"/>
  <c r="Q70" i="4"/>
  <c r="P70" i="4"/>
  <c r="Q71" i="4"/>
  <c r="P71" i="4"/>
  <c r="Q76" i="4"/>
  <c r="P76" i="4"/>
  <c r="Q63" i="4"/>
  <c r="P63" i="4"/>
  <c r="Q35" i="4"/>
  <c r="P35" i="4"/>
  <c r="Q54" i="4"/>
  <c r="P54" i="4"/>
  <c r="P46" i="4"/>
  <c r="Q46" i="4"/>
  <c r="P37" i="4"/>
  <c r="Q37" i="4"/>
  <c r="P26" i="4"/>
  <c r="Q26" i="4"/>
  <c r="P25" i="4"/>
  <c r="Q25" i="4"/>
  <c r="P16" i="4"/>
  <c r="Q16" i="4"/>
  <c r="P12" i="4"/>
  <c r="Q12" i="4"/>
  <c r="Q23" i="4"/>
  <c r="P23" i="4"/>
  <c r="P11" i="4"/>
  <c r="Q11" i="4"/>
  <c r="P19" i="4"/>
  <c r="Q19" i="4"/>
  <c r="Q48" i="4"/>
  <c r="P48" i="4"/>
  <c r="P32" i="4"/>
  <c r="Q32" i="4"/>
  <c r="Q43" i="4"/>
  <c r="P43" i="4"/>
  <c r="P60" i="4"/>
  <c r="Q60" i="4"/>
  <c r="P10" i="4"/>
  <c r="Q10" i="4"/>
  <c r="Q36" i="4"/>
  <c r="P36" i="4"/>
  <c r="Q78" i="4"/>
  <c r="P78" i="4"/>
  <c r="Q68" i="4"/>
  <c r="P68" i="4"/>
  <c r="P33" i="4"/>
  <c r="Q33" i="4"/>
  <c r="Q67" i="4"/>
  <c r="P67" i="4"/>
  <c r="Q72" i="4"/>
  <c r="P72" i="4"/>
  <c r="P53" i="4"/>
  <c r="Q53" i="4"/>
  <c r="P45" i="4"/>
  <c r="Q45" i="4"/>
  <c r="Q30" i="4"/>
  <c r="P30" i="4"/>
  <c r="P40" i="4"/>
  <c r="Q40" i="4"/>
  <c r="P29" i="4"/>
  <c r="Q29" i="4"/>
  <c r="P8" i="4"/>
  <c r="Q8" i="4"/>
  <c r="L45" i="4"/>
  <c r="P28" i="4"/>
  <c r="Q28" i="4"/>
  <c r="Q62" i="4"/>
  <c r="P62" i="4"/>
  <c r="Q39" i="4"/>
  <c r="P39" i="4"/>
  <c r="Q18" i="4"/>
  <c r="P18" i="4"/>
  <c r="P15" i="4"/>
  <c r="Q15" i="4"/>
  <c r="Q38" i="4"/>
  <c r="P38" i="4"/>
  <c r="Q13" i="4"/>
  <c r="P13" i="4"/>
  <c r="Q75" i="4"/>
  <c r="P75" i="4"/>
  <c r="Q65" i="4"/>
  <c r="P65" i="4"/>
  <c r="P61" i="4"/>
  <c r="Q61" i="4"/>
  <c r="Q77" i="4"/>
  <c r="P77" i="4"/>
  <c r="Q64" i="4"/>
  <c r="P64" i="4"/>
  <c r="Q69" i="4"/>
  <c r="P69" i="4"/>
  <c r="P52" i="4"/>
  <c r="Q52" i="4"/>
  <c r="P44" i="4"/>
  <c r="Q44" i="4"/>
  <c r="P34" i="4"/>
  <c r="Q34" i="4"/>
  <c r="Q22" i="4"/>
  <c r="P22" i="4"/>
  <c r="Q27" i="4"/>
  <c r="P27" i="4"/>
  <c r="Q9" i="4"/>
  <c r="P9" i="4"/>
  <c r="P50" i="4"/>
  <c r="Q50" i="4"/>
  <c r="P14" i="4"/>
  <c r="Q14" i="4"/>
  <c r="P17" i="4"/>
  <c r="Q17" i="4"/>
  <c r="P42" i="4"/>
  <c r="Q42" i="4"/>
  <c r="Q73" i="4"/>
  <c r="P73" i="4"/>
  <c r="P59" i="4"/>
  <c r="Q59" i="4"/>
  <c r="Q47" i="4"/>
  <c r="P47" i="4"/>
  <c r="Q74" i="4"/>
  <c r="P74" i="4"/>
  <c r="Q66" i="4"/>
  <c r="P66" i="4"/>
  <c r="P51" i="4"/>
  <c r="Q51" i="4"/>
  <c r="Q21" i="4"/>
  <c r="P21" i="4"/>
  <c r="P49" i="4"/>
  <c r="Q49" i="4"/>
  <c r="P41" i="4"/>
  <c r="Q41" i="4"/>
  <c r="P20" i="4"/>
  <c r="Q20" i="4"/>
  <c r="P6" i="4"/>
  <c r="Q6" i="4"/>
  <c r="L46" i="4"/>
  <c r="L53" i="4" s="1"/>
  <c r="N7" i="8"/>
  <c r="O6" i="8"/>
  <c r="P6" i="8" s="1"/>
  <c r="N18" i="8"/>
  <c r="N6" i="8"/>
  <c r="N17" i="8"/>
  <c r="I8" i="1"/>
  <c r="I11" i="1"/>
  <c r="I10" i="1"/>
  <c r="I9" i="1"/>
  <c r="L54" i="4" l="1"/>
  <c r="L50" i="4"/>
  <c r="L51" i="4"/>
  <c r="L52" i="4"/>
  <c r="O8" i="8"/>
  <c r="P8" i="8" s="1"/>
  <c r="O12" i="8"/>
  <c r="P12" i="8" s="1"/>
  <c r="Q6" i="8"/>
  <c r="O13" i="8"/>
  <c r="P13" i="8" s="1"/>
  <c r="O14" i="8"/>
  <c r="P14" i="8" s="1"/>
  <c r="O7" i="8"/>
  <c r="P7" i="8" s="1"/>
  <c r="O10" i="8"/>
  <c r="P10" i="8" s="1"/>
  <c r="O15" i="8"/>
  <c r="P15" i="8" s="1"/>
  <c r="O18" i="8"/>
  <c r="Q18" i="8" s="1"/>
  <c r="O9" i="8"/>
  <c r="P9" i="8" s="1"/>
  <c r="O11" i="8"/>
  <c r="P11" i="8" s="1"/>
  <c r="O16" i="8"/>
  <c r="P16" i="8" s="1"/>
  <c r="O17" i="8"/>
  <c r="Q17" i="8" s="1"/>
  <c r="L56" i="4" l="1"/>
  <c r="L60" i="4" s="1"/>
  <c r="L55" i="4"/>
  <c r="L59" i="4" s="1"/>
  <c r="L58" i="4"/>
  <c r="L63" i="4" s="1"/>
  <c r="L57" i="4"/>
  <c r="L61" i="4" s="1"/>
  <c r="Q8" i="8"/>
  <c r="Q14" i="8"/>
  <c r="Q9" i="8"/>
  <c r="Q7" i="8"/>
  <c r="Q13" i="8"/>
  <c r="Q16" i="8"/>
  <c r="Q15" i="8"/>
  <c r="P18" i="8"/>
  <c r="Q12" i="8"/>
  <c r="Q11" i="8"/>
  <c r="Q10" i="8"/>
  <c r="P17" i="8"/>
  <c r="L64" i="4" l="1"/>
  <c r="L65" i="4"/>
  <c r="L66" i="4"/>
  <c r="L71" i="4" s="1"/>
  <c r="L62" i="4"/>
  <c r="L67" i="4" s="1"/>
  <c r="L72" i="4" s="1"/>
  <c r="L70" i="4" l="1"/>
  <c r="L69" i="4"/>
  <c r="L74" i="4" s="1"/>
  <c r="L68" i="4"/>
  <c r="L73" i="4" s="1"/>
  <c r="L77" i="4" l="1"/>
  <c r="L75" i="4"/>
  <c r="L78" i="4"/>
  <c r="L76" i="4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<sst xmlns="http://schemas.openxmlformats.org/spreadsheetml/2006/main" count="2015" uniqueCount="881">
  <si>
    <t xml:space="preserve"> </t>
  </si>
  <si>
    <t>Name</t>
  </si>
  <si>
    <t>Email</t>
  </si>
  <si>
    <t>HSN Code</t>
  </si>
  <si>
    <t>Product Name</t>
  </si>
  <si>
    <t>Vendor Name</t>
  </si>
  <si>
    <t>Selling Price</t>
  </si>
  <si>
    <t>➡️ Purchase Entry</t>
  </si>
  <si>
    <t>➡️ Sales Entry</t>
  </si>
  <si>
    <t xml:space="preserve">  Notifications !</t>
  </si>
  <si>
    <t>Count of Name</t>
  </si>
  <si>
    <t>Customers</t>
  </si>
  <si>
    <t>Count of Product Name</t>
  </si>
  <si>
    <t>Products</t>
  </si>
  <si>
    <t>Sum of Amount</t>
  </si>
  <si>
    <t>Purchase amt.</t>
  </si>
  <si>
    <t>Sales Amt.</t>
  </si>
  <si>
    <t>Row Labels</t>
  </si>
  <si>
    <t>Grand Total</t>
  </si>
  <si>
    <t>Sum of Units</t>
  </si>
  <si>
    <t>Mobile Number</t>
  </si>
  <si>
    <t>Company Name</t>
  </si>
  <si>
    <t>Alternate Phone Number</t>
  </si>
  <si>
    <t>Email Address</t>
  </si>
  <si>
    <t>Website URL</t>
  </si>
  <si>
    <t>GST Number</t>
  </si>
  <si>
    <t>PAN Number</t>
  </si>
  <si>
    <t>Udyam No</t>
  </si>
  <si>
    <t>Business Type</t>
  </si>
  <si>
    <t>Legal Entity Type</t>
  </si>
  <si>
    <t>Bank Name</t>
  </si>
  <si>
    <t>Account Number</t>
  </si>
  <si>
    <t>IFSC Code / SWIFT Code</t>
  </si>
  <si>
    <t>Account Holder Name</t>
  </si>
  <si>
    <t>Preferred Payment Method</t>
  </si>
  <si>
    <t>Payment Terms</t>
  </si>
  <si>
    <t>Product Category</t>
  </si>
  <si>
    <t>MOQ</t>
  </si>
  <si>
    <t>Vendor Rating</t>
  </si>
  <si>
    <t>On-Time Delivery %</t>
  </si>
  <si>
    <t>Average Lead Time</t>
  </si>
  <si>
    <t>Return/Rejection Rate</t>
  </si>
  <si>
    <t>Total Orders Fulfilled</t>
  </si>
  <si>
    <t>Compliance Status</t>
  </si>
  <si>
    <t>Working Days/Hours</t>
  </si>
  <si>
    <t>Delivery Coverage Area</t>
  </si>
  <si>
    <t>Preferred Logistics Partner</t>
  </si>
  <si>
    <t>Warehouse Location</t>
  </si>
  <si>
    <t>GST Certificate</t>
  </si>
  <si>
    <t>Trade License</t>
  </si>
  <si>
    <t>Product Catalog</t>
  </si>
  <si>
    <t>Bank Cancelled Cheque</t>
  </si>
  <si>
    <t>Bamboo Toothbrush Pack of 4</t>
  </si>
  <si>
    <t>Bamboo Toothbrush</t>
  </si>
  <si>
    <t>Go Green Corporation</t>
  </si>
  <si>
    <t>Mr kamran Ali Baig</t>
  </si>
  <si>
    <t>mirzakamran30@gmail.com</t>
  </si>
  <si>
    <t>NA</t>
  </si>
  <si>
    <t>India</t>
  </si>
  <si>
    <t>07GAUPB3493L1Z0</t>
  </si>
  <si>
    <t>UDYAM-DL-09-00203679084184700</t>
  </si>
  <si>
    <t>Manufacturer</t>
  </si>
  <si>
    <t>Wholesaler</t>
  </si>
  <si>
    <t>Distributor</t>
  </si>
  <si>
    <t>Exporter</t>
  </si>
  <si>
    <t>Pvt Ltd</t>
  </si>
  <si>
    <t>LLP</t>
  </si>
  <si>
    <t>Sole Proprietor</t>
  </si>
  <si>
    <t>Delear</t>
  </si>
  <si>
    <t>Bank Transfer</t>
  </si>
  <si>
    <t>UPI</t>
  </si>
  <si>
    <t>Cheque</t>
  </si>
  <si>
    <t>ISO</t>
  </si>
  <si>
    <t>MSME Certified</t>
  </si>
  <si>
    <t>Central Bank of India</t>
  </si>
  <si>
    <t>CBIN0283835</t>
  </si>
  <si>
    <t>GO GREEN CORPORATION</t>
  </si>
  <si>
    <t>Net 30</t>
  </si>
  <si>
    <t>Net 15</t>
  </si>
  <si>
    <t>Net 45</t>
  </si>
  <si>
    <t>Advance</t>
  </si>
  <si>
    <t>15 Days</t>
  </si>
  <si>
    <t>More Then 1 L</t>
  </si>
  <si>
    <t>6 Days/9 H</t>
  </si>
  <si>
    <t>Shiprocket</t>
  </si>
  <si>
    <t>Delhi</t>
  </si>
  <si>
    <t>Kraftbox</t>
  </si>
  <si>
    <t>CBIN0283836</t>
  </si>
  <si>
    <t>Date of Birth</t>
  </si>
  <si>
    <t>Gender</t>
  </si>
  <si>
    <t>Customer Type</t>
  </si>
  <si>
    <t>Billing Address</t>
  </si>
  <si>
    <t>Shipping Address</t>
  </si>
  <si>
    <t>City</t>
  </si>
  <si>
    <t>State</t>
  </si>
  <si>
    <t>Country</t>
  </si>
  <si>
    <t>ZIP Code</t>
  </si>
  <si>
    <t>Last Login Date</t>
  </si>
  <si>
    <t>Account Status</t>
  </si>
  <si>
    <t>GST Number / VAT ID</t>
  </si>
  <si>
    <t>Contact Person</t>
  </si>
  <si>
    <t>Wallet Balance / Credit Limit</t>
  </si>
  <si>
    <t>Total Spend</t>
  </si>
  <si>
    <t>Last Purchase Date</t>
  </si>
  <si>
    <t>Average Order Value</t>
  </si>
  <si>
    <t>Order Frequency</t>
  </si>
  <si>
    <t>Total Orders</t>
  </si>
  <si>
    <t>Returns/Refunds Count</t>
  </si>
  <si>
    <t>Customer Notes</t>
  </si>
  <si>
    <t>Newsletter Subscription</t>
  </si>
  <si>
    <t>Preferred Contact Channel</t>
  </si>
  <si>
    <t>Loyalty Points</t>
  </si>
  <si>
    <t>Referral Code</t>
  </si>
  <si>
    <t>Rating Score</t>
  </si>
  <si>
    <t>Individual</t>
  </si>
  <si>
    <t>Business</t>
  </si>
  <si>
    <t>Active</t>
  </si>
  <si>
    <t>Inactive</t>
  </si>
  <si>
    <t>Suspended</t>
  </si>
  <si>
    <t>VIP</t>
  </si>
  <si>
    <t>Repeat Buyer</t>
  </si>
  <si>
    <t>Yes</t>
  </si>
  <si>
    <t>No</t>
  </si>
  <si>
    <t>Male</t>
  </si>
  <si>
    <t>Female</t>
  </si>
  <si>
    <t>Others</t>
  </si>
  <si>
    <t>SMS</t>
  </si>
  <si>
    <t>WhatsApp</t>
  </si>
  <si>
    <t>Call</t>
  </si>
  <si>
    <t>Purchased From</t>
  </si>
  <si>
    <t>Own Website</t>
  </si>
  <si>
    <t>Amazon</t>
  </si>
  <si>
    <t>Flipkart</t>
  </si>
  <si>
    <t>Messho</t>
  </si>
  <si>
    <t>Easty</t>
  </si>
  <si>
    <t>Facebook</t>
  </si>
  <si>
    <t>Instagram</t>
  </si>
  <si>
    <t>Vendor_ID</t>
  </si>
  <si>
    <t>Product Description</t>
  </si>
  <si>
    <t>Brand ID</t>
  </si>
  <si>
    <t>SKU</t>
  </si>
  <si>
    <t>Barcode</t>
  </si>
  <si>
    <t>Basic Product Information</t>
  </si>
  <si>
    <t>Stock Quantity</t>
  </si>
  <si>
    <t>Reorder Level</t>
  </si>
  <si>
    <t>Backorder Allowed</t>
  </si>
  <si>
    <t>Lead Time (Days)</t>
  </si>
  <si>
    <t>Inventory Details</t>
  </si>
  <si>
    <t>MRP</t>
  </si>
  <si>
    <t>Currency</t>
  </si>
  <si>
    <t>Tax Rate (%)</t>
  </si>
  <si>
    <t>Pricing Details</t>
  </si>
  <si>
    <t>Main Product Image URL</t>
  </si>
  <si>
    <t>Product Video URL</t>
  </si>
  <si>
    <t>Media &amp; Assets</t>
  </si>
  <si>
    <t>Color</t>
  </si>
  <si>
    <t>Size</t>
  </si>
  <si>
    <t>Weight</t>
  </si>
  <si>
    <t>Material</t>
  </si>
  <si>
    <t>Dimensions (LxWxH)</t>
  </si>
  <si>
    <t>Product Attributes / Variants</t>
  </si>
  <si>
    <t>Units Sold</t>
  </si>
  <si>
    <t>Average Rating</t>
  </si>
  <si>
    <t>Number of Reviews</t>
  </si>
  <si>
    <t>Last Sold Date</t>
  </si>
  <si>
    <t>Performance &amp; Analytics</t>
  </si>
  <si>
    <t>Date Added</t>
  </si>
  <si>
    <t>Date Updated</t>
  </si>
  <si>
    <t>Published Status</t>
  </si>
  <si>
    <t>Is Featured Product</t>
  </si>
  <si>
    <t>Is New Arrival</t>
  </si>
  <si>
    <t>Lifecycle &amp; Metadata</t>
  </si>
  <si>
    <t>Product Tags</t>
  </si>
  <si>
    <t>Warranty Period</t>
  </si>
  <si>
    <t>Return Policy</t>
  </si>
  <si>
    <t>Shipping Info / Weight Class</t>
  </si>
  <si>
    <t>Advanced Info</t>
  </si>
  <si>
    <t>Tax/GST</t>
  </si>
  <si>
    <t>Published</t>
  </si>
  <si>
    <t>Pending For Review</t>
  </si>
  <si>
    <t>Draft</t>
  </si>
  <si>
    <t>Featured Product</t>
  </si>
  <si>
    <t>Vendor ID</t>
  </si>
  <si>
    <t>Product_ID</t>
  </si>
  <si>
    <t>Purchase_ID</t>
  </si>
  <si>
    <t>Purchase Date</t>
  </si>
  <si>
    <t>Purchase Order Number</t>
  </si>
  <si>
    <t>Invoice Number</t>
  </si>
  <si>
    <t>Purchase Type</t>
  </si>
  <si>
    <t>Purchase Information</t>
  </si>
  <si>
    <t>Quantity Purchased</t>
  </si>
  <si>
    <t>Unit Price</t>
  </si>
  <si>
    <t>Total Price</t>
  </si>
  <si>
    <t>Batch Number</t>
  </si>
  <si>
    <t>Expiry Date</t>
  </si>
  <si>
    <t>Received Quantity</t>
  </si>
  <si>
    <t>Pending Quantity</t>
  </si>
  <si>
    <t>Product &amp; Quantity Details</t>
  </si>
  <si>
    <t>Subtotal</t>
  </si>
  <si>
    <t>Discount Amount</t>
  </si>
  <si>
    <t>Taxable Amount</t>
  </si>
  <si>
    <t>Tax Type</t>
  </si>
  <si>
    <t>Tax Rate</t>
  </si>
  <si>
    <t>Shipping Charges</t>
  </si>
  <si>
    <t>Other Charges</t>
  </si>
  <si>
    <t>Total Purchase Amount</t>
  </si>
  <si>
    <t>Pricing &amp; Taxation</t>
  </si>
  <si>
    <t>Delivery Terms</t>
  </si>
  <si>
    <t>Expected Delivery Date</t>
  </si>
  <si>
    <t>Delivery Status</t>
  </si>
  <si>
    <t>Transporter Name</t>
  </si>
  <si>
    <t>Tracking Number</t>
  </si>
  <si>
    <t>Vendor &amp; Logistics Info</t>
  </si>
  <si>
    <t>Payment Status</t>
  </si>
  <si>
    <t>Payment Method</t>
  </si>
  <si>
    <t>Payment Date</t>
  </si>
  <si>
    <t>Reference Transaction ID</t>
  </si>
  <si>
    <t>Payment Details</t>
  </si>
  <si>
    <t>Created Date</t>
  </si>
  <si>
    <t>Last Updated Date</t>
  </si>
  <si>
    <t>Purchase Status</t>
  </si>
  <si>
    <t>Remarks</t>
  </si>
  <si>
    <t>Timestamps &amp; Status</t>
  </si>
  <si>
    <t>Purchase Invoice Copy</t>
  </si>
  <si>
    <t>Local</t>
  </si>
  <si>
    <t>Import</t>
  </si>
  <si>
    <t>Inter-state</t>
  </si>
  <si>
    <t>GST</t>
  </si>
  <si>
    <t>VAT</t>
  </si>
  <si>
    <t>None</t>
  </si>
  <si>
    <t>FOB</t>
  </si>
  <si>
    <t>CIF</t>
  </si>
  <si>
    <t>Pending</t>
  </si>
  <si>
    <t>Partial</t>
  </si>
  <si>
    <t>Completed</t>
  </si>
  <si>
    <t>Paid</t>
  </si>
  <si>
    <t>Unpaid</t>
  </si>
  <si>
    <t>Partially Paid</t>
  </si>
  <si>
    <t>Ordered</t>
  </si>
  <si>
    <t>Received</t>
  </si>
  <si>
    <t>Cancelled</t>
  </si>
  <si>
    <t>Returned</t>
  </si>
  <si>
    <t>Customer_ID</t>
  </si>
  <si>
    <t>Invoice Date</t>
  </si>
  <si>
    <t>Sales_ID</t>
  </si>
  <si>
    <t>Sales Channel</t>
  </si>
  <si>
    <t>Sales Type</t>
  </si>
  <si>
    <t>Sales Information</t>
  </si>
  <si>
    <t>Quantity Sold</t>
  </si>
  <si>
    <t>Tax %</t>
  </si>
  <si>
    <t>Total Line Amoun</t>
  </si>
  <si>
    <t>Product Details</t>
  </si>
  <si>
    <t>Subtotal(Before Discount)</t>
  </si>
  <si>
    <t>Total Discount</t>
  </si>
  <si>
    <t>Tax Amounts</t>
  </si>
  <si>
    <t>Round Off</t>
  </si>
  <si>
    <t>Amount Paid</t>
  </si>
  <si>
    <t>Outstanding Amount</t>
  </si>
  <si>
    <t>Payment Reference Number</t>
  </si>
  <si>
    <t>Customer Name</t>
  </si>
  <si>
    <t>Shipping Method</t>
  </si>
  <si>
    <t>Delivery Partner Name</t>
  </si>
  <si>
    <t>Delivery Date</t>
  </si>
  <si>
    <t>Customer &amp; Delivery Info</t>
  </si>
  <si>
    <t>Sales Status</t>
  </si>
  <si>
    <t>Return Status</t>
  </si>
  <si>
    <t>Updated Date</t>
  </si>
  <si>
    <t>Status &amp; Timestamps</t>
  </si>
  <si>
    <t>Invoice PDF</t>
  </si>
  <si>
    <t>Delivery Note</t>
  </si>
  <si>
    <t>Payment Receipt</t>
  </si>
  <si>
    <t>Return Authorization Document</t>
  </si>
  <si>
    <t>Attachments</t>
  </si>
  <si>
    <t>Online</t>
  </si>
  <si>
    <t>Retail</t>
  </si>
  <si>
    <t>Wholesale</t>
  </si>
  <si>
    <t>Cash</t>
  </si>
  <si>
    <t>Card</t>
  </si>
  <si>
    <t>Credit</t>
  </si>
  <si>
    <t>Courier</t>
  </si>
  <si>
    <t>Self-pickup</t>
  </si>
  <si>
    <t>Confirmed</t>
  </si>
  <si>
    <t>Full</t>
  </si>
  <si>
    <t>Cash Sale</t>
  </si>
  <si>
    <t>Credit Sale</t>
  </si>
  <si>
    <t>Inventory_ID</t>
  </si>
  <si>
    <t>Warehouse_ID</t>
  </si>
  <si>
    <t>Location</t>
  </si>
  <si>
    <t>Inventory Information</t>
  </si>
  <si>
    <t>Opening Stock</t>
  </si>
  <si>
    <t>Current Stock</t>
  </si>
  <si>
    <t>Reserved Quantity</t>
  </si>
  <si>
    <t>Incoming Quantity</t>
  </si>
  <si>
    <t>Minimum Stock Level</t>
  </si>
  <si>
    <t>Reorder Quantity</t>
  </si>
  <si>
    <t>Maximum Stock Level</t>
  </si>
  <si>
    <t>Stock Details</t>
  </si>
  <si>
    <t>Last Stock In Date</t>
  </si>
  <si>
    <t>Last Stock Out Date</t>
  </si>
  <si>
    <t>Total Stock In</t>
  </si>
  <si>
    <t>Total Stock Out</t>
  </si>
  <si>
    <t>Stock Adjustment Qty</t>
  </si>
  <si>
    <t>Stock Transfer Qty</t>
  </si>
  <si>
    <t>Stock Movement Tracking</t>
  </si>
  <si>
    <t>Purchase Price</t>
  </si>
  <si>
    <t>Cost Method</t>
  </si>
  <si>
    <t>Inventory Value</t>
  </si>
  <si>
    <t>Cost &amp; Valuation</t>
  </si>
  <si>
    <t>Last Sale Date</t>
  </si>
  <si>
    <t>Timestamps</t>
  </si>
  <si>
    <t>Inventory Status</t>
  </si>
  <si>
    <t>Is Damaged Stock</t>
  </si>
  <si>
    <t>Is Returnable</t>
  </si>
  <si>
    <t>Status &amp; Flags</t>
  </si>
  <si>
    <t>Serial Number Tracking</t>
  </si>
  <si>
    <t>Weight &amp; Dimensions</t>
  </si>
  <si>
    <t>Unit of Measure</t>
  </si>
  <si>
    <t>Optional Details</t>
  </si>
  <si>
    <t>FIFO</t>
  </si>
  <si>
    <t>LIFO</t>
  </si>
  <si>
    <t>Weighted Average</t>
  </si>
  <si>
    <t>Obsolete</t>
  </si>
  <si>
    <t>pcs</t>
  </si>
  <si>
    <t>kg</t>
  </si>
  <si>
    <t>gm</t>
  </si>
  <si>
    <t>liter</t>
  </si>
  <si>
    <t>pck</t>
  </si>
  <si>
    <t>Customer Information</t>
  </si>
  <si>
    <t>Address Information</t>
  </si>
  <si>
    <t>Account Details</t>
  </si>
  <si>
    <t>Business Details</t>
  </si>
  <si>
    <t>Transaction &amp; Payment Data</t>
  </si>
  <si>
    <t>Order &amp; Support History</t>
  </si>
  <si>
    <t>Engagement &amp; Marketing</t>
  </si>
  <si>
    <t>Phone Number</t>
  </si>
  <si>
    <t>Vendor Information</t>
  </si>
  <si>
    <t>Address Details</t>
  </si>
  <si>
    <t>Bank &amp; Payment Information</t>
  </si>
  <si>
    <t>Products Offered</t>
  </si>
  <si>
    <t>Brand Names</t>
  </si>
  <si>
    <t>Product/Service Categories</t>
  </si>
  <si>
    <t>Performance &amp; Rating</t>
  </si>
  <si>
    <t>Operational Details</t>
  </si>
  <si>
    <t>Documents</t>
  </si>
  <si>
    <t>➡️ Payment Entry</t>
  </si>
  <si>
    <t>Payment_ID</t>
  </si>
  <si>
    <t>Payment_Type</t>
  </si>
  <si>
    <t>Transaction_Type</t>
  </si>
  <si>
    <t>Basic Information</t>
  </si>
  <si>
    <t>Payment_Date</t>
  </si>
  <si>
    <t>Payment_Amount</t>
  </si>
  <si>
    <t>Payment_Method</t>
  </si>
  <si>
    <t>Bank_Account_ID</t>
  </si>
  <si>
    <t>Instrument_Number</t>
  </si>
  <si>
    <t>Payment_Status</t>
  </si>
  <si>
    <t>Exchange_Rate</t>
  </si>
  <si>
    <t>Reference_Note</t>
  </si>
  <si>
    <t>Adjusted_Against</t>
  </si>
  <si>
    <t>Reference &amp; Mapping</t>
  </si>
  <si>
    <t>Created_At</t>
  </si>
  <si>
    <t>Created_By</t>
  </si>
  <si>
    <t>Updated_At</t>
  </si>
  <si>
    <t>Is_Advance_Payment</t>
  </si>
  <si>
    <t>Is_Refund</t>
  </si>
  <si>
    <t>Is_Reconciled</t>
  </si>
  <si>
    <t>➡️ Voucher Entry</t>
  </si>
  <si>
    <t>Voucher_ID</t>
  </si>
  <si>
    <t>Voucher_Type</t>
  </si>
  <si>
    <t>Voucher_Date</t>
  </si>
  <si>
    <t>Voucher_Number</t>
  </si>
  <si>
    <t>Account_Debit_ID</t>
  </si>
  <si>
    <t>Account_Credit_ID</t>
  </si>
  <si>
    <t>Transaction Details</t>
  </si>
  <si>
    <t>Reference_Number</t>
  </si>
  <si>
    <t>Description</t>
  </si>
  <si>
    <t>Attached_Document</t>
  </si>
  <si>
    <t>Related_Customer_ID</t>
  </si>
  <si>
    <t>Reference Info</t>
  </si>
  <si>
    <t>Approved_By</t>
  </si>
  <si>
    <t>Approved_Date</t>
  </si>
  <si>
    <t>Is_Posted_To_Ledger</t>
  </si>
  <si>
    <t>Reversed_Voucher_ID</t>
  </si>
  <si>
    <t>Project_ID</t>
  </si>
  <si>
    <t>Department_ID</t>
  </si>
  <si>
    <t>Payment Type</t>
  </si>
  <si>
    <t>Transaction Type</t>
  </si>
  <si>
    <t>Sales</t>
  </si>
  <si>
    <t>Purchase</t>
  </si>
  <si>
    <t>Other</t>
  </si>
  <si>
    <t>Failed</t>
  </si>
  <si>
    <t>Refunded</t>
  </si>
  <si>
    <t>Is Advance Payment</t>
  </si>
  <si>
    <t>Is Refund</t>
  </si>
  <si>
    <t>Voucher Type</t>
  </si>
  <si>
    <t>Journal</t>
  </si>
  <si>
    <t>Payment</t>
  </si>
  <si>
    <t>Receipt</t>
  </si>
  <si>
    <t>Contra</t>
  </si>
  <si>
    <t>Adjustment</t>
  </si>
  <si>
    <t>Credit Note</t>
  </si>
  <si>
    <t>Debit Note</t>
  </si>
  <si>
    <t>Asish Das</t>
  </si>
  <si>
    <t>User List and Role</t>
  </si>
  <si>
    <t>Asish Das - Admin</t>
  </si>
  <si>
    <t>VEN0001</t>
  </si>
  <si>
    <t>State List</t>
  </si>
  <si>
    <t>01-JAMMU &amp; KASHMIR</t>
  </si>
  <si>
    <t>02-HIMACHAL PRADESH</t>
  </si>
  <si>
    <t>03-PUNJAB</t>
  </si>
  <si>
    <t>04-CHANDIGARH</t>
  </si>
  <si>
    <t>05-UTTARAKHAND</t>
  </si>
  <si>
    <t>06-HARYANA</t>
  </si>
  <si>
    <t>07-DELHI</t>
  </si>
  <si>
    <t>08-RAJASTHAN</t>
  </si>
  <si>
    <t>09-UTTAR PRADESH</t>
  </si>
  <si>
    <t>10-BIHAR</t>
  </si>
  <si>
    <t>11-SIKKIM</t>
  </si>
  <si>
    <t>12-ARUNACHAL PRADESH</t>
  </si>
  <si>
    <t>13-NAGALAND</t>
  </si>
  <si>
    <t>14-MANIPUR</t>
  </si>
  <si>
    <t>15-MIZORAM</t>
  </si>
  <si>
    <t>16-TRIPURA</t>
  </si>
  <si>
    <t>17-MEGHALAYA</t>
  </si>
  <si>
    <t>18-ASSAM</t>
  </si>
  <si>
    <t>19-WEST BENGAL</t>
  </si>
  <si>
    <t>20-JHARKHAND</t>
  </si>
  <si>
    <t>21-ODISHA</t>
  </si>
  <si>
    <t>22-CHHATTISGARH</t>
  </si>
  <si>
    <t>23-MADHYA PRADESH</t>
  </si>
  <si>
    <t>24-GUJARAT</t>
  </si>
  <si>
    <t>25-DAMAN &amp; DIU</t>
  </si>
  <si>
    <t>26-DADRA &amp; NAGAR HAVELI</t>
  </si>
  <si>
    <t>27-MAHARASHTRA</t>
  </si>
  <si>
    <t>29-KARNATAKA</t>
  </si>
  <si>
    <t>30-GOA</t>
  </si>
  <si>
    <t>31-LAKSHDWEEP</t>
  </si>
  <si>
    <t>32-KERALA</t>
  </si>
  <si>
    <t>33-TAMIL NADU</t>
  </si>
  <si>
    <t>34-PONDICHERRY</t>
  </si>
  <si>
    <t>35-ANDAMAN &amp; NICOBAR ISLANDS</t>
  </si>
  <si>
    <t>36-TELENGANA</t>
  </si>
  <si>
    <t>37-ANDHRA PRADESH</t>
  </si>
  <si>
    <t>97-OTHER TERRITORY</t>
  </si>
  <si>
    <t>Country List</t>
  </si>
  <si>
    <t>Germany</t>
  </si>
  <si>
    <t>Japan</t>
  </si>
  <si>
    <t>Australia</t>
  </si>
  <si>
    <t>Italy</t>
  </si>
  <si>
    <t>Mexico</t>
  </si>
  <si>
    <t>Brazil</t>
  </si>
  <si>
    <t xml:space="preserve">
China</t>
  </si>
  <si>
    <t>Turkey</t>
  </si>
  <si>
    <t>United States</t>
  </si>
  <si>
    <t>Netherlands</t>
  </si>
  <si>
    <t xml:space="preserve">
Saudi Arabia</t>
  </si>
  <si>
    <t>Shaheen Bagh, Jamia Nagar, Okhla.</t>
  </si>
  <si>
    <t>Okhla</t>
  </si>
  <si>
    <t>Category_ID</t>
  </si>
  <si>
    <t>Category Name</t>
  </si>
  <si>
    <t>Bamboo Tongue Cleaner</t>
  </si>
  <si>
    <t>Bamboo Hair Brush</t>
  </si>
  <si>
    <t>Bamboo Keychain</t>
  </si>
  <si>
    <t>Bamboo Bottle</t>
  </si>
  <si>
    <t>Bamboo Mug</t>
  </si>
  <si>
    <t>Bamboo Tumbler</t>
  </si>
  <si>
    <t>Bamboo Pen</t>
  </si>
  <si>
    <t>Bamboo Cutlery</t>
  </si>
  <si>
    <t>Bamboo Daiary</t>
  </si>
  <si>
    <t>Pocket Comb</t>
  </si>
  <si>
    <t>Beard Comb</t>
  </si>
  <si>
    <t>Single Teeth Lily Comb</t>
  </si>
  <si>
    <t>Handle Comb</t>
  </si>
  <si>
    <t>Tail Comb</t>
  </si>
  <si>
    <t>Shampoo Comb 6.5</t>
  </si>
  <si>
    <t>Shampoo Comb 5.5</t>
  </si>
  <si>
    <t>Bina Comb</t>
  </si>
  <si>
    <t>Premium Lily Comb</t>
  </si>
  <si>
    <t>Premium Shampoo Comb</t>
  </si>
  <si>
    <t>Premium Handle Comb</t>
  </si>
  <si>
    <t>Premium Ruby Comb</t>
  </si>
  <si>
    <t>Rosewood Comb</t>
  </si>
  <si>
    <t>Fanch Comb</t>
  </si>
  <si>
    <t>Dual Lilly Comb</t>
  </si>
  <si>
    <t>Pen Pot</t>
  </si>
  <si>
    <t>Hanging Lamp</t>
  </si>
  <si>
    <t>Flower Vase</t>
  </si>
  <si>
    <t>Table Lamp</t>
  </si>
  <si>
    <t>Quotation Pen Stand</t>
  </si>
  <si>
    <t>Key Hanger</t>
  </si>
  <si>
    <t>Frame with Single Pot</t>
  </si>
  <si>
    <t>Diffuser</t>
  </si>
  <si>
    <t>Fridge Magnets</t>
  </si>
  <si>
    <t>Key Ring</t>
  </si>
  <si>
    <t>Fish Chain</t>
  </si>
  <si>
    <t>Mirror Owl</t>
  </si>
  <si>
    <t>Single Owl</t>
  </si>
  <si>
    <t>Owl Chain</t>
  </si>
  <si>
    <t>Elephant</t>
  </si>
  <si>
    <t>Nest Home</t>
  </si>
  <si>
    <t>Wing Owl</t>
  </si>
  <si>
    <t>Sweet Home</t>
  </si>
  <si>
    <t>Welcome Home</t>
  </si>
  <si>
    <t>Frame</t>
  </si>
  <si>
    <t>Bamboo Toothbrush Pack of 4Category</t>
  </si>
  <si>
    <t>KraftboxCategory</t>
  </si>
  <si>
    <t>Brand_ID</t>
  </si>
  <si>
    <t>Brand Name</t>
  </si>
  <si>
    <t>Echoheritage Essentials</t>
  </si>
  <si>
    <t>PROD0046</t>
  </si>
  <si>
    <t>D:\My Drive\Indian Heritage Crafts\Vendor\VEN0001</t>
  </si>
  <si>
    <t>D:\My Drive\Indian Heritage Crafts\Vendor\VEN0002</t>
  </si>
  <si>
    <t>Kraft Box of Pack of 4 Brush</t>
  </si>
  <si>
    <t>PRODBRAND0001</t>
  </si>
  <si>
    <t>D:\My Drive\Indian Heritage Crafts\SKUs\IHC046SKU\IHC046SKU.gif</t>
  </si>
  <si>
    <t>Pincode</t>
  </si>
  <si>
    <t>DAKSHINESWAR</t>
  </si>
  <si>
    <t>Address</t>
  </si>
  <si>
    <t>8 P.C. Banerjee Road</t>
  </si>
  <si>
    <t>Kolkata</t>
  </si>
  <si>
    <t>Indian Heritage Carfts</t>
  </si>
  <si>
    <t>iheritagecrafts@gmail.com</t>
  </si>
  <si>
    <t>https://indianheritagecraft.com/</t>
  </si>
  <si>
    <t>Sonarpur, Kamrabad, Naskar Para</t>
  </si>
  <si>
    <t>19AVGPD0948R1Z0</t>
  </si>
  <si>
    <t>AVGPD0948R</t>
  </si>
  <si>
    <t>UDYAM-WB-18-0124610</t>
  </si>
  <si>
    <t>Panjab National Bank</t>
  </si>
  <si>
    <t>PUNB0015120</t>
  </si>
  <si>
    <t>INDIAN HERITAGE CRAFTS</t>
  </si>
  <si>
    <t>World</t>
  </si>
  <si>
    <t>Dakshineswar</t>
  </si>
  <si>
    <t>JAIPUR</t>
  </si>
  <si>
    <t>20 SUNDER VIHAR TONK ROAD DURGAPURA JAIPUR</t>
  </si>
  <si>
    <t>Jaipur</t>
  </si>
  <si>
    <t>CROWN MART</t>
  </si>
  <si>
    <t>Saumic Jain</t>
  </si>
  <si>
    <t>saumic@saumiccraft.in</t>
  </si>
  <si>
    <t>https://help.saumiccraft.com/</t>
  </si>
  <si>
    <t>20 SUNDER VIHAR TONK ROAD DURGAPURA JAIPUR 302018</t>
  </si>
  <si>
    <t>08CANPJ3390R1ZT</t>
  </si>
  <si>
    <t>Saumiccraft</t>
  </si>
  <si>
    <t>SAUMIC CRAFT</t>
  </si>
  <si>
    <t>VEN0004</t>
  </si>
  <si>
    <t>7 Days</t>
  </si>
  <si>
    <t>More Then 10 L</t>
  </si>
  <si>
    <t>STARSHOPPING BONANZA</t>
  </si>
  <si>
    <t>08ADQPJ5361E1ZE</t>
  </si>
  <si>
    <t>INR</t>
  </si>
  <si>
    <t>Discounted %</t>
  </si>
  <si>
    <t>GGC240015</t>
  </si>
  <si>
    <t>Account_ID</t>
  </si>
  <si>
    <t>Account Name</t>
  </si>
  <si>
    <t>Account Type</t>
  </si>
  <si>
    <t>Opening Balance</t>
  </si>
  <si>
    <t>Current Balance</t>
  </si>
  <si>
    <t>Status</t>
  </si>
  <si>
    <t>Purchases</t>
  </si>
  <si>
    <t>Asset</t>
  </si>
  <si>
    <t>Liability</t>
  </si>
  <si>
    <t>Income</t>
  </si>
  <si>
    <t>Expense</t>
  </si>
  <si>
    <t>Equity</t>
  </si>
  <si>
    <t>ACTRANSID-2025-0005</t>
  </si>
  <si>
    <t>-</t>
  </si>
  <si>
    <t>T2502261855332671302889/T2502261855332671302889/T2504011330300343530255/T2504081340578805319122/T2504161813162345353062</t>
  </si>
  <si>
    <t>Debits</t>
  </si>
  <si>
    <t>Credits</t>
  </si>
  <si>
    <t>ACTRANSID-2025-0006</t>
  </si>
  <si>
    <t>T2502261855332671302889/T2502261855332671302889</t>
  </si>
  <si>
    <t>T2504011330300343530255/T2504081340578805319122/T2504161813162345353062</t>
  </si>
  <si>
    <t>Payment Made partly 100+1000+7218+9717+5040</t>
  </si>
  <si>
    <t>Payment Made partly 100+1000+2735</t>
  </si>
  <si>
    <t>D:\My Drive\Indian Heritage Crafts\SKUs\IHC046SKU\IHC0038_EHC_1.png</t>
  </si>
  <si>
    <t>D:\My Drive\Indian Heritage Crafts\SKUs\IHC046SKU\Bamboo Toothbrush Marketplace Promo.mp4</t>
  </si>
  <si>
    <t>Wooden</t>
  </si>
  <si>
    <t>19cm x 1cm</t>
  </si>
  <si>
    <t>2 gm</t>
  </si>
  <si>
    <t>Bamboo</t>
  </si>
  <si>
    <t>45mm x 204mm x 19mm</t>
  </si>
  <si>
    <t>10 gm</t>
  </si>
  <si>
    <t>ExpressBees</t>
  </si>
  <si>
    <t>T2504161813162345353062</t>
  </si>
  <si>
    <t>D:\My Drive\Indian Heritage Crafts\Purchase\April\GGC240015.pdf</t>
  </si>
  <si>
    <t>GGC1171</t>
  </si>
  <si>
    <t>PROD0047</t>
  </si>
  <si>
    <t>DTDC</t>
  </si>
  <si>
    <t>9273493451-C</t>
  </si>
  <si>
    <t>D:\My Drive\Indian Heritage Crafts\Purchase\April\GGC1171.pdf</t>
  </si>
  <si>
    <t>Cr</t>
  </si>
  <si>
    <t>Dr</t>
  </si>
  <si>
    <t>Company_ID</t>
  </si>
  <si>
    <t>Company  Name</t>
  </si>
  <si>
    <t>Account No</t>
  </si>
  <si>
    <t>Branch</t>
  </si>
  <si>
    <t>IFSC Code</t>
  </si>
  <si>
    <t>Sonarpur</t>
  </si>
  <si>
    <t>Current</t>
  </si>
  <si>
    <t>Bank Address</t>
  </si>
  <si>
    <t>Sonarpur (South 24 Prgs), WB - 743369</t>
  </si>
  <si>
    <t>VOUCHE0001</t>
  </si>
  <si>
    <t>Paid In 2 Part</t>
  </si>
  <si>
    <t>Infospace SEZ</t>
  </si>
  <si>
    <t>HDFC0004804</t>
  </si>
  <si>
    <t>Savings</t>
  </si>
  <si>
    <t>Tower A III Ground Floor, IT/ITES SEZ, Action Area ID New Town, Kolkata - 700156, WB</t>
  </si>
  <si>
    <t>ACCID0003</t>
  </si>
  <si>
    <t>ACCID0002</t>
  </si>
  <si>
    <t>VOUCHE0002</t>
  </si>
  <si>
    <t>Paid In 4 Part</t>
  </si>
  <si>
    <t>WHOUSE0001</t>
  </si>
  <si>
    <t>Order ID</t>
  </si>
  <si>
    <t>Order Type</t>
  </si>
  <si>
    <t>Quantity</t>
  </si>
  <si>
    <t>Order Status</t>
  </si>
  <si>
    <t>Sales Order</t>
  </si>
  <si>
    <t>Purchase Order</t>
  </si>
  <si>
    <t>Demand_Last_30_Days</t>
  </si>
  <si>
    <t>Lead_Time_Days</t>
  </si>
  <si>
    <t>Average_Daily_Usage</t>
  </si>
  <si>
    <t>Buffer_Days</t>
  </si>
  <si>
    <t>Safety_Stock</t>
  </si>
  <si>
    <t>Expected_Demand_During_Lead_Time</t>
  </si>
  <si>
    <t>Received Date</t>
  </si>
  <si>
    <t>Indian Heritage Crafts</t>
  </si>
  <si>
    <t>Hanging Lamp Category</t>
  </si>
  <si>
    <t>VEN0006</t>
  </si>
  <si>
    <t>PROD0009</t>
  </si>
  <si>
    <t>Max Daily Usage</t>
  </si>
  <si>
    <t>Max Lead Time (Days)</t>
  </si>
  <si>
    <t>Avg Daily Usage</t>
  </si>
  <si>
    <t>Avg Lead Time (Days)</t>
  </si>
  <si>
    <t>➡️ Vendor Entry</t>
  </si>
  <si>
    <t>➡️Warehouse Entry</t>
  </si>
  <si>
    <t>➡️ Ledger Entry</t>
  </si>
  <si>
    <t>➡️ Order Entry</t>
  </si>
  <si>
    <t>➡️ Product Brand Entry</t>
  </si>
  <si>
    <t>PRODCAT0001</t>
  </si>
  <si>
    <t>PRODCAT0002</t>
  </si>
  <si>
    <t>PRODCAT0003</t>
  </si>
  <si>
    <t>PRODCAT0004</t>
  </si>
  <si>
    <t>PRODCAT0005</t>
  </si>
  <si>
    <t>PRODCAT0006</t>
  </si>
  <si>
    <t>PRODCAT0007</t>
  </si>
  <si>
    <t>PRODCAT0008</t>
  </si>
  <si>
    <t>PRODCAT0009</t>
  </si>
  <si>
    <t>PRODCAT0010</t>
  </si>
  <si>
    <t>PRODCAT0011</t>
  </si>
  <si>
    <t>PRODCAT0012</t>
  </si>
  <si>
    <t>PRODCAT0013</t>
  </si>
  <si>
    <t>PRODCAT0014</t>
  </si>
  <si>
    <t>PRODCAT0015</t>
  </si>
  <si>
    <t>PRODCAT0016</t>
  </si>
  <si>
    <t>PRODCAT0017</t>
  </si>
  <si>
    <t>PRODCAT0018</t>
  </si>
  <si>
    <t>PRODCAT0019</t>
  </si>
  <si>
    <t>PRODCAT0020</t>
  </si>
  <si>
    <t>PRODCAT0021</t>
  </si>
  <si>
    <t>PRODCAT0022</t>
  </si>
  <si>
    <t>PRODCAT0023</t>
  </si>
  <si>
    <t>PROD0001</t>
  </si>
  <si>
    <t>PROD0002</t>
  </si>
  <si>
    <t>PROD0003</t>
  </si>
  <si>
    <t>PROD0004</t>
  </si>
  <si>
    <t>PROD0005</t>
  </si>
  <si>
    <t>PROD0006</t>
  </si>
  <si>
    <t>PROD0007</t>
  </si>
  <si>
    <t>PROD0008</t>
  </si>
  <si>
    <t>PROD0010</t>
  </si>
  <si>
    <t>PROD0011</t>
  </si>
  <si>
    <t>PROD0012</t>
  </si>
  <si>
    <t>PROD0013</t>
  </si>
  <si>
    <t>PROD0014</t>
  </si>
  <si>
    <t>PROD0015</t>
  </si>
  <si>
    <t>PROD0016</t>
  </si>
  <si>
    <t>PROD0017</t>
  </si>
  <si>
    <t>PROD0018</t>
  </si>
  <si>
    <t>PROD0019</t>
  </si>
  <si>
    <t>PROD0020</t>
  </si>
  <si>
    <t>PROD0021</t>
  </si>
  <si>
    <t>PROD0022</t>
  </si>
  <si>
    <t>PROD0023</t>
  </si>
  <si>
    <t>PROD0024</t>
  </si>
  <si>
    <t>PROD0025</t>
  </si>
  <si>
    <t>PROD0026</t>
  </si>
  <si>
    <t>PROD0027</t>
  </si>
  <si>
    <t>PROD0028</t>
  </si>
  <si>
    <t>PROD0029</t>
  </si>
  <si>
    <t>PROD0030</t>
  </si>
  <si>
    <t>PROD0031</t>
  </si>
  <si>
    <t>PROD0032</t>
  </si>
  <si>
    <t>PROD0033</t>
  </si>
  <si>
    <t>PROD0034</t>
  </si>
  <si>
    <t>PROD0035</t>
  </si>
  <si>
    <t>PROD0036</t>
  </si>
  <si>
    <t>PROD0037</t>
  </si>
  <si>
    <t>PROD0038</t>
  </si>
  <si>
    <t>PROD0039</t>
  </si>
  <si>
    <t>PROD0040</t>
  </si>
  <si>
    <t>PROD0041</t>
  </si>
  <si>
    <t>PROD0042</t>
  </si>
  <si>
    <t>PROD0043</t>
  </si>
  <si>
    <t>PROD0044</t>
  </si>
  <si>
    <t>PROD0045</t>
  </si>
  <si>
    <t>PROD0048</t>
  </si>
  <si>
    <t>PROD0049</t>
  </si>
  <si>
    <t>Adjustment_Date</t>
  </si>
  <si>
    <t>Adjustment_Qty</t>
  </si>
  <si>
    <t>Adjustment_Reason</t>
  </si>
  <si>
    <t>Damaged</t>
  </si>
  <si>
    <t>Expired</t>
  </si>
  <si>
    <t>Audit</t>
  </si>
  <si>
    <t>Transfer_Date</t>
  </si>
  <si>
    <t>Transfer_Qty</t>
  </si>
  <si>
    <t>From_Location</t>
  </si>
  <si>
    <t>From_Warehouse_ID</t>
  </si>
  <si>
    <t>To_Warehouse_ID</t>
  </si>
  <si>
    <t>To_Location</t>
  </si>
  <si>
    <t>Cost Before Tax</t>
  </si>
  <si>
    <t>Cost After Tax</t>
  </si>
  <si>
    <t>PRODBRAND0002</t>
  </si>
  <si>
    <t>PRODBRAND0003</t>
  </si>
  <si>
    <t>Official_Docs</t>
  </si>
  <si>
    <t>VEN0003</t>
  </si>
  <si>
    <t>PROD0050</t>
  </si>
  <si>
    <t>PROD0051</t>
  </si>
  <si>
    <t>PROD0052</t>
  </si>
  <si>
    <t>PROD0053</t>
  </si>
  <si>
    <t>PROD0054</t>
  </si>
  <si>
    <t>PROD0055</t>
  </si>
  <si>
    <t>PROD0056</t>
  </si>
  <si>
    <t>PROD0057</t>
  </si>
  <si>
    <t>PROD0058</t>
  </si>
  <si>
    <t>PROD0059</t>
  </si>
  <si>
    <t>PROD0060</t>
  </si>
  <si>
    <t>PROD0061</t>
  </si>
  <si>
    <t>PROD0062</t>
  </si>
  <si>
    <t>PROD0063</t>
  </si>
  <si>
    <t>PROD0064</t>
  </si>
  <si>
    <t>PROD0065</t>
  </si>
  <si>
    <t>PROD0066</t>
  </si>
  <si>
    <t>PROD0067</t>
  </si>
  <si>
    <t>PROD0068</t>
  </si>
  <si>
    <t>PROD0069</t>
  </si>
  <si>
    <t>PROD0070</t>
  </si>
  <si>
    <t>PROD0071</t>
  </si>
  <si>
    <t>PROD0072</t>
  </si>
  <si>
    <t>PROD0073</t>
  </si>
  <si>
    <t>PROD0074</t>
  </si>
  <si>
    <t>PROD0075</t>
  </si>
  <si>
    <t>PRODCAT0024</t>
  </si>
  <si>
    <t>PRODCAT0025</t>
  </si>
  <si>
    <t>PRODCAT0026</t>
  </si>
  <si>
    <t>Model Number/GTIN</t>
  </si>
  <si>
    <t>Part Number</t>
  </si>
  <si>
    <t>Bamboo Art Couple Hornbill Painting For Home D?cor | Bamboo Art Gift For Multiple Occasions</t>
  </si>
  <si>
    <t>PRODCAT0027</t>
  </si>
  <si>
    <t>Profit %</t>
  </si>
  <si>
    <t>Profit Amout</t>
  </si>
  <si>
    <t>QTY x CAT</t>
  </si>
  <si>
    <t>Bamboo Toothbrush Pack of 4 Charcoal S-Curve Bristles</t>
  </si>
  <si>
    <t>Saumic Craft</t>
  </si>
  <si>
    <t>VEN0007</t>
  </si>
  <si>
    <t>Bamboo Toothbrush Category</t>
  </si>
  <si>
    <t>Bamboo Tongue Cleaner Category</t>
  </si>
  <si>
    <t>Bamboo Hair Brush Category</t>
  </si>
  <si>
    <t>Bamboo Keychain Category</t>
  </si>
  <si>
    <t>Bamboo Bottle Category</t>
  </si>
  <si>
    <t>Bamboo Mug Category</t>
  </si>
  <si>
    <t>Bamboo Tumbler Category</t>
  </si>
  <si>
    <t>Bamboo Pen Category</t>
  </si>
  <si>
    <t>Bamboo Cutlery Category</t>
  </si>
  <si>
    <t>Bamboo Daiary Category</t>
  </si>
  <si>
    <t>Pocket Comb Category</t>
  </si>
  <si>
    <t>Beard Comb Category</t>
  </si>
  <si>
    <t>Single Teeth Lily Comb Category</t>
  </si>
  <si>
    <t>Handle Comb Category</t>
  </si>
  <si>
    <t>Tail Comb Category</t>
  </si>
  <si>
    <t>Shampoo Comb 6.5 Category</t>
  </si>
  <si>
    <t>Shampoo Comb 5.5 Category</t>
  </si>
  <si>
    <t>Bina Comb Category</t>
  </si>
  <si>
    <t>Premium Lily Comb Category</t>
  </si>
  <si>
    <t>Premium Shampoo Comb Category</t>
  </si>
  <si>
    <t>Premium Handle Comb Category</t>
  </si>
  <si>
    <t>Premium Ruby Comb Category</t>
  </si>
  <si>
    <t>Rosewood Comb Category</t>
  </si>
  <si>
    <t>Fanch Comb Category</t>
  </si>
  <si>
    <t>Dual Lilly Comb Category</t>
  </si>
  <si>
    <t>Pen Pot Category</t>
  </si>
  <si>
    <t>Flower Vase Category</t>
  </si>
  <si>
    <t>Table Lamp Category</t>
  </si>
  <si>
    <t>Quotation Pen Stand Category</t>
  </si>
  <si>
    <t>Key Hanger Category</t>
  </si>
  <si>
    <t>Frame with Single Pot Category</t>
  </si>
  <si>
    <t>Diffuser Category</t>
  </si>
  <si>
    <t>Fridge Magnets Category</t>
  </si>
  <si>
    <t>Key Ring Category</t>
  </si>
  <si>
    <t>Fish Chain Category</t>
  </si>
  <si>
    <t>Mirror Owl Category</t>
  </si>
  <si>
    <t>Single Owl Category</t>
  </si>
  <si>
    <t>Owl Chain Category</t>
  </si>
  <si>
    <t>Elephant Category</t>
  </si>
  <si>
    <t>Nest Home Category</t>
  </si>
  <si>
    <t>Wing Owl Category</t>
  </si>
  <si>
    <t>Sweet Home Category</t>
  </si>
  <si>
    <t>Welcome Home Category</t>
  </si>
  <si>
    <t>Frame Category</t>
  </si>
  <si>
    <t>Bamboo Toothbrush Pack of 4 Category</t>
  </si>
  <si>
    <t>Kraftbox Category</t>
  </si>
  <si>
    <t>PRODCAT0028</t>
  </si>
  <si>
    <t>PRODCAT0029</t>
  </si>
  <si>
    <t>PRODCAT0030</t>
  </si>
  <si>
    <t>PRODCAT0031</t>
  </si>
  <si>
    <t>PRODCAT0032</t>
  </si>
  <si>
    <t>PRODCAT0033</t>
  </si>
  <si>
    <t>PRODCAT0034</t>
  </si>
  <si>
    <t>PRODCAT0035</t>
  </si>
  <si>
    <t>PRODCAT0036</t>
  </si>
  <si>
    <t>PRODCAT0037</t>
  </si>
  <si>
    <t>PRODCAT0038</t>
  </si>
  <si>
    <t>PRODCAT0039</t>
  </si>
  <si>
    <t>PRODCAT0040</t>
  </si>
  <si>
    <t>PRODCAT0041</t>
  </si>
  <si>
    <t>PRODCAT0042</t>
  </si>
  <si>
    <t>PRODCAT0043</t>
  </si>
  <si>
    <t>PRODCAT0044</t>
  </si>
  <si>
    <t>PRODCAT0045</t>
  </si>
  <si>
    <t>PRODCAT0046</t>
  </si>
  <si>
    <t>PRODCAT0047</t>
  </si>
  <si>
    <t>PRODCAT0048</t>
  </si>
  <si>
    <t>Bamboo Wall Painting Category</t>
  </si>
  <si>
    <t>BWH-14</t>
  </si>
  <si>
    <t>BWH-21</t>
  </si>
  <si>
    <t>32 x 28 cm</t>
  </si>
  <si>
    <t>0.4 gm</t>
  </si>
  <si>
    <t>12.5 x 11 inch</t>
  </si>
  <si>
    <t>BWH-10</t>
  </si>
  <si>
    <t>Bamboo Hand Crafted Framed Wall Hangings Of Durga Ji For Home D?cor | Bamboo Framed Art For Wall D?cor</t>
  </si>
  <si>
    <t>BWH-8</t>
  </si>
  <si>
    <t>BWH-6</t>
  </si>
  <si>
    <t>BWH-19</t>
  </si>
  <si>
    <t xml:space="preserve">BWH-4
</t>
  </si>
  <si>
    <t>BWH-12</t>
  </si>
  <si>
    <t>BWH-2</t>
  </si>
  <si>
    <t>BWH-7</t>
  </si>
  <si>
    <t>BWH-5</t>
  </si>
  <si>
    <t>BWH-9</t>
  </si>
  <si>
    <t>BWH-3</t>
  </si>
  <si>
    <t>BWH-11</t>
  </si>
  <si>
    <t>BWH-1</t>
  </si>
  <si>
    <t>BWH-22</t>
  </si>
  <si>
    <t>BWH-18</t>
  </si>
  <si>
    <t>BWH-13</t>
  </si>
  <si>
    <t>BWH-23</t>
  </si>
  <si>
    <t>BWH-16</t>
  </si>
  <si>
    <t>BWH-17</t>
  </si>
  <si>
    <t>BWH-24</t>
  </si>
  <si>
    <t>BWH-20</t>
  </si>
  <si>
    <t>BWH-15</t>
  </si>
  <si>
    <t>Bamboo Hand Crafted Leaf Design Wall Hangings Of Durga Ji For Home D?cor | Bamboo Art For Wall Décor</t>
  </si>
  <si>
    <t>Bamboo Hand Crafted Leaf Design Wall Hangings Of Hanuman Ji For Home D?cor | Bamboo Art For Wall Décor</t>
  </si>
  <si>
    <t>Bamboo Hand Crafted Leaf Design Wall Hangings Of Shri Ram Ji With Janaki Ji For Home D?cor | Bamboo Art For Wall Décor</t>
  </si>
  <si>
    <t>Bamboo Hand Crafted Wall Hangings Of Ganesh Ji And Laxmi Ji For Home D?cor</t>
  </si>
  <si>
    <t>Bamboo Hand Crafted Wall Hangings Of Ganesh Ji For Home D?cor | Ideal Gifts For Wedding And Festival</t>
  </si>
  <si>
    <t>Bamboo Hand Crafted Wall Hangings Of Godess Laxmi Ji For Home D?cor</t>
  </si>
  <si>
    <t>Bamboo Hand Crafted Wall Hangings Of Godess Sarwasti Ji For Home D?cor</t>
  </si>
  <si>
    <t>Bamboo Hand Crafted Wall Hangings Of Hanuman Ji For Home D?cor | Bamboo Art For Wall D?cor</t>
  </si>
  <si>
    <t>Bamboo Hand Crafted Wall Hangings Of Kanha Ji For Home D?cor | Bamboo Art For Wall Décor</t>
  </si>
  <si>
    <t>Bamboo Hand Crafted Wall Hangings Of Lord Shiva For Home D?cor | Bamboo Art For Wall D?cor Painting</t>
  </si>
  <si>
    <t>Bamboo Hand Crafted Wall Hangings Of The Trio Of Ganesh Ji, Laxmi Ji And Sarwasti Ji Painting For Home D?cor</t>
  </si>
  <si>
    <t>Jesus And Mother Marry Bamboo Design Hand Crafted Modern Interior Wall Hangings</t>
  </si>
  <si>
    <t>Oval Shaped Design Bamboo Hand Crafted Wall Hangings Durga Ji For Home D?cor | Bamboo Art For Wall Décor</t>
  </si>
  <si>
    <t>Oval Shaped Design Bamboo Hand Crafted Wall Hangings Of Bal Gopal With Holy Cow For Home D?cor | Bamboo Art For Wall Décor</t>
  </si>
  <si>
    <t>Oval Shaped Design Bamboo Hand Crafted Wall Hangings Of Durga Maa For Home D?cor | Bamboo Art For Wall Décor</t>
  </si>
  <si>
    <t>Oval Shaped Design Bamboo Hand Crafted Wall Hangings Of Godess Sarwasti Ji For Home D?cor</t>
  </si>
  <si>
    <t>Oval Shaped Design Bamboo Hand Crafted Wall Hangings Of Krishna Ji With Holy Cow For Home D?cor | Bamboo Art For Wall Décor</t>
  </si>
  <si>
    <t>Oval Shaped Design Bamboo Hand Crafted Wall Hangings Of Krishna Ji With Radha Ji For Home D?cor | Bamboo Art For Wall Décor</t>
  </si>
  <si>
    <t>Oval Shaped Design Bamboo Hand Crafted Wall Hangings Of Shiv Sakti For Home D?cor</t>
  </si>
  <si>
    <t>Oval Shaped Design Bamboo Hand Crafted Wall Hangings Of Shri Ram Ji With Janaki Ji For Home D?cor | Bamboo Art For Wall Décor</t>
  </si>
  <si>
    <t>Parrot Couple Bamboo Art For Home D?cor | Bamboo Art For Bird’s Lovers</t>
  </si>
  <si>
    <t>Bamboo Art Dear Painting For Home D?cor | Bamboo Art Gift For Multiple Occasions</t>
  </si>
  <si>
    <t>CANPJ3390R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</si>
</sst>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2" formatCode="_ &quot;₹&quot;\ * #,##0_ ;_ &quot;₹&quot;\ * \-#,##0_ ;_ &quot;₹&quot;\ * &quot;-&quot;_ ;_ @_ "/>
    <numFmt numFmtId="44" formatCode="_ &quot;₹&quot;\ * #,##0.00_ ;_ &quot;₹&quot;\ * \-#,##0.00_ ;_ &quot;₹&quot;\ * &quot;-&quot;??_ ;_ @_ "/>
    <numFmt numFmtId="164" formatCode="&quot;₹&quot;\ #,##0"/>
    <numFmt numFmtId="165" formatCode="_ &quot;₹&quot;\ * #,##0.0_ ;_ &quot;₹&quot;\ * \-#,##0.0_ ;_ &quot;₹&quot;\ * &quot;-&quot;_ ;_ @_ "/>
    <numFmt numFmtId="166" formatCode="[&lt;=9999999]###\-####;\(###\)\ ###\-####"/>
    <numFmt numFmtId="167" formatCode="#_)"/>
  </numFmts>
  <fonts count="15" x14ac:knownFonts="1">
    <font>
      <sz val="20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u/>
      <sz val="20"/>
      <color theme="10"/>
      <name val="Aptos Narrow"/>
      <family val="2"/>
      <scheme val="minor"/>
    </font>
    <font>
      <u/>
      <sz val="20"/>
      <color theme="1"/>
      <name val="Aptos Narrow"/>
      <family val="2"/>
      <scheme val="minor"/>
    </font>
    <font>
      <sz val="12"/>
      <color theme="1"/>
      <name val="Bahnschrift SemiLight Condensed"/>
      <family val="2"/>
    </font>
    <font>
      <sz val="10"/>
      <name val="Aptos Narrow"/>
      <family val="2"/>
      <scheme val="minor"/>
    </font>
    <font>
      <u/>
      <sz val="20"/>
      <name val="Aptos Narrow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2" tint="-0.89996032593768116"/>
      <name val="Aptos Narrow"/>
      <family val="2"/>
      <scheme val="minor"/>
    </font>
    <font>
      <sz val="11"/>
      <color theme="2" tint="-0.749992370372631"/>
      <name val="Aptos Narrow"/>
      <family val="2"/>
      <scheme val="minor"/>
    </font>
    <font>
      <sz val="11"/>
      <color theme="2" tint="-0.749961851863155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6"/>
      <color rgb="FF000000"/>
      <name val="Aptos Narrow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49998474074526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6">
    <xf numFmtId="0" fontId="0" fillId="0" borderId="0"/>
    <xf numFmtId="0" fontId="3" fillId="0" borderId="0" applyNumberFormat="0" applyFill="0" applyBorder="0" applyAlignment="0" applyProtection="0"/>
    <xf numFmtId="0" fontId="8" fillId="0" borderId="0"/>
    <xf numFmtId="166" fontId="10" fillId="0" borderId="0" applyFont="0" applyFill="0" applyBorder="0" applyAlignment="0">
      <alignment vertical="center"/>
    </xf>
    <xf numFmtId="14" fontId="11" fillId="0" borderId="0" applyFont="0" applyFill="0" applyBorder="0" applyAlignment="0" applyProtection="0">
      <alignment horizontal="left" wrapText="1"/>
    </xf>
    <xf numFmtId="167" fontId="12" fillId="0" borderId="0" applyFont="0" applyFill="0" applyBorder="0">
      <alignment horizontal="right" vertical="center"/>
    </xf>
  </cellStyleXfs>
  <cellXfs count="76">
    <xf numFmtId="0" fontId="0" fillId="0" borderId="0" xfId="0"/>
    <xf numFmtId="0" fontId="0" fillId="2" borderId="0" xfId="0" applyFill="1"/>
    <xf numFmtId="0" fontId="0" fillId="3" borderId="0" xfId="0" applyFill="1"/>
    <xf numFmtId="0" fontId="2" fillId="2" borderId="0" xfId="0" applyFont="1" applyFill="1" applyAlignment="1">
      <alignment horizontal="left"/>
    </xf>
    <xf numFmtId="0" fontId="2" fillId="2" borderId="0" xfId="0" applyFont="1" applyFill="1"/>
    <xf numFmtId="42" fontId="2" fillId="2" borderId="0" xfId="0" applyNumberFormat="1" applyFont="1" applyFill="1"/>
    <xf numFmtId="0" fontId="4" fillId="2" borderId="0" xfId="1" applyFont="1" applyFill="1"/>
    <xf numFmtId="14" fontId="2" fillId="2" borderId="0" xfId="0" applyNumberFormat="1" applyFont="1" applyFill="1"/>
    <xf numFmtId="0" fontId="0" fillId="5" borderId="0" xfId="0" applyFill="1"/>
    <xf numFmtId="4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5" fillId="3" borderId="2" xfId="0" applyFont="1" applyFill="1" applyBorder="1" applyAlignment="1">
      <alignment horizontal="left" indent="1"/>
    </xf>
    <xf numFmtId="0" fontId="5" fillId="3" borderId="3" xfId="0" applyFont="1" applyFill="1" applyBorder="1" applyAlignment="1">
      <alignment horizontal="left" indent="1"/>
    </xf>
    <xf numFmtId="0" fontId="1" fillId="4" borderId="4" xfId="0" applyFont="1" applyFill="1" applyBorder="1"/>
    <xf numFmtId="164" fontId="2" fillId="2" borderId="0" xfId="0" applyNumberFormat="1" applyFont="1" applyFill="1"/>
    <xf numFmtId="0" fontId="1" fillId="0" borderId="0" xfId="0" applyFont="1"/>
    <xf numFmtId="0" fontId="0" fillId="2" borderId="2" xfId="0" applyFill="1" applyBorder="1"/>
    <xf numFmtId="0" fontId="7" fillId="2" borderId="0" xfId="1" applyFont="1" applyFill="1"/>
    <xf numFmtId="0" fontId="0" fillId="2" borderId="0" xfId="0" applyFill="1" applyAlignment="1">
      <alignment horizontal="center"/>
    </xf>
    <xf numFmtId="0" fontId="9" fillId="0" borderId="13" xfId="2" applyFont="1" applyBorder="1" applyAlignment="1">
      <alignment wrapText="1"/>
    </xf>
    <xf numFmtId="0" fontId="0" fillId="0" borderId="0" xfId="0" applyAlignment="1">
      <alignment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2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42" fontId="2" fillId="2" borderId="0" xfId="0" applyNumberFormat="1" applyFont="1" applyFill="1" applyAlignment="1">
      <alignment horizontal="center"/>
    </xf>
    <xf numFmtId="0" fontId="3" fillId="2" borderId="0" xfId="1" applyFill="1" applyAlignment="1">
      <alignment horizontal="center"/>
    </xf>
    <xf numFmtId="0" fontId="0" fillId="0" borderId="2" xfId="0" applyBorder="1" applyAlignment="1">
      <alignment horizontal="center"/>
    </xf>
    <xf numFmtId="44" fontId="2" fillId="2" borderId="0" xfId="0" applyNumberFormat="1" applyFont="1" applyFill="1" applyAlignment="1">
      <alignment horizontal="center"/>
    </xf>
    <xf numFmtId="14" fontId="2" fillId="2" borderId="0" xfId="0" applyNumberFormat="1" applyFont="1" applyFill="1" applyAlignment="1">
      <alignment horizontal="center"/>
    </xf>
    <xf numFmtId="44" fontId="2" fillId="2" borderId="0" xfId="0" applyNumberFormat="1" applyFont="1" applyFill="1"/>
    <xf numFmtId="44" fontId="2" fillId="2" borderId="0" xfId="0" applyNumberFormat="1" applyFont="1" applyFill="1" applyAlignment="1" applyProtection="1">
      <alignment horizontal="center"/>
      <protection locked="0"/>
    </xf>
    <xf numFmtId="1" fontId="2" fillId="2" borderId="0" xfId="0" applyNumberFormat="1" applyFont="1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0" fillId="2" borderId="5" xfId="0" applyFill="1" applyBorder="1"/>
    <xf numFmtId="0" fontId="2" fillId="2" borderId="5" xfId="0" applyFont="1" applyFill="1" applyBorder="1"/>
    <xf numFmtId="0" fontId="13" fillId="0" borderId="0" xfId="0" applyFont="1" applyAlignment="1">
      <alignment horizontal="center" vertical="center" wrapText="1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2" fontId="0" fillId="2" borderId="0" xfId="0" applyNumberForma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0" fontId="3" fillId="2" borderId="0" xfId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42" fontId="2" fillId="2" borderId="0" xfId="0" applyNumberFormat="1" applyFont="1" applyFill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42" fontId="3" fillId="2" borderId="0" xfId="1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4" fontId="2" fillId="2" borderId="0" xfId="0" applyNumberFormat="1" applyFont="1" applyFill="1" applyAlignment="1">
      <alignment horizontal="center" vertical="center"/>
    </xf>
    <xf numFmtId="0" fontId="0" fillId="2" borderId="6" xfId="0" applyFill="1" applyBorder="1"/>
    <xf numFmtId="0" fontId="14" fillId="6" borderId="0" xfId="0" applyFont="1" applyFill="1" applyAlignment="1">
      <alignment horizontal="center" vertical="center"/>
    </xf>
    <xf numFmtId="0" fontId="2" fillId="7" borderId="0" xfId="0" applyFont="1" applyFill="1" applyAlignment="1" applyProtection="1">
      <alignment horizontal="center" vertical="center"/>
      <protection locked="0"/>
    </xf>
    <xf numFmtId="0" fontId="2" fillId="8" borderId="0" xfId="0" applyFont="1" applyFill="1" applyAlignment="1">
      <alignment horizontal="center" vertical="center"/>
    </xf>
    <xf numFmtId="0" fontId="0" fillId="2" borderId="6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</cellXfs>
  <cellStyles count="6">
    <cellStyle name="Date" xfId="4" xr:uid="{6D74612C-174C-4AAD-9C6D-588D200F1928}"/>
    <cellStyle name="Hyperlink" xfId="1" builtinId="8"/>
    <cellStyle name="Normal" xfId="0" builtinId="0"/>
    <cellStyle name="Normal_Drop Down List" xfId="2" xr:uid="{10C95324-7103-4765-AF52-91EF81E0F132}"/>
    <cellStyle name="Phone" xfId="3" xr:uid="{D4A69BBA-CE5C-4A55-8C1D-DAFAB966CBD3}"/>
    <cellStyle name="Quantity" xfId="5" xr:uid="{CE7F4C35-F90A-4268-B084-59ECEA363F8A}"/>
  </cellStyles>
  <dxfs count="38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Aptos Narrow"/>
        <family val="2"/>
        <scheme val="none"/>
      </font>
      <numFmt numFmtId="0" formatCode="General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Aptos Narrow"/>
        <family val="2"/>
        <scheme val="none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Aptos Narrow"/>
        <family val="2"/>
        <scheme val="none"/>
      </font>
      <numFmt numFmtId="0" formatCode="General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Aptos Narrow"/>
        <family val="2"/>
        <scheme val="none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Aptos Narrow"/>
        <family val="2"/>
        <scheme val="none"/>
      </font>
      <fill>
        <patternFill patternType="solid">
          <fgColor rgb="FF000000"/>
          <bgColor rgb="FFD9D9D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Aptos Narrow"/>
        <family val="2"/>
        <scheme val="none"/>
      </font>
      <fill>
        <patternFill patternType="solid">
          <fgColor rgb="FF000000"/>
          <bgColor rgb="FFD9D9D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164" formatCode="&quot;₹&quot;\ #,##0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Aptos Narrow"/>
        <family val="2"/>
        <scheme val="none"/>
      </font>
      <fill>
        <patternFill patternType="solid">
          <fgColor rgb="FF000000"/>
          <bgColor rgb="FFD9D9D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textRotation="0" indent="0" justifyLastLine="0" shrinkToFit="0" readingOrder="0"/>
    </dxf>
    <dxf>
      <numFmt numFmtId="2" formatCode="0.00"/>
      <fill>
        <patternFill patternType="solid">
          <fgColor indexed="64"/>
          <bgColor theme="0" tint="-0.14999847407452621"/>
        </patternFill>
      </fill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4" formatCode="_ &quot;₹&quot;\ * #,##0.00_ ;_ &quot;₹&quot;\ * \-#,##0.00_ ;_ &quot;₹&quot;\ * &quot;-&quot;??_ ;_ @_ 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protection locked="0" hidden="0"/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3" tint="0.89999084444715716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3" tint="0.89999084444715716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1" formatCode="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32" formatCode="_ &quot;₹&quot;\ * #,##0_ ;_ &quot;₹&quot;\ * \-#,##0_ ;_ &quot;₹&quot;\ * &quot;-&quot;_ ;_ @_ 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3" tint="0.499984740745262"/>
        </patternFill>
      </fill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3" tint="0.89999084444715716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1" formatCode="0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numFmt numFmtId="0" formatCode="General"/>
      <fill>
        <patternFill patternType="solid">
          <fgColor indexed="64"/>
          <bgColor theme="0" tint="-0.1499984740745262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</dxf>
    <dxf>
      <font>
        <b/>
        <i val="0"/>
      </font>
    </dxf>
    <dxf>
      <font>
        <b/>
        <i val="0"/>
        <color theme="4" tint="-0.499984740745262"/>
      </font>
      <border>
        <left style="thin">
          <color theme="4"/>
        </left>
        <right style="thin">
          <color theme="4"/>
        </right>
        <top style="double">
          <color theme="4"/>
        </top>
        <bottom style="thin">
          <color theme="4"/>
        </bottom>
      </border>
    </dxf>
    <dxf>
      <font>
        <b/>
        <i val="0"/>
        <strike val="0"/>
        <color theme="2"/>
      </font>
      <fill>
        <patternFill>
          <bgColor theme="1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color auto="1"/>
      </font>
      <fill>
        <patternFill>
          <bgColor theme="3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  <horizontal style="thin">
          <color theme="1"/>
        </horizontal>
      </border>
    </dxf>
  </dxfs>
  <tableStyles count="1" defaultTableStyle="TableStyleMedium2" defaultPivotStyle="PivotStyleLight16">
    <tableStyle name="Invoice" pivot="0" count="4" xr9:uid="{FA3D8FE5-2943-4427-92A1-33DF447C3512}">
      <tableStyleElement type="wholeTable" dxfId="386"/>
      <tableStyleElement type="headerRow" dxfId="385"/>
      <tableStyleElement type="totalRow" dxfId="384"/>
      <tableStyleElement type="firstColumn" dxfId="383"/>
    </tableStyle>
  </tableStyles>
  <colors>
    <mruColors>
      <color rgb="FFD5E78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[IHC_Inventory_Management.xlsx]Sheet9!PivotTable17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Customers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146085397861851"/>
          <c:y val="0.26119718309859152"/>
          <c:w val="0.53935215415146276"/>
          <c:h val="0.661338028169014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Sheet9!$F$2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Sheet9!$E$3:$E$4</c:f>
              <c:strCache>
                <c:ptCount val="1"/>
              </c:strCache>
            </c:strRef>
          </c:cat>
          <c:val>
            <c:numRef>
              <c:f>Sheet9!$F$3:$F$4</c:f>
              <c:numCache>
                <c:formatCode>_("₹"* #,##0_);_("₹"* \(#,##0\);_("₹"* "-"_);_(@_)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13-4AF9-BD65-3DB0F0E19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07735935"/>
        <c:axId val="1307736415"/>
      </c:barChart>
      <c:catAx>
        <c:axId val="1307735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36415"/>
        <c:crosses val="autoZero"/>
        <c:auto val="1"/>
        <c:lblAlgn val="ctr"/>
        <c:lblOffset val="100"/>
        <c:noMultiLvlLbl val="0"/>
      </c:catAx>
      <c:valAx>
        <c:axId val="1307736415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₹&quot;* #,##0_);_(&quot;₹&quot;* \(#,##0\);_(&quot;₹&quot;* &quot;-&quot;_);_(@_)" sourceLinked="1"/>
        <c:majorTickMark val="none"/>
        <c:minorTickMark val="none"/>
        <c:tickLblPos val="nextTo"/>
        <c:crossAx val="1307735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[IHC_Inventory_Management.xlsx]Sheet9!PivotTable18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Selling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Sheet9!$F$12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Sheet9!$E$13:$E$14</c:f>
              <c:strCache>
                <c:ptCount val="1"/>
              </c:strCache>
            </c:strRef>
          </c:cat>
          <c:val>
            <c:numRef>
              <c:f>Sheet9!$F$13:$F$14</c:f>
              <c:numCache>
                <c:formatCode>General</c:formatCode>
                <c:ptCount val="1"/>
                <c:pt idx="0">
                  <c:v>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9B-418D-A1A4-5E5DA9281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96435583"/>
        <c:axId val="1396436063"/>
      </c:barChart>
      <c:catAx>
        <c:axId val="1396435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436063"/>
        <c:crosses val="autoZero"/>
        <c:auto val="1"/>
        <c:lblAlgn val="ctr"/>
        <c:lblOffset val="100"/>
        <c:noMultiLvlLbl val="0"/>
      </c:catAx>
      <c:valAx>
        <c:axId val="139643606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96435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[IHC_Inventory_Management.xlsx]Sheet9!PivotTable19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Available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8211775"/>
        <c:axId val="1307731615"/>
      </c:barChart>
      <c:catAx>
        <c:axId val="130821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31615"/>
        <c:crosses val="autoZero"/>
        <c:auto val="1"/>
        <c:lblAlgn val="ctr"/>
        <c:lblOffset val="100"/>
        <c:noMultiLvlLbl val="0"/>
      </c:catAx>
      <c:valAx>
        <c:axId val="13077316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08211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[IHC_Inventory_Management.xlsx]Sheet9!PivotTable17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Customers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Sheet9!$F$2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Sheet9!$E$3:$E$4</c:f>
              <c:strCache>
                <c:ptCount val="1"/>
              </c:strCache>
            </c:strRef>
          </c:cat>
          <c:val>
            <c:numRef>
              <c:f>Sheet9!$F$3:$F$4</c:f>
              <c:numCache>
                <c:formatCode>_("₹"* #,##0_);_("₹"* \(#,##0\);_("₹"* "-"_);_(@_)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B-4DF0-8B9E-86D1273C3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07735935"/>
        <c:axId val="1307736415"/>
      </c:barChart>
      <c:catAx>
        <c:axId val="1307735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36415"/>
        <c:crosses val="autoZero"/>
        <c:auto val="1"/>
        <c:lblAlgn val="ctr"/>
        <c:lblOffset val="100"/>
        <c:noMultiLvlLbl val="0"/>
      </c:catAx>
      <c:valAx>
        <c:axId val="1307736415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₹&quot;* #,##0_);_(&quot;₹&quot;* \(#,##0\);_(&quot;₹&quot;* &quot;-&quot;_);_(@_)" sourceLinked="1"/>
        <c:majorTickMark val="none"/>
        <c:minorTickMark val="none"/>
        <c:tickLblPos val="nextTo"/>
        <c:crossAx val="1307735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[IHC_Inventory_Management.xlsx]Sheet9!PivotTable18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Best Selling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Sheet9!$F$12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Sheet9!$E$13:$E$14</c:f>
              <c:strCache>
                <c:ptCount val="1"/>
              </c:strCache>
            </c:strRef>
          </c:cat>
          <c:val>
            <c:numRef>
              <c:f>Sheet9!$F$13:$F$14</c:f>
              <c:numCache>
                <c:formatCode>General</c:formatCode>
                <c:ptCount val="1"/>
                <c:pt idx="0">
                  <c:v>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95-45CF-B683-2375C167F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96435583"/>
        <c:axId val="1396436063"/>
      </c:barChart>
      <c:catAx>
        <c:axId val="1396435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436063"/>
        <c:crosses val="autoZero"/>
        <c:auto val="1"/>
        <c:lblAlgn val="ctr"/>
        <c:lblOffset val="100"/>
        <c:noMultiLvlLbl val="0"/>
      </c:catAx>
      <c:valAx>
        <c:axId val="139643606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96435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[IHC_Inventory_Management.xlsx]Sheet9!PivotTable19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8211775"/>
        <c:axId val="1307731615"/>
      </c:barChart>
      <c:catAx>
        <c:axId val="130821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31615"/>
        <c:crosses val="autoZero"/>
        <c:auto val="1"/>
        <c:lblAlgn val="ctr"/>
        <c:lblOffset val="100"/>
        <c:noMultiLvlLbl val="0"/>
      </c:catAx>
      <c:valAx>
        <c:axId val="130773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21177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New Entry'!A1"/><Relationship Id="rId13" Type="http://schemas.openxmlformats.org/officeDocument/2006/relationships/image" Target="../media/image5.svg"/><Relationship Id="rId18" Type="http://schemas.openxmlformats.org/officeDocument/2006/relationships/image" Target="../media/image10.png"/><Relationship Id="rId26" Type="http://schemas.openxmlformats.org/officeDocument/2006/relationships/chart" Target="../charts/chart1.xml"/><Relationship Id="rId3" Type="http://schemas.openxmlformats.org/officeDocument/2006/relationships/image" Target="../media/image2.png"/><Relationship Id="rId21" Type="http://schemas.openxmlformats.org/officeDocument/2006/relationships/image" Target="../media/image13.svg"/><Relationship Id="rId7" Type="http://schemas.openxmlformats.org/officeDocument/2006/relationships/hyperlink" Target="#Products!A1"/><Relationship Id="rId12" Type="http://schemas.openxmlformats.org/officeDocument/2006/relationships/image" Target="../media/image4.png"/><Relationship Id="rId17" Type="http://schemas.openxmlformats.org/officeDocument/2006/relationships/image" Target="../media/image9.svg"/><Relationship Id="rId25" Type="http://schemas.openxmlformats.org/officeDocument/2006/relationships/image" Target="../media/image17.svg"/><Relationship Id="rId2" Type="http://schemas.openxmlformats.org/officeDocument/2006/relationships/hyperlink" Target="#Dashboard!A1"/><Relationship Id="rId16" Type="http://schemas.openxmlformats.org/officeDocument/2006/relationships/image" Target="../media/image8.png"/><Relationship Id="rId20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hyperlink" Target="#Vendors!A1"/><Relationship Id="rId11" Type="http://schemas.openxmlformats.org/officeDocument/2006/relationships/hyperlink" Target="#Inventory!A1"/><Relationship Id="rId24" Type="http://schemas.openxmlformats.org/officeDocument/2006/relationships/image" Target="../media/image16.png"/><Relationship Id="rId5" Type="http://schemas.openxmlformats.org/officeDocument/2006/relationships/hyperlink" Target="#Customers!A1"/><Relationship Id="rId15" Type="http://schemas.openxmlformats.org/officeDocument/2006/relationships/image" Target="../media/image7.svg"/><Relationship Id="rId23" Type="http://schemas.openxmlformats.org/officeDocument/2006/relationships/image" Target="../media/image15.svg"/><Relationship Id="rId28" Type="http://schemas.openxmlformats.org/officeDocument/2006/relationships/chart" Target="../charts/chart3.xml"/><Relationship Id="rId10" Type="http://schemas.openxmlformats.org/officeDocument/2006/relationships/hyperlink" Target="#Sales!A1"/><Relationship Id="rId19" Type="http://schemas.openxmlformats.org/officeDocument/2006/relationships/image" Target="../media/image11.svg"/><Relationship Id="rId4" Type="http://schemas.openxmlformats.org/officeDocument/2006/relationships/image" Target="../media/image3.svg"/><Relationship Id="rId9" Type="http://schemas.openxmlformats.org/officeDocument/2006/relationships/hyperlink" Target="#Purchase!A1"/><Relationship Id="rId14" Type="http://schemas.openxmlformats.org/officeDocument/2006/relationships/image" Target="../media/image6.png"/><Relationship Id="rId22" Type="http://schemas.openxmlformats.org/officeDocument/2006/relationships/image" Target="../media/image14.png"/><Relationship Id="rId27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'New Entry'!A1"/><Relationship Id="rId13" Type="http://schemas.openxmlformats.org/officeDocument/2006/relationships/image" Target="../media/image5.svg"/><Relationship Id="rId18" Type="http://schemas.openxmlformats.org/officeDocument/2006/relationships/image" Target="../media/image10.png"/><Relationship Id="rId3" Type="http://schemas.openxmlformats.org/officeDocument/2006/relationships/image" Target="../media/image19.png"/><Relationship Id="rId21" Type="http://schemas.openxmlformats.org/officeDocument/2006/relationships/image" Target="../media/image22.svg"/><Relationship Id="rId7" Type="http://schemas.openxmlformats.org/officeDocument/2006/relationships/hyperlink" Target="#Products!A1"/><Relationship Id="rId12" Type="http://schemas.openxmlformats.org/officeDocument/2006/relationships/image" Target="../media/image4.png"/><Relationship Id="rId17" Type="http://schemas.openxmlformats.org/officeDocument/2006/relationships/image" Target="../media/image9.svg"/><Relationship Id="rId25" Type="http://schemas.openxmlformats.org/officeDocument/2006/relationships/image" Target="../media/image24.svg"/><Relationship Id="rId2" Type="http://schemas.openxmlformats.org/officeDocument/2006/relationships/hyperlink" Target="#Dashboard!A1"/><Relationship Id="rId16" Type="http://schemas.openxmlformats.org/officeDocument/2006/relationships/image" Target="../media/image8.png"/><Relationship Id="rId20" Type="http://schemas.openxmlformats.org/officeDocument/2006/relationships/image" Target="../media/image21.png"/><Relationship Id="rId1" Type="http://schemas.openxmlformats.org/officeDocument/2006/relationships/image" Target="../media/image18.png"/><Relationship Id="rId6" Type="http://schemas.openxmlformats.org/officeDocument/2006/relationships/hyperlink" Target="#Vendors!A1"/><Relationship Id="rId11" Type="http://schemas.openxmlformats.org/officeDocument/2006/relationships/hyperlink" Target="#Inventory!A1"/><Relationship Id="rId24" Type="http://schemas.openxmlformats.org/officeDocument/2006/relationships/image" Target="../media/image16.png"/><Relationship Id="rId5" Type="http://schemas.openxmlformats.org/officeDocument/2006/relationships/hyperlink" Target="#Customers!A1"/><Relationship Id="rId15" Type="http://schemas.openxmlformats.org/officeDocument/2006/relationships/image" Target="../media/image7.svg"/><Relationship Id="rId23" Type="http://schemas.openxmlformats.org/officeDocument/2006/relationships/image" Target="../media/image23.svg"/><Relationship Id="rId10" Type="http://schemas.openxmlformats.org/officeDocument/2006/relationships/hyperlink" Target="#Sales!A1"/><Relationship Id="rId19" Type="http://schemas.openxmlformats.org/officeDocument/2006/relationships/image" Target="../media/image11.svg"/><Relationship Id="rId4" Type="http://schemas.openxmlformats.org/officeDocument/2006/relationships/image" Target="../media/image20.svg"/><Relationship Id="rId9" Type="http://schemas.openxmlformats.org/officeDocument/2006/relationships/hyperlink" Target="#Purchase!A1"/><Relationship Id="rId14" Type="http://schemas.openxmlformats.org/officeDocument/2006/relationships/image" Target="../media/image6.png"/><Relationship Id="rId22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'New Entry'!A1"/><Relationship Id="rId13" Type="http://schemas.openxmlformats.org/officeDocument/2006/relationships/image" Target="../media/image5.svg"/><Relationship Id="rId18" Type="http://schemas.openxmlformats.org/officeDocument/2006/relationships/image" Target="../media/image10.png"/><Relationship Id="rId3" Type="http://schemas.openxmlformats.org/officeDocument/2006/relationships/image" Target="../media/image19.png"/><Relationship Id="rId21" Type="http://schemas.openxmlformats.org/officeDocument/2006/relationships/image" Target="../media/image13.svg"/><Relationship Id="rId7" Type="http://schemas.openxmlformats.org/officeDocument/2006/relationships/hyperlink" Target="#Products!A1"/><Relationship Id="rId12" Type="http://schemas.openxmlformats.org/officeDocument/2006/relationships/image" Target="../media/image4.png"/><Relationship Id="rId17" Type="http://schemas.openxmlformats.org/officeDocument/2006/relationships/image" Target="../media/image9.svg"/><Relationship Id="rId25" Type="http://schemas.openxmlformats.org/officeDocument/2006/relationships/image" Target="../media/image24.svg"/><Relationship Id="rId2" Type="http://schemas.openxmlformats.org/officeDocument/2006/relationships/hyperlink" Target="#Dashboard!A1"/><Relationship Id="rId16" Type="http://schemas.openxmlformats.org/officeDocument/2006/relationships/image" Target="../media/image8.png"/><Relationship Id="rId20" Type="http://schemas.openxmlformats.org/officeDocument/2006/relationships/image" Target="../media/image12.png"/><Relationship Id="rId1" Type="http://schemas.openxmlformats.org/officeDocument/2006/relationships/image" Target="../media/image25.png"/><Relationship Id="rId6" Type="http://schemas.openxmlformats.org/officeDocument/2006/relationships/hyperlink" Target="#Vendors!A1"/><Relationship Id="rId11" Type="http://schemas.openxmlformats.org/officeDocument/2006/relationships/hyperlink" Target="#Inventory!A1"/><Relationship Id="rId24" Type="http://schemas.openxmlformats.org/officeDocument/2006/relationships/image" Target="../media/image16.png"/><Relationship Id="rId5" Type="http://schemas.openxmlformats.org/officeDocument/2006/relationships/hyperlink" Target="#Customers!A1"/><Relationship Id="rId15" Type="http://schemas.openxmlformats.org/officeDocument/2006/relationships/image" Target="../media/image7.svg"/><Relationship Id="rId23" Type="http://schemas.openxmlformats.org/officeDocument/2006/relationships/image" Target="../media/image27.svg"/><Relationship Id="rId10" Type="http://schemas.openxmlformats.org/officeDocument/2006/relationships/hyperlink" Target="#Sales!A1"/><Relationship Id="rId19" Type="http://schemas.openxmlformats.org/officeDocument/2006/relationships/image" Target="../media/image11.svg"/><Relationship Id="rId4" Type="http://schemas.openxmlformats.org/officeDocument/2006/relationships/image" Target="../media/image20.svg"/><Relationship Id="rId9" Type="http://schemas.openxmlformats.org/officeDocument/2006/relationships/hyperlink" Target="#Purchase!A1"/><Relationship Id="rId14" Type="http://schemas.openxmlformats.org/officeDocument/2006/relationships/image" Target="../media/image6.png"/><Relationship Id="rId22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'New Entry'!A1"/><Relationship Id="rId13" Type="http://schemas.openxmlformats.org/officeDocument/2006/relationships/image" Target="../media/image5.svg"/><Relationship Id="rId18" Type="http://schemas.openxmlformats.org/officeDocument/2006/relationships/image" Target="../media/image10.png"/><Relationship Id="rId3" Type="http://schemas.openxmlformats.org/officeDocument/2006/relationships/image" Target="../media/image19.png"/><Relationship Id="rId21" Type="http://schemas.openxmlformats.org/officeDocument/2006/relationships/image" Target="../media/image13.svg"/><Relationship Id="rId7" Type="http://schemas.openxmlformats.org/officeDocument/2006/relationships/hyperlink" Target="#Products!A1"/><Relationship Id="rId12" Type="http://schemas.openxmlformats.org/officeDocument/2006/relationships/image" Target="../media/image4.png"/><Relationship Id="rId17" Type="http://schemas.openxmlformats.org/officeDocument/2006/relationships/image" Target="../media/image9.svg"/><Relationship Id="rId25" Type="http://schemas.openxmlformats.org/officeDocument/2006/relationships/image" Target="../media/image30.svg"/><Relationship Id="rId2" Type="http://schemas.openxmlformats.org/officeDocument/2006/relationships/hyperlink" Target="#Dashboard!A1"/><Relationship Id="rId16" Type="http://schemas.openxmlformats.org/officeDocument/2006/relationships/image" Target="../media/image8.png"/><Relationship Id="rId20" Type="http://schemas.openxmlformats.org/officeDocument/2006/relationships/image" Target="../media/image12.png"/><Relationship Id="rId1" Type="http://schemas.openxmlformats.org/officeDocument/2006/relationships/image" Target="../media/image28.png"/><Relationship Id="rId6" Type="http://schemas.openxmlformats.org/officeDocument/2006/relationships/hyperlink" Target="#Vendors!A1"/><Relationship Id="rId11" Type="http://schemas.openxmlformats.org/officeDocument/2006/relationships/hyperlink" Target="#Inventory!A1"/><Relationship Id="rId24" Type="http://schemas.openxmlformats.org/officeDocument/2006/relationships/image" Target="../media/image29.png"/><Relationship Id="rId5" Type="http://schemas.openxmlformats.org/officeDocument/2006/relationships/hyperlink" Target="#Customers!A1"/><Relationship Id="rId15" Type="http://schemas.openxmlformats.org/officeDocument/2006/relationships/image" Target="../media/image7.svg"/><Relationship Id="rId23" Type="http://schemas.openxmlformats.org/officeDocument/2006/relationships/image" Target="../media/image23.svg"/><Relationship Id="rId10" Type="http://schemas.openxmlformats.org/officeDocument/2006/relationships/hyperlink" Target="#Sales!A1"/><Relationship Id="rId19" Type="http://schemas.openxmlformats.org/officeDocument/2006/relationships/image" Target="../media/image11.svg"/><Relationship Id="rId4" Type="http://schemas.openxmlformats.org/officeDocument/2006/relationships/image" Target="../media/image20.svg"/><Relationship Id="rId9" Type="http://schemas.openxmlformats.org/officeDocument/2006/relationships/hyperlink" Target="#Purchase!A1"/><Relationship Id="rId14" Type="http://schemas.openxmlformats.org/officeDocument/2006/relationships/image" Target="../media/image6.png"/><Relationship Id="rId22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'New Entry'!A1"/><Relationship Id="rId13" Type="http://schemas.openxmlformats.org/officeDocument/2006/relationships/image" Target="../media/image5.svg"/><Relationship Id="rId18" Type="http://schemas.openxmlformats.org/officeDocument/2006/relationships/image" Target="../media/image10.png"/><Relationship Id="rId3" Type="http://schemas.openxmlformats.org/officeDocument/2006/relationships/image" Target="../media/image19.png"/><Relationship Id="rId21" Type="http://schemas.openxmlformats.org/officeDocument/2006/relationships/image" Target="../media/image13.svg"/><Relationship Id="rId7" Type="http://schemas.openxmlformats.org/officeDocument/2006/relationships/hyperlink" Target="#Products!A1"/><Relationship Id="rId12" Type="http://schemas.openxmlformats.org/officeDocument/2006/relationships/image" Target="../media/image4.png"/><Relationship Id="rId17" Type="http://schemas.openxmlformats.org/officeDocument/2006/relationships/image" Target="../media/image9.svg"/><Relationship Id="rId25" Type="http://schemas.openxmlformats.org/officeDocument/2006/relationships/image" Target="../media/image30.svg"/><Relationship Id="rId2" Type="http://schemas.openxmlformats.org/officeDocument/2006/relationships/hyperlink" Target="#Dashboard!A1"/><Relationship Id="rId16" Type="http://schemas.openxmlformats.org/officeDocument/2006/relationships/image" Target="../media/image8.png"/><Relationship Id="rId20" Type="http://schemas.openxmlformats.org/officeDocument/2006/relationships/image" Target="../media/image12.png"/><Relationship Id="rId1" Type="http://schemas.openxmlformats.org/officeDocument/2006/relationships/image" Target="../media/image31.png"/><Relationship Id="rId6" Type="http://schemas.openxmlformats.org/officeDocument/2006/relationships/hyperlink" Target="#Vendors!A1"/><Relationship Id="rId11" Type="http://schemas.openxmlformats.org/officeDocument/2006/relationships/hyperlink" Target="#Inventory!A1"/><Relationship Id="rId24" Type="http://schemas.openxmlformats.org/officeDocument/2006/relationships/image" Target="../media/image29.png"/><Relationship Id="rId5" Type="http://schemas.openxmlformats.org/officeDocument/2006/relationships/hyperlink" Target="#Customers!A1"/><Relationship Id="rId15" Type="http://schemas.openxmlformats.org/officeDocument/2006/relationships/image" Target="../media/image7.svg"/><Relationship Id="rId23" Type="http://schemas.openxmlformats.org/officeDocument/2006/relationships/image" Target="../media/image23.svg"/><Relationship Id="rId10" Type="http://schemas.openxmlformats.org/officeDocument/2006/relationships/hyperlink" Target="#Sales!A1"/><Relationship Id="rId19" Type="http://schemas.openxmlformats.org/officeDocument/2006/relationships/image" Target="../media/image11.svg"/><Relationship Id="rId4" Type="http://schemas.openxmlformats.org/officeDocument/2006/relationships/image" Target="../media/image20.svg"/><Relationship Id="rId9" Type="http://schemas.openxmlformats.org/officeDocument/2006/relationships/hyperlink" Target="#Purchase!A1"/><Relationship Id="rId14" Type="http://schemas.openxmlformats.org/officeDocument/2006/relationships/image" Target="../media/image6.png"/><Relationship Id="rId22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'New Entry'!A1"/><Relationship Id="rId13" Type="http://schemas.openxmlformats.org/officeDocument/2006/relationships/image" Target="../media/image5.svg"/><Relationship Id="rId18" Type="http://schemas.openxmlformats.org/officeDocument/2006/relationships/image" Target="../media/image10.png"/><Relationship Id="rId3" Type="http://schemas.openxmlformats.org/officeDocument/2006/relationships/image" Target="../media/image19.png"/><Relationship Id="rId21" Type="http://schemas.openxmlformats.org/officeDocument/2006/relationships/image" Target="../media/image13.svg"/><Relationship Id="rId7" Type="http://schemas.openxmlformats.org/officeDocument/2006/relationships/hyperlink" Target="#Products!A1"/><Relationship Id="rId12" Type="http://schemas.openxmlformats.org/officeDocument/2006/relationships/image" Target="../media/image4.png"/><Relationship Id="rId17" Type="http://schemas.openxmlformats.org/officeDocument/2006/relationships/image" Target="../media/image9.svg"/><Relationship Id="rId25" Type="http://schemas.openxmlformats.org/officeDocument/2006/relationships/image" Target="../media/image33.svg"/><Relationship Id="rId2" Type="http://schemas.openxmlformats.org/officeDocument/2006/relationships/hyperlink" Target="#Dashboard!A1"/><Relationship Id="rId16" Type="http://schemas.openxmlformats.org/officeDocument/2006/relationships/image" Target="../media/image8.png"/><Relationship Id="rId20" Type="http://schemas.openxmlformats.org/officeDocument/2006/relationships/image" Target="../media/image12.png"/><Relationship Id="rId1" Type="http://schemas.openxmlformats.org/officeDocument/2006/relationships/image" Target="../media/image32.png"/><Relationship Id="rId6" Type="http://schemas.openxmlformats.org/officeDocument/2006/relationships/hyperlink" Target="#Vendors!A1"/><Relationship Id="rId11" Type="http://schemas.openxmlformats.org/officeDocument/2006/relationships/hyperlink" Target="#Inventory!A1"/><Relationship Id="rId24" Type="http://schemas.openxmlformats.org/officeDocument/2006/relationships/image" Target="../media/image29.png"/><Relationship Id="rId5" Type="http://schemas.openxmlformats.org/officeDocument/2006/relationships/hyperlink" Target="#Customers!A1"/><Relationship Id="rId15" Type="http://schemas.openxmlformats.org/officeDocument/2006/relationships/image" Target="../media/image7.svg"/><Relationship Id="rId23" Type="http://schemas.openxmlformats.org/officeDocument/2006/relationships/image" Target="../media/image23.svg"/><Relationship Id="rId10" Type="http://schemas.openxmlformats.org/officeDocument/2006/relationships/hyperlink" Target="#Sales!A1"/><Relationship Id="rId19" Type="http://schemas.openxmlformats.org/officeDocument/2006/relationships/image" Target="../media/image11.svg"/><Relationship Id="rId4" Type="http://schemas.openxmlformats.org/officeDocument/2006/relationships/image" Target="../media/image20.svg"/><Relationship Id="rId9" Type="http://schemas.openxmlformats.org/officeDocument/2006/relationships/hyperlink" Target="#Purchase!A1"/><Relationship Id="rId14" Type="http://schemas.openxmlformats.org/officeDocument/2006/relationships/image" Target="../media/image6.png"/><Relationship Id="rId22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'New Entry'!A1"/><Relationship Id="rId13" Type="http://schemas.openxmlformats.org/officeDocument/2006/relationships/image" Target="../media/image5.svg"/><Relationship Id="rId18" Type="http://schemas.openxmlformats.org/officeDocument/2006/relationships/image" Target="../media/image10.png"/><Relationship Id="rId3" Type="http://schemas.openxmlformats.org/officeDocument/2006/relationships/image" Target="../media/image19.png"/><Relationship Id="rId21" Type="http://schemas.openxmlformats.org/officeDocument/2006/relationships/image" Target="../media/image13.svg"/><Relationship Id="rId7" Type="http://schemas.openxmlformats.org/officeDocument/2006/relationships/hyperlink" Target="#Products!A1"/><Relationship Id="rId12" Type="http://schemas.openxmlformats.org/officeDocument/2006/relationships/image" Target="../media/image4.png"/><Relationship Id="rId17" Type="http://schemas.openxmlformats.org/officeDocument/2006/relationships/image" Target="../media/image9.svg"/><Relationship Id="rId25" Type="http://schemas.openxmlformats.org/officeDocument/2006/relationships/image" Target="../media/image30.svg"/><Relationship Id="rId2" Type="http://schemas.openxmlformats.org/officeDocument/2006/relationships/hyperlink" Target="#Dashboard!A1"/><Relationship Id="rId16" Type="http://schemas.openxmlformats.org/officeDocument/2006/relationships/image" Target="../media/image8.png"/><Relationship Id="rId20" Type="http://schemas.openxmlformats.org/officeDocument/2006/relationships/image" Target="../media/image12.png"/><Relationship Id="rId1" Type="http://schemas.openxmlformats.org/officeDocument/2006/relationships/image" Target="../media/image34.png"/><Relationship Id="rId6" Type="http://schemas.openxmlformats.org/officeDocument/2006/relationships/hyperlink" Target="#Vendors!A1"/><Relationship Id="rId11" Type="http://schemas.openxmlformats.org/officeDocument/2006/relationships/hyperlink" Target="#Inventory!A1"/><Relationship Id="rId24" Type="http://schemas.openxmlformats.org/officeDocument/2006/relationships/image" Target="../media/image29.png"/><Relationship Id="rId5" Type="http://schemas.openxmlformats.org/officeDocument/2006/relationships/hyperlink" Target="#Customers!A1"/><Relationship Id="rId15" Type="http://schemas.openxmlformats.org/officeDocument/2006/relationships/image" Target="../media/image7.svg"/><Relationship Id="rId23" Type="http://schemas.openxmlformats.org/officeDocument/2006/relationships/image" Target="../media/image23.svg"/><Relationship Id="rId10" Type="http://schemas.openxmlformats.org/officeDocument/2006/relationships/hyperlink" Target="#Sales!A1"/><Relationship Id="rId19" Type="http://schemas.openxmlformats.org/officeDocument/2006/relationships/image" Target="../media/image11.svg"/><Relationship Id="rId4" Type="http://schemas.openxmlformats.org/officeDocument/2006/relationships/image" Target="../media/image20.svg"/><Relationship Id="rId9" Type="http://schemas.openxmlformats.org/officeDocument/2006/relationships/hyperlink" Target="#Purchase!A1"/><Relationship Id="rId14" Type="http://schemas.openxmlformats.org/officeDocument/2006/relationships/image" Target="../media/image6.png"/><Relationship Id="rId22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'New Entry'!A1"/><Relationship Id="rId13" Type="http://schemas.openxmlformats.org/officeDocument/2006/relationships/image" Target="../media/image5.svg"/><Relationship Id="rId18" Type="http://schemas.openxmlformats.org/officeDocument/2006/relationships/image" Target="../media/image10.png"/><Relationship Id="rId3" Type="http://schemas.openxmlformats.org/officeDocument/2006/relationships/image" Target="../media/image19.png"/><Relationship Id="rId21" Type="http://schemas.openxmlformats.org/officeDocument/2006/relationships/image" Target="../media/image13.svg"/><Relationship Id="rId7" Type="http://schemas.openxmlformats.org/officeDocument/2006/relationships/hyperlink" Target="#Products!A1"/><Relationship Id="rId12" Type="http://schemas.openxmlformats.org/officeDocument/2006/relationships/image" Target="../media/image4.png"/><Relationship Id="rId17" Type="http://schemas.openxmlformats.org/officeDocument/2006/relationships/image" Target="../media/image9.svg"/><Relationship Id="rId25" Type="http://schemas.openxmlformats.org/officeDocument/2006/relationships/image" Target="../media/image30.svg"/><Relationship Id="rId2" Type="http://schemas.openxmlformats.org/officeDocument/2006/relationships/hyperlink" Target="#Dashboard!A1"/><Relationship Id="rId16" Type="http://schemas.openxmlformats.org/officeDocument/2006/relationships/image" Target="../media/image8.png"/><Relationship Id="rId20" Type="http://schemas.openxmlformats.org/officeDocument/2006/relationships/image" Target="../media/image12.png"/><Relationship Id="rId1" Type="http://schemas.openxmlformats.org/officeDocument/2006/relationships/image" Target="../media/image35.png"/><Relationship Id="rId6" Type="http://schemas.openxmlformats.org/officeDocument/2006/relationships/hyperlink" Target="#Vendors!A1"/><Relationship Id="rId11" Type="http://schemas.openxmlformats.org/officeDocument/2006/relationships/hyperlink" Target="#Inventory!A1"/><Relationship Id="rId24" Type="http://schemas.openxmlformats.org/officeDocument/2006/relationships/image" Target="../media/image29.png"/><Relationship Id="rId5" Type="http://schemas.openxmlformats.org/officeDocument/2006/relationships/hyperlink" Target="#Customers!A1"/><Relationship Id="rId15" Type="http://schemas.openxmlformats.org/officeDocument/2006/relationships/image" Target="../media/image7.svg"/><Relationship Id="rId23" Type="http://schemas.openxmlformats.org/officeDocument/2006/relationships/image" Target="../media/image23.svg"/><Relationship Id="rId10" Type="http://schemas.openxmlformats.org/officeDocument/2006/relationships/hyperlink" Target="#Sales!A1"/><Relationship Id="rId19" Type="http://schemas.openxmlformats.org/officeDocument/2006/relationships/image" Target="../media/image11.svg"/><Relationship Id="rId4" Type="http://schemas.openxmlformats.org/officeDocument/2006/relationships/image" Target="../media/image20.svg"/><Relationship Id="rId9" Type="http://schemas.openxmlformats.org/officeDocument/2006/relationships/hyperlink" Target="#Purchase!A1"/><Relationship Id="rId14" Type="http://schemas.openxmlformats.org/officeDocument/2006/relationships/image" Target="../media/image6.png"/><Relationship Id="rId22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Products!A1"/><Relationship Id="rId13" Type="http://schemas.openxmlformats.org/officeDocument/2006/relationships/image" Target="../media/image4.png"/><Relationship Id="rId18" Type="http://schemas.openxmlformats.org/officeDocument/2006/relationships/image" Target="../media/image9.svg"/><Relationship Id="rId26" Type="http://schemas.openxmlformats.org/officeDocument/2006/relationships/image" Target="../media/image30.svg"/><Relationship Id="rId3" Type="http://schemas.openxmlformats.org/officeDocument/2006/relationships/hyperlink" Target="#Dashboard!A1"/><Relationship Id="rId21" Type="http://schemas.openxmlformats.org/officeDocument/2006/relationships/image" Target="../media/image12.png"/><Relationship Id="rId7" Type="http://schemas.openxmlformats.org/officeDocument/2006/relationships/hyperlink" Target="#Vendors!A1"/><Relationship Id="rId12" Type="http://schemas.openxmlformats.org/officeDocument/2006/relationships/hyperlink" Target="#Inventory!A1"/><Relationship Id="rId17" Type="http://schemas.openxmlformats.org/officeDocument/2006/relationships/image" Target="../media/image8.png"/><Relationship Id="rId25" Type="http://schemas.openxmlformats.org/officeDocument/2006/relationships/image" Target="../media/image29.png"/><Relationship Id="rId2" Type="http://schemas.openxmlformats.org/officeDocument/2006/relationships/image" Target="../media/image37.svg"/><Relationship Id="rId16" Type="http://schemas.openxmlformats.org/officeDocument/2006/relationships/image" Target="../media/image7.svg"/><Relationship Id="rId20" Type="http://schemas.openxmlformats.org/officeDocument/2006/relationships/image" Target="../media/image11.svg"/><Relationship Id="rId1" Type="http://schemas.openxmlformats.org/officeDocument/2006/relationships/image" Target="../media/image36.png"/><Relationship Id="rId6" Type="http://schemas.openxmlformats.org/officeDocument/2006/relationships/hyperlink" Target="#Customers!A1"/><Relationship Id="rId11" Type="http://schemas.openxmlformats.org/officeDocument/2006/relationships/hyperlink" Target="#Sales!A1"/><Relationship Id="rId24" Type="http://schemas.openxmlformats.org/officeDocument/2006/relationships/image" Target="../media/image23.svg"/><Relationship Id="rId5" Type="http://schemas.openxmlformats.org/officeDocument/2006/relationships/image" Target="../media/image20.svg"/><Relationship Id="rId15" Type="http://schemas.openxmlformats.org/officeDocument/2006/relationships/image" Target="../media/image6.png"/><Relationship Id="rId23" Type="http://schemas.openxmlformats.org/officeDocument/2006/relationships/image" Target="../media/image14.png"/><Relationship Id="rId10" Type="http://schemas.openxmlformats.org/officeDocument/2006/relationships/hyperlink" Target="#Purchase!A1"/><Relationship Id="rId19" Type="http://schemas.openxmlformats.org/officeDocument/2006/relationships/image" Target="../media/image10.png"/><Relationship Id="rId4" Type="http://schemas.openxmlformats.org/officeDocument/2006/relationships/image" Target="../media/image19.png"/><Relationship Id="rId9" Type="http://schemas.openxmlformats.org/officeDocument/2006/relationships/hyperlink" Target="#'New Entry'!A1"/><Relationship Id="rId14" Type="http://schemas.openxmlformats.org/officeDocument/2006/relationships/image" Target="../media/image5.svg"/><Relationship Id="rId22" Type="http://schemas.openxmlformats.org/officeDocument/2006/relationships/image" Target="../media/image13.sv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'New Entry'!A1"/><Relationship Id="rId13" Type="http://schemas.openxmlformats.org/officeDocument/2006/relationships/image" Target="../media/image5.svg"/><Relationship Id="rId18" Type="http://schemas.openxmlformats.org/officeDocument/2006/relationships/image" Target="../media/image10.png"/><Relationship Id="rId3" Type="http://schemas.openxmlformats.org/officeDocument/2006/relationships/image" Target="../media/image19.png"/><Relationship Id="rId21" Type="http://schemas.openxmlformats.org/officeDocument/2006/relationships/image" Target="../media/image13.svg"/><Relationship Id="rId7" Type="http://schemas.openxmlformats.org/officeDocument/2006/relationships/hyperlink" Target="#Products!A1"/><Relationship Id="rId12" Type="http://schemas.openxmlformats.org/officeDocument/2006/relationships/image" Target="../media/image4.png"/><Relationship Id="rId17" Type="http://schemas.openxmlformats.org/officeDocument/2006/relationships/image" Target="../media/image9.svg"/><Relationship Id="rId25" Type="http://schemas.openxmlformats.org/officeDocument/2006/relationships/image" Target="../media/image30.svg"/><Relationship Id="rId2" Type="http://schemas.openxmlformats.org/officeDocument/2006/relationships/hyperlink" Target="#Dashboard!A1"/><Relationship Id="rId16" Type="http://schemas.openxmlformats.org/officeDocument/2006/relationships/image" Target="../media/image8.png"/><Relationship Id="rId20" Type="http://schemas.openxmlformats.org/officeDocument/2006/relationships/image" Target="../media/image12.png"/><Relationship Id="rId1" Type="http://schemas.openxmlformats.org/officeDocument/2006/relationships/image" Target="../media/image38.png"/><Relationship Id="rId6" Type="http://schemas.openxmlformats.org/officeDocument/2006/relationships/hyperlink" Target="#Vendors!A1"/><Relationship Id="rId11" Type="http://schemas.openxmlformats.org/officeDocument/2006/relationships/hyperlink" Target="#Inventory!A1"/><Relationship Id="rId24" Type="http://schemas.openxmlformats.org/officeDocument/2006/relationships/image" Target="../media/image29.png"/><Relationship Id="rId5" Type="http://schemas.openxmlformats.org/officeDocument/2006/relationships/hyperlink" Target="#Customers!A1"/><Relationship Id="rId15" Type="http://schemas.openxmlformats.org/officeDocument/2006/relationships/image" Target="../media/image7.svg"/><Relationship Id="rId23" Type="http://schemas.openxmlformats.org/officeDocument/2006/relationships/image" Target="../media/image23.svg"/><Relationship Id="rId10" Type="http://schemas.openxmlformats.org/officeDocument/2006/relationships/hyperlink" Target="#Sales!A1"/><Relationship Id="rId19" Type="http://schemas.openxmlformats.org/officeDocument/2006/relationships/image" Target="../media/image11.svg"/><Relationship Id="rId4" Type="http://schemas.openxmlformats.org/officeDocument/2006/relationships/image" Target="../media/image20.svg"/><Relationship Id="rId9" Type="http://schemas.openxmlformats.org/officeDocument/2006/relationships/hyperlink" Target="#Purchase!A1"/><Relationship Id="rId14" Type="http://schemas.openxmlformats.org/officeDocument/2006/relationships/image" Target="../media/image6.png"/><Relationship Id="rId22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'New Entry'!A1"/><Relationship Id="rId13" Type="http://schemas.openxmlformats.org/officeDocument/2006/relationships/image" Target="../media/image5.svg"/><Relationship Id="rId18" Type="http://schemas.openxmlformats.org/officeDocument/2006/relationships/image" Target="../media/image40.png"/><Relationship Id="rId3" Type="http://schemas.openxmlformats.org/officeDocument/2006/relationships/image" Target="../media/image19.png"/><Relationship Id="rId21" Type="http://schemas.openxmlformats.org/officeDocument/2006/relationships/image" Target="../media/image13.svg"/><Relationship Id="rId7" Type="http://schemas.openxmlformats.org/officeDocument/2006/relationships/hyperlink" Target="#Products!A1"/><Relationship Id="rId12" Type="http://schemas.openxmlformats.org/officeDocument/2006/relationships/image" Target="../media/image4.png"/><Relationship Id="rId17" Type="http://schemas.openxmlformats.org/officeDocument/2006/relationships/image" Target="../media/image9.svg"/><Relationship Id="rId25" Type="http://schemas.openxmlformats.org/officeDocument/2006/relationships/image" Target="../media/image24.svg"/><Relationship Id="rId2" Type="http://schemas.openxmlformats.org/officeDocument/2006/relationships/hyperlink" Target="#Dashboard!A1"/><Relationship Id="rId16" Type="http://schemas.openxmlformats.org/officeDocument/2006/relationships/image" Target="../media/image8.png"/><Relationship Id="rId20" Type="http://schemas.openxmlformats.org/officeDocument/2006/relationships/image" Target="../media/image12.png"/><Relationship Id="rId1" Type="http://schemas.openxmlformats.org/officeDocument/2006/relationships/image" Target="../media/image39.png"/><Relationship Id="rId6" Type="http://schemas.openxmlformats.org/officeDocument/2006/relationships/hyperlink" Target="#Vendors!A1"/><Relationship Id="rId11" Type="http://schemas.openxmlformats.org/officeDocument/2006/relationships/hyperlink" Target="#Inventory!A1"/><Relationship Id="rId24" Type="http://schemas.openxmlformats.org/officeDocument/2006/relationships/image" Target="../media/image16.png"/><Relationship Id="rId5" Type="http://schemas.openxmlformats.org/officeDocument/2006/relationships/hyperlink" Target="#Customers!A1"/><Relationship Id="rId15" Type="http://schemas.openxmlformats.org/officeDocument/2006/relationships/image" Target="../media/image7.svg"/><Relationship Id="rId23" Type="http://schemas.openxmlformats.org/officeDocument/2006/relationships/image" Target="../media/image23.svg"/><Relationship Id="rId10" Type="http://schemas.openxmlformats.org/officeDocument/2006/relationships/hyperlink" Target="#Sales!A1"/><Relationship Id="rId19" Type="http://schemas.openxmlformats.org/officeDocument/2006/relationships/image" Target="../media/image41.svg"/><Relationship Id="rId4" Type="http://schemas.openxmlformats.org/officeDocument/2006/relationships/image" Target="../media/image20.svg"/><Relationship Id="rId9" Type="http://schemas.openxmlformats.org/officeDocument/2006/relationships/hyperlink" Target="#Purchase!A1"/><Relationship Id="rId14" Type="http://schemas.openxmlformats.org/officeDocument/2006/relationships/image" Target="../media/image6.png"/><Relationship Id="rId22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#'New Entry'!A1"/><Relationship Id="rId13" Type="http://schemas.openxmlformats.org/officeDocument/2006/relationships/image" Target="../media/image5.svg"/><Relationship Id="rId18" Type="http://schemas.openxmlformats.org/officeDocument/2006/relationships/image" Target="../media/image10.png"/><Relationship Id="rId3" Type="http://schemas.openxmlformats.org/officeDocument/2006/relationships/image" Target="../media/image19.png"/><Relationship Id="rId21" Type="http://schemas.openxmlformats.org/officeDocument/2006/relationships/image" Target="../media/image13.svg"/><Relationship Id="rId7" Type="http://schemas.openxmlformats.org/officeDocument/2006/relationships/hyperlink" Target="#Products!A1"/><Relationship Id="rId12" Type="http://schemas.openxmlformats.org/officeDocument/2006/relationships/image" Target="../media/image4.png"/><Relationship Id="rId17" Type="http://schemas.openxmlformats.org/officeDocument/2006/relationships/image" Target="../media/image9.svg"/><Relationship Id="rId25" Type="http://schemas.openxmlformats.org/officeDocument/2006/relationships/image" Target="../media/image24.svg"/><Relationship Id="rId2" Type="http://schemas.openxmlformats.org/officeDocument/2006/relationships/hyperlink" Target="#Dashboard!A1"/><Relationship Id="rId16" Type="http://schemas.openxmlformats.org/officeDocument/2006/relationships/image" Target="../media/image8.png"/><Relationship Id="rId20" Type="http://schemas.openxmlformats.org/officeDocument/2006/relationships/image" Target="../media/image12.png"/><Relationship Id="rId1" Type="http://schemas.openxmlformats.org/officeDocument/2006/relationships/image" Target="../media/image42.png"/><Relationship Id="rId6" Type="http://schemas.openxmlformats.org/officeDocument/2006/relationships/hyperlink" Target="#Vendors!A1"/><Relationship Id="rId11" Type="http://schemas.openxmlformats.org/officeDocument/2006/relationships/hyperlink" Target="#Inventory!A1"/><Relationship Id="rId24" Type="http://schemas.openxmlformats.org/officeDocument/2006/relationships/image" Target="../media/image16.png"/><Relationship Id="rId5" Type="http://schemas.openxmlformats.org/officeDocument/2006/relationships/hyperlink" Target="#Customers!A1"/><Relationship Id="rId15" Type="http://schemas.openxmlformats.org/officeDocument/2006/relationships/image" Target="../media/image44.svg"/><Relationship Id="rId23" Type="http://schemas.openxmlformats.org/officeDocument/2006/relationships/image" Target="../media/image23.svg"/><Relationship Id="rId10" Type="http://schemas.openxmlformats.org/officeDocument/2006/relationships/hyperlink" Target="#Sales!A1"/><Relationship Id="rId19" Type="http://schemas.openxmlformats.org/officeDocument/2006/relationships/image" Target="../media/image11.svg"/><Relationship Id="rId4" Type="http://schemas.openxmlformats.org/officeDocument/2006/relationships/image" Target="../media/image20.svg"/><Relationship Id="rId9" Type="http://schemas.openxmlformats.org/officeDocument/2006/relationships/hyperlink" Target="#Purchase!A1"/><Relationship Id="rId14" Type="http://schemas.openxmlformats.org/officeDocument/2006/relationships/image" Target="../media/image43.png"/><Relationship Id="rId22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hyperlink" Target="#'New Entry'!A1"/><Relationship Id="rId13" Type="http://schemas.openxmlformats.org/officeDocument/2006/relationships/image" Target="../media/image5.svg"/><Relationship Id="rId18" Type="http://schemas.openxmlformats.org/officeDocument/2006/relationships/image" Target="../media/image10.png"/><Relationship Id="rId3" Type="http://schemas.openxmlformats.org/officeDocument/2006/relationships/image" Target="../media/image19.png"/><Relationship Id="rId21" Type="http://schemas.openxmlformats.org/officeDocument/2006/relationships/image" Target="../media/image13.svg"/><Relationship Id="rId7" Type="http://schemas.openxmlformats.org/officeDocument/2006/relationships/hyperlink" Target="#Products!A1"/><Relationship Id="rId12" Type="http://schemas.openxmlformats.org/officeDocument/2006/relationships/image" Target="../media/image4.png"/><Relationship Id="rId17" Type="http://schemas.openxmlformats.org/officeDocument/2006/relationships/image" Target="../media/image47.svg"/><Relationship Id="rId25" Type="http://schemas.openxmlformats.org/officeDocument/2006/relationships/image" Target="../media/image24.svg"/><Relationship Id="rId2" Type="http://schemas.openxmlformats.org/officeDocument/2006/relationships/hyperlink" Target="#Dashboard!A1"/><Relationship Id="rId16" Type="http://schemas.openxmlformats.org/officeDocument/2006/relationships/image" Target="../media/image46.png"/><Relationship Id="rId20" Type="http://schemas.openxmlformats.org/officeDocument/2006/relationships/image" Target="../media/image12.png"/><Relationship Id="rId1" Type="http://schemas.openxmlformats.org/officeDocument/2006/relationships/image" Target="../media/image45.png"/><Relationship Id="rId6" Type="http://schemas.openxmlformats.org/officeDocument/2006/relationships/hyperlink" Target="#Vendors!A1"/><Relationship Id="rId11" Type="http://schemas.openxmlformats.org/officeDocument/2006/relationships/hyperlink" Target="#Inventory!A1"/><Relationship Id="rId24" Type="http://schemas.openxmlformats.org/officeDocument/2006/relationships/image" Target="../media/image16.png"/><Relationship Id="rId5" Type="http://schemas.openxmlformats.org/officeDocument/2006/relationships/hyperlink" Target="#Customers!A1"/><Relationship Id="rId15" Type="http://schemas.openxmlformats.org/officeDocument/2006/relationships/image" Target="../media/image7.svg"/><Relationship Id="rId23" Type="http://schemas.openxmlformats.org/officeDocument/2006/relationships/image" Target="../media/image23.svg"/><Relationship Id="rId10" Type="http://schemas.openxmlformats.org/officeDocument/2006/relationships/hyperlink" Target="#Sales!A1"/><Relationship Id="rId19" Type="http://schemas.openxmlformats.org/officeDocument/2006/relationships/image" Target="../media/image11.svg"/><Relationship Id="rId4" Type="http://schemas.openxmlformats.org/officeDocument/2006/relationships/image" Target="../media/image20.svg"/><Relationship Id="rId9" Type="http://schemas.openxmlformats.org/officeDocument/2006/relationships/hyperlink" Target="#Purchase!A1"/><Relationship Id="rId14" Type="http://schemas.openxmlformats.org/officeDocument/2006/relationships/image" Target="../media/image6.png"/><Relationship Id="rId22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#'New Entry'!A1"/><Relationship Id="rId13" Type="http://schemas.openxmlformats.org/officeDocument/2006/relationships/image" Target="../media/image50.svg"/><Relationship Id="rId18" Type="http://schemas.openxmlformats.org/officeDocument/2006/relationships/image" Target="../media/image10.png"/><Relationship Id="rId3" Type="http://schemas.openxmlformats.org/officeDocument/2006/relationships/image" Target="../media/image19.png"/><Relationship Id="rId21" Type="http://schemas.openxmlformats.org/officeDocument/2006/relationships/image" Target="../media/image13.svg"/><Relationship Id="rId7" Type="http://schemas.openxmlformats.org/officeDocument/2006/relationships/hyperlink" Target="#Products!A1"/><Relationship Id="rId12" Type="http://schemas.openxmlformats.org/officeDocument/2006/relationships/image" Target="../media/image49.png"/><Relationship Id="rId17" Type="http://schemas.openxmlformats.org/officeDocument/2006/relationships/image" Target="../media/image9.svg"/><Relationship Id="rId25" Type="http://schemas.openxmlformats.org/officeDocument/2006/relationships/image" Target="../media/image24.svg"/><Relationship Id="rId2" Type="http://schemas.openxmlformats.org/officeDocument/2006/relationships/hyperlink" Target="#Dashboard!A1"/><Relationship Id="rId16" Type="http://schemas.openxmlformats.org/officeDocument/2006/relationships/image" Target="../media/image8.png"/><Relationship Id="rId20" Type="http://schemas.openxmlformats.org/officeDocument/2006/relationships/image" Target="../media/image12.png"/><Relationship Id="rId1" Type="http://schemas.openxmlformats.org/officeDocument/2006/relationships/image" Target="../media/image48.png"/><Relationship Id="rId6" Type="http://schemas.openxmlformats.org/officeDocument/2006/relationships/hyperlink" Target="#Vendors!A1"/><Relationship Id="rId11" Type="http://schemas.openxmlformats.org/officeDocument/2006/relationships/hyperlink" Target="#Inventory!A1"/><Relationship Id="rId24" Type="http://schemas.openxmlformats.org/officeDocument/2006/relationships/image" Target="../media/image16.png"/><Relationship Id="rId5" Type="http://schemas.openxmlformats.org/officeDocument/2006/relationships/hyperlink" Target="#Customers!A1"/><Relationship Id="rId15" Type="http://schemas.openxmlformats.org/officeDocument/2006/relationships/image" Target="../media/image7.svg"/><Relationship Id="rId23" Type="http://schemas.openxmlformats.org/officeDocument/2006/relationships/image" Target="../media/image23.svg"/><Relationship Id="rId10" Type="http://schemas.openxmlformats.org/officeDocument/2006/relationships/hyperlink" Target="#Sales!A1"/><Relationship Id="rId19" Type="http://schemas.openxmlformats.org/officeDocument/2006/relationships/image" Target="../media/image11.svg"/><Relationship Id="rId4" Type="http://schemas.openxmlformats.org/officeDocument/2006/relationships/image" Target="../media/image20.svg"/><Relationship Id="rId9" Type="http://schemas.openxmlformats.org/officeDocument/2006/relationships/hyperlink" Target="#Purchase!A1"/><Relationship Id="rId14" Type="http://schemas.openxmlformats.org/officeDocument/2006/relationships/image" Target="../media/image6.png"/><Relationship Id="rId22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hyperlink" Target="#'New Entry'!A1"/><Relationship Id="rId13" Type="http://schemas.openxmlformats.org/officeDocument/2006/relationships/image" Target="../media/image50.svg"/><Relationship Id="rId18" Type="http://schemas.openxmlformats.org/officeDocument/2006/relationships/image" Target="../media/image10.png"/><Relationship Id="rId3" Type="http://schemas.openxmlformats.org/officeDocument/2006/relationships/image" Target="../media/image19.png"/><Relationship Id="rId21" Type="http://schemas.openxmlformats.org/officeDocument/2006/relationships/image" Target="../media/image13.svg"/><Relationship Id="rId7" Type="http://schemas.openxmlformats.org/officeDocument/2006/relationships/hyperlink" Target="#Products!A1"/><Relationship Id="rId12" Type="http://schemas.openxmlformats.org/officeDocument/2006/relationships/image" Target="../media/image49.png"/><Relationship Id="rId17" Type="http://schemas.openxmlformats.org/officeDocument/2006/relationships/image" Target="../media/image9.svg"/><Relationship Id="rId25" Type="http://schemas.openxmlformats.org/officeDocument/2006/relationships/image" Target="../media/image24.svg"/><Relationship Id="rId2" Type="http://schemas.openxmlformats.org/officeDocument/2006/relationships/hyperlink" Target="#Dashboard!A1"/><Relationship Id="rId16" Type="http://schemas.openxmlformats.org/officeDocument/2006/relationships/image" Target="../media/image8.png"/><Relationship Id="rId20" Type="http://schemas.openxmlformats.org/officeDocument/2006/relationships/image" Target="../media/image12.png"/><Relationship Id="rId1" Type="http://schemas.openxmlformats.org/officeDocument/2006/relationships/image" Target="../media/image51.png"/><Relationship Id="rId6" Type="http://schemas.openxmlformats.org/officeDocument/2006/relationships/hyperlink" Target="#Vendors!A1"/><Relationship Id="rId11" Type="http://schemas.openxmlformats.org/officeDocument/2006/relationships/hyperlink" Target="#Inventory!A1"/><Relationship Id="rId24" Type="http://schemas.openxmlformats.org/officeDocument/2006/relationships/image" Target="../media/image16.png"/><Relationship Id="rId5" Type="http://schemas.openxmlformats.org/officeDocument/2006/relationships/hyperlink" Target="#Customers!A1"/><Relationship Id="rId15" Type="http://schemas.openxmlformats.org/officeDocument/2006/relationships/image" Target="../media/image7.svg"/><Relationship Id="rId23" Type="http://schemas.openxmlformats.org/officeDocument/2006/relationships/image" Target="../media/image23.svg"/><Relationship Id="rId10" Type="http://schemas.openxmlformats.org/officeDocument/2006/relationships/hyperlink" Target="#Sales!A1"/><Relationship Id="rId19" Type="http://schemas.openxmlformats.org/officeDocument/2006/relationships/image" Target="../media/image11.svg"/><Relationship Id="rId4" Type="http://schemas.openxmlformats.org/officeDocument/2006/relationships/image" Target="../media/image20.svg"/><Relationship Id="rId9" Type="http://schemas.openxmlformats.org/officeDocument/2006/relationships/hyperlink" Target="#Purchase!A1"/><Relationship Id="rId14" Type="http://schemas.openxmlformats.org/officeDocument/2006/relationships/image" Target="../media/image6.png"/><Relationship Id="rId22" Type="http://schemas.openxmlformats.org/officeDocument/2006/relationships/image" Target="../media/image14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hyperlink" Target="#'New Entry'!A1"/><Relationship Id="rId13" Type="http://schemas.openxmlformats.org/officeDocument/2006/relationships/image" Target="../media/image50.svg"/><Relationship Id="rId18" Type="http://schemas.openxmlformats.org/officeDocument/2006/relationships/image" Target="../media/image10.png"/><Relationship Id="rId3" Type="http://schemas.openxmlformats.org/officeDocument/2006/relationships/image" Target="../media/image19.png"/><Relationship Id="rId21" Type="http://schemas.openxmlformats.org/officeDocument/2006/relationships/image" Target="../media/image13.svg"/><Relationship Id="rId7" Type="http://schemas.openxmlformats.org/officeDocument/2006/relationships/hyperlink" Target="#Products!A1"/><Relationship Id="rId12" Type="http://schemas.openxmlformats.org/officeDocument/2006/relationships/image" Target="../media/image49.png"/><Relationship Id="rId17" Type="http://schemas.openxmlformats.org/officeDocument/2006/relationships/image" Target="../media/image9.svg"/><Relationship Id="rId25" Type="http://schemas.openxmlformats.org/officeDocument/2006/relationships/image" Target="../media/image24.svg"/><Relationship Id="rId2" Type="http://schemas.openxmlformats.org/officeDocument/2006/relationships/hyperlink" Target="#Dashboard!A1"/><Relationship Id="rId16" Type="http://schemas.openxmlformats.org/officeDocument/2006/relationships/image" Target="../media/image8.png"/><Relationship Id="rId20" Type="http://schemas.openxmlformats.org/officeDocument/2006/relationships/image" Target="../media/image12.png"/><Relationship Id="rId1" Type="http://schemas.openxmlformats.org/officeDocument/2006/relationships/image" Target="../media/image51.png"/><Relationship Id="rId6" Type="http://schemas.openxmlformats.org/officeDocument/2006/relationships/hyperlink" Target="#Vendors!A1"/><Relationship Id="rId11" Type="http://schemas.openxmlformats.org/officeDocument/2006/relationships/hyperlink" Target="#Inventory!A1"/><Relationship Id="rId24" Type="http://schemas.openxmlformats.org/officeDocument/2006/relationships/image" Target="../media/image16.png"/><Relationship Id="rId5" Type="http://schemas.openxmlformats.org/officeDocument/2006/relationships/hyperlink" Target="#Customers!A1"/><Relationship Id="rId15" Type="http://schemas.openxmlformats.org/officeDocument/2006/relationships/image" Target="../media/image7.svg"/><Relationship Id="rId23" Type="http://schemas.openxmlformats.org/officeDocument/2006/relationships/image" Target="../media/image23.svg"/><Relationship Id="rId10" Type="http://schemas.openxmlformats.org/officeDocument/2006/relationships/hyperlink" Target="#Sales!A1"/><Relationship Id="rId19" Type="http://schemas.openxmlformats.org/officeDocument/2006/relationships/image" Target="../media/image11.svg"/><Relationship Id="rId4" Type="http://schemas.openxmlformats.org/officeDocument/2006/relationships/image" Target="../media/image20.svg"/><Relationship Id="rId9" Type="http://schemas.openxmlformats.org/officeDocument/2006/relationships/hyperlink" Target="#Purchase!A1"/><Relationship Id="rId14" Type="http://schemas.openxmlformats.org/officeDocument/2006/relationships/image" Target="../media/image6.png"/><Relationship Id="rId22" Type="http://schemas.openxmlformats.org/officeDocument/2006/relationships/image" Target="../media/image1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hyperlink" Target="#'New Entry'!A1"/><Relationship Id="rId13" Type="http://schemas.openxmlformats.org/officeDocument/2006/relationships/image" Target="../media/image50.svg"/><Relationship Id="rId18" Type="http://schemas.openxmlformats.org/officeDocument/2006/relationships/image" Target="../media/image10.png"/><Relationship Id="rId3" Type="http://schemas.openxmlformats.org/officeDocument/2006/relationships/image" Target="../media/image19.png"/><Relationship Id="rId21" Type="http://schemas.openxmlformats.org/officeDocument/2006/relationships/image" Target="../media/image13.svg"/><Relationship Id="rId7" Type="http://schemas.openxmlformats.org/officeDocument/2006/relationships/hyperlink" Target="#Products!A1"/><Relationship Id="rId12" Type="http://schemas.openxmlformats.org/officeDocument/2006/relationships/image" Target="../media/image49.png"/><Relationship Id="rId17" Type="http://schemas.openxmlformats.org/officeDocument/2006/relationships/image" Target="../media/image9.svg"/><Relationship Id="rId25" Type="http://schemas.openxmlformats.org/officeDocument/2006/relationships/image" Target="../media/image24.svg"/><Relationship Id="rId2" Type="http://schemas.openxmlformats.org/officeDocument/2006/relationships/hyperlink" Target="#Dashboard!A1"/><Relationship Id="rId16" Type="http://schemas.openxmlformats.org/officeDocument/2006/relationships/image" Target="../media/image8.png"/><Relationship Id="rId20" Type="http://schemas.openxmlformats.org/officeDocument/2006/relationships/image" Target="../media/image12.png"/><Relationship Id="rId1" Type="http://schemas.openxmlformats.org/officeDocument/2006/relationships/image" Target="../media/image51.png"/><Relationship Id="rId6" Type="http://schemas.openxmlformats.org/officeDocument/2006/relationships/hyperlink" Target="#Vendors!A1"/><Relationship Id="rId11" Type="http://schemas.openxmlformats.org/officeDocument/2006/relationships/hyperlink" Target="#Inventory!A1"/><Relationship Id="rId24" Type="http://schemas.openxmlformats.org/officeDocument/2006/relationships/image" Target="../media/image16.png"/><Relationship Id="rId5" Type="http://schemas.openxmlformats.org/officeDocument/2006/relationships/hyperlink" Target="#Customers!A1"/><Relationship Id="rId15" Type="http://schemas.openxmlformats.org/officeDocument/2006/relationships/image" Target="../media/image7.svg"/><Relationship Id="rId23" Type="http://schemas.openxmlformats.org/officeDocument/2006/relationships/image" Target="../media/image23.svg"/><Relationship Id="rId10" Type="http://schemas.openxmlformats.org/officeDocument/2006/relationships/hyperlink" Target="#Sales!A1"/><Relationship Id="rId19" Type="http://schemas.openxmlformats.org/officeDocument/2006/relationships/image" Target="../media/image11.svg"/><Relationship Id="rId4" Type="http://schemas.openxmlformats.org/officeDocument/2006/relationships/image" Target="../media/image20.svg"/><Relationship Id="rId9" Type="http://schemas.openxmlformats.org/officeDocument/2006/relationships/hyperlink" Target="#Purchase!A1"/><Relationship Id="rId14" Type="http://schemas.openxmlformats.org/officeDocument/2006/relationships/image" Target="../media/image6.png"/><Relationship Id="rId22" Type="http://schemas.openxmlformats.org/officeDocument/2006/relationships/image" Target="../media/image1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hyperlink" Target="#'New Entry'!A1"/><Relationship Id="rId13" Type="http://schemas.openxmlformats.org/officeDocument/2006/relationships/image" Target="../media/image53.svg"/><Relationship Id="rId18" Type="http://schemas.openxmlformats.org/officeDocument/2006/relationships/image" Target="../media/image10.png"/><Relationship Id="rId3" Type="http://schemas.openxmlformats.org/officeDocument/2006/relationships/image" Target="../media/image19.png"/><Relationship Id="rId21" Type="http://schemas.openxmlformats.org/officeDocument/2006/relationships/image" Target="../media/image13.svg"/><Relationship Id="rId7" Type="http://schemas.openxmlformats.org/officeDocument/2006/relationships/hyperlink" Target="#Products!A1"/><Relationship Id="rId12" Type="http://schemas.openxmlformats.org/officeDocument/2006/relationships/image" Target="../media/image49.png"/><Relationship Id="rId17" Type="http://schemas.openxmlformats.org/officeDocument/2006/relationships/image" Target="../media/image9.svg"/><Relationship Id="rId25" Type="http://schemas.openxmlformats.org/officeDocument/2006/relationships/image" Target="../media/image24.svg"/><Relationship Id="rId2" Type="http://schemas.openxmlformats.org/officeDocument/2006/relationships/hyperlink" Target="#Dashboard!A1"/><Relationship Id="rId16" Type="http://schemas.openxmlformats.org/officeDocument/2006/relationships/image" Target="../media/image8.png"/><Relationship Id="rId20" Type="http://schemas.openxmlformats.org/officeDocument/2006/relationships/image" Target="../media/image12.png"/><Relationship Id="rId1" Type="http://schemas.openxmlformats.org/officeDocument/2006/relationships/image" Target="../media/image52.png"/><Relationship Id="rId6" Type="http://schemas.openxmlformats.org/officeDocument/2006/relationships/hyperlink" Target="#Vendors!A1"/><Relationship Id="rId11" Type="http://schemas.openxmlformats.org/officeDocument/2006/relationships/hyperlink" Target="#Inventory!A1"/><Relationship Id="rId24" Type="http://schemas.openxmlformats.org/officeDocument/2006/relationships/image" Target="../media/image16.png"/><Relationship Id="rId5" Type="http://schemas.openxmlformats.org/officeDocument/2006/relationships/hyperlink" Target="#Customers!A1"/><Relationship Id="rId15" Type="http://schemas.openxmlformats.org/officeDocument/2006/relationships/image" Target="../media/image7.svg"/><Relationship Id="rId23" Type="http://schemas.openxmlformats.org/officeDocument/2006/relationships/image" Target="../media/image23.svg"/><Relationship Id="rId10" Type="http://schemas.openxmlformats.org/officeDocument/2006/relationships/hyperlink" Target="#Sales!A1"/><Relationship Id="rId19" Type="http://schemas.openxmlformats.org/officeDocument/2006/relationships/image" Target="../media/image11.svg"/><Relationship Id="rId4" Type="http://schemas.openxmlformats.org/officeDocument/2006/relationships/image" Target="../media/image20.svg"/><Relationship Id="rId9" Type="http://schemas.openxmlformats.org/officeDocument/2006/relationships/hyperlink" Target="#Purchase!A1"/><Relationship Id="rId14" Type="http://schemas.openxmlformats.org/officeDocument/2006/relationships/image" Target="../media/image6.png"/><Relationship Id="rId22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141287</xdr:colOff>
      <xdr:row>0</xdr:row>
      <xdr:rowOff>112711</xdr:rowOff>
    </xdr:from>
    <xdr:to>
      <xdr:col>1</xdr:col>
      <xdr:colOff>1762125</xdr:colOff>
      <xdr:row>4</xdr:row>
      <xdr:rowOff>180975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3685F74A-8E6C-FF78-EBF8-889B0C3CB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0362" y="112711"/>
          <a:ext cx="1620838" cy="1401764"/>
        </a:xfrm>
        <a:prstGeom prst="rect">
          <a:avLst/>
        </a:prstGeom>
      </xdr:spPr>
    </xdr:pic>
    <xdr:clientData/>
  </xdr:twoCellAnchor>
  <xdr:twoCellAnchor editAs="absolute">
    <xdr:from>
      <xdr:col>1</xdr:col>
      <xdr:colOff>190500</xdr:colOff>
      <xdr:row>3</xdr:row>
      <xdr:rowOff>314325</xdr:rowOff>
    </xdr:from>
    <xdr:to>
      <xdr:col>1</xdr:col>
      <xdr:colOff>1733550</xdr:colOff>
      <xdr:row>4</xdr:row>
      <xdr:rowOff>298450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ED118D9-4CE1-7DFD-9219-6E8D8F91A799}"/>
            </a:ext>
          </a:extLst>
        </xdr:cNvPr>
        <xdr:cNvSpPr/>
      </xdr:nvSpPr>
      <xdr:spPr>
        <a:xfrm>
          <a:off x="409575" y="1314450"/>
          <a:ext cx="1543050" cy="317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 kern="1200">
              <a:solidFill>
                <a:schemeClr val="tx1"/>
              </a:solidFill>
            </a:rPr>
            <a:t>Indian </a:t>
          </a:r>
          <a:r>
            <a:rPr lang="en-IN" sz="1200" b="1" kern="1200">
              <a:solidFill>
                <a:schemeClr val="tx1"/>
              </a:solidFill>
            </a:rPr>
            <a:t>Heritage</a:t>
          </a:r>
          <a:r>
            <a:rPr lang="en-IN" sz="1100" b="1" kern="1200">
              <a:solidFill>
                <a:schemeClr val="tx1"/>
              </a:solidFill>
            </a:rPr>
            <a:t> Crafts</a:t>
          </a:r>
        </a:p>
      </xdr:txBody>
    </xdr:sp>
    <xdr:clientData/>
  </xdr:twoCellAnchor>
  <xdr:twoCellAnchor editAs="absolute">
    <xdr:from>
      <xdr:col>1</xdr:col>
      <xdr:colOff>349250</xdr:colOff>
      <xdr:row>5</xdr:row>
      <xdr:rowOff>31750</xdr:rowOff>
    </xdr:from>
    <xdr:to>
      <xdr:col>1</xdr:col>
      <xdr:colOff>1524000</xdr:colOff>
      <xdr:row>6</xdr:row>
      <xdr:rowOff>44450</xdr:rowOff>
    </xdr:to>
    <xdr:sp macro="" textlink="">
      <xdr:nvSpPr>
        <xdr:cNvPr id="7" name="Rectangl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76D44AC-DD1D-8784-E340-E5BCD02AE034}"/>
            </a:ext>
          </a:extLst>
        </xdr:cNvPr>
        <xdr:cNvSpPr/>
      </xdr:nvSpPr>
      <xdr:spPr>
        <a:xfrm>
          <a:off x="558800" y="168275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/>
              </a:solidFill>
            </a:rPr>
            <a:t>Dashboard</a:t>
          </a:r>
        </a:p>
      </xdr:txBody>
    </xdr:sp>
    <xdr:clientData/>
  </xdr:twoCellAnchor>
  <xdr:twoCellAnchor editAs="absolute">
    <xdr:from>
      <xdr:col>1</xdr:col>
      <xdr:colOff>82550</xdr:colOff>
      <xdr:row>5</xdr:row>
      <xdr:rowOff>19050</xdr:rowOff>
    </xdr:from>
    <xdr:to>
      <xdr:col>1</xdr:col>
      <xdr:colOff>412750</xdr:colOff>
      <xdr:row>6</xdr:row>
      <xdr:rowOff>19050</xdr:rowOff>
    </xdr:to>
    <xdr:pic>
      <xdr:nvPicPr>
        <xdr:cNvPr id="9" name="Graphic 8" descr="Presentation with bar chart with solid fill">
          <a:extLst>
            <a:ext uri="{FF2B5EF4-FFF2-40B4-BE49-F238E27FC236}">
              <a16:creationId xmlns:a16="http://schemas.microsoft.com/office/drawing/2014/main" id="{397C9F88-E623-D05D-5945-C8FFD90DD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92100" y="1670050"/>
          <a:ext cx="330200" cy="330200"/>
        </a:xfrm>
        <a:prstGeom prst="rect">
          <a:avLst/>
        </a:prstGeom>
      </xdr:spPr>
    </xdr:pic>
    <xdr:clientData/>
  </xdr:twoCellAnchor>
  <xdr:twoCellAnchor editAs="absolute">
    <xdr:from>
      <xdr:col>1</xdr:col>
      <xdr:colOff>349250</xdr:colOff>
      <xdr:row>6</xdr:row>
      <xdr:rowOff>39914</xdr:rowOff>
    </xdr:from>
    <xdr:to>
      <xdr:col>1</xdr:col>
      <xdr:colOff>1524000</xdr:colOff>
      <xdr:row>7</xdr:row>
      <xdr:rowOff>52614</xdr:rowOff>
    </xdr:to>
    <xdr:sp macro="" textlink="">
      <xdr:nvSpPr>
        <xdr:cNvPr id="10" name="Rectangle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C6828C3-AD3C-5811-5305-B5CF2781D52D}"/>
            </a:ext>
          </a:extLst>
        </xdr:cNvPr>
        <xdr:cNvSpPr/>
      </xdr:nvSpPr>
      <xdr:spPr>
        <a:xfrm>
          <a:off x="558800" y="2021114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Customers</a:t>
          </a:r>
        </a:p>
      </xdr:txBody>
    </xdr:sp>
    <xdr:clientData/>
  </xdr:twoCellAnchor>
  <xdr:twoCellAnchor editAs="absolute">
    <xdr:from>
      <xdr:col>1</xdr:col>
      <xdr:colOff>349250</xdr:colOff>
      <xdr:row>7</xdr:row>
      <xdr:rowOff>48078</xdr:rowOff>
    </xdr:from>
    <xdr:to>
      <xdr:col>1</xdr:col>
      <xdr:colOff>1524000</xdr:colOff>
      <xdr:row>8</xdr:row>
      <xdr:rowOff>60778</xdr:rowOff>
    </xdr:to>
    <xdr:sp macro="" textlink="">
      <xdr:nvSpPr>
        <xdr:cNvPr id="11" name="Rectangle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DBB7202-F41F-4181-DE64-DE20F55E083D}"/>
            </a:ext>
          </a:extLst>
        </xdr:cNvPr>
        <xdr:cNvSpPr/>
      </xdr:nvSpPr>
      <xdr:spPr>
        <a:xfrm>
          <a:off x="558800" y="2359478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Vendors</a:t>
          </a:r>
        </a:p>
      </xdr:txBody>
    </xdr:sp>
    <xdr:clientData/>
  </xdr:twoCellAnchor>
  <xdr:twoCellAnchor editAs="absolute">
    <xdr:from>
      <xdr:col>1</xdr:col>
      <xdr:colOff>349250</xdr:colOff>
      <xdr:row>8</xdr:row>
      <xdr:rowOff>56242</xdr:rowOff>
    </xdr:from>
    <xdr:to>
      <xdr:col>1</xdr:col>
      <xdr:colOff>1524000</xdr:colOff>
      <xdr:row>9</xdr:row>
      <xdr:rowOff>68942</xdr:rowOff>
    </xdr:to>
    <xdr:sp macro="" textlink="">
      <xdr:nvSpPr>
        <xdr:cNvPr id="12" name="Rectangle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DE37837-3671-849A-FDA3-A28C57C8CB6C}"/>
            </a:ext>
          </a:extLst>
        </xdr:cNvPr>
        <xdr:cNvSpPr/>
      </xdr:nvSpPr>
      <xdr:spPr>
        <a:xfrm>
          <a:off x="558800" y="2697842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Products</a:t>
          </a:r>
        </a:p>
      </xdr:txBody>
    </xdr:sp>
    <xdr:clientData/>
  </xdr:twoCellAnchor>
  <xdr:twoCellAnchor editAs="absolute">
    <xdr:from>
      <xdr:col>1</xdr:col>
      <xdr:colOff>349250</xdr:colOff>
      <xdr:row>9</xdr:row>
      <xdr:rowOff>64406</xdr:rowOff>
    </xdr:from>
    <xdr:to>
      <xdr:col>1</xdr:col>
      <xdr:colOff>1524000</xdr:colOff>
      <xdr:row>10</xdr:row>
      <xdr:rowOff>77106</xdr:rowOff>
    </xdr:to>
    <xdr:sp macro="" textlink="">
      <xdr:nvSpPr>
        <xdr:cNvPr id="13" name="Rectangle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C6EE874-A155-0F29-C793-575C2576250B}"/>
            </a:ext>
          </a:extLst>
        </xdr:cNvPr>
        <xdr:cNvSpPr/>
      </xdr:nvSpPr>
      <xdr:spPr>
        <a:xfrm>
          <a:off x="558800" y="3036206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New Entry</a:t>
          </a:r>
        </a:p>
      </xdr:txBody>
    </xdr:sp>
    <xdr:clientData/>
  </xdr:twoCellAnchor>
  <xdr:twoCellAnchor editAs="absolute">
    <xdr:from>
      <xdr:col>1</xdr:col>
      <xdr:colOff>349250</xdr:colOff>
      <xdr:row>10</xdr:row>
      <xdr:rowOff>72570</xdr:rowOff>
    </xdr:from>
    <xdr:to>
      <xdr:col>1</xdr:col>
      <xdr:colOff>1524000</xdr:colOff>
      <xdr:row>11</xdr:row>
      <xdr:rowOff>85270</xdr:rowOff>
    </xdr:to>
    <xdr:sp macro="" textlink="">
      <xdr:nvSpPr>
        <xdr:cNvPr id="14" name="Rectangle 13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E8CAF23-6EC7-30A7-7128-53BC6BC89C75}"/>
            </a:ext>
          </a:extLst>
        </xdr:cNvPr>
        <xdr:cNvSpPr/>
      </xdr:nvSpPr>
      <xdr:spPr>
        <a:xfrm>
          <a:off x="558800" y="337457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Purchase</a:t>
          </a:r>
        </a:p>
      </xdr:txBody>
    </xdr:sp>
    <xdr:clientData/>
  </xdr:twoCellAnchor>
  <xdr:twoCellAnchor editAs="absolute">
    <xdr:from>
      <xdr:col>1</xdr:col>
      <xdr:colOff>349250</xdr:colOff>
      <xdr:row>11</xdr:row>
      <xdr:rowOff>80734</xdr:rowOff>
    </xdr:from>
    <xdr:to>
      <xdr:col>1</xdr:col>
      <xdr:colOff>1524000</xdr:colOff>
      <xdr:row>12</xdr:row>
      <xdr:rowOff>93434</xdr:rowOff>
    </xdr:to>
    <xdr:sp macro="" textlink="">
      <xdr:nvSpPr>
        <xdr:cNvPr id="15" name="Rectangl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A092771-3EFE-0A83-36E7-29DB4D4B837C}"/>
            </a:ext>
          </a:extLst>
        </xdr:cNvPr>
        <xdr:cNvSpPr/>
      </xdr:nvSpPr>
      <xdr:spPr>
        <a:xfrm>
          <a:off x="558800" y="3712934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</xdr:col>
      <xdr:colOff>349250</xdr:colOff>
      <xdr:row>12</xdr:row>
      <xdr:rowOff>88900</xdr:rowOff>
    </xdr:from>
    <xdr:to>
      <xdr:col>1</xdr:col>
      <xdr:colOff>1524000</xdr:colOff>
      <xdr:row>13</xdr:row>
      <xdr:rowOff>101600</xdr:rowOff>
    </xdr:to>
    <xdr:sp macro="" textlink="">
      <xdr:nvSpPr>
        <xdr:cNvPr id="16" name="Rectangle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8768FBD-83D6-0AA4-A34B-1D09EBDEB075}"/>
            </a:ext>
          </a:extLst>
        </xdr:cNvPr>
        <xdr:cNvSpPr/>
      </xdr:nvSpPr>
      <xdr:spPr>
        <a:xfrm>
          <a:off x="558800" y="405130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Inventory</a:t>
          </a:r>
        </a:p>
      </xdr:txBody>
    </xdr:sp>
    <xdr:clientData/>
  </xdr:twoCellAnchor>
  <xdr:twoCellAnchor editAs="absolute">
    <xdr:from>
      <xdr:col>1</xdr:col>
      <xdr:colOff>82550</xdr:colOff>
      <xdr:row>12</xdr:row>
      <xdr:rowOff>82550</xdr:rowOff>
    </xdr:from>
    <xdr:to>
      <xdr:col>1</xdr:col>
      <xdr:colOff>334550</xdr:colOff>
      <xdr:row>13</xdr:row>
      <xdr:rowOff>4350</xdr:rowOff>
    </xdr:to>
    <xdr:pic>
      <xdr:nvPicPr>
        <xdr:cNvPr id="18" name="Graphic 17" descr="Clipboard Partially Checked with solid fill">
          <a:extLst>
            <a:ext uri="{FF2B5EF4-FFF2-40B4-BE49-F238E27FC236}">
              <a16:creationId xmlns:a16="http://schemas.microsoft.com/office/drawing/2014/main" id="{E1053182-FB73-B1F9-E84B-DF5E0A60F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92100" y="40449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10</xdr:row>
      <xdr:rowOff>111900</xdr:rowOff>
    </xdr:from>
    <xdr:to>
      <xdr:col>1</xdr:col>
      <xdr:colOff>334550</xdr:colOff>
      <xdr:row>11</xdr:row>
      <xdr:rowOff>33700</xdr:rowOff>
    </xdr:to>
    <xdr:pic>
      <xdr:nvPicPr>
        <xdr:cNvPr id="20" name="Graphic 19" descr="Receipt with solid fill">
          <a:extLst>
            <a:ext uri="{FF2B5EF4-FFF2-40B4-BE49-F238E27FC236}">
              <a16:creationId xmlns:a16="http://schemas.microsoft.com/office/drawing/2014/main" id="{FA516D17-52D2-AE6D-6956-CCFBB5264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2100" y="34139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11</xdr:row>
      <xdr:rowOff>96800</xdr:rowOff>
    </xdr:from>
    <xdr:to>
      <xdr:col>1</xdr:col>
      <xdr:colOff>334550</xdr:colOff>
      <xdr:row>12</xdr:row>
      <xdr:rowOff>18600</xdr:rowOff>
    </xdr:to>
    <xdr:pic>
      <xdr:nvPicPr>
        <xdr:cNvPr id="22" name="Graphic 21" descr="Register with solid fill">
          <a:extLst>
            <a:ext uri="{FF2B5EF4-FFF2-40B4-BE49-F238E27FC236}">
              <a16:creationId xmlns:a16="http://schemas.microsoft.com/office/drawing/2014/main" id="{0DAC7CC6-3B56-597B-928F-CA27DF3EB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92100" y="37290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9</xdr:row>
      <xdr:rowOff>56300</xdr:rowOff>
    </xdr:from>
    <xdr:to>
      <xdr:col>1</xdr:col>
      <xdr:colOff>334550</xdr:colOff>
      <xdr:row>9</xdr:row>
      <xdr:rowOff>308300</xdr:rowOff>
    </xdr:to>
    <xdr:pic>
      <xdr:nvPicPr>
        <xdr:cNvPr id="24" name="Graphic 23" descr="Full Brick Wall with solid fill">
          <a:extLst>
            <a:ext uri="{FF2B5EF4-FFF2-40B4-BE49-F238E27FC236}">
              <a16:creationId xmlns:a16="http://schemas.microsoft.com/office/drawing/2014/main" id="{0088C376-BF06-9457-2B40-2DF9FC0BA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92100" y="30281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6</xdr:row>
      <xdr:rowOff>41200</xdr:rowOff>
    </xdr:from>
    <xdr:to>
      <xdr:col>1</xdr:col>
      <xdr:colOff>334550</xdr:colOff>
      <xdr:row>6</xdr:row>
      <xdr:rowOff>293200</xdr:rowOff>
    </xdr:to>
    <xdr:pic>
      <xdr:nvPicPr>
        <xdr:cNvPr id="26" name="Graphic 25" descr="User with solid fill">
          <a:extLst>
            <a:ext uri="{FF2B5EF4-FFF2-40B4-BE49-F238E27FC236}">
              <a16:creationId xmlns:a16="http://schemas.microsoft.com/office/drawing/2014/main" id="{CC89904F-F49F-DA71-4ADF-BAC57CA8D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92100" y="20224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7</xdr:row>
      <xdr:rowOff>7050</xdr:rowOff>
    </xdr:from>
    <xdr:to>
      <xdr:col>1</xdr:col>
      <xdr:colOff>334550</xdr:colOff>
      <xdr:row>7</xdr:row>
      <xdr:rowOff>259050</xdr:rowOff>
    </xdr:to>
    <xdr:pic>
      <xdr:nvPicPr>
        <xdr:cNvPr id="28" name="Graphic 27" descr="User outline">
          <a:extLst>
            <a:ext uri="{FF2B5EF4-FFF2-40B4-BE49-F238E27FC236}">
              <a16:creationId xmlns:a16="http://schemas.microsoft.com/office/drawing/2014/main" id="{78FFB26C-7CD6-FE8B-54E5-943675CD5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92100" y="23184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8</xdr:row>
      <xdr:rowOff>31750</xdr:rowOff>
    </xdr:from>
    <xdr:to>
      <xdr:col>1</xdr:col>
      <xdr:colOff>334550</xdr:colOff>
      <xdr:row>8</xdr:row>
      <xdr:rowOff>283750</xdr:rowOff>
    </xdr:to>
    <xdr:pic>
      <xdr:nvPicPr>
        <xdr:cNvPr id="30" name="Graphic 29" descr="Inventory outline">
          <a:extLst>
            <a:ext uri="{FF2B5EF4-FFF2-40B4-BE49-F238E27FC236}">
              <a16:creationId xmlns:a16="http://schemas.microsoft.com/office/drawing/2014/main" id="{EC9AA550-8C81-B0CD-2B74-710010BDE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292100" y="26733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3</xdr:col>
      <xdr:colOff>0</xdr:colOff>
      <xdr:row>1</xdr:row>
      <xdr:rowOff>6350</xdr:rowOff>
    </xdr:from>
    <xdr:to>
      <xdr:col>8</xdr:col>
      <xdr:colOff>3305175</xdr:colOff>
      <xdr:row>3</xdr:row>
      <xdr:rowOff>19050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A2DCAF39-0412-A7FD-D831-AD466CC40F64}"/>
            </a:ext>
          </a:extLst>
        </xdr:cNvPr>
        <xdr:cNvSpPr/>
      </xdr:nvSpPr>
      <xdr:spPr>
        <a:xfrm>
          <a:off x="2381250" y="339725"/>
          <a:ext cx="9915525" cy="6794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800" b="1" kern="1200">
              <a:solidFill>
                <a:schemeClr val="tx1"/>
              </a:solidFill>
            </a:rPr>
            <a:t> Inventory Management System - IHC</a:t>
          </a:r>
        </a:p>
      </xdr:txBody>
    </xdr:sp>
    <xdr:clientData/>
  </xdr:twoCellAnchor>
  <xdr:twoCellAnchor editAs="absolute">
    <xdr:from>
      <xdr:col>3</xdr:col>
      <xdr:colOff>6350</xdr:colOff>
      <xdr:row>3</xdr:row>
      <xdr:rowOff>196850</xdr:rowOff>
    </xdr:from>
    <xdr:to>
      <xdr:col>4</xdr:col>
      <xdr:colOff>311150</xdr:colOff>
      <xdr:row>5</xdr:row>
      <xdr:rowOff>139700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5C818032-15FF-0D02-386A-58EAB51A88E7}"/>
            </a:ext>
          </a:extLst>
        </xdr:cNvPr>
        <xdr:cNvSpPr/>
      </xdr:nvSpPr>
      <xdr:spPr>
        <a:xfrm>
          <a:off x="2279650" y="1187450"/>
          <a:ext cx="1422400" cy="603250"/>
        </a:xfrm>
        <a:prstGeom prst="rect">
          <a:avLst/>
        </a:prstGeom>
        <a:solidFill>
          <a:schemeClr val="bg1"/>
        </a:solidFill>
        <a:ln w="3175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0" kern="1200">
              <a:solidFill>
                <a:schemeClr val="tx1"/>
              </a:solidFill>
            </a:rPr>
            <a:t>     Customers</a:t>
          </a:r>
        </a:p>
      </xdr:txBody>
    </xdr:sp>
    <xdr:clientData/>
  </xdr:twoCellAnchor>
  <xdr:twoCellAnchor editAs="absolute">
    <xdr:from>
      <xdr:col>3</xdr:col>
      <xdr:colOff>6350</xdr:colOff>
      <xdr:row>3</xdr:row>
      <xdr:rowOff>196850</xdr:rowOff>
    </xdr:from>
    <xdr:to>
      <xdr:col>3</xdr:col>
      <xdr:colOff>177800</xdr:colOff>
      <xdr:row>5</xdr:row>
      <xdr:rowOff>139700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9F29A1A0-5D0E-CDE5-7F77-E57436AD0F33}"/>
            </a:ext>
          </a:extLst>
        </xdr:cNvPr>
        <xdr:cNvSpPr/>
      </xdr:nvSpPr>
      <xdr:spPr>
        <a:xfrm>
          <a:off x="2279650" y="1187450"/>
          <a:ext cx="171450" cy="6032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3175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 editAs="absolute">
    <xdr:from>
      <xdr:col>4</xdr:col>
      <xdr:colOff>527050</xdr:colOff>
      <xdr:row>3</xdr:row>
      <xdr:rowOff>196850</xdr:rowOff>
    </xdr:from>
    <xdr:to>
      <xdr:col>5</xdr:col>
      <xdr:colOff>831850</xdr:colOff>
      <xdr:row>5</xdr:row>
      <xdr:rowOff>139700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18A0719C-E45C-A614-6FB5-225751D1FD84}"/>
            </a:ext>
          </a:extLst>
        </xdr:cNvPr>
        <xdr:cNvSpPr/>
      </xdr:nvSpPr>
      <xdr:spPr>
        <a:xfrm>
          <a:off x="3917950" y="1187450"/>
          <a:ext cx="1422400" cy="603250"/>
        </a:xfrm>
        <a:prstGeom prst="rect">
          <a:avLst/>
        </a:prstGeom>
        <a:solidFill>
          <a:schemeClr val="bg1"/>
        </a:solidFill>
        <a:ln w="3175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0" kern="1200">
              <a:solidFill>
                <a:schemeClr val="tx1"/>
              </a:solidFill>
            </a:rPr>
            <a:t>     Products</a:t>
          </a:r>
        </a:p>
      </xdr:txBody>
    </xdr:sp>
    <xdr:clientData/>
  </xdr:twoCellAnchor>
  <xdr:twoCellAnchor editAs="absolute">
    <xdr:from>
      <xdr:col>4</xdr:col>
      <xdr:colOff>527050</xdr:colOff>
      <xdr:row>3</xdr:row>
      <xdr:rowOff>196850</xdr:rowOff>
    </xdr:from>
    <xdr:to>
      <xdr:col>4</xdr:col>
      <xdr:colOff>698500</xdr:colOff>
      <xdr:row>5</xdr:row>
      <xdr:rowOff>139700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9F1EF94F-5A1D-7D8D-BD28-ACA16FBBC3B9}"/>
            </a:ext>
          </a:extLst>
        </xdr:cNvPr>
        <xdr:cNvSpPr/>
      </xdr:nvSpPr>
      <xdr:spPr>
        <a:xfrm>
          <a:off x="3917950" y="1187450"/>
          <a:ext cx="171450" cy="60325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3175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 editAs="absolute">
    <xdr:from>
      <xdr:col>5</xdr:col>
      <xdr:colOff>1016000</xdr:colOff>
      <xdr:row>3</xdr:row>
      <xdr:rowOff>203200</xdr:rowOff>
    </xdr:from>
    <xdr:to>
      <xdr:col>7</xdr:col>
      <xdr:colOff>203200</xdr:colOff>
      <xdr:row>5</xdr:row>
      <xdr:rowOff>146050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519D6237-8BEF-C535-ED14-C9A2337B61B0}"/>
            </a:ext>
          </a:extLst>
        </xdr:cNvPr>
        <xdr:cNvSpPr/>
      </xdr:nvSpPr>
      <xdr:spPr>
        <a:xfrm>
          <a:off x="5524500" y="1193800"/>
          <a:ext cx="1422400" cy="603250"/>
        </a:xfrm>
        <a:prstGeom prst="rect">
          <a:avLst/>
        </a:prstGeom>
        <a:solidFill>
          <a:schemeClr val="bg1"/>
        </a:solidFill>
        <a:ln w="3175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0" kern="1200" baseline="0">
              <a:solidFill>
                <a:schemeClr val="tx1"/>
              </a:solidFill>
            </a:rPr>
            <a:t>     Purchase Amt.</a:t>
          </a:r>
          <a:endParaRPr lang="en-IN" sz="1400" b="0" kern="1200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5</xdr:col>
      <xdr:colOff>1016000</xdr:colOff>
      <xdr:row>3</xdr:row>
      <xdr:rowOff>203200</xdr:rowOff>
    </xdr:from>
    <xdr:to>
      <xdr:col>6</xdr:col>
      <xdr:colOff>69850</xdr:colOff>
      <xdr:row>5</xdr:row>
      <xdr:rowOff>146050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B25B1090-0B5C-7E60-1CF1-7C60EA2821D9}"/>
            </a:ext>
          </a:extLst>
        </xdr:cNvPr>
        <xdr:cNvSpPr/>
      </xdr:nvSpPr>
      <xdr:spPr>
        <a:xfrm>
          <a:off x="5524500" y="1193800"/>
          <a:ext cx="171450" cy="60325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 w="3175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 editAs="absolute">
    <xdr:from>
      <xdr:col>7</xdr:col>
      <xdr:colOff>431800</xdr:colOff>
      <xdr:row>3</xdr:row>
      <xdr:rowOff>203200</xdr:rowOff>
    </xdr:from>
    <xdr:to>
      <xdr:col>8</xdr:col>
      <xdr:colOff>25400</xdr:colOff>
      <xdr:row>5</xdr:row>
      <xdr:rowOff>146050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701D5908-83EE-1AB1-B862-66C70859E485}"/>
            </a:ext>
          </a:extLst>
        </xdr:cNvPr>
        <xdr:cNvSpPr/>
      </xdr:nvSpPr>
      <xdr:spPr>
        <a:xfrm>
          <a:off x="7175500" y="1193800"/>
          <a:ext cx="1422400" cy="603250"/>
        </a:xfrm>
        <a:prstGeom prst="rect">
          <a:avLst/>
        </a:prstGeom>
        <a:solidFill>
          <a:schemeClr val="bg1"/>
        </a:solidFill>
        <a:ln w="3175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0" kern="1200" baseline="0">
              <a:solidFill>
                <a:schemeClr val="tx1"/>
              </a:solidFill>
            </a:rPr>
            <a:t>     Sales Amt.</a:t>
          </a:r>
          <a:endParaRPr lang="en-IN" sz="1400" b="0" kern="1200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7</xdr:col>
      <xdr:colOff>431800</xdr:colOff>
      <xdr:row>3</xdr:row>
      <xdr:rowOff>203200</xdr:rowOff>
    </xdr:from>
    <xdr:to>
      <xdr:col>7</xdr:col>
      <xdr:colOff>603250</xdr:colOff>
      <xdr:row>5</xdr:row>
      <xdr:rowOff>146050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CAB2A83-4A7A-93A3-183D-BBA58553FEB0}"/>
            </a:ext>
          </a:extLst>
        </xdr:cNvPr>
        <xdr:cNvSpPr/>
      </xdr:nvSpPr>
      <xdr:spPr>
        <a:xfrm>
          <a:off x="7175500" y="1193800"/>
          <a:ext cx="171450" cy="603250"/>
        </a:xfrm>
        <a:prstGeom prst="rect">
          <a:avLst/>
        </a:prstGeom>
        <a:solidFill>
          <a:srgbClr val="D5E787"/>
        </a:solidFill>
        <a:ln w="3175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 editAs="absolute">
    <xdr:from>
      <xdr:col>8</xdr:col>
      <xdr:colOff>215900</xdr:colOff>
      <xdr:row>3</xdr:row>
      <xdr:rowOff>203200</xdr:rowOff>
    </xdr:from>
    <xdr:to>
      <xdr:col>8</xdr:col>
      <xdr:colOff>1638300</xdr:colOff>
      <xdr:row>5</xdr:row>
      <xdr:rowOff>146050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619E1FC1-E6F5-C8E8-55E9-2FA20241BF6D}"/>
            </a:ext>
          </a:extLst>
        </xdr:cNvPr>
        <xdr:cNvSpPr/>
      </xdr:nvSpPr>
      <xdr:spPr>
        <a:xfrm>
          <a:off x="8788400" y="1193800"/>
          <a:ext cx="1422400" cy="603250"/>
        </a:xfrm>
        <a:prstGeom prst="rect">
          <a:avLst/>
        </a:prstGeom>
        <a:solidFill>
          <a:schemeClr val="bg1"/>
        </a:solidFill>
        <a:ln w="3175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0" kern="1200">
              <a:solidFill>
                <a:schemeClr val="tx1"/>
              </a:solidFill>
            </a:rPr>
            <a:t>     Proft</a:t>
          </a:r>
          <a:r>
            <a:rPr lang="en-IN" sz="1400" b="0" kern="1200" baseline="0">
              <a:solidFill>
                <a:schemeClr val="tx1"/>
              </a:solidFill>
            </a:rPr>
            <a:t> / Loss</a:t>
          </a:r>
          <a:endParaRPr lang="en-IN" sz="1400" b="0" kern="1200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8</xdr:col>
      <xdr:colOff>215900</xdr:colOff>
      <xdr:row>3</xdr:row>
      <xdr:rowOff>203200</xdr:rowOff>
    </xdr:from>
    <xdr:to>
      <xdr:col>8</xdr:col>
      <xdr:colOff>387350</xdr:colOff>
      <xdr:row>5</xdr:row>
      <xdr:rowOff>146050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49692BC4-7398-85FB-B1C6-05626C4B9981}"/>
            </a:ext>
          </a:extLst>
        </xdr:cNvPr>
        <xdr:cNvSpPr/>
      </xdr:nvSpPr>
      <xdr:spPr>
        <a:xfrm>
          <a:off x="8788400" y="1193800"/>
          <a:ext cx="171450" cy="60325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3175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 editAs="absolute">
    <xdr:from>
      <xdr:col>8</xdr:col>
      <xdr:colOff>1841500</xdr:colOff>
      <xdr:row>3</xdr:row>
      <xdr:rowOff>222250</xdr:rowOff>
    </xdr:from>
    <xdr:to>
      <xdr:col>8</xdr:col>
      <xdr:colOff>3263900</xdr:colOff>
      <xdr:row>5</xdr:row>
      <xdr:rowOff>165100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B6F62980-AE37-2FAC-BB3A-A1B638DF82DF}"/>
            </a:ext>
          </a:extLst>
        </xdr:cNvPr>
        <xdr:cNvSpPr/>
      </xdr:nvSpPr>
      <xdr:spPr>
        <a:xfrm>
          <a:off x="10414000" y="1212850"/>
          <a:ext cx="1422400" cy="603250"/>
        </a:xfrm>
        <a:prstGeom prst="rect">
          <a:avLst/>
        </a:prstGeom>
        <a:solidFill>
          <a:schemeClr val="bg1"/>
        </a:solidFill>
        <a:ln w="3175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0" kern="1200">
              <a:solidFill>
                <a:schemeClr val="tx1"/>
              </a:solidFill>
            </a:rPr>
            <a:t>     Stock Amt.</a:t>
          </a:r>
        </a:p>
      </xdr:txBody>
    </xdr:sp>
    <xdr:clientData/>
  </xdr:twoCellAnchor>
  <xdr:twoCellAnchor editAs="absolute">
    <xdr:from>
      <xdr:col>8</xdr:col>
      <xdr:colOff>1841500</xdr:colOff>
      <xdr:row>3</xdr:row>
      <xdr:rowOff>222250</xdr:rowOff>
    </xdr:from>
    <xdr:to>
      <xdr:col>8</xdr:col>
      <xdr:colOff>2012950</xdr:colOff>
      <xdr:row>5</xdr:row>
      <xdr:rowOff>165100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409C2258-DDEF-C743-CBBB-2F54160F48E8}"/>
            </a:ext>
          </a:extLst>
        </xdr:cNvPr>
        <xdr:cNvSpPr/>
      </xdr:nvSpPr>
      <xdr:spPr>
        <a:xfrm>
          <a:off x="10414000" y="1212850"/>
          <a:ext cx="171450" cy="603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3175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 editAs="absolute">
    <xdr:from>
      <xdr:col>3</xdr:col>
      <xdr:colOff>209550</xdr:colOff>
      <xdr:row>4</xdr:row>
      <xdr:rowOff>88900</xdr:rowOff>
    </xdr:from>
    <xdr:to>
      <xdr:col>4</xdr:col>
      <xdr:colOff>304800</xdr:colOff>
      <xdr:row>5</xdr:row>
      <xdr:rowOff>120650</xdr:rowOff>
    </xdr:to>
    <xdr:sp macro="" textlink="Sheet9!C3">
      <xdr:nvSpPr>
        <xdr:cNvPr id="8" name="Rectangle 7">
          <a:extLst>
            <a:ext uri="{FF2B5EF4-FFF2-40B4-BE49-F238E27FC236}">
              <a16:creationId xmlns:a16="http://schemas.microsoft.com/office/drawing/2014/main" id="{C80A8441-0C33-EEB4-9787-899FECCE72D1}"/>
            </a:ext>
          </a:extLst>
        </xdr:cNvPr>
        <xdr:cNvSpPr/>
      </xdr:nvSpPr>
      <xdr:spPr>
        <a:xfrm>
          <a:off x="2482850" y="1409700"/>
          <a:ext cx="121285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C431E818-0E4F-424C-B356-5DC6611798FC}" type="TxLink">
            <a:rPr lang="en-US" sz="1600" b="1" i="0" u="none" strike="noStrike" kern="1200">
              <a:solidFill>
                <a:srgbClr val="000000"/>
              </a:solidFill>
              <a:latin typeface="Aptos Narrow"/>
            </a:rPr>
            <a:pPr algn="l"/>
            <a:t>0</a:t>
          </a:fld>
          <a:endParaRPr lang="en-IN" sz="1600" b="1" kern="1200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4</xdr:col>
      <xdr:colOff>711200</xdr:colOff>
      <xdr:row>4</xdr:row>
      <xdr:rowOff>69850</xdr:rowOff>
    </xdr:from>
    <xdr:to>
      <xdr:col>5</xdr:col>
      <xdr:colOff>806450</xdr:colOff>
      <xdr:row>5</xdr:row>
      <xdr:rowOff>101600</xdr:rowOff>
    </xdr:to>
    <xdr:sp macro="" textlink="Sheet9!C6">
      <xdr:nvSpPr>
        <xdr:cNvPr id="17" name="Rectangle 16">
          <a:extLst>
            <a:ext uri="{FF2B5EF4-FFF2-40B4-BE49-F238E27FC236}">
              <a16:creationId xmlns:a16="http://schemas.microsoft.com/office/drawing/2014/main" id="{11DCD6E7-51F2-40DF-A8AC-9AF7DE5E584C}"/>
            </a:ext>
          </a:extLst>
        </xdr:cNvPr>
        <xdr:cNvSpPr/>
      </xdr:nvSpPr>
      <xdr:spPr>
        <a:xfrm>
          <a:off x="4102100" y="1390650"/>
          <a:ext cx="121285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E141D831-845D-448C-963B-57CF26DC58C0}" type="TxLink">
            <a:rPr lang="en-US" sz="1600" b="1" i="0" u="none" strike="noStrike" kern="1200">
              <a:solidFill>
                <a:srgbClr val="000000"/>
              </a:solidFill>
              <a:latin typeface="Aptos Narrow"/>
            </a:rPr>
            <a:pPr algn="l"/>
            <a:t>0</a:t>
          </a:fld>
          <a:endParaRPr lang="en-IN" sz="1600" b="1" kern="1200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6</xdr:col>
      <xdr:colOff>44450</xdr:colOff>
      <xdr:row>4</xdr:row>
      <xdr:rowOff>82550</xdr:rowOff>
    </xdr:from>
    <xdr:to>
      <xdr:col>7</xdr:col>
      <xdr:colOff>1085850</xdr:colOff>
      <xdr:row>5</xdr:row>
      <xdr:rowOff>114300</xdr:rowOff>
    </xdr:to>
    <xdr:sp macro="" textlink="Sheet9!C9">
      <xdr:nvSpPr>
        <xdr:cNvPr id="23" name="Rectangle 22">
          <a:extLst>
            <a:ext uri="{FF2B5EF4-FFF2-40B4-BE49-F238E27FC236}">
              <a16:creationId xmlns:a16="http://schemas.microsoft.com/office/drawing/2014/main" id="{7696E7A7-4D10-675C-D827-4BC4E2A74F33}"/>
            </a:ext>
          </a:extLst>
        </xdr:cNvPr>
        <xdr:cNvSpPr/>
      </xdr:nvSpPr>
      <xdr:spPr>
        <a:xfrm>
          <a:off x="5670550" y="1403350"/>
          <a:ext cx="21590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794FFB8E-7018-482F-8645-DB37BB1AF293}" type="TxLink">
            <a:rPr lang="en-US" sz="1600" b="1" i="0" u="none" strike="noStrike" kern="1200">
              <a:solidFill>
                <a:srgbClr val="000000"/>
              </a:solidFill>
              <a:latin typeface="Aptos Narrow"/>
            </a:rPr>
            <a:pPr algn="l"/>
            <a:t>₹ 0</a:t>
          </a:fld>
          <a:endParaRPr lang="en-IN" sz="1600" b="1" kern="1200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7</xdr:col>
      <xdr:colOff>590550</xdr:colOff>
      <xdr:row>4</xdr:row>
      <xdr:rowOff>76200</xdr:rowOff>
    </xdr:from>
    <xdr:to>
      <xdr:col>8</xdr:col>
      <xdr:colOff>920750</xdr:colOff>
      <xdr:row>5</xdr:row>
      <xdr:rowOff>107950</xdr:rowOff>
    </xdr:to>
    <xdr:sp macro="" textlink="Sheet9!C12">
      <xdr:nvSpPr>
        <xdr:cNvPr id="25" name="Rectangle 24">
          <a:extLst>
            <a:ext uri="{FF2B5EF4-FFF2-40B4-BE49-F238E27FC236}">
              <a16:creationId xmlns:a16="http://schemas.microsoft.com/office/drawing/2014/main" id="{38026D47-D858-00C6-3706-02B5426E60BB}"/>
            </a:ext>
          </a:extLst>
        </xdr:cNvPr>
        <xdr:cNvSpPr/>
      </xdr:nvSpPr>
      <xdr:spPr>
        <a:xfrm>
          <a:off x="7334250" y="1397000"/>
          <a:ext cx="21590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F3ED01B9-D749-4411-885B-5153067F3E31}" type="TxLink">
            <a:rPr lang="en-US" sz="1600" b="1" i="0" u="none" strike="noStrike" kern="1200">
              <a:solidFill>
                <a:srgbClr val="000000"/>
              </a:solidFill>
              <a:latin typeface="Aptos Narrow"/>
            </a:rPr>
            <a:pPr algn="l"/>
            <a:t>₹ 0</a:t>
          </a:fld>
          <a:endParaRPr lang="en-IN" sz="1600" b="1" kern="1200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8</xdr:col>
      <xdr:colOff>393700</xdr:colOff>
      <xdr:row>4</xdr:row>
      <xdr:rowOff>101600</xdr:rowOff>
    </xdr:from>
    <xdr:to>
      <xdr:col>8</xdr:col>
      <xdr:colOff>2552700</xdr:colOff>
      <xdr:row>5</xdr:row>
      <xdr:rowOff>133350</xdr:rowOff>
    </xdr:to>
    <xdr:sp macro="" textlink="Sheet9!C20">
      <xdr:nvSpPr>
        <xdr:cNvPr id="27" name="Rectangle 26">
          <a:extLst>
            <a:ext uri="{FF2B5EF4-FFF2-40B4-BE49-F238E27FC236}">
              <a16:creationId xmlns:a16="http://schemas.microsoft.com/office/drawing/2014/main" id="{D93608E3-D98F-19BC-8C69-B2A6F182BCF9}"/>
            </a:ext>
          </a:extLst>
        </xdr:cNvPr>
        <xdr:cNvSpPr/>
      </xdr:nvSpPr>
      <xdr:spPr>
        <a:xfrm>
          <a:off x="8966200" y="1422400"/>
          <a:ext cx="21590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AFB22794-593B-4611-925E-1F5F14394F6B}" type="TxLink">
            <a:rPr lang="en-US" sz="1600" b="1" i="0" u="none" strike="noStrike" kern="1200">
              <a:solidFill>
                <a:srgbClr val="000000"/>
              </a:solidFill>
              <a:latin typeface="Aptos Narrow"/>
            </a:rPr>
            <a:pPr algn="l"/>
            <a:t> </a:t>
          </a:fld>
          <a:endParaRPr lang="en-IN" sz="1200" b="1" kern="12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2012950</xdr:colOff>
      <xdr:row>4</xdr:row>
      <xdr:rowOff>95250</xdr:rowOff>
    </xdr:from>
    <xdr:to>
      <xdr:col>8</xdr:col>
      <xdr:colOff>3257550</xdr:colOff>
      <xdr:row>5</xdr:row>
      <xdr:rowOff>127000</xdr:rowOff>
    </xdr:to>
    <xdr:sp macro="" textlink="Sheet9!C17">
      <xdr:nvSpPr>
        <xdr:cNvPr id="29" name="Rectangle 28">
          <a:extLst>
            <a:ext uri="{FF2B5EF4-FFF2-40B4-BE49-F238E27FC236}">
              <a16:creationId xmlns:a16="http://schemas.microsoft.com/office/drawing/2014/main" id="{4D338FB9-29C9-8034-961A-4B84A1467221}"/>
            </a:ext>
          </a:extLst>
        </xdr:cNvPr>
        <xdr:cNvSpPr/>
      </xdr:nvSpPr>
      <xdr:spPr>
        <a:xfrm>
          <a:off x="10585450" y="1416050"/>
          <a:ext cx="12446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B32DE27B-CE93-429D-B737-B552D2CD012C}" type="TxLink">
            <a:rPr lang="en-US" sz="1600" b="1" i="0" u="none" strike="noStrike" kern="1200">
              <a:solidFill>
                <a:srgbClr val="000000"/>
              </a:solidFill>
              <a:latin typeface="Aptos Narrow"/>
            </a:rPr>
            <a:pPr algn="l"/>
            <a:t> </a:t>
          </a:fld>
          <a:endParaRPr lang="en-IN" sz="1050" b="1" kern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546100</xdr:colOff>
      <xdr:row>6</xdr:row>
      <xdr:rowOff>6350</xdr:rowOff>
    </xdr:from>
    <xdr:to>
      <xdr:col>7</xdr:col>
      <xdr:colOff>1663700</xdr:colOff>
      <xdr:row>11</xdr:row>
      <xdr:rowOff>119350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F65C1AE4-29AB-4D0F-B5EC-B2EEC271B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</xdr:col>
      <xdr:colOff>0</xdr:colOff>
      <xdr:row>6</xdr:row>
      <xdr:rowOff>0</xdr:rowOff>
    </xdr:from>
    <xdr:to>
      <xdr:col>5</xdr:col>
      <xdr:colOff>374650</xdr:colOff>
      <xdr:row>11</xdr:row>
      <xdr:rowOff>113000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8BC2DE0D-1C5E-4F06-9E03-122F76D5C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</xdr:col>
      <xdr:colOff>0</xdr:colOff>
      <xdr:row>11</xdr:row>
      <xdr:rowOff>298450</xdr:rowOff>
    </xdr:from>
    <xdr:to>
      <xdr:col>7</xdr:col>
      <xdr:colOff>1663700</xdr:colOff>
      <xdr:row>19</xdr:row>
      <xdr:rowOff>6350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70128824-57FE-4E4D-B77B-EC25B15BBF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321983</xdr:colOff>
      <xdr:row>0</xdr:row>
      <xdr:rowOff>228601</xdr:rowOff>
    </xdr:from>
    <xdr:to>
      <xdr:col>10</xdr:col>
      <xdr:colOff>410883</xdr:colOff>
      <xdr:row>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97190C-B73A-98D9-40E0-98186F3F5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537882</xdr:colOff>
      <xdr:row>10</xdr:row>
      <xdr:rowOff>215153</xdr:rowOff>
    </xdr:from>
    <xdr:to>
      <xdr:col>10</xdr:col>
      <xdr:colOff>627529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F22855-D377-CB3A-A0C3-8F6CDFE2A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82177</xdr:colOff>
      <xdr:row>21</xdr:row>
      <xdr:rowOff>298824</xdr:rowOff>
    </xdr:from>
    <xdr:to>
      <xdr:col>2</xdr:col>
      <xdr:colOff>1707029</xdr:colOff>
      <xdr:row>30</xdr:row>
      <xdr:rowOff>76201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ADF2D8D-B6FB-5B76-30D1-AB52D7F53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235732</xdr:colOff>
      <xdr:row>0</xdr:row>
      <xdr:rowOff>158315</xdr:rowOff>
    </xdr:from>
    <xdr:to>
      <xdr:col>1</xdr:col>
      <xdr:colOff>1590772</xdr:colOff>
      <xdr:row>4</xdr:row>
      <xdr:rowOff>156369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6BD2ED71-856D-4B66-9B47-67015967B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/>
      </xdr:blipFill>
      <xdr:spPr>
        <a:xfrm>
          <a:off x="457547" y="158315"/>
          <a:ext cx="1355040" cy="1355040"/>
        </a:xfrm>
        <a:prstGeom prst="rect">
          <a:avLst/>
        </a:prstGeom>
      </xdr:spPr>
    </xdr:pic>
    <xdr:clientData/>
  </xdr:twoCellAnchor>
  <xdr:twoCellAnchor editAs="absolute">
    <xdr:from>
      <xdr:col>1</xdr:col>
      <xdr:colOff>38100</xdr:colOff>
      <xdr:row>4</xdr:row>
      <xdr:rowOff>39143</xdr:rowOff>
    </xdr:from>
    <xdr:to>
      <xdr:col>2</xdr:col>
      <xdr:colOff>39144</xdr:colOff>
      <xdr:row>5</xdr:row>
      <xdr:rowOff>13047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1ADB8F6A-706A-4C45-87B0-27557FC9642D}"/>
            </a:ext>
          </a:extLst>
        </xdr:cNvPr>
        <xdr:cNvSpPr/>
      </xdr:nvSpPr>
      <xdr:spPr>
        <a:xfrm>
          <a:off x="259915" y="1396129"/>
          <a:ext cx="1932140" cy="3131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 kern="1200">
              <a:solidFill>
                <a:schemeClr val="tx1"/>
              </a:solidFill>
            </a:rPr>
            <a:t>Indian Heritage Crafts</a:t>
          </a:r>
        </a:p>
      </xdr:txBody>
    </xdr:sp>
    <xdr:clientData/>
  </xdr:twoCellAnchor>
  <xdr:twoCellAnchor editAs="absolute">
    <xdr:from>
      <xdr:col>1</xdr:col>
      <xdr:colOff>349250</xdr:colOff>
      <xdr:row>5</xdr:row>
      <xdr:rowOff>31750</xdr:rowOff>
    </xdr:from>
    <xdr:to>
      <xdr:col>1</xdr:col>
      <xdr:colOff>1524000</xdr:colOff>
      <xdr:row>6</xdr:row>
      <xdr:rowOff>44450</xdr:rowOff>
    </xdr:to>
    <xdr:sp macro="" textlink="">
      <xdr:nvSpPr>
        <xdr:cNvPr id="23" name="Rectangle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93C36AB-5181-4417-BEB2-D7F3436E97C5}"/>
            </a:ext>
          </a:extLst>
        </xdr:cNvPr>
        <xdr:cNvSpPr/>
      </xdr:nvSpPr>
      <xdr:spPr>
        <a:xfrm>
          <a:off x="558800" y="168275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Dashboard</a:t>
          </a:r>
        </a:p>
      </xdr:txBody>
    </xdr:sp>
    <xdr:clientData/>
  </xdr:twoCellAnchor>
  <xdr:twoCellAnchor editAs="absolute">
    <xdr:from>
      <xdr:col>1</xdr:col>
      <xdr:colOff>82550</xdr:colOff>
      <xdr:row>5</xdr:row>
      <xdr:rowOff>19050</xdr:rowOff>
    </xdr:from>
    <xdr:to>
      <xdr:col>1</xdr:col>
      <xdr:colOff>412750</xdr:colOff>
      <xdr:row>6</xdr:row>
      <xdr:rowOff>19050</xdr:rowOff>
    </xdr:to>
    <xdr:pic>
      <xdr:nvPicPr>
        <xdr:cNvPr id="24" name="Graphic 23" descr="Presentation with bar chart with solid fill">
          <a:extLst>
            <a:ext uri="{FF2B5EF4-FFF2-40B4-BE49-F238E27FC236}">
              <a16:creationId xmlns:a16="http://schemas.microsoft.com/office/drawing/2014/main" id="{E0F6003F-867B-43C5-9C54-B1AA7B168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92100" y="1670050"/>
          <a:ext cx="330200" cy="330200"/>
        </a:xfrm>
        <a:prstGeom prst="rect">
          <a:avLst/>
        </a:prstGeom>
      </xdr:spPr>
    </xdr:pic>
    <xdr:clientData/>
  </xdr:twoCellAnchor>
  <xdr:twoCellAnchor editAs="absolute">
    <xdr:from>
      <xdr:col>1</xdr:col>
      <xdr:colOff>349250</xdr:colOff>
      <xdr:row>6</xdr:row>
      <xdr:rowOff>39914</xdr:rowOff>
    </xdr:from>
    <xdr:to>
      <xdr:col>1</xdr:col>
      <xdr:colOff>1524000</xdr:colOff>
      <xdr:row>7</xdr:row>
      <xdr:rowOff>52614</xdr:rowOff>
    </xdr:to>
    <xdr:sp macro="" textlink="">
      <xdr:nvSpPr>
        <xdr:cNvPr id="25" name="Rectangle 2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BB165E5-D505-4EF9-B43C-B8EE9AB0077E}"/>
            </a:ext>
          </a:extLst>
        </xdr:cNvPr>
        <xdr:cNvSpPr/>
      </xdr:nvSpPr>
      <xdr:spPr>
        <a:xfrm>
          <a:off x="558800" y="2021114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/>
              </a:solidFill>
            </a:rPr>
            <a:t>Customers</a:t>
          </a:r>
        </a:p>
      </xdr:txBody>
    </xdr:sp>
    <xdr:clientData/>
  </xdr:twoCellAnchor>
  <xdr:twoCellAnchor editAs="absolute">
    <xdr:from>
      <xdr:col>1</xdr:col>
      <xdr:colOff>349250</xdr:colOff>
      <xdr:row>7</xdr:row>
      <xdr:rowOff>48078</xdr:rowOff>
    </xdr:from>
    <xdr:to>
      <xdr:col>1</xdr:col>
      <xdr:colOff>1524000</xdr:colOff>
      <xdr:row>8</xdr:row>
      <xdr:rowOff>60778</xdr:rowOff>
    </xdr:to>
    <xdr:sp macro="" textlink="">
      <xdr:nvSpPr>
        <xdr:cNvPr id="26" name="Rectangle 2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169E6C4-C221-404F-99C6-F9349D07E9CD}"/>
            </a:ext>
          </a:extLst>
        </xdr:cNvPr>
        <xdr:cNvSpPr/>
      </xdr:nvSpPr>
      <xdr:spPr>
        <a:xfrm>
          <a:off x="558800" y="2359478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Vendors</a:t>
          </a:r>
        </a:p>
      </xdr:txBody>
    </xdr:sp>
    <xdr:clientData/>
  </xdr:twoCellAnchor>
  <xdr:twoCellAnchor editAs="absolute">
    <xdr:from>
      <xdr:col>1</xdr:col>
      <xdr:colOff>349250</xdr:colOff>
      <xdr:row>8</xdr:row>
      <xdr:rowOff>56242</xdr:rowOff>
    </xdr:from>
    <xdr:to>
      <xdr:col>1</xdr:col>
      <xdr:colOff>1524000</xdr:colOff>
      <xdr:row>9</xdr:row>
      <xdr:rowOff>68942</xdr:rowOff>
    </xdr:to>
    <xdr:sp macro="" textlink="">
      <xdr:nvSpPr>
        <xdr:cNvPr id="27" name="Rectangle 2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DF75F21-10DC-4A4B-AA64-B0A1F523B0DA}"/>
            </a:ext>
          </a:extLst>
        </xdr:cNvPr>
        <xdr:cNvSpPr/>
      </xdr:nvSpPr>
      <xdr:spPr>
        <a:xfrm>
          <a:off x="558800" y="2697842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Products</a:t>
          </a:r>
        </a:p>
      </xdr:txBody>
    </xdr:sp>
    <xdr:clientData/>
  </xdr:twoCellAnchor>
  <xdr:twoCellAnchor editAs="absolute">
    <xdr:from>
      <xdr:col>1</xdr:col>
      <xdr:colOff>349250</xdr:colOff>
      <xdr:row>9</xdr:row>
      <xdr:rowOff>64406</xdr:rowOff>
    </xdr:from>
    <xdr:to>
      <xdr:col>1</xdr:col>
      <xdr:colOff>1524000</xdr:colOff>
      <xdr:row>10</xdr:row>
      <xdr:rowOff>77106</xdr:rowOff>
    </xdr:to>
    <xdr:sp macro="" textlink="">
      <xdr:nvSpPr>
        <xdr:cNvPr id="28" name="Rectangle 2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3F92A3C-82BF-4DF2-99DE-7FC5E361899C}"/>
            </a:ext>
          </a:extLst>
        </xdr:cNvPr>
        <xdr:cNvSpPr/>
      </xdr:nvSpPr>
      <xdr:spPr>
        <a:xfrm>
          <a:off x="558800" y="3036206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New Entry</a:t>
          </a:r>
        </a:p>
      </xdr:txBody>
    </xdr:sp>
    <xdr:clientData/>
  </xdr:twoCellAnchor>
  <xdr:twoCellAnchor editAs="absolute">
    <xdr:from>
      <xdr:col>1</xdr:col>
      <xdr:colOff>349250</xdr:colOff>
      <xdr:row>10</xdr:row>
      <xdr:rowOff>72570</xdr:rowOff>
    </xdr:from>
    <xdr:to>
      <xdr:col>1</xdr:col>
      <xdr:colOff>1524000</xdr:colOff>
      <xdr:row>11</xdr:row>
      <xdr:rowOff>85270</xdr:rowOff>
    </xdr:to>
    <xdr:sp macro="" textlink="">
      <xdr:nvSpPr>
        <xdr:cNvPr id="29" name="Rectangle 2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6EF87E7-08CB-43DF-9EA1-CEF9CBA236EA}"/>
            </a:ext>
          </a:extLst>
        </xdr:cNvPr>
        <xdr:cNvSpPr/>
      </xdr:nvSpPr>
      <xdr:spPr>
        <a:xfrm>
          <a:off x="558800" y="337457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Purchase</a:t>
          </a:r>
        </a:p>
      </xdr:txBody>
    </xdr:sp>
    <xdr:clientData/>
  </xdr:twoCellAnchor>
  <xdr:twoCellAnchor editAs="absolute">
    <xdr:from>
      <xdr:col>1</xdr:col>
      <xdr:colOff>349250</xdr:colOff>
      <xdr:row>11</xdr:row>
      <xdr:rowOff>80734</xdr:rowOff>
    </xdr:from>
    <xdr:to>
      <xdr:col>1</xdr:col>
      <xdr:colOff>1524000</xdr:colOff>
      <xdr:row>12</xdr:row>
      <xdr:rowOff>93434</xdr:rowOff>
    </xdr:to>
    <xdr:sp macro="" textlink="">
      <xdr:nvSpPr>
        <xdr:cNvPr id="30" name="Rectangle 2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22964F7-915D-4519-9D52-188BBA361D29}"/>
            </a:ext>
          </a:extLst>
        </xdr:cNvPr>
        <xdr:cNvSpPr/>
      </xdr:nvSpPr>
      <xdr:spPr>
        <a:xfrm>
          <a:off x="558800" y="3712934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</xdr:col>
      <xdr:colOff>349250</xdr:colOff>
      <xdr:row>12</xdr:row>
      <xdr:rowOff>88900</xdr:rowOff>
    </xdr:from>
    <xdr:to>
      <xdr:col>1</xdr:col>
      <xdr:colOff>1524000</xdr:colOff>
      <xdr:row>13</xdr:row>
      <xdr:rowOff>101600</xdr:rowOff>
    </xdr:to>
    <xdr:sp macro="" textlink="">
      <xdr:nvSpPr>
        <xdr:cNvPr id="31" name="Rectangle 3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D382AB9-C0B5-4D02-83A1-01205326509D}"/>
            </a:ext>
          </a:extLst>
        </xdr:cNvPr>
        <xdr:cNvSpPr/>
      </xdr:nvSpPr>
      <xdr:spPr>
        <a:xfrm>
          <a:off x="558800" y="405130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Inventory</a:t>
          </a:r>
        </a:p>
      </xdr:txBody>
    </xdr:sp>
    <xdr:clientData/>
  </xdr:twoCellAnchor>
  <xdr:twoCellAnchor editAs="absolute">
    <xdr:from>
      <xdr:col>1</xdr:col>
      <xdr:colOff>82550</xdr:colOff>
      <xdr:row>12</xdr:row>
      <xdr:rowOff>82550</xdr:rowOff>
    </xdr:from>
    <xdr:to>
      <xdr:col>1</xdr:col>
      <xdr:colOff>334550</xdr:colOff>
      <xdr:row>13</xdr:row>
      <xdr:rowOff>4350</xdr:rowOff>
    </xdr:to>
    <xdr:pic>
      <xdr:nvPicPr>
        <xdr:cNvPr id="32" name="Graphic 31" descr="Clipboard Partially Checked with solid fill">
          <a:extLst>
            <a:ext uri="{FF2B5EF4-FFF2-40B4-BE49-F238E27FC236}">
              <a16:creationId xmlns:a16="http://schemas.microsoft.com/office/drawing/2014/main" id="{2925F113-5DC5-485E-B6F2-0713118D8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92100" y="40449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10</xdr:row>
      <xdr:rowOff>111900</xdr:rowOff>
    </xdr:from>
    <xdr:to>
      <xdr:col>1</xdr:col>
      <xdr:colOff>334550</xdr:colOff>
      <xdr:row>11</xdr:row>
      <xdr:rowOff>33700</xdr:rowOff>
    </xdr:to>
    <xdr:pic>
      <xdr:nvPicPr>
        <xdr:cNvPr id="33" name="Graphic 32" descr="Receipt with solid fill">
          <a:extLst>
            <a:ext uri="{FF2B5EF4-FFF2-40B4-BE49-F238E27FC236}">
              <a16:creationId xmlns:a16="http://schemas.microsoft.com/office/drawing/2014/main" id="{D8953888-9D12-4581-B01A-41B285569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2100" y="34139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11</xdr:row>
      <xdr:rowOff>96800</xdr:rowOff>
    </xdr:from>
    <xdr:to>
      <xdr:col>1</xdr:col>
      <xdr:colOff>334550</xdr:colOff>
      <xdr:row>12</xdr:row>
      <xdr:rowOff>18600</xdr:rowOff>
    </xdr:to>
    <xdr:pic>
      <xdr:nvPicPr>
        <xdr:cNvPr id="34" name="Graphic 33" descr="Register with solid fill">
          <a:extLst>
            <a:ext uri="{FF2B5EF4-FFF2-40B4-BE49-F238E27FC236}">
              <a16:creationId xmlns:a16="http://schemas.microsoft.com/office/drawing/2014/main" id="{40B13E4F-91F2-483C-B718-8A8F33540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92100" y="37290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9</xdr:row>
      <xdr:rowOff>56300</xdr:rowOff>
    </xdr:from>
    <xdr:to>
      <xdr:col>1</xdr:col>
      <xdr:colOff>334550</xdr:colOff>
      <xdr:row>9</xdr:row>
      <xdr:rowOff>308300</xdr:rowOff>
    </xdr:to>
    <xdr:pic>
      <xdr:nvPicPr>
        <xdr:cNvPr id="35" name="Graphic 34" descr="Full Brick Wall with solid fill">
          <a:extLst>
            <a:ext uri="{FF2B5EF4-FFF2-40B4-BE49-F238E27FC236}">
              <a16:creationId xmlns:a16="http://schemas.microsoft.com/office/drawing/2014/main" id="{D3DF21A6-6F6B-45E1-B763-2D1CCA81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92100" y="30281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6</xdr:row>
      <xdr:rowOff>41200</xdr:rowOff>
    </xdr:from>
    <xdr:to>
      <xdr:col>1</xdr:col>
      <xdr:colOff>334550</xdr:colOff>
      <xdr:row>6</xdr:row>
      <xdr:rowOff>293200</xdr:rowOff>
    </xdr:to>
    <xdr:pic>
      <xdr:nvPicPr>
        <xdr:cNvPr id="36" name="Graphic 35" descr="User with solid fill">
          <a:extLst>
            <a:ext uri="{FF2B5EF4-FFF2-40B4-BE49-F238E27FC236}">
              <a16:creationId xmlns:a16="http://schemas.microsoft.com/office/drawing/2014/main" id="{A3377EAC-9702-44DB-88DC-13DC8DE48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92100" y="20224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7</xdr:row>
      <xdr:rowOff>7050</xdr:rowOff>
    </xdr:from>
    <xdr:to>
      <xdr:col>1</xdr:col>
      <xdr:colOff>334550</xdr:colOff>
      <xdr:row>7</xdr:row>
      <xdr:rowOff>259050</xdr:rowOff>
    </xdr:to>
    <xdr:pic>
      <xdr:nvPicPr>
        <xdr:cNvPr id="37" name="Graphic 36" descr="User outline">
          <a:extLst>
            <a:ext uri="{FF2B5EF4-FFF2-40B4-BE49-F238E27FC236}">
              <a16:creationId xmlns:a16="http://schemas.microsoft.com/office/drawing/2014/main" id="{EED500E9-3EF0-43C0-A5C0-851C1D43C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92100" y="23184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8</xdr:row>
      <xdr:rowOff>31750</xdr:rowOff>
    </xdr:from>
    <xdr:to>
      <xdr:col>1</xdr:col>
      <xdr:colOff>334550</xdr:colOff>
      <xdr:row>8</xdr:row>
      <xdr:rowOff>283750</xdr:rowOff>
    </xdr:to>
    <xdr:pic>
      <xdr:nvPicPr>
        <xdr:cNvPr id="38" name="Graphic 37" descr="Inventory outline">
          <a:extLst>
            <a:ext uri="{FF2B5EF4-FFF2-40B4-BE49-F238E27FC236}">
              <a16:creationId xmlns:a16="http://schemas.microsoft.com/office/drawing/2014/main" id="{15142265-D0F4-4BEC-B97F-1478C379D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292100" y="26733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2</xdr:col>
      <xdr:colOff>228598</xdr:colOff>
      <xdr:row>1</xdr:row>
      <xdr:rowOff>6350</xdr:rowOff>
    </xdr:from>
    <xdr:to>
      <xdr:col>36</xdr:col>
      <xdr:colOff>0</xdr:colOff>
      <xdr:row>3</xdr:row>
      <xdr:rowOff>19050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3E1C2122-24E9-4F72-8BF3-7819AB3BAF43}"/>
            </a:ext>
          </a:extLst>
        </xdr:cNvPr>
        <xdr:cNvSpPr/>
      </xdr:nvSpPr>
      <xdr:spPr>
        <a:xfrm>
          <a:off x="2381509" y="345597"/>
          <a:ext cx="59726710" cy="691193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800" b="1" kern="1200">
              <a:solidFill>
                <a:schemeClr val="tx1"/>
              </a:solidFill>
            </a:rPr>
            <a:t>  Customers - IHC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127774</xdr:colOff>
      <xdr:row>0</xdr:row>
      <xdr:rowOff>151006</xdr:rowOff>
    </xdr:from>
    <xdr:to>
      <xdr:col>1</xdr:col>
      <xdr:colOff>1777226</xdr:colOff>
      <xdr:row>4</xdr:row>
      <xdr:rowOff>146282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895CBCBA-A851-4700-87D5-6CD5D0EED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8475" y="151006"/>
          <a:ext cx="1649452" cy="1342715"/>
        </a:xfrm>
        <a:prstGeom prst="rect">
          <a:avLst/>
        </a:prstGeom>
      </xdr:spPr>
    </xdr:pic>
    <xdr:clientData/>
  </xdr:twoCellAnchor>
  <xdr:twoCellAnchor editAs="absolute">
    <xdr:from>
      <xdr:col>1</xdr:col>
      <xdr:colOff>38100</xdr:colOff>
      <xdr:row>4</xdr:row>
      <xdr:rowOff>0</xdr:rowOff>
    </xdr:from>
    <xdr:to>
      <xdr:col>2</xdr:col>
      <xdr:colOff>11616</xdr:colOff>
      <xdr:row>4</xdr:row>
      <xdr:rowOff>241300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3D226CD-0371-4A60-B7AB-21E636DF6FAC}"/>
            </a:ext>
          </a:extLst>
        </xdr:cNvPr>
        <xdr:cNvSpPr/>
      </xdr:nvSpPr>
      <xdr:spPr>
        <a:xfrm>
          <a:off x="258801" y="1347439"/>
          <a:ext cx="1901748" cy="241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 kern="1200">
              <a:solidFill>
                <a:schemeClr val="tx1"/>
              </a:solidFill>
            </a:rPr>
            <a:t>Indian </a:t>
          </a:r>
          <a:r>
            <a:rPr lang="en-IN" sz="1200" b="1" kern="1200">
              <a:solidFill>
                <a:schemeClr val="tx1"/>
              </a:solidFill>
            </a:rPr>
            <a:t>Heritage</a:t>
          </a:r>
          <a:r>
            <a:rPr lang="en-IN" sz="1100" b="1" kern="1200">
              <a:solidFill>
                <a:schemeClr val="tx1"/>
              </a:solidFill>
            </a:rPr>
            <a:t> Carfts</a:t>
          </a:r>
        </a:p>
      </xdr:txBody>
    </xdr:sp>
    <xdr:clientData/>
  </xdr:twoCellAnchor>
  <xdr:twoCellAnchor editAs="absolute">
    <xdr:from>
      <xdr:col>1</xdr:col>
      <xdr:colOff>349250</xdr:colOff>
      <xdr:row>5</xdr:row>
      <xdr:rowOff>31750</xdr:rowOff>
    </xdr:from>
    <xdr:to>
      <xdr:col>1</xdr:col>
      <xdr:colOff>1524000</xdr:colOff>
      <xdr:row>6</xdr:row>
      <xdr:rowOff>44450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2B2F519-81D5-415A-B639-A6ECB1C5DB5F}"/>
            </a:ext>
          </a:extLst>
        </xdr:cNvPr>
        <xdr:cNvSpPr/>
      </xdr:nvSpPr>
      <xdr:spPr>
        <a:xfrm>
          <a:off x="558800" y="168275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Dashboard</a:t>
          </a:r>
        </a:p>
      </xdr:txBody>
    </xdr:sp>
    <xdr:clientData/>
  </xdr:twoCellAnchor>
  <xdr:twoCellAnchor editAs="absolute">
    <xdr:from>
      <xdr:col>1</xdr:col>
      <xdr:colOff>82550</xdr:colOff>
      <xdr:row>5</xdr:row>
      <xdr:rowOff>19050</xdr:rowOff>
    </xdr:from>
    <xdr:to>
      <xdr:col>1</xdr:col>
      <xdr:colOff>412750</xdr:colOff>
      <xdr:row>6</xdr:row>
      <xdr:rowOff>19050</xdr:rowOff>
    </xdr:to>
    <xdr:pic>
      <xdr:nvPicPr>
        <xdr:cNvPr id="5" name="Graphic 4" descr="Presentation with bar chart with solid fill">
          <a:extLst>
            <a:ext uri="{FF2B5EF4-FFF2-40B4-BE49-F238E27FC236}">
              <a16:creationId xmlns:a16="http://schemas.microsoft.com/office/drawing/2014/main" id="{C8B78375-4A3D-4D05-8DE1-E81EDCC09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92100" y="1670050"/>
          <a:ext cx="330200" cy="330200"/>
        </a:xfrm>
        <a:prstGeom prst="rect">
          <a:avLst/>
        </a:prstGeom>
      </xdr:spPr>
    </xdr:pic>
    <xdr:clientData/>
  </xdr:twoCellAnchor>
  <xdr:twoCellAnchor editAs="absolute">
    <xdr:from>
      <xdr:col>1</xdr:col>
      <xdr:colOff>349250</xdr:colOff>
      <xdr:row>6</xdr:row>
      <xdr:rowOff>39914</xdr:rowOff>
    </xdr:from>
    <xdr:to>
      <xdr:col>1</xdr:col>
      <xdr:colOff>1524000</xdr:colOff>
      <xdr:row>7</xdr:row>
      <xdr:rowOff>52614</xdr:rowOff>
    </xdr:to>
    <xdr:sp macro="" textlink="">
      <xdr:nvSpPr>
        <xdr:cNvPr id="6" name="Rectangl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CDD7020-145E-497F-86B9-3986801DCD40}"/>
            </a:ext>
          </a:extLst>
        </xdr:cNvPr>
        <xdr:cNvSpPr/>
      </xdr:nvSpPr>
      <xdr:spPr>
        <a:xfrm>
          <a:off x="558800" y="2021114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Customers</a:t>
          </a:r>
        </a:p>
      </xdr:txBody>
    </xdr:sp>
    <xdr:clientData/>
  </xdr:twoCellAnchor>
  <xdr:twoCellAnchor editAs="absolute">
    <xdr:from>
      <xdr:col>1</xdr:col>
      <xdr:colOff>349250</xdr:colOff>
      <xdr:row>7</xdr:row>
      <xdr:rowOff>48078</xdr:rowOff>
    </xdr:from>
    <xdr:to>
      <xdr:col>1</xdr:col>
      <xdr:colOff>1524000</xdr:colOff>
      <xdr:row>8</xdr:row>
      <xdr:rowOff>60778</xdr:rowOff>
    </xdr:to>
    <xdr:sp macro="" textlink="">
      <xdr:nvSpPr>
        <xdr:cNvPr id="7" name="Rectangle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4B5760C-F5E4-4075-91AE-B7E13619BEFD}"/>
            </a:ext>
          </a:extLst>
        </xdr:cNvPr>
        <xdr:cNvSpPr/>
      </xdr:nvSpPr>
      <xdr:spPr>
        <a:xfrm>
          <a:off x="558800" y="2359478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/>
              </a:solidFill>
            </a:rPr>
            <a:t>Vendors</a:t>
          </a:r>
        </a:p>
      </xdr:txBody>
    </xdr:sp>
    <xdr:clientData/>
  </xdr:twoCellAnchor>
  <xdr:twoCellAnchor editAs="absolute">
    <xdr:from>
      <xdr:col>1</xdr:col>
      <xdr:colOff>349250</xdr:colOff>
      <xdr:row>8</xdr:row>
      <xdr:rowOff>56242</xdr:rowOff>
    </xdr:from>
    <xdr:to>
      <xdr:col>1</xdr:col>
      <xdr:colOff>1524000</xdr:colOff>
      <xdr:row>9</xdr:row>
      <xdr:rowOff>68942</xdr:rowOff>
    </xdr:to>
    <xdr:sp macro="" textlink="">
      <xdr:nvSpPr>
        <xdr:cNvPr id="8" name="Rectangl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C5475B0-6D9B-4B91-8A1E-88A847E17616}"/>
            </a:ext>
          </a:extLst>
        </xdr:cNvPr>
        <xdr:cNvSpPr/>
      </xdr:nvSpPr>
      <xdr:spPr>
        <a:xfrm>
          <a:off x="558800" y="2697842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Products</a:t>
          </a:r>
        </a:p>
      </xdr:txBody>
    </xdr:sp>
    <xdr:clientData/>
  </xdr:twoCellAnchor>
  <xdr:twoCellAnchor editAs="absolute">
    <xdr:from>
      <xdr:col>1</xdr:col>
      <xdr:colOff>349250</xdr:colOff>
      <xdr:row>9</xdr:row>
      <xdr:rowOff>64406</xdr:rowOff>
    </xdr:from>
    <xdr:to>
      <xdr:col>1</xdr:col>
      <xdr:colOff>1524000</xdr:colOff>
      <xdr:row>10</xdr:row>
      <xdr:rowOff>77106</xdr:rowOff>
    </xdr:to>
    <xdr:sp macro="" textlink="">
      <xdr:nvSpPr>
        <xdr:cNvPr id="9" name="Rectangl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4FC019A-87D6-433A-A71A-D10A0D5D6794}"/>
            </a:ext>
          </a:extLst>
        </xdr:cNvPr>
        <xdr:cNvSpPr/>
      </xdr:nvSpPr>
      <xdr:spPr>
        <a:xfrm>
          <a:off x="558800" y="3036206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New Entry</a:t>
          </a:r>
        </a:p>
      </xdr:txBody>
    </xdr:sp>
    <xdr:clientData/>
  </xdr:twoCellAnchor>
  <xdr:twoCellAnchor editAs="absolute">
    <xdr:from>
      <xdr:col>1</xdr:col>
      <xdr:colOff>349250</xdr:colOff>
      <xdr:row>10</xdr:row>
      <xdr:rowOff>72570</xdr:rowOff>
    </xdr:from>
    <xdr:to>
      <xdr:col>1</xdr:col>
      <xdr:colOff>1524000</xdr:colOff>
      <xdr:row>11</xdr:row>
      <xdr:rowOff>85270</xdr:rowOff>
    </xdr:to>
    <xdr:sp macro="" textlink="">
      <xdr:nvSpPr>
        <xdr:cNvPr id="10" name="Rectangle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54441E9-FC87-466A-ADFB-431E4BC5600A}"/>
            </a:ext>
          </a:extLst>
        </xdr:cNvPr>
        <xdr:cNvSpPr/>
      </xdr:nvSpPr>
      <xdr:spPr>
        <a:xfrm>
          <a:off x="558800" y="337457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Purchase</a:t>
          </a:r>
        </a:p>
      </xdr:txBody>
    </xdr:sp>
    <xdr:clientData/>
  </xdr:twoCellAnchor>
  <xdr:twoCellAnchor editAs="absolute">
    <xdr:from>
      <xdr:col>1</xdr:col>
      <xdr:colOff>349250</xdr:colOff>
      <xdr:row>11</xdr:row>
      <xdr:rowOff>80734</xdr:rowOff>
    </xdr:from>
    <xdr:to>
      <xdr:col>1</xdr:col>
      <xdr:colOff>1524000</xdr:colOff>
      <xdr:row>12</xdr:row>
      <xdr:rowOff>93434</xdr:rowOff>
    </xdr:to>
    <xdr:sp macro="" textlink="">
      <xdr:nvSpPr>
        <xdr:cNvPr id="11" name="Rectangl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C24BA56-0973-4BDA-8DFF-2FFE94EC1C05}"/>
            </a:ext>
          </a:extLst>
        </xdr:cNvPr>
        <xdr:cNvSpPr/>
      </xdr:nvSpPr>
      <xdr:spPr>
        <a:xfrm>
          <a:off x="558800" y="3712934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</xdr:col>
      <xdr:colOff>349250</xdr:colOff>
      <xdr:row>12</xdr:row>
      <xdr:rowOff>88900</xdr:rowOff>
    </xdr:from>
    <xdr:to>
      <xdr:col>1</xdr:col>
      <xdr:colOff>1524000</xdr:colOff>
      <xdr:row>13</xdr:row>
      <xdr:rowOff>101600</xdr:rowOff>
    </xdr:to>
    <xdr:sp macro="" textlink="">
      <xdr:nvSpPr>
        <xdr:cNvPr id="12" name="Rectangle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55BDD08-0B46-4AF3-886D-AD838776169E}"/>
            </a:ext>
          </a:extLst>
        </xdr:cNvPr>
        <xdr:cNvSpPr/>
      </xdr:nvSpPr>
      <xdr:spPr>
        <a:xfrm>
          <a:off x="558800" y="405130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Inventory</a:t>
          </a:r>
        </a:p>
      </xdr:txBody>
    </xdr:sp>
    <xdr:clientData/>
  </xdr:twoCellAnchor>
  <xdr:twoCellAnchor editAs="absolute">
    <xdr:from>
      <xdr:col>1</xdr:col>
      <xdr:colOff>82550</xdr:colOff>
      <xdr:row>12</xdr:row>
      <xdr:rowOff>82550</xdr:rowOff>
    </xdr:from>
    <xdr:to>
      <xdr:col>1</xdr:col>
      <xdr:colOff>334550</xdr:colOff>
      <xdr:row>13</xdr:row>
      <xdr:rowOff>4350</xdr:rowOff>
    </xdr:to>
    <xdr:pic>
      <xdr:nvPicPr>
        <xdr:cNvPr id="13" name="Graphic 12" descr="Clipboard Partially Checked with solid fill">
          <a:extLst>
            <a:ext uri="{FF2B5EF4-FFF2-40B4-BE49-F238E27FC236}">
              <a16:creationId xmlns:a16="http://schemas.microsoft.com/office/drawing/2014/main" id="{110C5AA2-86DA-4C4D-AB4F-94D636018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92100" y="40449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10</xdr:row>
      <xdr:rowOff>111900</xdr:rowOff>
    </xdr:from>
    <xdr:to>
      <xdr:col>1</xdr:col>
      <xdr:colOff>334550</xdr:colOff>
      <xdr:row>11</xdr:row>
      <xdr:rowOff>33700</xdr:rowOff>
    </xdr:to>
    <xdr:pic>
      <xdr:nvPicPr>
        <xdr:cNvPr id="14" name="Graphic 13" descr="Receipt with solid fill">
          <a:extLst>
            <a:ext uri="{FF2B5EF4-FFF2-40B4-BE49-F238E27FC236}">
              <a16:creationId xmlns:a16="http://schemas.microsoft.com/office/drawing/2014/main" id="{E252D19F-F7E4-4B41-832D-F3FA00B18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2100" y="34139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11</xdr:row>
      <xdr:rowOff>96800</xdr:rowOff>
    </xdr:from>
    <xdr:to>
      <xdr:col>1</xdr:col>
      <xdr:colOff>334550</xdr:colOff>
      <xdr:row>12</xdr:row>
      <xdr:rowOff>18600</xdr:rowOff>
    </xdr:to>
    <xdr:pic>
      <xdr:nvPicPr>
        <xdr:cNvPr id="15" name="Graphic 14" descr="Register with solid fill">
          <a:extLst>
            <a:ext uri="{FF2B5EF4-FFF2-40B4-BE49-F238E27FC236}">
              <a16:creationId xmlns:a16="http://schemas.microsoft.com/office/drawing/2014/main" id="{A59B1BA8-7F3A-4B16-B2CC-F03BBC00F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92100" y="37290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9</xdr:row>
      <xdr:rowOff>56300</xdr:rowOff>
    </xdr:from>
    <xdr:to>
      <xdr:col>1</xdr:col>
      <xdr:colOff>334550</xdr:colOff>
      <xdr:row>9</xdr:row>
      <xdr:rowOff>308300</xdr:rowOff>
    </xdr:to>
    <xdr:pic>
      <xdr:nvPicPr>
        <xdr:cNvPr id="16" name="Graphic 15" descr="Full Brick Wall with solid fill">
          <a:extLst>
            <a:ext uri="{FF2B5EF4-FFF2-40B4-BE49-F238E27FC236}">
              <a16:creationId xmlns:a16="http://schemas.microsoft.com/office/drawing/2014/main" id="{C9307B21-C222-4D43-AA18-790DB6BB2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92100" y="30281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6</xdr:row>
      <xdr:rowOff>41200</xdr:rowOff>
    </xdr:from>
    <xdr:to>
      <xdr:col>1</xdr:col>
      <xdr:colOff>334550</xdr:colOff>
      <xdr:row>6</xdr:row>
      <xdr:rowOff>293200</xdr:rowOff>
    </xdr:to>
    <xdr:pic>
      <xdr:nvPicPr>
        <xdr:cNvPr id="17" name="Graphic 16" descr="User with solid fill">
          <a:extLst>
            <a:ext uri="{FF2B5EF4-FFF2-40B4-BE49-F238E27FC236}">
              <a16:creationId xmlns:a16="http://schemas.microsoft.com/office/drawing/2014/main" id="{75543EB1-399D-4F1C-B8EE-0DE18B4AA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92100" y="20224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7</xdr:row>
      <xdr:rowOff>7050</xdr:rowOff>
    </xdr:from>
    <xdr:to>
      <xdr:col>1</xdr:col>
      <xdr:colOff>334550</xdr:colOff>
      <xdr:row>7</xdr:row>
      <xdr:rowOff>259050</xdr:rowOff>
    </xdr:to>
    <xdr:pic>
      <xdr:nvPicPr>
        <xdr:cNvPr id="18" name="Graphic 17" descr="User outline">
          <a:extLst>
            <a:ext uri="{FF2B5EF4-FFF2-40B4-BE49-F238E27FC236}">
              <a16:creationId xmlns:a16="http://schemas.microsoft.com/office/drawing/2014/main" id="{618FB53E-8711-45C4-B165-A3612E731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92100" y="23184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8</xdr:row>
      <xdr:rowOff>31750</xdr:rowOff>
    </xdr:from>
    <xdr:to>
      <xdr:col>1</xdr:col>
      <xdr:colOff>334550</xdr:colOff>
      <xdr:row>8</xdr:row>
      <xdr:rowOff>283750</xdr:rowOff>
    </xdr:to>
    <xdr:pic>
      <xdr:nvPicPr>
        <xdr:cNvPr id="19" name="Graphic 18" descr="Inventory outline">
          <a:extLst>
            <a:ext uri="{FF2B5EF4-FFF2-40B4-BE49-F238E27FC236}">
              <a16:creationId xmlns:a16="http://schemas.microsoft.com/office/drawing/2014/main" id="{FB844971-091E-4FA6-8F3C-6D409DE88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292100" y="26733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2</xdr:col>
      <xdr:colOff>228597</xdr:colOff>
      <xdr:row>1</xdr:row>
      <xdr:rowOff>6350</xdr:rowOff>
    </xdr:from>
    <xdr:to>
      <xdr:col>38</xdr:col>
      <xdr:colOff>708567</xdr:colOff>
      <xdr:row>3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91AC18F0-F496-4BF7-9F26-CE27627685D9}"/>
            </a:ext>
          </a:extLst>
        </xdr:cNvPr>
        <xdr:cNvSpPr/>
      </xdr:nvSpPr>
      <xdr:spPr>
        <a:xfrm>
          <a:off x="2377530" y="343210"/>
          <a:ext cx="80559665" cy="686419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800" b="1" kern="1200">
              <a:solidFill>
                <a:schemeClr val="tx1"/>
              </a:solidFill>
            </a:rPr>
            <a:t>  Vendors List - IHC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132906</xdr:colOff>
      <xdr:row>0</xdr:row>
      <xdr:rowOff>88605</xdr:rowOff>
    </xdr:from>
    <xdr:to>
      <xdr:col>1</xdr:col>
      <xdr:colOff>1738866</xdr:colOff>
      <xdr:row>4</xdr:row>
      <xdr:rowOff>133203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BCE7591E-169A-421B-B5E9-CD7C4D5B9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54418" y="88605"/>
          <a:ext cx="1605960" cy="1373668"/>
        </a:xfrm>
        <a:prstGeom prst="rect">
          <a:avLst/>
        </a:prstGeom>
      </xdr:spPr>
    </xdr:pic>
    <xdr:clientData/>
  </xdr:twoCellAnchor>
  <xdr:twoCellAnchor editAs="absolute">
    <xdr:from>
      <xdr:col>1</xdr:col>
      <xdr:colOff>38099</xdr:colOff>
      <xdr:row>3</xdr:row>
      <xdr:rowOff>210436</xdr:rowOff>
    </xdr:from>
    <xdr:to>
      <xdr:col>1</xdr:col>
      <xdr:colOff>1860696</xdr:colOff>
      <xdr:row>4</xdr:row>
      <xdr:rowOff>241300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75AB80B-121C-4F3A-A534-5883C1C065EF}"/>
            </a:ext>
          </a:extLst>
        </xdr:cNvPr>
        <xdr:cNvSpPr/>
      </xdr:nvSpPr>
      <xdr:spPr>
        <a:xfrm>
          <a:off x="259611" y="1207238"/>
          <a:ext cx="1822597" cy="3631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Indian Heritage Carfts</a:t>
          </a:r>
          <a:endParaRPr lang="en-IN" sz="12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absolute">
    <xdr:from>
      <xdr:col>1</xdr:col>
      <xdr:colOff>349250</xdr:colOff>
      <xdr:row>5</xdr:row>
      <xdr:rowOff>31750</xdr:rowOff>
    </xdr:from>
    <xdr:to>
      <xdr:col>1</xdr:col>
      <xdr:colOff>1524000</xdr:colOff>
      <xdr:row>6</xdr:row>
      <xdr:rowOff>44450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19C3CDF-27C8-4D0A-9CCC-C070165693C9}"/>
            </a:ext>
          </a:extLst>
        </xdr:cNvPr>
        <xdr:cNvSpPr/>
      </xdr:nvSpPr>
      <xdr:spPr>
        <a:xfrm>
          <a:off x="568325" y="1698625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Dashboard</a:t>
          </a:r>
        </a:p>
      </xdr:txBody>
    </xdr:sp>
    <xdr:clientData/>
  </xdr:twoCellAnchor>
  <xdr:twoCellAnchor editAs="absolute">
    <xdr:from>
      <xdr:col>1</xdr:col>
      <xdr:colOff>82550</xdr:colOff>
      <xdr:row>5</xdr:row>
      <xdr:rowOff>19050</xdr:rowOff>
    </xdr:from>
    <xdr:to>
      <xdr:col>1</xdr:col>
      <xdr:colOff>412750</xdr:colOff>
      <xdr:row>6</xdr:row>
      <xdr:rowOff>19050</xdr:rowOff>
    </xdr:to>
    <xdr:pic>
      <xdr:nvPicPr>
        <xdr:cNvPr id="5" name="Graphic 4" descr="Presentation with bar chart with solid fill">
          <a:extLst>
            <a:ext uri="{FF2B5EF4-FFF2-40B4-BE49-F238E27FC236}">
              <a16:creationId xmlns:a16="http://schemas.microsoft.com/office/drawing/2014/main" id="{3B8419BE-6A0D-4722-9AF3-264CBD7A9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1625" y="1685925"/>
          <a:ext cx="330200" cy="333375"/>
        </a:xfrm>
        <a:prstGeom prst="rect">
          <a:avLst/>
        </a:prstGeom>
      </xdr:spPr>
    </xdr:pic>
    <xdr:clientData/>
  </xdr:twoCellAnchor>
  <xdr:twoCellAnchor editAs="absolute">
    <xdr:from>
      <xdr:col>1</xdr:col>
      <xdr:colOff>349250</xdr:colOff>
      <xdr:row>6</xdr:row>
      <xdr:rowOff>39914</xdr:rowOff>
    </xdr:from>
    <xdr:to>
      <xdr:col>1</xdr:col>
      <xdr:colOff>1524000</xdr:colOff>
      <xdr:row>7</xdr:row>
      <xdr:rowOff>52614</xdr:rowOff>
    </xdr:to>
    <xdr:sp macro="" textlink="">
      <xdr:nvSpPr>
        <xdr:cNvPr id="6" name="Rectangl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6B9F8CE-2AC9-42AA-B718-6B6B96DA200C}"/>
            </a:ext>
          </a:extLst>
        </xdr:cNvPr>
        <xdr:cNvSpPr/>
      </xdr:nvSpPr>
      <xdr:spPr>
        <a:xfrm>
          <a:off x="568325" y="2040164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Customers</a:t>
          </a:r>
        </a:p>
      </xdr:txBody>
    </xdr:sp>
    <xdr:clientData/>
  </xdr:twoCellAnchor>
  <xdr:twoCellAnchor editAs="absolute">
    <xdr:from>
      <xdr:col>1</xdr:col>
      <xdr:colOff>349250</xdr:colOff>
      <xdr:row>7</xdr:row>
      <xdr:rowOff>48078</xdr:rowOff>
    </xdr:from>
    <xdr:to>
      <xdr:col>1</xdr:col>
      <xdr:colOff>1524000</xdr:colOff>
      <xdr:row>8</xdr:row>
      <xdr:rowOff>60778</xdr:rowOff>
    </xdr:to>
    <xdr:sp macro="" textlink="">
      <xdr:nvSpPr>
        <xdr:cNvPr id="7" name="Rectangle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4A0EAAA-E84E-43FC-AA86-3594D359C6AC}"/>
            </a:ext>
          </a:extLst>
        </xdr:cNvPr>
        <xdr:cNvSpPr/>
      </xdr:nvSpPr>
      <xdr:spPr>
        <a:xfrm>
          <a:off x="568325" y="2381703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Vendors</a:t>
          </a:r>
        </a:p>
      </xdr:txBody>
    </xdr:sp>
    <xdr:clientData/>
  </xdr:twoCellAnchor>
  <xdr:twoCellAnchor editAs="absolute">
    <xdr:from>
      <xdr:col>1</xdr:col>
      <xdr:colOff>349250</xdr:colOff>
      <xdr:row>8</xdr:row>
      <xdr:rowOff>56242</xdr:rowOff>
    </xdr:from>
    <xdr:to>
      <xdr:col>1</xdr:col>
      <xdr:colOff>1524000</xdr:colOff>
      <xdr:row>9</xdr:row>
      <xdr:rowOff>68942</xdr:rowOff>
    </xdr:to>
    <xdr:sp macro="" textlink="">
      <xdr:nvSpPr>
        <xdr:cNvPr id="8" name="Rectangl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366EF22-6C19-4747-8F0E-B82C84DB608E}"/>
            </a:ext>
          </a:extLst>
        </xdr:cNvPr>
        <xdr:cNvSpPr/>
      </xdr:nvSpPr>
      <xdr:spPr>
        <a:xfrm>
          <a:off x="568325" y="2723242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/>
              </a:solidFill>
            </a:rPr>
            <a:t>Products</a:t>
          </a:r>
        </a:p>
      </xdr:txBody>
    </xdr:sp>
    <xdr:clientData/>
  </xdr:twoCellAnchor>
  <xdr:twoCellAnchor editAs="absolute">
    <xdr:from>
      <xdr:col>1</xdr:col>
      <xdr:colOff>349250</xdr:colOff>
      <xdr:row>9</xdr:row>
      <xdr:rowOff>64406</xdr:rowOff>
    </xdr:from>
    <xdr:to>
      <xdr:col>1</xdr:col>
      <xdr:colOff>1524000</xdr:colOff>
      <xdr:row>10</xdr:row>
      <xdr:rowOff>77106</xdr:rowOff>
    </xdr:to>
    <xdr:sp macro="" textlink="">
      <xdr:nvSpPr>
        <xdr:cNvPr id="9" name="Rectangl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B7A5297-F684-43AB-B0C7-FD7DA12C1E3A}"/>
            </a:ext>
          </a:extLst>
        </xdr:cNvPr>
        <xdr:cNvSpPr/>
      </xdr:nvSpPr>
      <xdr:spPr>
        <a:xfrm>
          <a:off x="568325" y="3064781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New Entry</a:t>
          </a:r>
        </a:p>
      </xdr:txBody>
    </xdr:sp>
    <xdr:clientData/>
  </xdr:twoCellAnchor>
  <xdr:twoCellAnchor editAs="absolute">
    <xdr:from>
      <xdr:col>1</xdr:col>
      <xdr:colOff>349250</xdr:colOff>
      <xdr:row>10</xdr:row>
      <xdr:rowOff>72570</xdr:rowOff>
    </xdr:from>
    <xdr:to>
      <xdr:col>1</xdr:col>
      <xdr:colOff>1524000</xdr:colOff>
      <xdr:row>11</xdr:row>
      <xdr:rowOff>85270</xdr:rowOff>
    </xdr:to>
    <xdr:sp macro="" textlink="">
      <xdr:nvSpPr>
        <xdr:cNvPr id="10" name="Rectangle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FABC88C-1577-47CA-BDE6-3A50B14191B8}"/>
            </a:ext>
          </a:extLst>
        </xdr:cNvPr>
        <xdr:cNvSpPr/>
      </xdr:nvSpPr>
      <xdr:spPr>
        <a:xfrm>
          <a:off x="568325" y="340632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Purchase</a:t>
          </a:r>
        </a:p>
      </xdr:txBody>
    </xdr:sp>
    <xdr:clientData/>
  </xdr:twoCellAnchor>
  <xdr:twoCellAnchor editAs="absolute">
    <xdr:from>
      <xdr:col>1</xdr:col>
      <xdr:colOff>349250</xdr:colOff>
      <xdr:row>11</xdr:row>
      <xdr:rowOff>80734</xdr:rowOff>
    </xdr:from>
    <xdr:to>
      <xdr:col>1</xdr:col>
      <xdr:colOff>1524000</xdr:colOff>
      <xdr:row>12</xdr:row>
      <xdr:rowOff>93434</xdr:rowOff>
    </xdr:to>
    <xdr:sp macro="" textlink="">
      <xdr:nvSpPr>
        <xdr:cNvPr id="11" name="Rectangl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F73B6E0-E84A-4021-A114-310F8B90AA47}"/>
            </a:ext>
          </a:extLst>
        </xdr:cNvPr>
        <xdr:cNvSpPr/>
      </xdr:nvSpPr>
      <xdr:spPr>
        <a:xfrm>
          <a:off x="568325" y="3747859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</xdr:col>
      <xdr:colOff>349250</xdr:colOff>
      <xdr:row>12</xdr:row>
      <xdr:rowOff>88900</xdr:rowOff>
    </xdr:from>
    <xdr:to>
      <xdr:col>1</xdr:col>
      <xdr:colOff>1524000</xdr:colOff>
      <xdr:row>13</xdr:row>
      <xdr:rowOff>101600</xdr:rowOff>
    </xdr:to>
    <xdr:sp macro="" textlink="">
      <xdr:nvSpPr>
        <xdr:cNvPr id="12" name="Rectangle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9B18092-848A-4DCB-B9A0-C399A11D6BC5}"/>
            </a:ext>
          </a:extLst>
        </xdr:cNvPr>
        <xdr:cNvSpPr/>
      </xdr:nvSpPr>
      <xdr:spPr>
        <a:xfrm>
          <a:off x="568325" y="408940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Inventory</a:t>
          </a:r>
        </a:p>
      </xdr:txBody>
    </xdr:sp>
    <xdr:clientData/>
  </xdr:twoCellAnchor>
  <xdr:twoCellAnchor editAs="absolute">
    <xdr:from>
      <xdr:col>1</xdr:col>
      <xdr:colOff>82550</xdr:colOff>
      <xdr:row>12</xdr:row>
      <xdr:rowOff>82550</xdr:rowOff>
    </xdr:from>
    <xdr:to>
      <xdr:col>1</xdr:col>
      <xdr:colOff>334550</xdr:colOff>
      <xdr:row>13</xdr:row>
      <xdr:rowOff>4350</xdr:rowOff>
    </xdr:to>
    <xdr:pic>
      <xdr:nvPicPr>
        <xdr:cNvPr id="13" name="Graphic 12" descr="Clipboard Partially Checked with solid fill">
          <a:extLst>
            <a:ext uri="{FF2B5EF4-FFF2-40B4-BE49-F238E27FC236}">
              <a16:creationId xmlns:a16="http://schemas.microsoft.com/office/drawing/2014/main" id="{519E8C5F-551D-4669-A73E-DEDF676D1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301625" y="40830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10</xdr:row>
      <xdr:rowOff>111900</xdr:rowOff>
    </xdr:from>
    <xdr:to>
      <xdr:col>1</xdr:col>
      <xdr:colOff>334550</xdr:colOff>
      <xdr:row>11</xdr:row>
      <xdr:rowOff>33700</xdr:rowOff>
    </xdr:to>
    <xdr:pic>
      <xdr:nvPicPr>
        <xdr:cNvPr id="14" name="Graphic 13" descr="Receipt with solid fill">
          <a:extLst>
            <a:ext uri="{FF2B5EF4-FFF2-40B4-BE49-F238E27FC236}">
              <a16:creationId xmlns:a16="http://schemas.microsoft.com/office/drawing/2014/main" id="{1B470608-B9A7-45C7-A4C1-CFDBDA24C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1625" y="34456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11</xdr:row>
      <xdr:rowOff>96800</xdr:rowOff>
    </xdr:from>
    <xdr:to>
      <xdr:col>1</xdr:col>
      <xdr:colOff>334550</xdr:colOff>
      <xdr:row>12</xdr:row>
      <xdr:rowOff>18600</xdr:rowOff>
    </xdr:to>
    <xdr:pic>
      <xdr:nvPicPr>
        <xdr:cNvPr id="15" name="Graphic 14" descr="Register with solid fill">
          <a:extLst>
            <a:ext uri="{FF2B5EF4-FFF2-40B4-BE49-F238E27FC236}">
              <a16:creationId xmlns:a16="http://schemas.microsoft.com/office/drawing/2014/main" id="{FDCEA4FE-E681-4197-9801-24C96A90E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1625" y="3763925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9</xdr:row>
      <xdr:rowOff>56300</xdr:rowOff>
    </xdr:from>
    <xdr:to>
      <xdr:col>1</xdr:col>
      <xdr:colOff>334550</xdr:colOff>
      <xdr:row>9</xdr:row>
      <xdr:rowOff>308300</xdr:rowOff>
    </xdr:to>
    <xdr:pic>
      <xdr:nvPicPr>
        <xdr:cNvPr id="16" name="Graphic 15" descr="Full Brick Wall with solid fill">
          <a:extLst>
            <a:ext uri="{FF2B5EF4-FFF2-40B4-BE49-F238E27FC236}">
              <a16:creationId xmlns:a16="http://schemas.microsoft.com/office/drawing/2014/main" id="{47ED6603-F8E2-4995-AC9A-59C52F083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01625" y="3056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6</xdr:row>
      <xdr:rowOff>41200</xdr:rowOff>
    </xdr:from>
    <xdr:to>
      <xdr:col>1</xdr:col>
      <xdr:colOff>334550</xdr:colOff>
      <xdr:row>6</xdr:row>
      <xdr:rowOff>293200</xdr:rowOff>
    </xdr:to>
    <xdr:pic>
      <xdr:nvPicPr>
        <xdr:cNvPr id="17" name="Graphic 16" descr="User with solid fill">
          <a:extLst>
            <a:ext uri="{FF2B5EF4-FFF2-40B4-BE49-F238E27FC236}">
              <a16:creationId xmlns:a16="http://schemas.microsoft.com/office/drawing/2014/main" id="{6E4B0433-DBB4-49FE-A45F-FF16FF2AC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01625" y="20414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7</xdr:row>
      <xdr:rowOff>7050</xdr:rowOff>
    </xdr:from>
    <xdr:to>
      <xdr:col>1</xdr:col>
      <xdr:colOff>334550</xdr:colOff>
      <xdr:row>7</xdr:row>
      <xdr:rowOff>259050</xdr:rowOff>
    </xdr:to>
    <xdr:pic>
      <xdr:nvPicPr>
        <xdr:cNvPr id="18" name="Graphic 17" descr="User outline">
          <a:extLst>
            <a:ext uri="{FF2B5EF4-FFF2-40B4-BE49-F238E27FC236}">
              <a16:creationId xmlns:a16="http://schemas.microsoft.com/office/drawing/2014/main" id="{2C5B417F-44F1-46DC-8C57-361EC106C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01625" y="2340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8</xdr:row>
      <xdr:rowOff>31750</xdr:rowOff>
    </xdr:from>
    <xdr:to>
      <xdr:col>1</xdr:col>
      <xdr:colOff>334550</xdr:colOff>
      <xdr:row>8</xdr:row>
      <xdr:rowOff>283750</xdr:rowOff>
    </xdr:to>
    <xdr:pic>
      <xdr:nvPicPr>
        <xdr:cNvPr id="19" name="Graphic 18" descr="Inventory outline">
          <a:extLst>
            <a:ext uri="{FF2B5EF4-FFF2-40B4-BE49-F238E27FC236}">
              <a16:creationId xmlns:a16="http://schemas.microsoft.com/office/drawing/2014/main" id="{708CDD5C-FC5B-4F9C-BB8F-9571882D0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301625" y="26987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3</xdr:col>
      <xdr:colOff>-1</xdr:colOff>
      <xdr:row>1</xdr:row>
      <xdr:rowOff>6350</xdr:rowOff>
    </xdr:from>
    <xdr:to>
      <xdr:col>51</xdr:col>
      <xdr:colOff>321192</xdr:colOff>
      <xdr:row>3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636D9431-BCB3-4DBC-B758-7D551356AEE7}"/>
            </a:ext>
          </a:extLst>
        </xdr:cNvPr>
        <xdr:cNvSpPr/>
      </xdr:nvSpPr>
      <xdr:spPr>
        <a:xfrm>
          <a:off x="2381249" y="339725"/>
          <a:ext cx="59315498" cy="6794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800" b="1" kern="1200">
              <a:solidFill>
                <a:schemeClr val="tx1"/>
              </a:solidFill>
            </a:rPr>
            <a:t>  Product</a:t>
          </a:r>
          <a:r>
            <a:rPr lang="en-IN" sz="2800" b="1" kern="1200" baseline="0">
              <a:solidFill>
                <a:schemeClr val="tx1"/>
              </a:solidFill>
            </a:rPr>
            <a:t> Category - IHC (Only Blue Color Cells Are Editable)</a:t>
          </a:r>
          <a:endParaRPr lang="en-IN" sz="2800" b="1" kern="12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199654</xdr:colOff>
      <xdr:row>0</xdr:row>
      <xdr:rowOff>121832</xdr:rowOff>
    </xdr:from>
    <xdr:to>
      <xdr:col>1</xdr:col>
      <xdr:colOff>1661335</xdr:colOff>
      <xdr:row>4</xdr:row>
      <xdr:rowOff>199361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BFB62AE8-9B82-410B-BA8A-BDBC122C9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21166" y="121832"/>
          <a:ext cx="1461681" cy="1406599"/>
        </a:xfrm>
        <a:prstGeom prst="rect">
          <a:avLst/>
        </a:prstGeom>
      </xdr:spPr>
    </xdr:pic>
    <xdr:clientData/>
  </xdr:twoCellAnchor>
  <xdr:twoCellAnchor editAs="absolute">
    <xdr:from>
      <xdr:col>1</xdr:col>
      <xdr:colOff>38099</xdr:colOff>
      <xdr:row>3</xdr:row>
      <xdr:rowOff>310117</xdr:rowOff>
    </xdr:from>
    <xdr:to>
      <xdr:col>1</xdr:col>
      <xdr:colOff>1860696</xdr:colOff>
      <xdr:row>4</xdr:row>
      <xdr:rowOff>241300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6EBB31F-4A98-4BEB-B49D-819A4FF40D53}"/>
            </a:ext>
          </a:extLst>
        </xdr:cNvPr>
        <xdr:cNvSpPr/>
      </xdr:nvSpPr>
      <xdr:spPr>
        <a:xfrm>
          <a:off x="259611" y="1306919"/>
          <a:ext cx="1822597" cy="2634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Indian Heritage Carfts</a:t>
          </a:r>
          <a:endParaRPr lang="en-IN" sz="12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absolute">
    <xdr:from>
      <xdr:col>1</xdr:col>
      <xdr:colOff>349250</xdr:colOff>
      <xdr:row>5</xdr:row>
      <xdr:rowOff>31750</xdr:rowOff>
    </xdr:from>
    <xdr:to>
      <xdr:col>1</xdr:col>
      <xdr:colOff>1524000</xdr:colOff>
      <xdr:row>6</xdr:row>
      <xdr:rowOff>44450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26713AC-3597-42DB-9E0C-853AE7C92736}"/>
            </a:ext>
          </a:extLst>
        </xdr:cNvPr>
        <xdr:cNvSpPr/>
      </xdr:nvSpPr>
      <xdr:spPr>
        <a:xfrm>
          <a:off x="568325" y="1698625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Dashboard</a:t>
          </a:r>
        </a:p>
      </xdr:txBody>
    </xdr:sp>
    <xdr:clientData/>
  </xdr:twoCellAnchor>
  <xdr:twoCellAnchor editAs="absolute">
    <xdr:from>
      <xdr:col>1</xdr:col>
      <xdr:colOff>82550</xdr:colOff>
      <xdr:row>5</xdr:row>
      <xdr:rowOff>19050</xdr:rowOff>
    </xdr:from>
    <xdr:to>
      <xdr:col>1</xdr:col>
      <xdr:colOff>412750</xdr:colOff>
      <xdr:row>6</xdr:row>
      <xdr:rowOff>19050</xdr:rowOff>
    </xdr:to>
    <xdr:pic>
      <xdr:nvPicPr>
        <xdr:cNvPr id="5" name="Graphic 4" descr="Presentation with bar chart with solid fill">
          <a:extLst>
            <a:ext uri="{FF2B5EF4-FFF2-40B4-BE49-F238E27FC236}">
              <a16:creationId xmlns:a16="http://schemas.microsoft.com/office/drawing/2014/main" id="{D07D9603-43B4-4868-B06D-5F5FF59DD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1625" y="1685925"/>
          <a:ext cx="330200" cy="333375"/>
        </a:xfrm>
        <a:prstGeom prst="rect">
          <a:avLst/>
        </a:prstGeom>
      </xdr:spPr>
    </xdr:pic>
    <xdr:clientData/>
  </xdr:twoCellAnchor>
  <xdr:twoCellAnchor editAs="absolute">
    <xdr:from>
      <xdr:col>1</xdr:col>
      <xdr:colOff>349250</xdr:colOff>
      <xdr:row>6</xdr:row>
      <xdr:rowOff>39914</xdr:rowOff>
    </xdr:from>
    <xdr:to>
      <xdr:col>1</xdr:col>
      <xdr:colOff>1524000</xdr:colOff>
      <xdr:row>7</xdr:row>
      <xdr:rowOff>52614</xdr:rowOff>
    </xdr:to>
    <xdr:sp macro="" textlink="">
      <xdr:nvSpPr>
        <xdr:cNvPr id="6" name="Rectangl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0E59E59-07D2-4DF3-BF28-A391D034050A}"/>
            </a:ext>
          </a:extLst>
        </xdr:cNvPr>
        <xdr:cNvSpPr/>
      </xdr:nvSpPr>
      <xdr:spPr>
        <a:xfrm>
          <a:off x="568325" y="2040164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Customers</a:t>
          </a:r>
        </a:p>
      </xdr:txBody>
    </xdr:sp>
    <xdr:clientData/>
  </xdr:twoCellAnchor>
  <xdr:twoCellAnchor editAs="absolute">
    <xdr:from>
      <xdr:col>1</xdr:col>
      <xdr:colOff>349250</xdr:colOff>
      <xdr:row>7</xdr:row>
      <xdr:rowOff>48078</xdr:rowOff>
    </xdr:from>
    <xdr:to>
      <xdr:col>1</xdr:col>
      <xdr:colOff>1524000</xdr:colOff>
      <xdr:row>8</xdr:row>
      <xdr:rowOff>60778</xdr:rowOff>
    </xdr:to>
    <xdr:sp macro="" textlink="">
      <xdr:nvSpPr>
        <xdr:cNvPr id="7" name="Rectangle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BDACC9A-0782-4734-9455-10CE8F94312D}"/>
            </a:ext>
          </a:extLst>
        </xdr:cNvPr>
        <xdr:cNvSpPr/>
      </xdr:nvSpPr>
      <xdr:spPr>
        <a:xfrm>
          <a:off x="568325" y="2381703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Vendors</a:t>
          </a:r>
        </a:p>
      </xdr:txBody>
    </xdr:sp>
    <xdr:clientData/>
  </xdr:twoCellAnchor>
  <xdr:twoCellAnchor editAs="absolute">
    <xdr:from>
      <xdr:col>1</xdr:col>
      <xdr:colOff>349250</xdr:colOff>
      <xdr:row>8</xdr:row>
      <xdr:rowOff>56242</xdr:rowOff>
    </xdr:from>
    <xdr:to>
      <xdr:col>1</xdr:col>
      <xdr:colOff>1524000</xdr:colOff>
      <xdr:row>9</xdr:row>
      <xdr:rowOff>68942</xdr:rowOff>
    </xdr:to>
    <xdr:sp macro="" textlink="">
      <xdr:nvSpPr>
        <xdr:cNvPr id="8" name="Rectangl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2DC8A4C-1732-4AE2-8011-6E130E04AE53}"/>
            </a:ext>
          </a:extLst>
        </xdr:cNvPr>
        <xdr:cNvSpPr/>
      </xdr:nvSpPr>
      <xdr:spPr>
        <a:xfrm>
          <a:off x="568325" y="2723242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/>
              </a:solidFill>
            </a:rPr>
            <a:t>Products</a:t>
          </a:r>
        </a:p>
      </xdr:txBody>
    </xdr:sp>
    <xdr:clientData/>
  </xdr:twoCellAnchor>
  <xdr:twoCellAnchor editAs="absolute">
    <xdr:from>
      <xdr:col>1</xdr:col>
      <xdr:colOff>349250</xdr:colOff>
      <xdr:row>9</xdr:row>
      <xdr:rowOff>64406</xdr:rowOff>
    </xdr:from>
    <xdr:to>
      <xdr:col>1</xdr:col>
      <xdr:colOff>1524000</xdr:colOff>
      <xdr:row>10</xdr:row>
      <xdr:rowOff>77106</xdr:rowOff>
    </xdr:to>
    <xdr:sp macro="" textlink="">
      <xdr:nvSpPr>
        <xdr:cNvPr id="9" name="Rectangl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0185404-3380-486C-9B2B-76C920D9AC52}"/>
            </a:ext>
          </a:extLst>
        </xdr:cNvPr>
        <xdr:cNvSpPr/>
      </xdr:nvSpPr>
      <xdr:spPr>
        <a:xfrm>
          <a:off x="568325" y="3064781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New Entry</a:t>
          </a:r>
        </a:p>
      </xdr:txBody>
    </xdr:sp>
    <xdr:clientData/>
  </xdr:twoCellAnchor>
  <xdr:twoCellAnchor editAs="absolute">
    <xdr:from>
      <xdr:col>1</xdr:col>
      <xdr:colOff>349250</xdr:colOff>
      <xdr:row>10</xdr:row>
      <xdr:rowOff>72570</xdr:rowOff>
    </xdr:from>
    <xdr:to>
      <xdr:col>1</xdr:col>
      <xdr:colOff>1524000</xdr:colOff>
      <xdr:row>11</xdr:row>
      <xdr:rowOff>85270</xdr:rowOff>
    </xdr:to>
    <xdr:sp macro="" textlink="">
      <xdr:nvSpPr>
        <xdr:cNvPr id="10" name="Rectangle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7D43CA1-74EE-435E-9EBA-4358AA8EAE61}"/>
            </a:ext>
          </a:extLst>
        </xdr:cNvPr>
        <xdr:cNvSpPr/>
      </xdr:nvSpPr>
      <xdr:spPr>
        <a:xfrm>
          <a:off x="568325" y="340632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Purchase</a:t>
          </a:r>
        </a:p>
      </xdr:txBody>
    </xdr:sp>
    <xdr:clientData/>
  </xdr:twoCellAnchor>
  <xdr:twoCellAnchor editAs="absolute">
    <xdr:from>
      <xdr:col>1</xdr:col>
      <xdr:colOff>349250</xdr:colOff>
      <xdr:row>11</xdr:row>
      <xdr:rowOff>80734</xdr:rowOff>
    </xdr:from>
    <xdr:to>
      <xdr:col>1</xdr:col>
      <xdr:colOff>1524000</xdr:colOff>
      <xdr:row>12</xdr:row>
      <xdr:rowOff>93434</xdr:rowOff>
    </xdr:to>
    <xdr:sp macro="" textlink="">
      <xdr:nvSpPr>
        <xdr:cNvPr id="11" name="Rectangl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EF07A69-C62A-42C9-954E-17D5CBF6E435}"/>
            </a:ext>
          </a:extLst>
        </xdr:cNvPr>
        <xdr:cNvSpPr/>
      </xdr:nvSpPr>
      <xdr:spPr>
        <a:xfrm>
          <a:off x="568325" y="3747859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</xdr:col>
      <xdr:colOff>349250</xdr:colOff>
      <xdr:row>12</xdr:row>
      <xdr:rowOff>88900</xdr:rowOff>
    </xdr:from>
    <xdr:to>
      <xdr:col>1</xdr:col>
      <xdr:colOff>1524000</xdr:colOff>
      <xdr:row>13</xdr:row>
      <xdr:rowOff>101600</xdr:rowOff>
    </xdr:to>
    <xdr:sp macro="" textlink="">
      <xdr:nvSpPr>
        <xdr:cNvPr id="12" name="Rectangle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E2DCB44-07E0-4BC7-8E77-60F7EF946A99}"/>
            </a:ext>
          </a:extLst>
        </xdr:cNvPr>
        <xdr:cNvSpPr/>
      </xdr:nvSpPr>
      <xdr:spPr>
        <a:xfrm>
          <a:off x="568325" y="408940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Inventory</a:t>
          </a:r>
        </a:p>
      </xdr:txBody>
    </xdr:sp>
    <xdr:clientData/>
  </xdr:twoCellAnchor>
  <xdr:twoCellAnchor editAs="absolute">
    <xdr:from>
      <xdr:col>1</xdr:col>
      <xdr:colOff>82550</xdr:colOff>
      <xdr:row>12</xdr:row>
      <xdr:rowOff>82550</xdr:rowOff>
    </xdr:from>
    <xdr:to>
      <xdr:col>1</xdr:col>
      <xdr:colOff>334550</xdr:colOff>
      <xdr:row>13</xdr:row>
      <xdr:rowOff>4350</xdr:rowOff>
    </xdr:to>
    <xdr:pic>
      <xdr:nvPicPr>
        <xdr:cNvPr id="13" name="Graphic 12" descr="Clipboard Partially Checked with solid fill">
          <a:extLst>
            <a:ext uri="{FF2B5EF4-FFF2-40B4-BE49-F238E27FC236}">
              <a16:creationId xmlns:a16="http://schemas.microsoft.com/office/drawing/2014/main" id="{BFCB27C1-B240-4472-8259-90638DF2F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301625" y="40830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10</xdr:row>
      <xdr:rowOff>111900</xdr:rowOff>
    </xdr:from>
    <xdr:to>
      <xdr:col>1</xdr:col>
      <xdr:colOff>334550</xdr:colOff>
      <xdr:row>11</xdr:row>
      <xdr:rowOff>33700</xdr:rowOff>
    </xdr:to>
    <xdr:pic>
      <xdr:nvPicPr>
        <xdr:cNvPr id="14" name="Graphic 13" descr="Receipt with solid fill">
          <a:extLst>
            <a:ext uri="{FF2B5EF4-FFF2-40B4-BE49-F238E27FC236}">
              <a16:creationId xmlns:a16="http://schemas.microsoft.com/office/drawing/2014/main" id="{DE676B42-733F-4474-BFE9-774DB16CC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1625" y="34456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11</xdr:row>
      <xdr:rowOff>96800</xdr:rowOff>
    </xdr:from>
    <xdr:to>
      <xdr:col>1</xdr:col>
      <xdr:colOff>334550</xdr:colOff>
      <xdr:row>12</xdr:row>
      <xdr:rowOff>18600</xdr:rowOff>
    </xdr:to>
    <xdr:pic>
      <xdr:nvPicPr>
        <xdr:cNvPr id="15" name="Graphic 14" descr="Register with solid fill">
          <a:extLst>
            <a:ext uri="{FF2B5EF4-FFF2-40B4-BE49-F238E27FC236}">
              <a16:creationId xmlns:a16="http://schemas.microsoft.com/office/drawing/2014/main" id="{B9E0520D-4302-4EE6-9922-DCEC02728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1625" y="3763925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9</xdr:row>
      <xdr:rowOff>56300</xdr:rowOff>
    </xdr:from>
    <xdr:to>
      <xdr:col>1</xdr:col>
      <xdr:colOff>334550</xdr:colOff>
      <xdr:row>9</xdr:row>
      <xdr:rowOff>308300</xdr:rowOff>
    </xdr:to>
    <xdr:pic>
      <xdr:nvPicPr>
        <xdr:cNvPr id="16" name="Graphic 15" descr="Full Brick Wall with solid fill">
          <a:extLst>
            <a:ext uri="{FF2B5EF4-FFF2-40B4-BE49-F238E27FC236}">
              <a16:creationId xmlns:a16="http://schemas.microsoft.com/office/drawing/2014/main" id="{9E1AB5E9-DE6F-433C-B3DF-945E0D99A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01625" y="3056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6</xdr:row>
      <xdr:rowOff>41200</xdr:rowOff>
    </xdr:from>
    <xdr:to>
      <xdr:col>1</xdr:col>
      <xdr:colOff>334550</xdr:colOff>
      <xdr:row>6</xdr:row>
      <xdr:rowOff>293200</xdr:rowOff>
    </xdr:to>
    <xdr:pic>
      <xdr:nvPicPr>
        <xdr:cNvPr id="17" name="Graphic 16" descr="User with solid fill">
          <a:extLst>
            <a:ext uri="{FF2B5EF4-FFF2-40B4-BE49-F238E27FC236}">
              <a16:creationId xmlns:a16="http://schemas.microsoft.com/office/drawing/2014/main" id="{9D621DE2-B6BE-4559-BB73-D2275FE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01625" y="20414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7</xdr:row>
      <xdr:rowOff>7050</xdr:rowOff>
    </xdr:from>
    <xdr:to>
      <xdr:col>1</xdr:col>
      <xdr:colOff>334550</xdr:colOff>
      <xdr:row>7</xdr:row>
      <xdr:rowOff>259050</xdr:rowOff>
    </xdr:to>
    <xdr:pic>
      <xdr:nvPicPr>
        <xdr:cNvPr id="18" name="Graphic 17" descr="User outline">
          <a:extLst>
            <a:ext uri="{FF2B5EF4-FFF2-40B4-BE49-F238E27FC236}">
              <a16:creationId xmlns:a16="http://schemas.microsoft.com/office/drawing/2014/main" id="{AE9983FE-4BE1-4D38-9477-D1B10114A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01625" y="2340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8</xdr:row>
      <xdr:rowOff>31750</xdr:rowOff>
    </xdr:from>
    <xdr:to>
      <xdr:col>1</xdr:col>
      <xdr:colOff>334550</xdr:colOff>
      <xdr:row>8</xdr:row>
      <xdr:rowOff>283750</xdr:rowOff>
    </xdr:to>
    <xdr:pic>
      <xdr:nvPicPr>
        <xdr:cNvPr id="19" name="Graphic 18" descr="Inventory outline">
          <a:extLst>
            <a:ext uri="{FF2B5EF4-FFF2-40B4-BE49-F238E27FC236}">
              <a16:creationId xmlns:a16="http://schemas.microsoft.com/office/drawing/2014/main" id="{3C56ABA2-A09B-4949-B3C0-B65814D4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301625" y="26987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3</xdr:col>
      <xdr:colOff>-1</xdr:colOff>
      <xdr:row>1</xdr:row>
      <xdr:rowOff>6350</xdr:rowOff>
    </xdr:from>
    <xdr:to>
      <xdr:col>52</xdr:col>
      <xdr:colOff>77529</xdr:colOff>
      <xdr:row>3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CB535EA1-B3B8-405D-80D5-440323D1669E}"/>
            </a:ext>
          </a:extLst>
        </xdr:cNvPr>
        <xdr:cNvSpPr/>
      </xdr:nvSpPr>
      <xdr:spPr>
        <a:xfrm>
          <a:off x="2381249" y="339725"/>
          <a:ext cx="59248823" cy="6794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800" b="1" kern="1200">
              <a:solidFill>
                <a:schemeClr val="tx1"/>
              </a:solidFill>
            </a:rPr>
            <a:t>  Product</a:t>
          </a:r>
          <a:r>
            <a:rPr lang="en-IN" sz="2800" b="1" kern="1200" baseline="0">
              <a:solidFill>
                <a:schemeClr val="tx1"/>
              </a:solidFill>
            </a:rPr>
            <a:t> Brands - IHC</a:t>
          </a:r>
          <a:endParaRPr lang="en-IN" sz="2800" b="1" kern="12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232882</xdr:colOff>
      <xdr:row>0</xdr:row>
      <xdr:rowOff>124784</xdr:rowOff>
    </xdr:from>
    <xdr:to>
      <xdr:col>1</xdr:col>
      <xdr:colOff>1628109</xdr:colOff>
      <xdr:row>4</xdr:row>
      <xdr:rowOff>190941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7D662F5E-69F0-428F-A4BB-0C48C5BFB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4394" y="124784"/>
          <a:ext cx="1395227" cy="1395227"/>
        </a:xfrm>
        <a:prstGeom prst="rect">
          <a:avLst/>
        </a:prstGeom>
      </xdr:spPr>
    </xdr:pic>
    <xdr:clientData/>
  </xdr:twoCellAnchor>
  <xdr:twoCellAnchor editAs="absolute">
    <xdr:from>
      <xdr:col>1</xdr:col>
      <xdr:colOff>38099</xdr:colOff>
      <xdr:row>3</xdr:row>
      <xdr:rowOff>177210</xdr:rowOff>
    </xdr:from>
    <xdr:to>
      <xdr:col>1</xdr:col>
      <xdr:colOff>1871772</xdr:colOff>
      <xdr:row>4</xdr:row>
      <xdr:rowOff>241300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7B99340-0ECF-448D-80F0-F4EB607D78E9}"/>
            </a:ext>
          </a:extLst>
        </xdr:cNvPr>
        <xdr:cNvSpPr/>
      </xdr:nvSpPr>
      <xdr:spPr>
        <a:xfrm>
          <a:off x="259611" y="1174012"/>
          <a:ext cx="1833673" cy="39635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Indian Heritage Carfts</a:t>
          </a:r>
          <a:endParaRPr lang="en-IN" sz="12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absolute">
    <xdr:from>
      <xdr:col>1</xdr:col>
      <xdr:colOff>349250</xdr:colOff>
      <xdr:row>5</xdr:row>
      <xdr:rowOff>31750</xdr:rowOff>
    </xdr:from>
    <xdr:to>
      <xdr:col>1</xdr:col>
      <xdr:colOff>1524000</xdr:colOff>
      <xdr:row>6</xdr:row>
      <xdr:rowOff>44450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0984B71-9E52-4A2E-A2CB-91B973F2CF3D}"/>
            </a:ext>
          </a:extLst>
        </xdr:cNvPr>
        <xdr:cNvSpPr/>
      </xdr:nvSpPr>
      <xdr:spPr>
        <a:xfrm>
          <a:off x="558800" y="168275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Dashboard</a:t>
          </a:r>
        </a:p>
      </xdr:txBody>
    </xdr:sp>
    <xdr:clientData/>
  </xdr:twoCellAnchor>
  <xdr:twoCellAnchor editAs="absolute">
    <xdr:from>
      <xdr:col>1</xdr:col>
      <xdr:colOff>82550</xdr:colOff>
      <xdr:row>5</xdr:row>
      <xdr:rowOff>19050</xdr:rowOff>
    </xdr:from>
    <xdr:to>
      <xdr:col>1</xdr:col>
      <xdr:colOff>412750</xdr:colOff>
      <xdr:row>6</xdr:row>
      <xdr:rowOff>19050</xdr:rowOff>
    </xdr:to>
    <xdr:pic>
      <xdr:nvPicPr>
        <xdr:cNvPr id="5" name="Graphic 4" descr="Presentation with bar chart with solid fill">
          <a:extLst>
            <a:ext uri="{FF2B5EF4-FFF2-40B4-BE49-F238E27FC236}">
              <a16:creationId xmlns:a16="http://schemas.microsoft.com/office/drawing/2014/main" id="{F1443E48-F324-4B81-A6C6-8FFE4FDC7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92100" y="1670050"/>
          <a:ext cx="330200" cy="330200"/>
        </a:xfrm>
        <a:prstGeom prst="rect">
          <a:avLst/>
        </a:prstGeom>
      </xdr:spPr>
    </xdr:pic>
    <xdr:clientData/>
  </xdr:twoCellAnchor>
  <xdr:twoCellAnchor editAs="absolute">
    <xdr:from>
      <xdr:col>1</xdr:col>
      <xdr:colOff>349250</xdr:colOff>
      <xdr:row>6</xdr:row>
      <xdr:rowOff>39914</xdr:rowOff>
    </xdr:from>
    <xdr:to>
      <xdr:col>1</xdr:col>
      <xdr:colOff>1524000</xdr:colOff>
      <xdr:row>7</xdr:row>
      <xdr:rowOff>52614</xdr:rowOff>
    </xdr:to>
    <xdr:sp macro="" textlink="">
      <xdr:nvSpPr>
        <xdr:cNvPr id="6" name="Rectangl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794ACAF-0781-4DFB-9DF4-17E74887F80F}"/>
            </a:ext>
          </a:extLst>
        </xdr:cNvPr>
        <xdr:cNvSpPr/>
      </xdr:nvSpPr>
      <xdr:spPr>
        <a:xfrm>
          <a:off x="558800" y="2021114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Customers</a:t>
          </a:r>
        </a:p>
      </xdr:txBody>
    </xdr:sp>
    <xdr:clientData/>
  </xdr:twoCellAnchor>
  <xdr:twoCellAnchor editAs="absolute">
    <xdr:from>
      <xdr:col>1</xdr:col>
      <xdr:colOff>349250</xdr:colOff>
      <xdr:row>7</xdr:row>
      <xdr:rowOff>48078</xdr:rowOff>
    </xdr:from>
    <xdr:to>
      <xdr:col>1</xdr:col>
      <xdr:colOff>1524000</xdr:colOff>
      <xdr:row>8</xdr:row>
      <xdr:rowOff>60778</xdr:rowOff>
    </xdr:to>
    <xdr:sp macro="" textlink="">
      <xdr:nvSpPr>
        <xdr:cNvPr id="7" name="Rectangle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5FB8831-873E-4A8E-A4CB-7D89241F8074}"/>
            </a:ext>
          </a:extLst>
        </xdr:cNvPr>
        <xdr:cNvSpPr/>
      </xdr:nvSpPr>
      <xdr:spPr>
        <a:xfrm>
          <a:off x="558800" y="2359478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Vendors</a:t>
          </a:r>
        </a:p>
      </xdr:txBody>
    </xdr:sp>
    <xdr:clientData/>
  </xdr:twoCellAnchor>
  <xdr:twoCellAnchor editAs="absolute">
    <xdr:from>
      <xdr:col>1</xdr:col>
      <xdr:colOff>349250</xdr:colOff>
      <xdr:row>8</xdr:row>
      <xdr:rowOff>56242</xdr:rowOff>
    </xdr:from>
    <xdr:to>
      <xdr:col>1</xdr:col>
      <xdr:colOff>1524000</xdr:colOff>
      <xdr:row>9</xdr:row>
      <xdr:rowOff>68942</xdr:rowOff>
    </xdr:to>
    <xdr:sp macro="" textlink="">
      <xdr:nvSpPr>
        <xdr:cNvPr id="8" name="Rectangl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AAA35F9-7E47-4CB4-8351-5EEE17D272A8}"/>
            </a:ext>
          </a:extLst>
        </xdr:cNvPr>
        <xdr:cNvSpPr/>
      </xdr:nvSpPr>
      <xdr:spPr>
        <a:xfrm>
          <a:off x="558800" y="2697842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/>
              </a:solidFill>
            </a:rPr>
            <a:t>Products</a:t>
          </a:r>
        </a:p>
      </xdr:txBody>
    </xdr:sp>
    <xdr:clientData/>
  </xdr:twoCellAnchor>
  <xdr:twoCellAnchor editAs="absolute">
    <xdr:from>
      <xdr:col>1</xdr:col>
      <xdr:colOff>349250</xdr:colOff>
      <xdr:row>9</xdr:row>
      <xdr:rowOff>64406</xdr:rowOff>
    </xdr:from>
    <xdr:to>
      <xdr:col>1</xdr:col>
      <xdr:colOff>1524000</xdr:colOff>
      <xdr:row>10</xdr:row>
      <xdr:rowOff>77106</xdr:rowOff>
    </xdr:to>
    <xdr:sp macro="" textlink="">
      <xdr:nvSpPr>
        <xdr:cNvPr id="9" name="Rectangl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8A580E9-B075-476A-A734-4828F028E720}"/>
            </a:ext>
          </a:extLst>
        </xdr:cNvPr>
        <xdr:cNvSpPr/>
      </xdr:nvSpPr>
      <xdr:spPr>
        <a:xfrm>
          <a:off x="558800" y="3036206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New Entry</a:t>
          </a:r>
        </a:p>
      </xdr:txBody>
    </xdr:sp>
    <xdr:clientData/>
  </xdr:twoCellAnchor>
  <xdr:twoCellAnchor editAs="absolute">
    <xdr:from>
      <xdr:col>1</xdr:col>
      <xdr:colOff>349250</xdr:colOff>
      <xdr:row>10</xdr:row>
      <xdr:rowOff>72570</xdr:rowOff>
    </xdr:from>
    <xdr:to>
      <xdr:col>1</xdr:col>
      <xdr:colOff>1524000</xdr:colOff>
      <xdr:row>11</xdr:row>
      <xdr:rowOff>85270</xdr:rowOff>
    </xdr:to>
    <xdr:sp macro="" textlink="">
      <xdr:nvSpPr>
        <xdr:cNvPr id="10" name="Rectangle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3CD021E-AD20-4E56-8210-E2BFEA8AE62E}"/>
            </a:ext>
          </a:extLst>
        </xdr:cNvPr>
        <xdr:cNvSpPr/>
      </xdr:nvSpPr>
      <xdr:spPr>
        <a:xfrm>
          <a:off x="558800" y="337457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Purchase</a:t>
          </a:r>
        </a:p>
      </xdr:txBody>
    </xdr:sp>
    <xdr:clientData/>
  </xdr:twoCellAnchor>
  <xdr:twoCellAnchor editAs="absolute">
    <xdr:from>
      <xdr:col>1</xdr:col>
      <xdr:colOff>349250</xdr:colOff>
      <xdr:row>11</xdr:row>
      <xdr:rowOff>80734</xdr:rowOff>
    </xdr:from>
    <xdr:to>
      <xdr:col>1</xdr:col>
      <xdr:colOff>1524000</xdr:colOff>
      <xdr:row>12</xdr:row>
      <xdr:rowOff>93434</xdr:rowOff>
    </xdr:to>
    <xdr:sp macro="" textlink="">
      <xdr:nvSpPr>
        <xdr:cNvPr id="11" name="Rectangl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D4293CC-FAF4-452F-BF7E-FD9BEE7A88A3}"/>
            </a:ext>
          </a:extLst>
        </xdr:cNvPr>
        <xdr:cNvSpPr/>
      </xdr:nvSpPr>
      <xdr:spPr>
        <a:xfrm>
          <a:off x="558800" y="3712934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</xdr:col>
      <xdr:colOff>349250</xdr:colOff>
      <xdr:row>12</xdr:row>
      <xdr:rowOff>88900</xdr:rowOff>
    </xdr:from>
    <xdr:to>
      <xdr:col>1</xdr:col>
      <xdr:colOff>1524000</xdr:colOff>
      <xdr:row>13</xdr:row>
      <xdr:rowOff>101600</xdr:rowOff>
    </xdr:to>
    <xdr:sp macro="" textlink="">
      <xdr:nvSpPr>
        <xdr:cNvPr id="12" name="Rectangle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FB7F7D2-700E-4B47-999C-AA9CDD380EC3}"/>
            </a:ext>
          </a:extLst>
        </xdr:cNvPr>
        <xdr:cNvSpPr/>
      </xdr:nvSpPr>
      <xdr:spPr>
        <a:xfrm>
          <a:off x="558800" y="405130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Inventory</a:t>
          </a:r>
        </a:p>
      </xdr:txBody>
    </xdr:sp>
    <xdr:clientData/>
  </xdr:twoCellAnchor>
  <xdr:twoCellAnchor editAs="absolute">
    <xdr:from>
      <xdr:col>1</xdr:col>
      <xdr:colOff>82550</xdr:colOff>
      <xdr:row>12</xdr:row>
      <xdr:rowOff>82550</xdr:rowOff>
    </xdr:from>
    <xdr:to>
      <xdr:col>1</xdr:col>
      <xdr:colOff>334550</xdr:colOff>
      <xdr:row>13</xdr:row>
      <xdr:rowOff>4350</xdr:rowOff>
    </xdr:to>
    <xdr:pic>
      <xdr:nvPicPr>
        <xdr:cNvPr id="13" name="Graphic 12" descr="Clipboard Partially Checked with solid fill">
          <a:extLst>
            <a:ext uri="{FF2B5EF4-FFF2-40B4-BE49-F238E27FC236}">
              <a16:creationId xmlns:a16="http://schemas.microsoft.com/office/drawing/2014/main" id="{25CB2A7C-59FE-4380-B493-D61894E7D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92100" y="40449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10</xdr:row>
      <xdr:rowOff>111900</xdr:rowOff>
    </xdr:from>
    <xdr:to>
      <xdr:col>1</xdr:col>
      <xdr:colOff>334550</xdr:colOff>
      <xdr:row>11</xdr:row>
      <xdr:rowOff>33700</xdr:rowOff>
    </xdr:to>
    <xdr:pic>
      <xdr:nvPicPr>
        <xdr:cNvPr id="14" name="Graphic 13" descr="Receipt with solid fill">
          <a:extLst>
            <a:ext uri="{FF2B5EF4-FFF2-40B4-BE49-F238E27FC236}">
              <a16:creationId xmlns:a16="http://schemas.microsoft.com/office/drawing/2014/main" id="{E2BC32BC-7D8D-4D2D-9134-7D6A5E4BD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2100" y="34139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11</xdr:row>
      <xdr:rowOff>96800</xdr:rowOff>
    </xdr:from>
    <xdr:to>
      <xdr:col>1</xdr:col>
      <xdr:colOff>334550</xdr:colOff>
      <xdr:row>12</xdr:row>
      <xdr:rowOff>18600</xdr:rowOff>
    </xdr:to>
    <xdr:pic>
      <xdr:nvPicPr>
        <xdr:cNvPr id="15" name="Graphic 14" descr="Register with solid fill">
          <a:extLst>
            <a:ext uri="{FF2B5EF4-FFF2-40B4-BE49-F238E27FC236}">
              <a16:creationId xmlns:a16="http://schemas.microsoft.com/office/drawing/2014/main" id="{597B0265-4DB2-4FCE-938B-00DDABEDE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92100" y="37290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9</xdr:row>
      <xdr:rowOff>56300</xdr:rowOff>
    </xdr:from>
    <xdr:to>
      <xdr:col>1</xdr:col>
      <xdr:colOff>334550</xdr:colOff>
      <xdr:row>9</xdr:row>
      <xdr:rowOff>308300</xdr:rowOff>
    </xdr:to>
    <xdr:pic>
      <xdr:nvPicPr>
        <xdr:cNvPr id="16" name="Graphic 15" descr="Full Brick Wall with solid fill">
          <a:extLst>
            <a:ext uri="{FF2B5EF4-FFF2-40B4-BE49-F238E27FC236}">
              <a16:creationId xmlns:a16="http://schemas.microsoft.com/office/drawing/2014/main" id="{75913C6A-297C-4264-ACA3-C7B40AE50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92100" y="30281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6</xdr:row>
      <xdr:rowOff>41200</xdr:rowOff>
    </xdr:from>
    <xdr:to>
      <xdr:col>1</xdr:col>
      <xdr:colOff>334550</xdr:colOff>
      <xdr:row>6</xdr:row>
      <xdr:rowOff>293200</xdr:rowOff>
    </xdr:to>
    <xdr:pic>
      <xdr:nvPicPr>
        <xdr:cNvPr id="17" name="Graphic 16" descr="User with solid fill">
          <a:extLst>
            <a:ext uri="{FF2B5EF4-FFF2-40B4-BE49-F238E27FC236}">
              <a16:creationId xmlns:a16="http://schemas.microsoft.com/office/drawing/2014/main" id="{4BA24CD0-EEB3-47BB-BDB8-B6E79ADFC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92100" y="20224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7</xdr:row>
      <xdr:rowOff>7050</xdr:rowOff>
    </xdr:from>
    <xdr:to>
      <xdr:col>1</xdr:col>
      <xdr:colOff>334550</xdr:colOff>
      <xdr:row>7</xdr:row>
      <xdr:rowOff>259050</xdr:rowOff>
    </xdr:to>
    <xdr:pic>
      <xdr:nvPicPr>
        <xdr:cNvPr id="18" name="Graphic 17" descr="User outline">
          <a:extLst>
            <a:ext uri="{FF2B5EF4-FFF2-40B4-BE49-F238E27FC236}">
              <a16:creationId xmlns:a16="http://schemas.microsoft.com/office/drawing/2014/main" id="{12FF34DA-DD23-43E1-91C0-D489A2520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92100" y="23184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8</xdr:row>
      <xdr:rowOff>31750</xdr:rowOff>
    </xdr:from>
    <xdr:to>
      <xdr:col>1</xdr:col>
      <xdr:colOff>334550</xdr:colOff>
      <xdr:row>8</xdr:row>
      <xdr:rowOff>283750</xdr:rowOff>
    </xdr:to>
    <xdr:pic>
      <xdr:nvPicPr>
        <xdr:cNvPr id="19" name="Graphic 18" descr="Inventory outline">
          <a:extLst>
            <a:ext uri="{FF2B5EF4-FFF2-40B4-BE49-F238E27FC236}">
              <a16:creationId xmlns:a16="http://schemas.microsoft.com/office/drawing/2014/main" id="{B81C9F77-9868-4D26-9C29-0E6CCCC0F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292100" y="26733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3</xdr:col>
      <xdr:colOff>3986</xdr:colOff>
      <xdr:row>1</xdr:row>
      <xdr:rowOff>6350</xdr:rowOff>
    </xdr:from>
    <xdr:to>
      <xdr:col>47</xdr:col>
      <xdr:colOff>1268268</xdr:colOff>
      <xdr:row>3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DC2A74B0-EB55-43D2-B864-0974392151BD}"/>
            </a:ext>
          </a:extLst>
        </xdr:cNvPr>
        <xdr:cNvSpPr/>
      </xdr:nvSpPr>
      <xdr:spPr>
        <a:xfrm>
          <a:off x="2392324" y="338617"/>
          <a:ext cx="84539914" cy="677235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800" b="1" kern="1200">
              <a:solidFill>
                <a:schemeClr val="tx1"/>
              </a:solidFill>
            </a:rPr>
            <a:t>  Products - IHC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210437</xdr:colOff>
      <xdr:row>0</xdr:row>
      <xdr:rowOff>132907</xdr:rowOff>
    </xdr:from>
    <xdr:to>
      <xdr:col>1</xdr:col>
      <xdr:colOff>1749942</xdr:colOff>
      <xdr:row>4</xdr:row>
      <xdr:rowOff>155352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8C94007D-3A7D-4A0D-86F6-8841E4F60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31949" y="132907"/>
          <a:ext cx="1539505" cy="1351515"/>
        </a:xfrm>
        <a:prstGeom prst="rect">
          <a:avLst/>
        </a:prstGeom>
      </xdr:spPr>
    </xdr:pic>
    <xdr:clientData/>
  </xdr:twoCellAnchor>
  <xdr:twoCellAnchor editAs="absolute">
    <xdr:from>
      <xdr:col>1</xdr:col>
      <xdr:colOff>38100</xdr:colOff>
      <xdr:row>3</xdr:row>
      <xdr:rowOff>232588</xdr:rowOff>
    </xdr:from>
    <xdr:to>
      <xdr:col>1</xdr:col>
      <xdr:colOff>1882848</xdr:colOff>
      <xdr:row>4</xdr:row>
      <xdr:rowOff>241300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30B1DA6-0157-40E9-BBA9-C7EDB9E232AB}"/>
            </a:ext>
          </a:extLst>
        </xdr:cNvPr>
        <xdr:cNvSpPr/>
      </xdr:nvSpPr>
      <xdr:spPr>
        <a:xfrm>
          <a:off x="259612" y="1229390"/>
          <a:ext cx="1844748" cy="3409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Indian Heritage Carfts</a:t>
          </a:r>
          <a:endParaRPr lang="en-IN" sz="12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absolute">
    <xdr:from>
      <xdr:col>1</xdr:col>
      <xdr:colOff>349250</xdr:colOff>
      <xdr:row>5</xdr:row>
      <xdr:rowOff>31750</xdr:rowOff>
    </xdr:from>
    <xdr:to>
      <xdr:col>1</xdr:col>
      <xdr:colOff>1524000</xdr:colOff>
      <xdr:row>6</xdr:row>
      <xdr:rowOff>44450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3F7FF3-6517-4D3A-89B0-2308DE6B8D4F}"/>
            </a:ext>
          </a:extLst>
        </xdr:cNvPr>
        <xdr:cNvSpPr/>
      </xdr:nvSpPr>
      <xdr:spPr>
        <a:xfrm>
          <a:off x="568325" y="1698625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Dashboard</a:t>
          </a:r>
        </a:p>
      </xdr:txBody>
    </xdr:sp>
    <xdr:clientData/>
  </xdr:twoCellAnchor>
  <xdr:twoCellAnchor editAs="absolute">
    <xdr:from>
      <xdr:col>1</xdr:col>
      <xdr:colOff>82550</xdr:colOff>
      <xdr:row>5</xdr:row>
      <xdr:rowOff>19050</xdr:rowOff>
    </xdr:from>
    <xdr:to>
      <xdr:col>1</xdr:col>
      <xdr:colOff>412750</xdr:colOff>
      <xdr:row>6</xdr:row>
      <xdr:rowOff>19050</xdr:rowOff>
    </xdr:to>
    <xdr:pic>
      <xdr:nvPicPr>
        <xdr:cNvPr id="5" name="Graphic 4" descr="Presentation with bar chart with solid fill">
          <a:extLst>
            <a:ext uri="{FF2B5EF4-FFF2-40B4-BE49-F238E27FC236}">
              <a16:creationId xmlns:a16="http://schemas.microsoft.com/office/drawing/2014/main" id="{653A48E6-058A-4839-9C8A-031156F49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1625" y="1685925"/>
          <a:ext cx="330200" cy="333375"/>
        </a:xfrm>
        <a:prstGeom prst="rect">
          <a:avLst/>
        </a:prstGeom>
      </xdr:spPr>
    </xdr:pic>
    <xdr:clientData/>
  </xdr:twoCellAnchor>
  <xdr:twoCellAnchor editAs="absolute">
    <xdr:from>
      <xdr:col>1</xdr:col>
      <xdr:colOff>349250</xdr:colOff>
      <xdr:row>6</xdr:row>
      <xdr:rowOff>39914</xdr:rowOff>
    </xdr:from>
    <xdr:to>
      <xdr:col>1</xdr:col>
      <xdr:colOff>1524000</xdr:colOff>
      <xdr:row>7</xdr:row>
      <xdr:rowOff>52614</xdr:rowOff>
    </xdr:to>
    <xdr:sp macro="" textlink="">
      <xdr:nvSpPr>
        <xdr:cNvPr id="6" name="Rectangl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1EADF0C-46BB-4BD0-9809-3D2A2A6440D3}"/>
            </a:ext>
          </a:extLst>
        </xdr:cNvPr>
        <xdr:cNvSpPr/>
      </xdr:nvSpPr>
      <xdr:spPr>
        <a:xfrm>
          <a:off x="568325" y="2040164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Customers</a:t>
          </a:r>
        </a:p>
      </xdr:txBody>
    </xdr:sp>
    <xdr:clientData/>
  </xdr:twoCellAnchor>
  <xdr:twoCellAnchor editAs="absolute">
    <xdr:from>
      <xdr:col>1</xdr:col>
      <xdr:colOff>349250</xdr:colOff>
      <xdr:row>7</xdr:row>
      <xdr:rowOff>48078</xdr:rowOff>
    </xdr:from>
    <xdr:to>
      <xdr:col>1</xdr:col>
      <xdr:colOff>1524000</xdr:colOff>
      <xdr:row>8</xdr:row>
      <xdr:rowOff>60778</xdr:rowOff>
    </xdr:to>
    <xdr:sp macro="" textlink="">
      <xdr:nvSpPr>
        <xdr:cNvPr id="7" name="Rectangle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5F5BBD8-E553-4745-A1B0-D32ECD06D64C}"/>
            </a:ext>
          </a:extLst>
        </xdr:cNvPr>
        <xdr:cNvSpPr/>
      </xdr:nvSpPr>
      <xdr:spPr>
        <a:xfrm>
          <a:off x="568325" y="2381703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Vendors</a:t>
          </a:r>
        </a:p>
      </xdr:txBody>
    </xdr:sp>
    <xdr:clientData/>
  </xdr:twoCellAnchor>
  <xdr:twoCellAnchor editAs="absolute">
    <xdr:from>
      <xdr:col>1</xdr:col>
      <xdr:colOff>349250</xdr:colOff>
      <xdr:row>8</xdr:row>
      <xdr:rowOff>56242</xdr:rowOff>
    </xdr:from>
    <xdr:to>
      <xdr:col>1</xdr:col>
      <xdr:colOff>1524000</xdr:colOff>
      <xdr:row>9</xdr:row>
      <xdr:rowOff>68942</xdr:rowOff>
    </xdr:to>
    <xdr:sp macro="" textlink="">
      <xdr:nvSpPr>
        <xdr:cNvPr id="8" name="Rectangl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27D78F2-1A07-4CB1-AF2B-47F0A23C3C62}"/>
            </a:ext>
          </a:extLst>
        </xdr:cNvPr>
        <xdr:cNvSpPr/>
      </xdr:nvSpPr>
      <xdr:spPr>
        <a:xfrm>
          <a:off x="568325" y="2723242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/>
              </a:solidFill>
            </a:rPr>
            <a:t>Products</a:t>
          </a:r>
        </a:p>
      </xdr:txBody>
    </xdr:sp>
    <xdr:clientData/>
  </xdr:twoCellAnchor>
  <xdr:twoCellAnchor editAs="absolute">
    <xdr:from>
      <xdr:col>1</xdr:col>
      <xdr:colOff>349250</xdr:colOff>
      <xdr:row>9</xdr:row>
      <xdr:rowOff>64406</xdr:rowOff>
    </xdr:from>
    <xdr:to>
      <xdr:col>1</xdr:col>
      <xdr:colOff>1524000</xdr:colOff>
      <xdr:row>10</xdr:row>
      <xdr:rowOff>77106</xdr:rowOff>
    </xdr:to>
    <xdr:sp macro="" textlink="">
      <xdr:nvSpPr>
        <xdr:cNvPr id="9" name="Rectangl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2A738C8-36C9-424E-A961-751259D008F8}"/>
            </a:ext>
          </a:extLst>
        </xdr:cNvPr>
        <xdr:cNvSpPr/>
      </xdr:nvSpPr>
      <xdr:spPr>
        <a:xfrm>
          <a:off x="568325" y="3064781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New Entry</a:t>
          </a:r>
        </a:p>
      </xdr:txBody>
    </xdr:sp>
    <xdr:clientData/>
  </xdr:twoCellAnchor>
  <xdr:twoCellAnchor editAs="absolute">
    <xdr:from>
      <xdr:col>1</xdr:col>
      <xdr:colOff>349250</xdr:colOff>
      <xdr:row>10</xdr:row>
      <xdr:rowOff>72570</xdr:rowOff>
    </xdr:from>
    <xdr:to>
      <xdr:col>1</xdr:col>
      <xdr:colOff>1524000</xdr:colOff>
      <xdr:row>11</xdr:row>
      <xdr:rowOff>85270</xdr:rowOff>
    </xdr:to>
    <xdr:sp macro="" textlink="">
      <xdr:nvSpPr>
        <xdr:cNvPr id="10" name="Rectangle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DD0EFC4-960B-4470-8A9E-68547DCB07CC}"/>
            </a:ext>
          </a:extLst>
        </xdr:cNvPr>
        <xdr:cNvSpPr/>
      </xdr:nvSpPr>
      <xdr:spPr>
        <a:xfrm>
          <a:off x="568325" y="340632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Purchase</a:t>
          </a:r>
        </a:p>
      </xdr:txBody>
    </xdr:sp>
    <xdr:clientData/>
  </xdr:twoCellAnchor>
  <xdr:twoCellAnchor editAs="absolute">
    <xdr:from>
      <xdr:col>1</xdr:col>
      <xdr:colOff>349250</xdr:colOff>
      <xdr:row>11</xdr:row>
      <xdr:rowOff>80734</xdr:rowOff>
    </xdr:from>
    <xdr:to>
      <xdr:col>1</xdr:col>
      <xdr:colOff>1524000</xdr:colOff>
      <xdr:row>12</xdr:row>
      <xdr:rowOff>93434</xdr:rowOff>
    </xdr:to>
    <xdr:sp macro="" textlink="">
      <xdr:nvSpPr>
        <xdr:cNvPr id="11" name="Rectangl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0BA24AC-5902-4C56-BFBE-9B10E5BC5022}"/>
            </a:ext>
          </a:extLst>
        </xdr:cNvPr>
        <xdr:cNvSpPr/>
      </xdr:nvSpPr>
      <xdr:spPr>
        <a:xfrm>
          <a:off x="568325" y="3747859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</xdr:col>
      <xdr:colOff>349250</xdr:colOff>
      <xdr:row>12</xdr:row>
      <xdr:rowOff>88900</xdr:rowOff>
    </xdr:from>
    <xdr:to>
      <xdr:col>1</xdr:col>
      <xdr:colOff>1524000</xdr:colOff>
      <xdr:row>13</xdr:row>
      <xdr:rowOff>101600</xdr:rowOff>
    </xdr:to>
    <xdr:sp macro="" textlink="">
      <xdr:nvSpPr>
        <xdr:cNvPr id="12" name="Rectangle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67D221-3D7B-469D-951B-51388D92BA05}"/>
            </a:ext>
          </a:extLst>
        </xdr:cNvPr>
        <xdr:cNvSpPr/>
      </xdr:nvSpPr>
      <xdr:spPr>
        <a:xfrm>
          <a:off x="568325" y="408940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Inventory</a:t>
          </a:r>
        </a:p>
      </xdr:txBody>
    </xdr:sp>
    <xdr:clientData/>
  </xdr:twoCellAnchor>
  <xdr:twoCellAnchor editAs="absolute">
    <xdr:from>
      <xdr:col>1</xdr:col>
      <xdr:colOff>82550</xdr:colOff>
      <xdr:row>12</xdr:row>
      <xdr:rowOff>82550</xdr:rowOff>
    </xdr:from>
    <xdr:to>
      <xdr:col>1</xdr:col>
      <xdr:colOff>334550</xdr:colOff>
      <xdr:row>13</xdr:row>
      <xdr:rowOff>4350</xdr:rowOff>
    </xdr:to>
    <xdr:pic>
      <xdr:nvPicPr>
        <xdr:cNvPr id="13" name="Graphic 12" descr="Clipboard Partially Checked with solid fill">
          <a:extLst>
            <a:ext uri="{FF2B5EF4-FFF2-40B4-BE49-F238E27FC236}">
              <a16:creationId xmlns:a16="http://schemas.microsoft.com/office/drawing/2014/main" id="{524C5B76-5EB6-43D4-8EBC-4616A3787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301625" y="40830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10</xdr:row>
      <xdr:rowOff>111900</xdr:rowOff>
    </xdr:from>
    <xdr:to>
      <xdr:col>1</xdr:col>
      <xdr:colOff>334550</xdr:colOff>
      <xdr:row>11</xdr:row>
      <xdr:rowOff>33700</xdr:rowOff>
    </xdr:to>
    <xdr:pic>
      <xdr:nvPicPr>
        <xdr:cNvPr id="14" name="Graphic 13" descr="Receipt with solid fill">
          <a:extLst>
            <a:ext uri="{FF2B5EF4-FFF2-40B4-BE49-F238E27FC236}">
              <a16:creationId xmlns:a16="http://schemas.microsoft.com/office/drawing/2014/main" id="{2CA6DEB9-0B8E-496D-962E-EEB0EDBA4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1625" y="34456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11</xdr:row>
      <xdr:rowOff>96800</xdr:rowOff>
    </xdr:from>
    <xdr:to>
      <xdr:col>1</xdr:col>
      <xdr:colOff>334550</xdr:colOff>
      <xdr:row>12</xdr:row>
      <xdr:rowOff>18600</xdr:rowOff>
    </xdr:to>
    <xdr:pic>
      <xdr:nvPicPr>
        <xdr:cNvPr id="15" name="Graphic 14" descr="Register with solid fill">
          <a:extLst>
            <a:ext uri="{FF2B5EF4-FFF2-40B4-BE49-F238E27FC236}">
              <a16:creationId xmlns:a16="http://schemas.microsoft.com/office/drawing/2014/main" id="{9CC22413-5EC5-4E1B-A22C-3658305AB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1625" y="3763925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9</xdr:row>
      <xdr:rowOff>56300</xdr:rowOff>
    </xdr:from>
    <xdr:to>
      <xdr:col>1</xdr:col>
      <xdr:colOff>334550</xdr:colOff>
      <xdr:row>9</xdr:row>
      <xdr:rowOff>308300</xdr:rowOff>
    </xdr:to>
    <xdr:pic>
      <xdr:nvPicPr>
        <xdr:cNvPr id="16" name="Graphic 15" descr="Full Brick Wall with solid fill">
          <a:extLst>
            <a:ext uri="{FF2B5EF4-FFF2-40B4-BE49-F238E27FC236}">
              <a16:creationId xmlns:a16="http://schemas.microsoft.com/office/drawing/2014/main" id="{54800C07-DCE2-4519-B514-17AB5A057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01625" y="3056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6</xdr:row>
      <xdr:rowOff>41200</xdr:rowOff>
    </xdr:from>
    <xdr:to>
      <xdr:col>1</xdr:col>
      <xdr:colOff>334550</xdr:colOff>
      <xdr:row>6</xdr:row>
      <xdr:rowOff>293200</xdr:rowOff>
    </xdr:to>
    <xdr:pic>
      <xdr:nvPicPr>
        <xdr:cNvPr id="17" name="Graphic 16" descr="User with solid fill">
          <a:extLst>
            <a:ext uri="{FF2B5EF4-FFF2-40B4-BE49-F238E27FC236}">
              <a16:creationId xmlns:a16="http://schemas.microsoft.com/office/drawing/2014/main" id="{46F8B755-3A3A-468A-9E3D-344A136D6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01625" y="20414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7</xdr:row>
      <xdr:rowOff>7050</xdr:rowOff>
    </xdr:from>
    <xdr:to>
      <xdr:col>1</xdr:col>
      <xdr:colOff>334550</xdr:colOff>
      <xdr:row>7</xdr:row>
      <xdr:rowOff>259050</xdr:rowOff>
    </xdr:to>
    <xdr:pic>
      <xdr:nvPicPr>
        <xdr:cNvPr id="18" name="Graphic 17" descr="User outline">
          <a:extLst>
            <a:ext uri="{FF2B5EF4-FFF2-40B4-BE49-F238E27FC236}">
              <a16:creationId xmlns:a16="http://schemas.microsoft.com/office/drawing/2014/main" id="{43DE91BD-7D10-48D9-B337-7109E4E6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01625" y="2340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8</xdr:row>
      <xdr:rowOff>31750</xdr:rowOff>
    </xdr:from>
    <xdr:to>
      <xdr:col>1</xdr:col>
      <xdr:colOff>334550</xdr:colOff>
      <xdr:row>8</xdr:row>
      <xdr:rowOff>283750</xdr:rowOff>
    </xdr:to>
    <xdr:pic>
      <xdr:nvPicPr>
        <xdr:cNvPr id="19" name="Graphic 18" descr="Inventory outline">
          <a:extLst>
            <a:ext uri="{FF2B5EF4-FFF2-40B4-BE49-F238E27FC236}">
              <a16:creationId xmlns:a16="http://schemas.microsoft.com/office/drawing/2014/main" id="{9CD3C60C-08D0-431A-AB0B-54EE110E9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301625" y="26987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3</xdr:col>
      <xdr:colOff>-1</xdr:colOff>
      <xdr:row>1</xdr:row>
      <xdr:rowOff>6350</xdr:rowOff>
    </xdr:from>
    <xdr:to>
      <xdr:col>44</xdr:col>
      <xdr:colOff>520552</xdr:colOff>
      <xdr:row>3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FC711A70-DA8E-4F8E-B718-6895DDF034B8}"/>
            </a:ext>
          </a:extLst>
        </xdr:cNvPr>
        <xdr:cNvSpPr/>
      </xdr:nvSpPr>
      <xdr:spPr>
        <a:xfrm>
          <a:off x="2381249" y="339725"/>
          <a:ext cx="59230881" cy="6794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800" b="1" kern="1200">
              <a:solidFill>
                <a:schemeClr val="tx1"/>
              </a:solidFill>
            </a:rPr>
            <a:t>  Company A/c Info</a:t>
          </a:r>
          <a:r>
            <a:rPr lang="en-IN" sz="2800" b="1" kern="1200" baseline="0">
              <a:solidFill>
                <a:schemeClr val="tx1"/>
              </a:solidFill>
            </a:rPr>
            <a:t>- IHC</a:t>
          </a:r>
          <a:endParaRPr lang="en-IN" sz="2800" b="1" kern="1200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210436</xdr:colOff>
      <xdr:row>0</xdr:row>
      <xdr:rowOff>143983</xdr:rowOff>
    </xdr:from>
    <xdr:to>
      <xdr:col>1</xdr:col>
      <xdr:colOff>1672412</xdr:colOff>
      <xdr:row>4</xdr:row>
      <xdr:rowOff>166429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3BE4B280-53BF-4077-8186-51C310987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31948" y="143983"/>
          <a:ext cx="1461976" cy="1351516"/>
        </a:xfrm>
        <a:prstGeom prst="rect">
          <a:avLst/>
        </a:prstGeom>
      </xdr:spPr>
    </xdr:pic>
    <xdr:clientData/>
  </xdr:twoCellAnchor>
  <xdr:twoCellAnchor editAs="absolute">
    <xdr:from>
      <xdr:col>1</xdr:col>
      <xdr:colOff>38099</xdr:colOff>
      <xdr:row>3</xdr:row>
      <xdr:rowOff>243663</xdr:rowOff>
    </xdr:from>
    <xdr:to>
      <xdr:col>1</xdr:col>
      <xdr:colOff>1871772</xdr:colOff>
      <xdr:row>4</xdr:row>
      <xdr:rowOff>241300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9CD02B1-8399-4EEB-BF90-2BFA71233F5B}"/>
            </a:ext>
          </a:extLst>
        </xdr:cNvPr>
        <xdr:cNvSpPr/>
      </xdr:nvSpPr>
      <xdr:spPr>
        <a:xfrm>
          <a:off x="259611" y="1240465"/>
          <a:ext cx="1833673" cy="32990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Indian Heritage Carfts</a:t>
          </a:r>
          <a:endParaRPr lang="en-IN" sz="12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absolute">
    <xdr:from>
      <xdr:col>1</xdr:col>
      <xdr:colOff>349250</xdr:colOff>
      <xdr:row>5</xdr:row>
      <xdr:rowOff>31750</xdr:rowOff>
    </xdr:from>
    <xdr:to>
      <xdr:col>1</xdr:col>
      <xdr:colOff>1524000</xdr:colOff>
      <xdr:row>6</xdr:row>
      <xdr:rowOff>44450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D7D7E26-89EF-4148-8426-A930DFFB9D97}"/>
            </a:ext>
          </a:extLst>
        </xdr:cNvPr>
        <xdr:cNvSpPr/>
      </xdr:nvSpPr>
      <xdr:spPr>
        <a:xfrm>
          <a:off x="568325" y="1698625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Dashboard</a:t>
          </a:r>
        </a:p>
      </xdr:txBody>
    </xdr:sp>
    <xdr:clientData/>
  </xdr:twoCellAnchor>
  <xdr:twoCellAnchor editAs="absolute">
    <xdr:from>
      <xdr:col>1</xdr:col>
      <xdr:colOff>82550</xdr:colOff>
      <xdr:row>5</xdr:row>
      <xdr:rowOff>19050</xdr:rowOff>
    </xdr:from>
    <xdr:to>
      <xdr:col>1</xdr:col>
      <xdr:colOff>412750</xdr:colOff>
      <xdr:row>6</xdr:row>
      <xdr:rowOff>19050</xdr:rowOff>
    </xdr:to>
    <xdr:pic>
      <xdr:nvPicPr>
        <xdr:cNvPr id="5" name="Graphic 4" descr="Presentation with bar chart with solid fill">
          <a:extLst>
            <a:ext uri="{FF2B5EF4-FFF2-40B4-BE49-F238E27FC236}">
              <a16:creationId xmlns:a16="http://schemas.microsoft.com/office/drawing/2014/main" id="{9AA53738-2391-41CA-AF34-E1A0C523A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1625" y="1685925"/>
          <a:ext cx="330200" cy="333375"/>
        </a:xfrm>
        <a:prstGeom prst="rect">
          <a:avLst/>
        </a:prstGeom>
      </xdr:spPr>
    </xdr:pic>
    <xdr:clientData/>
  </xdr:twoCellAnchor>
  <xdr:twoCellAnchor editAs="absolute">
    <xdr:from>
      <xdr:col>1</xdr:col>
      <xdr:colOff>349250</xdr:colOff>
      <xdr:row>6</xdr:row>
      <xdr:rowOff>39914</xdr:rowOff>
    </xdr:from>
    <xdr:to>
      <xdr:col>1</xdr:col>
      <xdr:colOff>1524000</xdr:colOff>
      <xdr:row>7</xdr:row>
      <xdr:rowOff>52614</xdr:rowOff>
    </xdr:to>
    <xdr:sp macro="" textlink="">
      <xdr:nvSpPr>
        <xdr:cNvPr id="6" name="Rectangl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271F8C0-D5BD-4AD1-94A4-92668A4CB9B7}"/>
            </a:ext>
          </a:extLst>
        </xdr:cNvPr>
        <xdr:cNvSpPr/>
      </xdr:nvSpPr>
      <xdr:spPr>
        <a:xfrm>
          <a:off x="568325" y="2040164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Customers</a:t>
          </a:r>
        </a:p>
      </xdr:txBody>
    </xdr:sp>
    <xdr:clientData/>
  </xdr:twoCellAnchor>
  <xdr:twoCellAnchor editAs="absolute">
    <xdr:from>
      <xdr:col>1</xdr:col>
      <xdr:colOff>349250</xdr:colOff>
      <xdr:row>7</xdr:row>
      <xdr:rowOff>48078</xdr:rowOff>
    </xdr:from>
    <xdr:to>
      <xdr:col>1</xdr:col>
      <xdr:colOff>1524000</xdr:colOff>
      <xdr:row>8</xdr:row>
      <xdr:rowOff>60778</xdr:rowOff>
    </xdr:to>
    <xdr:sp macro="" textlink="">
      <xdr:nvSpPr>
        <xdr:cNvPr id="7" name="Rectangle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8895D73-FCC5-4BDE-ADB4-743A0FD50C84}"/>
            </a:ext>
          </a:extLst>
        </xdr:cNvPr>
        <xdr:cNvSpPr/>
      </xdr:nvSpPr>
      <xdr:spPr>
        <a:xfrm>
          <a:off x="568325" y="2381703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Vendors</a:t>
          </a:r>
        </a:p>
      </xdr:txBody>
    </xdr:sp>
    <xdr:clientData/>
  </xdr:twoCellAnchor>
  <xdr:twoCellAnchor editAs="absolute">
    <xdr:from>
      <xdr:col>1</xdr:col>
      <xdr:colOff>349250</xdr:colOff>
      <xdr:row>8</xdr:row>
      <xdr:rowOff>56242</xdr:rowOff>
    </xdr:from>
    <xdr:to>
      <xdr:col>1</xdr:col>
      <xdr:colOff>1524000</xdr:colOff>
      <xdr:row>9</xdr:row>
      <xdr:rowOff>68942</xdr:rowOff>
    </xdr:to>
    <xdr:sp macro="" textlink="">
      <xdr:nvSpPr>
        <xdr:cNvPr id="8" name="Rectangl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70787E9-ED42-4837-873E-BDB5EE68D846}"/>
            </a:ext>
          </a:extLst>
        </xdr:cNvPr>
        <xdr:cNvSpPr/>
      </xdr:nvSpPr>
      <xdr:spPr>
        <a:xfrm>
          <a:off x="568325" y="2723242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/>
              </a:solidFill>
            </a:rPr>
            <a:t>Products</a:t>
          </a:r>
        </a:p>
      </xdr:txBody>
    </xdr:sp>
    <xdr:clientData/>
  </xdr:twoCellAnchor>
  <xdr:twoCellAnchor editAs="absolute">
    <xdr:from>
      <xdr:col>1</xdr:col>
      <xdr:colOff>349250</xdr:colOff>
      <xdr:row>9</xdr:row>
      <xdr:rowOff>64406</xdr:rowOff>
    </xdr:from>
    <xdr:to>
      <xdr:col>1</xdr:col>
      <xdr:colOff>1524000</xdr:colOff>
      <xdr:row>10</xdr:row>
      <xdr:rowOff>77106</xdr:rowOff>
    </xdr:to>
    <xdr:sp macro="" textlink="">
      <xdr:nvSpPr>
        <xdr:cNvPr id="9" name="Rectangl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8C79062-A9FE-41F2-B138-F8124EBD2942}"/>
            </a:ext>
          </a:extLst>
        </xdr:cNvPr>
        <xdr:cNvSpPr/>
      </xdr:nvSpPr>
      <xdr:spPr>
        <a:xfrm>
          <a:off x="568325" y="3064781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New Entry</a:t>
          </a:r>
        </a:p>
      </xdr:txBody>
    </xdr:sp>
    <xdr:clientData/>
  </xdr:twoCellAnchor>
  <xdr:twoCellAnchor editAs="absolute">
    <xdr:from>
      <xdr:col>1</xdr:col>
      <xdr:colOff>349250</xdr:colOff>
      <xdr:row>10</xdr:row>
      <xdr:rowOff>72570</xdr:rowOff>
    </xdr:from>
    <xdr:to>
      <xdr:col>1</xdr:col>
      <xdr:colOff>1524000</xdr:colOff>
      <xdr:row>11</xdr:row>
      <xdr:rowOff>85270</xdr:rowOff>
    </xdr:to>
    <xdr:sp macro="" textlink="">
      <xdr:nvSpPr>
        <xdr:cNvPr id="10" name="Rectangle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F066B72-B6D8-4682-AEFA-B3DC84913233}"/>
            </a:ext>
          </a:extLst>
        </xdr:cNvPr>
        <xdr:cNvSpPr/>
      </xdr:nvSpPr>
      <xdr:spPr>
        <a:xfrm>
          <a:off x="568325" y="340632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Purchase</a:t>
          </a:r>
        </a:p>
      </xdr:txBody>
    </xdr:sp>
    <xdr:clientData/>
  </xdr:twoCellAnchor>
  <xdr:twoCellAnchor editAs="absolute">
    <xdr:from>
      <xdr:col>1</xdr:col>
      <xdr:colOff>349250</xdr:colOff>
      <xdr:row>11</xdr:row>
      <xdr:rowOff>80734</xdr:rowOff>
    </xdr:from>
    <xdr:to>
      <xdr:col>1</xdr:col>
      <xdr:colOff>1524000</xdr:colOff>
      <xdr:row>12</xdr:row>
      <xdr:rowOff>93434</xdr:rowOff>
    </xdr:to>
    <xdr:sp macro="" textlink="">
      <xdr:nvSpPr>
        <xdr:cNvPr id="11" name="Rectangl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5935C97-7C88-4D47-9E54-E921B85CE02D}"/>
            </a:ext>
          </a:extLst>
        </xdr:cNvPr>
        <xdr:cNvSpPr/>
      </xdr:nvSpPr>
      <xdr:spPr>
        <a:xfrm>
          <a:off x="568325" y="3747859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</xdr:col>
      <xdr:colOff>349250</xdr:colOff>
      <xdr:row>12</xdr:row>
      <xdr:rowOff>88900</xdr:rowOff>
    </xdr:from>
    <xdr:to>
      <xdr:col>1</xdr:col>
      <xdr:colOff>1524000</xdr:colOff>
      <xdr:row>13</xdr:row>
      <xdr:rowOff>101600</xdr:rowOff>
    </xdr:to>
    <xdr:sp macro="" textlink="">
      <xdr:nvSpPr>
        <xdr:cNvPr id="12" name="Rectangle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E866C458-49DE-4463-A065-20A3EE808B2C}"/>
            </a:ext>
          </a:extLst>
        </xdr:cNvPr>
        <xdr:cNvSpPr/>
      </xdr:nvSpPr>
      <xdr:spPr>
        <a:xfrm>
          <a:off x="568325" y="408940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Inventory</a:t>
          </a:r>
        </a:p>
      </xdr:txBody>
    </xdr:sp>
    <xdr:clientData/>
  </xdr:twoCellAnchor>
  <xdr:twoCellAnchor editAs="absolute">
    <xdr:from>
      <xdr:col>1</xdr:col>
      <xdr:colOff>82550</xdr:colOff>
      <xdr:row>12</xdr:row>
      <xdr:rowOff>82550</xdr:rowOff>
    </xdr:from>
    <xdr:to>
      <xdr:col>1</xdr:col>
      <xdr:colOff>334550</xdr:colOff>
      <xdr:row>13</xdr:row>
      <xdr:rowOff>4350</xdr:rowOff>
    </xdr:to>
    <xdr:pic>
      <xdr:nvPicPr>
        <xdr:cNvPr id="13" name="Graphic 12" descr="Clipboard Partially Checked with solid fill">
          <a:extLst>
            <a:ext uri="{FF2B5EF4-FFF2-40B4-BE49-F238E27FC236}">
              <a16:creationId xmlns:a16="http://schemas.microsoft.com/office/drawing/2014/main" id="{4B966557-5E18-4DA0-A987-316578CD8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301625" y="40830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10</xdr:row>
      <xdr:rowOff>111900</xdr:rowOff>
    </xdr:from>
    <xdr:to>
      <xdr:col>1</xdr:col>
      <xdr:colOff>334550</xdr:colOff>
      <xdr:row>11</xdr:row>
      <xdr:rowOff>33700</xdr:rowOff>
    </xdr:to>
    <xdr:pic>
      <xdr:nvPicPr>
        <xdr:cNvPr id="14" name="Graphic 13" descr="Receipt with solid fill">
          <a:extLst>
            <a:ext uri="{FF2B5EF4-FFF2-40B4-BE49-F238E27FC236}">
              <a16:creationId xmlns:a16="http://schemas.microsoft.com/office/drawing/2014/main" id="{8B92450D-8E12-4025-B8BD-AD0F3C663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1625" y="34456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11</xdr:row>
      <xdr:rowOff>96800</xdr:rowOff>
    </xdr:from>
    <xdr:to>
      <xdr:col>1</xdr:col>
      <xdr:colOff>334550</xdr:colOff>
      <xdr:row>12</xdr:row>
      <xdr:rowOff>18600</xdr:rowOff>
    </xdr:to>
    <xdr:pic>
      <xdr:nvPicPr>
        <xdr:cNvPr id="15" name="Graphic 14" descr="Register with solid fill">
          <a:extLst>
            <a:ext uri="{FF2B5EF4-FFF2-40B4-BE49-F238E27FC236}">
              <a16:creationId xmlns:a16="http://schemas.microsoft.com/office/drawing/2014/main" id="{0CD259B4-0B9D-48C7-ADC7-05AAEAB9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1625" y="3763925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9</xdr:row>
      <xdr:rowOff>56300</xdr:rowOff>
    </xdr:from>
    <xdr:to>
      <xdr:col>1</xdr:col>
      <xdr:colOff>334550</xdr:colOff>
      <xdr:row>9</xdr:row>
      <xdr:rowOff>308300</xdr:rowOff>
    </xdr:to>
    <xdr:pic>
      <xdr:nvPicPr>
        <xdr:cNvPr id="16" name="Graphic 15" descr="Full Brick Wall with solid fill">
          <a:extLst>
            <a:ext uri="{FF2B5EF4-FFF2-40B4-BE49-F238E27FC236}">
              <a16:creationId xmlns:a16="http://schemas.microsoft.com/office/drawing/2014/main" id="{9BB7A44A-1333-4F60-B0E2-4128C5E54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01625" y="3056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6</xdr:row>
      <xdr:rowOff>41200</xdr:rowOff>
    </xdr:from>
    <xdr:to>
      <xdr:col>1</xdr:col>
      <xdr:colOff>334550</xdr:colOff>
      <xdr:row>6</xdr:row>
      <xdr:rowOff>293200</xdr:rowOff>
    </xdr:to>
    <xdr:pic>
      <xdr:nvPicPr>
        <xdr:cNvPr id="17" name="Graphic 16" descr="User with solid fill">
          <a:extLst>
            <a:ext uri="{FF2B5EF4-FFF2-40B4-BE49-F238E27FC236}">
              <a16:creationId xmlns:a16="http://schemas.microsoft.com/office/drawing/2014/main" id="{08F67B52-D6A5-49ED-89DD-D45B68D85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01625" y="20414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7</xdr:row>
      <xdr:rowOff>7050</xdr:rowOff>
    </xdr:from>
    <xdr:to>
      <xdr:col>1</xdr:col>
      <xdr:colOff>334550</xdr:colOff>
      <xdr:row>7</xdr:row>
      <xdr:rowOff>259050</xdr:rowOff>
    </xdr:to>
    <xdr:pic>
      <xdr:nvPicPr>
        <xdr:cNvPr id="18" name="Graphic 17" descr="User outline">
          <a:extLst>
            <a:ext uri="{FF2B5EF4-FFF2-40B4-BE49-F238E27FC236}">
              <a16:creationId xmlns:a16="http://schemas.microsoft.com/office/drawing/2014/main" id="{CE1A21AD-24C1-4A1E-9F90-DF962404A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01625" y="2340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8</xdr:row>
      <xdr:rowOff>31750</xdr:rowOff>
    </xdr:from>
    <xdr:to>
      <xdr:col>1</xdr:col>
      <xdr:colOff>334550</xdr:colOff>
      <xdr:row>8</xdr:row>
      <xdr:rowOff>283750</xdr:rowOff>
    </xdr:to>
    <xdr:pic>
      <xdr:nvPicPr>
        <xdr:cNvPr id="19" name="Graphic 18" descr="Inventory outline">
          <a:extLst>
            <a:ext uri="{FF2B5EF4-FFF2-40B4-BE49-F238E27FC236}">
              <a16:creationId xmlns:a16="http://schemas.microsoft.com/office/drawing/2014/main" id="{F90945B3-DEDE-482D-A8E1-C908C73DC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301625" y="26987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2</xdr:col>
      <xdr:colOff>228599</xdr:colOff>
      <xdr:row>1</xdr:row>
      <xdr:rowOff>6350</xdr:rowOff>
    </xdr:from>
    <xdr:to>
      <xdr:col>49</xdr:col>
      <xdr:colOff>642383</xdr:colOff>
      <xdr:row>3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545CA3E2-97D8-4360-AEB7-6F1981181020}"/>
            </a:ext>
          </a:extLst>
        </xdr:cNvPr>
        <xdr:cNvSpPr/>
      </xdr:nvSpPr>
      <xdr:spPr>
        <a:xfrm>
          <a:off x="2381249" y="339725"/>
          <a:ext cx="59230881" cy="6794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800" b="1" kern="1200">
              <a:solidFill>
                <a:schemeClr val="tx1"/>
              </a:solidFill>
            </a:rPr>
            <a:t> Warehouse Details - IHC (Only Blue Color Cell Are Editable)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552450</xdr:colOff>
      <xdr:row>1</xdr:row>
      <xdr:rowOff>101600</xdr:rowOff>
    </xdr:from>
    <xdr:to>
      <xdr:col>1</xdr:col>
      <xdr:colOff>1104900</xdr:colOff>
      <xdr:row>2</xdr:row>
      <xdr:rowOff>323850</xdr:rowOff>
    </xdr:to>
    <xdr:pic>
      <xdr:nvPicPr>
        <xdr:cNvPr id="2" name="Graphic 1" descr="Search Inventory with solid fill">
          <a:extLst>
            <a:ext uri="{FF2B5EF4-FFF2-40B4-BE49-F238E27FC236}">
              <a16:creationId xmlns:a16="http://schemas.microsoft.com/office/drawing/2014/main" id="{04A82032-42F4-4284-9C52-701DD4484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71525" y="434975"/>
          <a:ext cx="552450" cy="555625"/>
        </a:xfrm>
        <a:prstGeom prst="rect">
          <a:avLst/>
        </a:prstGeom>
      </xdr:spPr>
    </xdr:pic>
    <xdr:clientData/>
  </xdr:twoCellAnchor>
  <xdr:twoCellAnchor editAs="absolute">
    <xdr:from>
      <xdr:col>1</xdr:col>
      <xdr:colOff>38100</xdr:colOff>
      <xdr:row>2</xdr:row>
      <xdr:rowOff>273050</xdr:rowOff>
    </xdr:from>
    <xdr:to>
      <xdr:col>1</xdr:col>
      <xdr:colOff>1581150</xdr:colOff>
      <xdr:row>4</xdr:row>
      <xdr:rowOff>241300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9BD0EEE-04BF-4CA0-B0C3-2848F5411179}"/>
            </a:ext>
          </a:extLst>
        </xdr:cNvPr>
        <xdr:cNvSpPr/>
      </xdr:nvSpPr>
      <xdr:spPr>
        <a:xfrm>
          <a:off x="257175" y="939800"/>
          <a:ext cx="1543050" cy="635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 kern="1200">
              <a:solidFill>
                <a:schemeClr val="tx1"/>
              </a:solidFill>
            </a:rPr>
            <a:t>Inventory Management System</a:t>
          </a:r>
        </a:p>
      </xdr:txBody>
    </xdr:sp>
    <xdr:clientData/>
  </xdr:twoCellAnchor>
  <xdr:twoCellAnchor editAs="absolute">
    <xdr:from>
      <xdr:col>1</xdr:col>
      <xdr:colOff>349250</xdr:colOff>
      <xdr:row>5</xdr:row>
      <xdr:rowOff>31750</xdr:rowOff>
    </xdr:from>
    <xdr:to>
      <xdr:col>1</xdr:col>
      <xdr:colOff>1524000</xdr:colOff>
      <xdr:row>6</xdr:row>
      <xdr:rowOff>44450</xdr:rowOff>
    </xdr:to>
    <xdr:sp macro="" textlink="">
      <xdr:nvSpPr>
        <xdr:cNvPr id="4" name="Rectangl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B42B0DA-5B63-4C68-9439-4970F01E16C0}"/>
            </a:ext>
          </a:extLst>
        </xdr:cNvPr>
        <xdr:cNvSpPr/>
      </xdr:nvSpPr>
      <xdr:spPr>
        <a:xfrm>
          <a:off x="568325" y="1698625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Dashboard</a:t>
          </a:r>
        </a:p>
      </xdr:txBody>
    </xdr:sp>
    <xdr:clientData/>
  </xdr:twoCellAnchor>
  <xdr:twoCellAnchor editAs="absolute">
    <xdr:from>
      <xdr:col>1</xdr:col>
      <xdr:colOff>82550</xdr:colOff>
      <xdr:row>5</xdr:row>
      <xdr:rowOff>19050</xdr:rowOff>
    </xdr:from>
    <xdr:to>
      <xdr:col>1</xdr:col>
      <xdr:colOff>412750</xdr:colOff>
      <xdr:row>6</xdr:row>
      <xdr:rowOff>19050</xdr:rowOff>
    </xdr:to>
    <xdr:pic>
      <xdr:nvPicPr>
        <xdr:cNvPr id="5" name="Graphic 4" descr="Presentation with bar chart with solid fill">
          <a:extLst>
            <a:ext uri="{FF2B5EF4-FFF2-40B4-BE49-F238E27FC236}">
              <a16:creationId xmlns:a16="http://schemas.microsoft.com/office/drawing/2014/main" id="{74F57C2B-84B0-43CA-9CE8-D3D995044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01625" y="1685925"/>
          <a:ext cx="330200" cy="333375"/>
        </a:xfrm>
        <a:prstGeom prst="rect">
          <a:avLst/>
        </a:prstGeom>
      </xdr:spPr>
    </xdr:pic>
    <xdr:clientData/>
  </xdr:twoCellAnchor>
  <xdr:twoCellAnchor editAs="absolute">
    <xdr:from>
      <xdr:col>1</xdr:col>
      <xdr:colOff>349250</xdr:colOff>
      <xdr:row>6</xdr:row>
      <xdr:rowOff>39914</xdr:rowOff>
    </xdr:from>
    <xdr:to>
      <xdr:col>1</xdr:col>
      <xdr:colOff>1524000</xdr:colOff>
      <xdr:row>7</xdr:row>
      <xdr:rowOff>52614</xdr:rowOff>
    </xdr:to>
    <xdr:sp macro="" textlink="">
      <xdr:nvSpPr>
        <xdr:cNvPr id="6" name="Rectangle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F0FF1B5-AD64-413B-BF7C-8B89E74531B9}"/>
            </a:ext>
          </a:extLst>
        </xdr:cNvPr>
        <xdr:cNvSpPr/>
      </xdr:nvSpPr>
      <xdr:spPr>
        <a:xfrm>
          <a:off x="568325" y="2040164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Customers</a:t>
          </a:r>
        </a:p>
      </xdr:txBody>
    </xdr:sp>
    <xdr:clientData/>
  </xdr:twoCellAnchor>
  <xdr:twoCellAnchor editAs="absolute">
    <xdr:from>
      <xdr:col>1</xdr:col>
      <xdr:colOff>349250</xdr:colOff>
      <xdr:row>7</xdr:row>
      <xdr:rowOff>48078</xdr:rowOff>
    </xdr:from>
    <xdr:to>
      <xdr:col>1</xdr:col>
      <xdr:colOff>1524000</xdr:colOff>
      <xdr:row>8</xdr:row>
      <xdr:rowOff>60778</xdr:rowOff>
    </xdr:to>
    <xdr:sp macro="" textlink="">
      <xdr:nvSpPr>
        <xdr:cNvPr id="7" name="Rectangle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B82B80C-766F-455C-BBD9-1231AE9DEEC7}"/>
            </a:ext>
          </a:extLst>
        </xdr:cNvPr>
        <xdr:cNvSpPr/>
      </xdr:nvSpPr>
      <xdr:spPr>
        <a:xfrm>
          <a:off x="568325" y="2381703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Vendors</a:t>
          </a:r>
        </a:p>
      </xdr:txBody>
    </xdr:sp>
    <xdr:clientData/>
  </xdr:twoCellAnchor>
  <xdr:twoCellAnchor editAs="absolute">
    <xdr:from>
      <xdr:col>1</xdr:col>
      <xdr:colOff>349250</xdr:colOff>
      <xdr:row>8</xdr:row>
      <xdr:rowOff>56242</xdr:rowOff>
    </xdr:from>
    <xdr:to>
      <xdr:col>1</xdr:col>
      <xdr:colOff>1524000</xdr:colOff>
      <xdr:row>9</xdr:row>
      <xdr:rowOff>68942</xdr:rowOff>
    </xdr:to>
    <xdr:sp macro="" textlink="">
      <xdr:nvSpPr>
        <xdr:cNvPr id="8" name="Rectangle 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6AB49A6-548E-4A6E-AFE1-52C77C37AA01}"/>
            </a:ext>
          </a:extLst>
        </xdr:cNvPr>
        <xdr:cNvSpPr/>
      </xdr:nvSpPr>
      <xdr:spPr>
        <a:xfrm>
          <a:off x="568325" y="2723242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/>
              </a:solidFill>
            </a:rPr>
            <a:t>Products</a:t>
          </a:r>
        </a:p>
      </xdr:txBody>
    </xdr:sp>
    <xdr:clientData/>
  </xdr:twoCellAnchor>
  <xdr:twoCellAnchor editAs="absolute">
    <xdr:from>
      <xdr:col>1</xdr:col>
      <xdr:colOff>349250</xdr:colOff>
      <xdr:row>9</xdr:row>
      <xdr:rowOff>64406</xdr:rowOff>
    </xdr:from>
    <xdr:to>
      <xdr:col>1</xdr:col>
      <xdr:colOff>1524000</xdr:colOff>
      <xdr:row>10</xdr:row>
      <xdr:rowOff>77106</xdr:rowOff>
    </xdr:to>
    <xdr:sp macro="" textlink="">
      <xdr:nvSpPr>
        <xdr:cNvPr id="9" name="Rectangle 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BDBA171-AB2B-49C5-BF22-8C0E3462DB0E}"/>
            </a:ext>
          </a:extLst>
        </xdr:cNvPr>
        <xdr:cNvSpPr/>
      </xdr:nvSpPr>
      <xdr:spPr>
        <a:xfrm>
          <a:off x="568325" y="3064781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New Entry</a:t>
          </a:r>
        </a:p>
      </xdr:txBody>
    </xdr:sp>
    <xdr:clientData/>
  </xdr:twoCellAnchor>
  <xdr:twoCellAnchor editAs="absolute">
    <xdr:from>
      <xdr:col>1</xdr:col>
      <xdr:colOff>349250</xdr:colOff>
      <xdr:row>10</xdr:row>
      <xdr:rowOff>72570</xdr:rowOff>
    </xdr:from>
    <xdr:to>
      <xdr:col>1</xdr:col>
      <xdr:colOff>1524000</xdr:colOff>
      <xdr:row>11</xdr:row>
      <xdr:rowOff>85270</xdr:rowOff>
    </xdr:to>
    <xdr:sp macro="" textlink="">
      <xdr:nvSpPr>
        <xdr:cNvPr id="10" name="Rectangle 9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EF2E351-0DD9-4C3A-A5BC-F5332E8BE510}"/>
            </a:ext>
          </a:extLst>
        </xdr:cNvPr>
        <xdr:cNvSpPr/>
      </xdr:nvSpPr>
      <xdr:spPr>
        <a:xfrm>
          <a:off x="568325" y="340632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Purchase</a:t>
          </a:r>
        </a:p>
      </xdr:txBody>
    </xdr:sp>
    <xdr:clientData/>
  </xdr:twoCellAnchor>
  <xdr:twoCellAnchor editAs="absolute">
    <xdr:from>
      <xdr:col>1</xdr:col>
      <xdr:colOff>349250</xdr:colOff>
      <xdr:row>11</xdr:row>
      <xdr:rowOff>80734</xdr:rowOff>
    </xdr:from>
    <xdr:to>
      <xdr:col>1</xdr:col>
      <xdr:colOff>1524000</xdr:colOff>
      <xdr:row>12</xdr:row>
      <xdr:rowOff>93434</xdr:rowOff>
    </xdr:to>
    <xdr:sp macro="" textlink="">
      <xdr:nvSpPr>
        <xdr:cNvPr id="11" name="Rectangle 1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33419C4-5841-4624-9440-DC101FAA693F}"/>
            </a:ext>
          </a:extLst>
        </xdr:cNvPr>
        <xdr:cNvSpPr/>
      </xdr:nvSpPr>
      <xdr:spPr>
        <a:xfrm>
          <a:off x="568325" y="3747859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</xdr:col>
      <xdr:colOff>349250</xdr:colOff>
      <xdr:row>12</xdr:row>
      <xdr:rowOff>88900</xdr:rowOff>
    </xdr:from>
    <xdr:to>
      <xdr:col>1</xdr:col>
      <xdr:colOff>1524000</xdr:colOff>
      <xdr:row>13</xdr:row>
      <xdr:rowOff>101600</xdr:rowOff>
    </xdr:to>
    <xdr:sp macro="" textlink="">
      <xdr:nvSpPr>
        <xdr:cNvPr id="12" name="Rectangle 1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6B967F3C-FA0E-4E50-B78E-78D790534D11}"/>
            </a:ext>
          </a:extLst>
        </xdr:cNvPr>
        <xdr:cNvSpPr/>
      </xdr:nvSpPr>
      <xdr:spPr>
        <a:xfrm>
          <a:off x="568325" y="408940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Inventory</a:t>
          </a:r>
        </a:p>
      </xdr:txBody>
    </xdr:sp>
    <xdr:clientData/>
  </xdr:twoCellAnchor>
  <xdr:twoCellAnchor editAs="absolute">
    <xdr:from>
      <xdr:col>1</xdr:col>
      <xdr:colOff>82550</xdr:colOff>
      <xdr:row>12</xdr:row>
      <xdr:rowOff>82550</xdr:rowOff>
    </xdr:from>
    <xdr:to>
      <xdr:col>1</xdr:col>
      <xdr:colOff>334550</xdr:colOff>
      <xdr:row>13</xdr:row>
      <xdr:rowOff>4350</xdr:rowOff>
    </xdr:to>
    <xdr:pic>
      <xdr:nvPicPr>
        <xdr:cNvPr id="13" name="Graphic 12" descr="Clipboard Partially Checked with solid fill">
          <a:extLst>
            <a:ext uri="{FF2B5EF4-FFF2-40B4-BE49-F238E27FC236}">
              <a16:creationId xmlns:a16="http://schemas.microsoft.com/office/drawing/2014/main" id="{8D3101F6-86A6-4836-87D2-035BA8BD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301625" y="40830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10</xdr:row>
      <xdr:rowOff>111900</xdr:rowOff>
    </xdr:from>
    <xdr:to>
      <xdr:col>1</xdr:col>
      <xdr:colOff>334550</xdr:colOff>
      <xdr:row>11</xdr:row>
      <xdr:rowOff>33700</xdr:rowOff>
    </xdr:to>
    <xdr:pic>
      <xdr:nvPicPr>
        <xdr:cNvPr id="14" name="Graphic 13" descr="Receipt with solid fill">
          <a:extLst>
            <a:ext uri="{FF2B5EF4-FFF2-40B4-BE49-F238E27FC236}">
              <a16:creationId xmlns:a16="http://schemas.microsoft.com/office/drawing/2014/main" id="{2D8661BB-1774-4CAE-99DE-DE396A6D7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301625" y="34456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11</xdr:row>
      <xdr:rowOff>96800</xdr:rowOff>
    </xdr:from>
    <xdr:to>
      <xdr:col>1</xdr:col>
      <xdr:colOff>334550</xdr:colOff>
      <xdr:row>12</xdr:row>
      <xdr:rowOff>18600</xdr:rowOff>
    </xdr:to>
    <xdr:pic>
      <xdr:nvPicPr>
        <xdr:cNvPr id="15" name="Graphic 14" descr="Register with solid fill">
          <a:extLst>
            <a:ext uri="{FF2B5EF4-FFF2-40B4-BE49-F238E27FC236}">
              <a16:creationId xmlns:a16="http://schemas.microsoft.com/office/drawing/2014/main" id="{C594EC66-4CCA-4791-9896-8274C7EBA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301625" y="3763925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9</xdr:row>
      <xdr:rowOff>56300</xdr:rowOff>
    </xdr:from>
    <xdr:to>
      <xdr:col>1</xdr:col>
      <xdr:colOff>334550</xdr:colOff>
      <xdr:row>9</xdr:row>
      <xdr:rowOff>308300</xdr:rowOff>
    </xdr:to>
    <xdr:pic>
      <xdr:nvPicPr>
        <xdr:cNvPr id="16" name="Graphic 15" descr="Full Brick Wall with solid fill">
          <a:extLst>
            <a:ext uri="{FF2B5EF4-FFF2-40B4-BE49-F238E27FC236}">
              <a16:creationId xmlns:a16="http://schemas.microsoft.com/office/drawing/2014/main" id="{2675AA5C-1615-4439-AF0B-22DCEE661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301625" y="3056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6</xdr:row>
      <xdr:rowOff>41200</xdr:rowOff>
    </xdr:from>
    <xdr:to>
      <xdr:col>1</xdr:col>
      <xdr:colOff>334550</xdr:colOff>
      <xdr:row>6</xdr:row>
      <xdr:rowOff>293200</xdr:rowOff>
    </xdr:to>
    <xdr:pic>
      <xdr:nvPicPr>
        <xdr:cNvPr id="17" name="Graphic 16" descr="User with solid fill">
          <a:extLst>
            <a:ext uri="{FF2B5EF4-FFF2-40B4-BE49-F238E27FC236}">
              <a16:creationId xmlns:a16="http://schemas.microsoft.com/office/drawing/2014/main" id="{C609E1D3-B0EC-4208-9EB0-CBCD1D835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301625" y="20414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7</xdr:row>
      <xdr:rowOff>7050</xdr:rowOff>
    </xdr:from>
    <xdr:to>
      <xdr:col>1</xdr:col>
      <xdr:colOff>334550</xdr:colOff>
      <xdr:row>7</xdr:row>
      <xdr:rowOff>259050</xdr:rowOff>
    </xdr:to>
    <xdr:pic>
      <xdr:nvPicPr>
        <xdr:cNvPr id="18" name="Graphic 17" descr="User outline">
          <a:extLst>
            <a:ext uri="{FF2B5EF4-FFF2-40B4-BE49-F238E27FC236}">
              <a16:creationId xmlns:a16="http://schemas.microsoft.com/office/drawing/2014/main" id="{0967D88C-1065-4429-892F-CA476588D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301625" y="2340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8</xdr:row>
      <xdr:rowOff>31750</xdr:rowOff>
    </xdr:from>
    <xdr:to>
      <xdr:col>1</xdr:col>
      <xdr:colOff>334550</xdr:colOff>
      <xdr:row>8</xdr:row>
      <xdr:rowOff>283750</xdr:rowOff>
    </xdr:to>
    <xdr:pic>
      <xdr:nvPicPr>
        <xdr:cNvPr id="19" name="Graphic 18" descr="Inventory outline">
          <a:extLst>
            <a:ext uri="{FF2B5EF4-FFF2-40B4-BE49-F238E27FC236}">
              <a16:creationId xmlns:a16="http://schemas.microsoft.com/office/drawing/2014/main" id="{9A8D3F73-D622-473A-AD5E-CD4C401FE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301625" y="26987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3</xdr:col>
      <xdr:colOff>-1</xdr:colOff>
      <xdr:row>1</xdr:row>
      <xdr:rowOff>6350</xdr:rowOff>
    </xdr:from>
    <xdr:to>
      <xdr:col>49</xdr:col>
      <xdr:colOff>609157</xdr:colOff>
      <xdr:row>3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852F21A3-B36B-4D9D-A6F6-BD3C748684DD}"/>
            </a:ext>
          </a:extLst>
        </xdr:cNvPr>
        <xdr:cNvSpPr/>
      </xdr:nvSpPr>
      <xdr:spPr>
        <a:xfrm>
          <a:off x="2381249" y="339725"/>
          <a:ext cx="59230881" cy="6794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800" b="1" kern="1200">
              <a:solidFill>
                <a:sysClr val="windowText" lastClr="000000"/>
              </a:solidFill>
            </a:rPr>
            <a:t>  </a:t>
          </a:r>
          <a:r>
            <a:rPr lang="en-IN" sz="2800" b="1">
              <a:solidFill>
                <a:sysClr val="windowText" lastClr="000000"/>
              </a:solidFill>
            </a:rPr>
            <a:t>Accounts / Ledger </a:t>
          </a:r>
          <a:r>
            <a:rPr lang="en-IN" sz="2800" b="1" kern="1200" baseline="0">
              <a:solidFill>
                <a:schemeClr val="tx1"/>
              </a:solidFill>
            </a:rPr>
            <a:t>- IHC</a:t>
          </a:r>
          <a:endParaRPr lang="en-IN" sz="2800" b="1" kern="1200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243957</xdr:colOff>
      <xdr:row>0</xdr:row>
      <xdr:rowOff>166134</xdr:rowOff>
    </xdr:from>
    <xdr:to>
      <xdr:col>1</xdr:col>
      <xdr:colOff>1661336</xdr:colOff>
      <xdr:row>4</xdr:row>
      <xdr:rowOff>188285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91D63411-5F28-464F-8EE1-1AFD2A8A2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5469" y="166134"/>
          <a:ext cx="1417379" cy="1351221"/>
        </a:xfrm>
        <a:prstGeom prst="rect">
          <a:avLst/>
        </a:prstGeom>
      </xdr:spPr>
    </xdr:pic>
    <xdr:clientData/>
  </xdr:twoCellAnchor>
  <xdr:twoCellAnchor editAs="absolute">
    <xdr:from>
      <xdr:col>1</xdr:col>
      <xdr:colOff>38100</xdr:colOff>
      <xdr:row>3</xdr:row>
      <xdr:rowOff>254739</xdr:rowOff>
    </xdr:from>
    <xdr:to>
      <xdr:col>1</xdr:col>
      <xdr:colOff>1838546</xdr:colOff>
      <xdr:row>4</xdr:row>
      <xdr:rowOff>241300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D41F4A2-89C6-4AC9-B74A-5D5C5AEA2E58}"/>
            </a:ext>
          </a:extLst>
        </xdr:cNvPr>
        <xdr:cNvSpPr/>
      </xdr:nvSpPr>
      <xdr:spPr>
        <a:xfrm>
          <a:off x="259612" y="1251541"/>
          <a:ext cx="1800446" cy="3188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Indian Heritage Carfts</a:t>
          </a:r>
          <a:endParaRPr lang="en-IN" sz="12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absolute">
    <xdr:from>
      <xdr:col>1</xdr:col>
      <xdr:colOff>349250</xdr:colOff>
      <xdr:row>5</xdr:row>
      <xdr:rowOff>31750</xdr:rowOff>
    </xdr:from>
    <xdr:to>
      <xdr:col>1</xdr:col>
      <xdr:colOff>1524000</xdr:colOff>
      <xdr:row>6</xdr:row>
      <xdr:rowOff>44450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4831595-7791-427F-8A14-8C33ABCAFDCC}"/>
            </a:ext>
          </a:extLst>
        </xdr:cNvPr>
        <xdr:cNvSpPr/>
      </xdr:nvSpPr>
      <xdr:spPr>
        <a:xfrm>
          <a:off x="568325" y="1698625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Dashboard</a:t>
          </a:r>
        </a:p>
      </xdr:txBody>
    </xdr:sp>
    <xdr:clientData/>
  </xdr:twoCellAnchor>
  <xdr:twoCellAnchor editAs="absolute">
    <xdr:from>
      <xdr:col>1</xdr:col>
      <xdr:colOff>82550</xdr:colOff>
      <xdr:row>5</xdr:row>
      <xdr:rowOff>19050</xdr:rowOff>
    </xdr:from>
    <xdr:to>
      <xdr:col>1</xdr:col>
      <xdr:colOff>412750</xdr:colOff>
      <xdr:row>6</xdr:row>
      <xdr:rowOff>19050</xdr:rowOff>
    </xdr:to>
    <xdr:pic>
      <xdr:nvPicPr>
        <xdr:cNvPr id="5" name="Graphic 4" descr="Presentation with bar chart with solid fill">
          <a:extLst>
            <a:ext uri="{FF2B5EF4-FFF2-40B4-BE49-F238E27FC236}">
              <a16:creationId xmlns:a16="http://schemas.microsoft.com/office/drawing/2014/main" id="{D27D9200-0B9E-47E2-9936-C2E802B36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1625" y="1685925"/>
          <a:ext cx="330200" cy="333375"/>
        </a:xfrm>
        <a:prstGeom prst="rect">
          <a:avLst/>
        </a:prstGeom>
      </xdr:spPr>
    </xdr:pic>
    <xdr:clientData/>
  </xdr:twoCellAnchor>
  <xdr:twoCellAnchor editAs="absolute">
    <xdr:from>
      <xdr:col>1</xdr:col>
      <xdr:colOff>349250</xdr:colOff>
      <xdr:row>6</xdr:row>
      <xdr:rowOff>39914</xdr:rowOff>
    </xdr:from>
    <xdr:to>
      <xdr:col>1</xdr:col>
      <xdr:colOff>1524000</xdr:colOff>
      <xdr:row>7</xdr:row>
      <xdr:rowOff>52614</xdr:rowOff>
    </xdr:to>
    <xdr:sp macro="" textlink="">
      <xdr:nvSpPr>
        <xdr:cNvPr id="6" name="Rectangl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1A29FB0-A5BA-4935-9A2F-0E93C230569E}"/>
            </a:ext>
          </a:extLst>
        </xdr:cNvPr>
        <xdr:cNvSpPr/>
      </xdr:nvSpPr>
      <xdr:spPr>
        <a:xfrm>
          <a:off x="568325" y="2040164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Customers</a:t>
          </a:r>
        </a:p>
      </xdr:txBody>
    </xdr:sp>
    <xdr:clientData/>
  </xdr:twoCellAnchor>
  <xdr:twoCellAnchor editAs="absolute">
    <xdr:from>
      <xdr:col>1</xdr:col>
      <xdr:colOff>349250</xdr:colOff>
      <xdr:row>7</xdr:row>
      <xdr:rowOff>48078</xdr:rowOff>
    </xdr:from>
    <xdr:to>
      <xdr:col>1</xdr:col>
      <xdr:colOff>1524000</xdr:colOff>
      <xdr:row>8</xdr:row>
      <xdr:rowOff>60778</xdr:rowOff>
    </xdr:to>
    <xdr:sp macro="" textlink="">
      <xdr:nvSpPr>
        <xdr:cNvPr id="7" name="Rectangle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60D4071-07F9-469E-9D97-F1C5268FE5E9}"/>
            </a:ext>
          </a:extLst>
        </xdr:cNvPr>
        <xdr:cNvSpPr/>
      </xdr:nvSpPr>
      <xdr:spPr>
        <a:xfrm>
          <a:off x="568325" y="2381703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Vendors</a:t>
          </a:r>
        </a:p>
      </xdr:txBody>
    </xdr:sp>
    <xdr:clientData/>
  </xdr:twoCellAnchor>
  <xdr:twoCellAnchor editAs="absolute">
    <xdr:from>
      <xdr:col>1</xdr:col>
      <xdr:colOff>349250</xdr:colOff>
      <xdr:row>8</xdr:row>
      <xdr:rowOff>56242</xdr:rowOff>
    </xdr:from>
    <xdr:to>
      <xdr:col>1</xdr:col>
      <xdr:colOff>1524000</xdr:colOff>
      <xdr:row>9</xdr:row>
      <xdr:rowOff>68942</xdr:rowOff>
    </xdr:to>
    <xdr:sp macro="" textlink="">
      <xdr:nvSpPr>
        <xdr:cNvPr id="8" name="Rectangl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24AECA1-89EF-4BA4-B7B2-281C7DC8E3B7}"/>
            </a:ext>
          </a:extLst>
        </xdr:cNvPr>
        <xdr:cNvSpPr/>
      </xdr:nvSpPr>
      <xdr:spPr>
        <a:xfrm>
          <a:off x="568325" y="2723242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/>
              </a:solidFill>
            </a:rPr>
            <a:t>Products</a:t>
          </a:r>
        </a:p>
      </xdr:txBody>
    </xdr:sp>
    <xdr:clientData/>
  </xdr:twoCellAnchor>
  <xdr:twoCellAnchor editAs="absolute">
    <xdr:from>
      <xdr:col>1</xdr:col>
      <xdr:colOff>349250</xdr:colOff>
      <xdr:row>9</xdr:row>
      <xdr:rowOff>64406</xdr:rowOff>
    </xdr:from>
    <xdr:to>
      <xdr:col>1</xdr:col>
      <xdr:colOff>1524000</xdr:colOff>
      <xdr:row>10</xdr:row>
      <xdr:rowOff>77106</xdr:rowOff>
    </xdr:to>
    <xdr:sp macro="" textlink="">
      <xdr:nvSpPr>
        <xdr:cNvPr id="9" name="Rectangl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D7E43AF-0CE9-4F88-B68C-A8F5C60E585E}"/>
            </a:ext>
          </a:extLst>
        </xdr:cNvPr>
        <xdr:cNvSpPr/>
      </xdr:nvSpPr>
      <xdr:spPr>
        <a:xfrm>
          <a:off x="568325" y="3064781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New Entry</a:t>
          </a:r>
        </a:p>
      </xdr:txBody>
    </xdr:sp>
    <xdr:clientData/>
  </xdr:twoCellAnchor>
  <xdr:twoCellAnchor editAs="absolute">
    <xdr:from>
      <xdr:col>1</xdr:col>
      <xdr:colOff>349250</xdr:colOff>
      <xdr:row>10</xdr:row>
      <xdr:rowOff>72570</xdr:rowOff>
    </xdr:from>
    <xdr:to>
      <xdr:col>1</xdr:col>
      <xdr:colOff>1524000</xdr:colOff>
      <xdr:row>11</xdr:row>
      <xdr:rowOff>85270</xdr:rowOff>
    </xdr:to>
    <xdr:sp macro="" textlink="">
      <xdr:nvSpPr>
        <xdr:cNvPr id="10" name="Rectangle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831B4A4-B16B-4595-A2E3-0E1EBFFFB44B}"/>
            </a:ext>
          </a:extLst>
        </xdr:cNvPr>
        <xdr:cNvSpPr/>
      </xdr:nvSpPr>
      <xdr:spPr>
        <a:xfrm>
          <a:off x="568325" y="340632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Purchase</a:t>
          </a:r>
        </a:p>
      </xdr:txBody>
    </xdr:sp>
    <xdr:clientData/>
  </xdr:twoCellAnchor>
  <xdr:twoCellAnchor editAs="absolute">
    <xdr:from>
      <xdr:col>1</xdr:col>
      <xdr:colOff>349250</xdr:colOff>
      <xdr:row>11</xdr:row>
      <xdr:rowOff>80734</xdr:rowOff>
    </xdr:from>
    <xdr:to>
      <xdr:col>1</xdr:col>
      <xdr:colOff>1524000</xdr:colOff>
      <xdr:row>12</xdr:row>
      <xdr:rowOff>93434</xdr:rowOff>
    </xdr:to>
    <xdr:sp macro="" textlink="">
      <xdr:nvSpPr>
        <xdr:cNvPr id="11" name="Rectangl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15EB04B8-C7AB-42C9-98BA-6BB8881FCC25}"/>
            </a:ext>
          </a:extLst>
        </xdr:cNvPr>
        <xdr:cNvSpPr/>
      </xdr:nvSpPr>
      <xdr:spPr>
        <a:xfrm>
          <a:off x="568325" y="3747859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</xdr:col>
      <xdr:colOff>349250</xdr:colOff>
      <xdr:row>12</xdr:row>
      <xdr:rowOff>88900</xdr:rowOff>
    </xdr:from>
    <xdr:to>
      <xdr:col>1</xdr:col>
      <xdr:colOff>1524000</xdr:colOff>
      <xdr:row>13</xdr:row>
      <xdr:rowOff>101600</xdr:rowOff>
    </xdr:to>
    <xdr:sp macro="" textlink="">
      <xdr:nvSpPr>
        <xdr:cNvPr id="12" name="Rectangle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46B71FC-4342-447F-9CEE-430C15678F08}"/>
            </a:ext>
          </a:extLst>
        </xdr:cNvPr>
        <xdr:cNvSpPr/>
      </xdr:nvSpPr>
      <xdr:spPr>
        <a:xfrm>
          <a:off x="568325" y="408940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Inventory</a:t>
          </a:r>
        </a:p>
      </xdr:txBody>
    </xdr:sp>
    <xdr:clientData/>
  </xdr:twoCellAnchor>
  <xdr:twoCellAnchor editAs="absolute">
    <xdr:from>
      <xdr:col>1</xdr:col>
      <xdr:colOff>82550</xdr:colOff>
      <xdr:row>12</xdr:row>
      <xdr:rowOff>82550</xdr:rowOff>
    </xdr:from>
    <xdr:to>
      <xdr:col>1</xdr:col>
      <xdr:colOff>334550</xdr:colOff>
      <xdr:row>13</xdr:row>
      <xdr:rowOff>4350</xdr:rowOff>
    </xdr:to>
    <xdr:pic>
      <xdr:nvPicPr>
        <xdr:cNvPr id="13" name="Graphic 12" descr="Clipboard Partially Checked with solid fill">
          <a:extLst>
            <a:ext uri="{FF2B5EF4-FFF2-40B4-BE49-F238E27FC236}">
              <a16:creationId xmlns:a16="http://schemas.microsoft.com/office/drawing/2014/main" id="{91764C09-908E-41F5-8B10-17E7AC993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301625" y="40830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10</xdr:row>
      <xdr:rowOff>111900</xdr:rowOff>
    </xdr:from>
    <xdr:to>
      <xdr:col>1</xdr:col>
      <xdr:colOff>334550</xdr:colOff>
      <xdr:row>11</xdr:row>
      <xdr:rowOff>33700</xdr:rowOff>
    </xdr:to>
    <xdr:pic>
      <xdr:nvPicPr>
        <xdr:cNvPr id="14" name="Graphic 13" descr="Receipt with solid fill">
          <a:extLst>
            <a:ext uri="{FF2B5EF4-FFF2-40B4-BE49-F238E27FC236}">
              <a16:creationId xmlns:a16="http://schemas.microsoft.com/office/drawing/2014/main" id="{B6D54FDB-FFC7-46C6-AC34-9B967E847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1625" y="34456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11</xdr:row>
      <xdr:rowOff>96800</xdr:rowOff>
    </xdr:from>
    <xdr:to>
      <xdr:col>1</xdr:col>
      <xdr:colOff>334550</xdr:colOff>
      <xdr:row>12</xdr:row>
      <xdr:rowOff>18600</xdr:rowOff>
    </xdr:to>
    <xdr:pic>
      <xdr:nvPicPr>
        <xdr:cNvPr id="15" name="Graphic 14" descr="Register with solid fill">
          <a:extLst>
            <a:ext uri="{FF2B5EF4-FFF2-40B4-BE49-F238E27FC236}">
              <a16:creationId xmlns:a16="http://schemas.microsoft.com/office/drawing/2014/main" id="{29DA2C61-15C6-431D-AF99-632B396DC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1625" y="3763925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9</xdr:row>
      <xdr:rowOff>56300</xdr:rowOff>
    </xdr:from>
    <xdr:to>
      <xdr:col>1</xdr:col>
      <xdr:colOff>334550</xdr:colOff>
      <xdr:row>9</xdr:row>
      <xdr:rowOff>308300</xdr:rowOff>
    </xdr:to>
    <xdr:pic>
      <xdr:nvPicPr>
        <xdr:cNvPr id="16" name="Graphic 15" descr="Full Brick Wall with solid fill">
          <a:extLst>
            <a:ext uri="{FF2B5EF4-FFF2-40B4-BE49-F238E27FC236}">
              <a16:creationId xmlns:a16="http://schemas.microsoft.com/office/drawing/2014/main" id="{354D98B3-C4A1-444F-9990-BC9657A2D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01625" y="3056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6</xdr:row>
      <xdr:rowOff>41200</xdr:rowOff>
    </xdr:from>
    <xdr:to>
      <xdr:col>1</xdr:col>
      <xdr:colOff>334550</xdr:colOff>
      <xdr:row>6</xdr:row>
      <xdr:rowOff>293200</xdr:rowOff>
    </xdr:to>
    <xdr:pic>
      <xdr:nvPicPr>
        <xdr:cNvPr id="17" name="Graphic 16" descr="User with solid fill">
          <a:extLst>
            <a:ext uri="{FF2B5EF4-FFF2-40B4-BE49-F238E27FC236}">
              <a16:creationId xmlns:a16="http://schemas.microsoft.com/office/drawing/2014/main" id="{900A9695-D474-4E01-B542-F6D122EB6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01625" y="20414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7</xdr:row>
      <xdr:rowOff>7050</xdr:rowOff>
    </xdr:from>
    <xdr:to>
      <xdr:col>1</xdr:col>
      <xdr:colOff>334550</xdr:colOff>
      <xdr:row>7</xdr:row>
      <xdr:rowOff>259050</xdr:rowOff>
    </xdr:to>
    <xdr:pic>
      <xdr:nvPicPr>
        <xdr:cNvPr id="18" name="Graphic 17" descr="User outline">
          <a:extLst>
            <a:ext uri="{FF2B5EF4-FFF2-40B4-BE49-F238E27FC236}">
              <a16:creationId xmlns:a16="http://schemas.microsoft.com/office/drawing/2014/main" id="{D673A16B-35A7-40DF-958C-E91043228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01625" y="2340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8</xdr:row>
      <xdr:rowOff>31750</xdr:rowOff>
    </xdr:from>
    <xdr:to>
      <xdr:col>1</xdr:col>
      <xdr:colOff>334550</xdr:colOff>
      <xdr:row>8</xdr:row>
      <xdr:rowOff>283750</xdr:rowOff>
    </xdr:to>
    <xdr:pic>
      <xdr:nvPicPr>
        <xdr:cNvPr id="19" name="Graphic 18" descr="Inventory outline">
          <a:extLst>
            <a:ext uri="{FF2B5EF4-FFF2-40B4-BE49-F238E27FC236}">
              <a16:creationId xmlns:a16="http://schemas.microsoft.com/office/drawing/2014/main" id="{A8C00E12-ACD6-453D-B999-FF40EA9EC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301625" y="26987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3</xdr:col>
      <xdr:colOff>-1</xdr:colOff>
      <xdr:row>1</xdr:row>
      <xdr:rowOff>6350</xdr:rowOff>
    </xdr:from>
    <xdr:to>
      <xdr:col>48</xdr:col>
      <xdr:colOff>819593</xdr:colOff>
      <xdr:row>3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394CAE7-6F50-458E-A47A-8B24409D806C}"/>
            </a:ext>
          </a:extLst>
        </xdr:cNvPr>
        <xdr:cNvSpPr/>
      </xdr:nvSpPr>
      <xdr:spPr>
        <a:xfrm>
          <a:off x="2381249" y="339725"/>
          <a:ext cx="59230881" cy="6794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800" b="1" kern="1200">
              <a:solidFill>
                <a:schemeClr val="tx1"/>
              </a:solidFill>
            </a:rPr>
            <a:t>  Orders</a:t>
          </a:r>
          <a:r>
            <a:rPr lang="en-IN" sz="2800" b="1" kern="1200" baseline="0">
              <a:solidFill>
                <a:schemeClr val="tx1"/>
              </a:solidFill>
            </a:rPr>
            <a:t> - IHC</a:t>
          </a:r>
          <a:endParaRPr lang="en-IN" sz="2800" b="1" kern="1200">
            <a:solidFill>
              <a:schemeClr val="tx1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198437</xdr:colOff>
      <xdr:row>0</xdr:row>
      <xdr:rowOff>118416</xdr:rowOff>
    </xdr:from>
    <xdr:to>
      <xdr:col>1</xdr:col>
      <xdr:colOff>1695451</xdr:colOff>
      <xdr:row>4</xdr:row>
      <xdr:rowOff>114299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1ED5B967-6778-41B4-AB76-1D36582B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17512" y="118416"/>
          <a:ext cx="1497014" cy="1329383"/>
        </a:xfrm>
        <a:prstGeom prst="rect">
          <a:avLst/>
        </a:prstGeom>
      </xdr:spPr>
    </xdr:pic>
    <xdr:clientData/>
  </xdr:twoCellAnchor>
  <xdr:twoCellAnchor editAs="absolute">
    <xdr:from>
      <xdr:col>1</xdr:col>
      <xdr:colOff>38099</xdr:colOff>
      <xdr:row>3</xdr:row>
      <xdr:rowOff>200025</xdr:rowOff>
    </xdr:from>
    <xdr:to>
      <xdr:col>1</xdr:col>
      <xdr:colOff>1838324</xdr:colOff>
      <xdr:row>4</xdr:row>
      <xdr:rowOff>241300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2D7D144-F1A0-4538-8214-402D69043008}"/>
            </a:ext>
          </a:extLst>
        </xdr:cNvPr>
        <xdr:cNvSpPr/>
      </xdr:nvSpPr>
      <xdr:spPr>
        <a:xfrm>
          <a:off x="257174" y="1200150"/>
          <a:ext cx="1800225" cy="3746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Indian Heritage Carfts</a:t>
          </a:r>
          <a:endParaRPr lang="en-IN" sz="12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absolute">
    <xdr:from>
      <xdr:col>1</xdr:col>
      <xdr:colOff>349250</xdr:colOff>
      <xdr:row>5</xdr:row>
      <xdr:rowOff>31750</xdr:rowOff>
    </xdr:from>
    <xdr:to>
      <xdr:col>1</xdr:col>
      <xdr:colOff>1524000</xdr:colOff>
      <xdr:row>6</xdr:row>
      <xdr:rowOff>44450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D185E3B-A11B-4151-BFD4-2161C4338529}"/>
            </a:ext>
          </a:extLst>
        </xdr:cNvPr>
        <xdr:cNvSpPr/>
      </xdr:nvSpPr>
      <xdr:spPr>
        <a:xfrm>
          <a:off x="558800" y="168275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Dashboard</a:t>
          </a:r>
        </a:p>
      </xdr:txBody>
    </xdr:sp>
    <xdr:clientData/>
  </xdr:twoCellAnchor>
  <xdr:twoCellAnchor editAs="absolute">
    <xdr:from>
      <xdr:col>1</xdr:col>
      <xdr:colOff>82550</xdr:colOff>
      <xdr:row>5</xdr:row>
      <xdr:rowOff>19050</xdr:rowOff>
    </xdr:from>
    <xdr:to>
      <xdr:col>1</xdr:col>
      <xdr:colOff>412750</xdr:colOff>
      <xdr:row>6</xdr:row>
      <xdr:rowOff>19050</xdr:rowOff>
    </xdr:to>
    <xdr:pic>
      <xdr:nvPicPr>
        <xdr:cNvPr id="5" name="Graphic 4" descr="Presentation with bar chart with solid fill">
          <a:extLst>
            <a:ext uri="{FF2B5EF4-FFF2-40B4-BE49-F238E27FC236}">
              <a16:creationId xmlns:a16="http://schemas.microsoft.com/office/drawing/2014/main" id="{3CAC61A9-0076-4F3C-B16C-A54D3AF0E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92100" y="1670050"/>
          <a:ext cx="330200" cy="330200"/>
        </a:xfrm>
        <a:prstGeom prst="rect">
          <a:avLst/>
        </a:prstGeom>
      </xdr:spPr>
    </xdr:pic>
    <xdr:clientData/>
  </xdr:twoCellAnchor>
  <xdr:twoCellAnchor editAs="absolute">
    <xdr:from>
      <xdr:col>1</xdr:col>
      <xdr:colOff>349250</xdr:colOff>
      <xdr:row>6</xdr:row>
      <xdr:rowOff>39914</xdr:rowOff>
    </xdr:from>
    <xdr:to>
      <xdr:col>1</xdr:col>
      <xdr:colOff>1524000</xdr:colOff>
      <xdr:row>7</xdr:row>
      <xdr:rowOff>52614</xdr:rowOff>
    </xdr:to>
    <xdr:sp macro="" textlink="">
      <xdr:nvSpPr>
        <xdr:cNvPr id="6" name="Rectangl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D3F27EB-32F5-48FC-8770-EF89B1D4AACA}"/>
            </a:ext>
          </a:extLst>
        </xdr:cNvPr>
        <xdr:cNvSpPr/>
      </xdr:nvSpPr>
      <xdr:spPr>
        <a:xfrm>
          <a:off x="558800" y="2021114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Customers</a:t>
          </a:r>
        </a:p>
      </xdr:txBody>
    </xdr:sp>
    <xdr:clientData/>
  </xdr:twoCellAnchor>
  <xdr:twoCellAnchor editAs="absolute">
    <xdr:from>
      <xdr:col>1</xdr:col>
      <xdr:colOff>349250</xdr:colOff>
      <xdr:row>7</xdr:row>
      <xdr:rowOff>48078</xdr:rowOff>
    </xdr:from>
    <xdr:to>
      <xdr:col>1</xdr:col>
      <xdr:colOff>1524000</xdr:colOff>
      <xdr:row>8</xdr:row>
      <xdr:rowOff>60778</xdr:rowOff>
    </xdr:to>
    <xdr:sp macro="" textlink="">
      <xdr:nvSpPr>
        <xdr:cNvPr id="7" name="Rectangle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44FDCCC-EC4D-4A07-9DC0-C6D3DBE37395}"/>
            </a:ext>
          </a:extLst>
        </xdr:cNvPr>
        <xdr:cNvSpPr/>
      </xdr:nvSpPr>
      <xdr:spPr>
        <a:xfrm>
          <a:off x="558800" y="2359478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Vendors</a:t>
          </a:r>
        </a:p>
      </xdr:txBody>
    </xdr:sp>
    <xdr:clientData/>
  </xdr:twoCellAnchor>
  <xdr:twoCellAnchor editAs="absolute">
    <xdr:from>
      <xdr:col>1</xdr:col>
      <xdr:colOff>349250</xdr:colOff>
      <xdr:row>8</xdr:row>
      <xdr:rowOff>56242</xdr:rowOff>
    </xdr:from>
    <xdr:to>
      <xdr:col>1</xdr:col>
      <xdr:colOff>1524000</xdr:colOff>
      <xdr:row>9</xdr:row>
      <xdr:rowOff>68942</xdr:rowOff>
    </xdr:to>
    <xdr:sp macro="" textlink="">
      <xdr:nvSpPr>
        <xdr:cNvPr id="8" name="Rectangl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B8C9B21-9836-426E-A897-0746EF905B50}"/>
            </a:ext>
          </a:extLst>
        </xdr:cNvPr>
        <xdr:cNvSpPr/>
      </xdr:nvSpPr>
      <xdr:spPr>
        <a:xfrm>
          <a:off x="558800" y="2697842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Products</a:t>
          </a:r>
        </a:p>
      </xdr:txBody>
    </xdr:sp>
    <xdr:clientData/>
  </xdr:twoCellAnchor>
  <xdr:twoCellAnchor editAs="absolute">
    <xdr:from>
      <xdr:col>1</xdr:col>
      <xdr:colOff>349250</xdr:colOff>
      <xdr:row>9</xdr:row>
      <xdr:rowOff>64406</xdr:rowOff>
    </xdr:from>
    <xdr:to>
      <xdr:col>1</xdr:col>
      <xdr:colOff>1524000</xdr:colOff>
      <xdr:row>10</xdr:row>
      <xdr:rowOff>77106</xdr:rowOff>
    </xdr:to>
    <xdr:sp macro="" textlink="">
      <xdr:nvSpPr>
        <xdr:cNvPr id="9" name="Rectangl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43C3488-C5A0-4C5D-8F11-5EFB02509BDB}"/>
            </a:ext>
          </a:extLst>
        </xdr:cNvPr>
        <xdr:cNvSpPr/>
      </xdr:nvSpPr>
      <xdr:spPr>
        <a:xfrm>
          <a:off x="558800" y="3036206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/>
              </a:solidFill>
            </a:rPr>
            <a:t>New</a:t>
          </a:r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 </a:t>
          </a:r>
          <a:r>
            <a:rPr lang="en-IN" sz="1400" b="1" kern="1200">
              <a:solidFill>
                <a:schemeClr val="tx1"/>
              </a:solidFill>
            </a:rPr>
            <a:t>Entry</a:t>
          </a:r>
        </a:p>
      </xdr:txBody>
    </xdr:sp>
    <xdr:clientData/>
  </xdr:twoCellAnchor>
  <xdr:twoCellAnchor editAs="absolute">
    <xdr:from>
      <xdr:col>1</xdr:col>
      <xdr:colOff>349250</xdr:colOff>
      <xdr:row>10</xdr:row>
      <xdr:rowOff>72570</xdr:rowOff>
    </xdr:from>
    <xdr:to>
      <xdr:col>1</xdr:col>
      <xdr:colOff>1524000</xdr:colOff>
      <xdr:row>11</xdr:row>
      <xdr:rowOff>85270</xdr:rowOff>
    </xdr:to>
    <xdr:sp macro="" textlink="">
      <xdr:nvSpPr>
        <xdr:cNvPr id="10" name="Rectangle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31ECFE5-F2F3-4096-B822-34080833FF4C}"/>
            </a:ext>
          </a:extLst>
        </xdr:cNvPr>
        <xdr:cNvSpPr/>
      </xdr:nvSpPr>
      <xdr:spPr>
        <a:xfrm>
          <a:off x="558800" y="337457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Purchase</a:t>
          </a:r>
        </a:p>
      </xdr:txBody>
    </xdr:sp>
    <xdr:clientData/>
  </xdr:twoCellAnchor>
  <xdr:twoCellAnchor editAs="absolute">
    <xdr:from>
      <xdr:col>1</xdr:col>
      <xdr:colOff>349250</xdr:colOff>
      <xdr:row>11</xdr:row>
      <xdr:rowOff>80734</xdr:rowOff>
    </xdr:from>
    <xdr:to>
      <xdr:col>1</xdr:col>
      <xdr:colOff>1524000</xdr:colOff>
      <xdr:row>12</xdr:row>
      <xdr:rowOff>93434</xdr:rowOff>
    </xdr:to>
    <xdr:sp macro="" textlink="">
      <xdr:nvSpPr>
        <xdr:cNvPr id="11" name="Rectangl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9A930C9-7B42-4DDB-890F-7F3FC5FE3B21}"/>
            </a:ext>
          </a:extLst>
        </xdr:cNvPr>
        <xdr:cNvSpPr/>
      </xdr:nvSpPr>
      <xdr:spPr>
        <a:xfrm>
          <a:off x="558800" y="3712934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</xdr:col>
      <xdr:colOff>349250</xdr:colOff>
      <xdr:row>12</xdr:row>
      <xdr:rowOff>88900</xdr:rowOff>
    </xdr:from>
    <xdr:to>
      <xdr:col>1</xdr:col>
      <xdr:colOff>1524000</xdr:colOff>
      <xdr:row>13</xdr:row>
      <xdr:rowOff>101600</xdr:rowOff>
    </xdr:to>
    <xdr:sp macro="" textlink="">
      <xdr:nvSpPr>
        <xdr:cNvPr id="12" name="Rectangle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BB313526-C2B5-428D-8874-79719DDC2D07}"/>
            </a:ext>
          </a:extLst>
        </xdr:cNvPr>
        <xdr:cNvSpPr/>
      </xdr:nvSpPr>
      <xdr:spPr>
        <a:xfrm>
          <a:off x="558800" y="405130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Inventory</a:t>
          </a:r>
        </a:p>
      </xdr:txBody>
    </xdr:sp>
    <xdr:clientData/>
  </xdr:twoCellAnchor>
  <xdr:twoCellAnchor editAs="absolute">
    <xdr:from>
      <xdr:col>1</xdr:col>
      <xdr:colOff>82550</xdr:colOff>
      <xdr:row>12</xdr:row>
      <xdr:rowOff>82550</xdr:rowOff>
    </xdr:from>
    <xdr:to>
      <xdr:col>1</xdr:col>
      <xdr:colOff>334550</xdr:colOff>
      <xdr:row>13</xdr:row>
      <xdr:rowOff>4350</xdr:rowOff>
    </xdr:to>
    <xdr:pic>
      <xdr:nvPicPr>
        <xdr:cNvPr id="13" name="Graphic 12" descr="Clipboard Partially Checked with solid fill">
          <a:extLst>
            <a:ext uri="{FF2B5EF4-FFF2-40B4-BE49-F238E27FC236}">
              <a16:creationId xmlns:a16="http://schemas.microsoft.com/office/drawing/2014/main" id="{C1A8CB12-EA96-4407-86A2-8F8E6CCC6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92100" y="40449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10</xdr:row>
      <xdr:rowOff>111900</xdr:rowOff>
    </xdr:from>
    <xdr:to>
      <xdr:col>1</xdr:col>
      <xdr:colOff>334550</xdr:colOff>
      <xdr:row>11</xdr:row>
      <xdr:rowOff>33700</xdr:rowOff>
    </xdr:to>
    <xdr:pic>
      <xdr:nvPicPr>
        <xdr:cNvPr id="14" name="Graphic 13" descr="Receipt with solid fill">
          <a:extLst>
            <a:ext uri="{FF2B5EF4-FFF2-40B4-BE49-F238E27FC236}">
              <a16:creationId xmlns:a16="http://schemas.microsoft.com/office/drawing/2014/main" id="{DD3E9968-935C-4C26-A248-22809F3EA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2100" y="34139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11</xdr:row>
      <xdr:rowOff>96800</xdr:rowOff>
    </xdr:from>
    <xdr:to>
      <xdr:col>1</xdr:col>
      <xdr:colOff>334550</xdr:colOff>
      <xdr:row>12</xdr:row>
      <xdr:rowOff>18600</xdr:rowOff>
    </xdr:to>
    <xdr:pic>
      <xdr:nvPicPr>
        <xdr:cNvPr id="15" name="Graphic 14" descr="Register with solid fill">
          <a:extLst>
            <a:ext uri="{FF2B5EF4-FFF2-40B4-BE49-F238E27FC236}">
              <a16:creationId xmlns:a16="http://schemas.microsoft.com/office/drawing/2014/main" id="{83CDD038-C05E-4B76-9C6F-2525F41F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92100" y="37290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9</xdr:row>
      <xdr:rowOff>56300</xdr:rowOff>
    </xdr:from>
    <xdr:to>
      <xdr:col>1</xdr:col>
      <xdr:colOff>334550</xdr:colOff>
      <xdr:row>9</xdr:row>
      <xdr:rowOff>308300</xdr:rowOff>
    </xdr:to>
    <xdr:pic>
      <xdr:nvPicPr>
        <xdr:cNvPr id="16" name="Graphic 15" descr="Full Brick Wall with solid fill">
          <a:extLst>
            <a:ext uri="{FF2B5EF4-FFF2-40B4-BE49-F238E27FC236}">
              <a16:creationId xmlns:a16="http://schemas.microsoft.com/office/drawing/2014/main" id="{CC088779-C093-4FBD-8B73-0C2D91D83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92100" y="30281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6</xdr:row>
      <xdr:rowOff>41200</xdr:rowOff>
    </xdr:from>
    <xdr:to>
      <xdr:col>1</xdr:col>
      <xdr:colOff>334550</xdr:colOff>
      <xdr:row>6</xdr:row>
      <xdr:rowOff>293200</xdr:rowOff>
    </xdr:to>
    <xdr:pic>
      <xdr:nvPicPr>
        <xdr:cNvPr id="17" name="Graphic 16" descr="User with solid fill">
          <a:extLst>
            <a:ext uri="{FF2B5EF4-FFF2-40B4-BE49-F238E27FC236}">
              <a16:creationId xmlns:a16="http://schemas.microsoft.com/office/drawing/2014/main" id="{8527CD37-DD07-487C-B2A8-21855426B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92100" y="20224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7</xdr:row>
      <xdr:rowOff>7050</xdr:rowOff>
    </xdr:from>
    <xdr:to>
      <xdr:col>1</xdr:col>
      <xdr:colOff>334550</xdr:colOff>
      <xdr:row>7</xdr:row>
      <xdr:rowOff>259050</xdr:rowOff>
    </xdr:to>
    <xdr:pic>
      <xdr:nvPicPr>
        <xdr:cNvPr id="18" name="Graphic 17" descr="User outline">
          <a:extLst>
            <a:ext uri="{FF2B5EF4-FFF2-40B4-BE49-F238E27FC236}">
              <a16:creationId xmlns:a16="http://schemas.microsoft.com/office/drawing/2014/main" id="{5B89B773-5717-4403-BE7E-47995FE8F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92100" y="23184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8</xdr:row>
      <xdr:rowOff>31750</xdr:rowOff>
    </xdr:from>
    <xdr:to>
      <xdr:col>1</xdr:col>
      <xdr:colOff>334550</xdr:colOff>
      <xdr:row>8</xdr:row>
      <xdr:rowOff>283750</xdr:rowOff>
    </xdr:to>
    <xdr:pic>
      <xdr:nvPicPr>
        <xdr:cNvPr id="19" name="Graphic 18" descr="Inventory outline">
          <a:extLst>
            <a:ext uri="{FF2B5EF4-FFF2-40B4-BE49-F238E27FC236}">
              <a16:creationId xmlns:a16="http://schemas.microsoft.com/office/drawing/2014/main" id="{41B6DFA3-4EDD-401E-85AC-92DEE8267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292100" y="26733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3</xdr:col>
      <xdr:colOff>0</xdr:colOff>
      <xdr:row>1</xdr:row>
      <xdr:rowOff>6350</xdr:rowOff>
    </xdr:from>
    <xdr:to>
      <xdr:col>10</xdr:col>
      <xdr:colOff>647700</xdr:colOff>
      <xdr:row>3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52F54B90-5CA9-464E-A82C-5EF7B6EA51E4}"/>
            </a:ext>
          </a:extLst>
        </xdr:cNvPr>
        <xdr:cNvSpPr/>
      </xdr:nvSpPr>
      <xdr:spPr>
        <a:xfrm>
          <a:off x="2273300" y="336550"/>
          <a:ext cx="9544050" cy="67310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800" b="1" kern="1200">
              <a:solidFill>
                <a:schemeClr val="tx1"/>
              </a:solidFill>
            </a:rPr>
            <a:t>  New Entry - IHC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195523</xdr:colOff>
      <xdr:row>0</xdr:row>
      <xdr:rowOff>127948</xdr:rowOff>
    </xdr:from>
    <xdr:to>
      <xdr:col>1</xdr:col>
      <xdr:colOff>1720186</xdr:colOff>
      <xdr:row>4</xdr:row>
      <xdr:rowOff>241680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F1221A6A-8B34-4E74-9450-D9248EFA4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08769" y="127948"/>
          <a:ext cx="1524663" cy="1421642"/>
        </a:xfrm>
        <a:prstGeom prst="rect">
          <a:avLst/>
        </a:prstGeom>
      </xdr:spPr>
    </xdr:pic>
    <xdr:clientData/>
  </xdr:twoCellAnchor>
  <xdr:twoCellAnchor editAs="absolute">
    <xdr:from>
      <xdr:col>1</xdr:col>
      <xdr:colOff>38099</xdr:colOff>
      <xdr:row>3</xdr:row>
      <xdr:rowOff>227463</xdr:rowOff>
    </xdr:from>
    <xdr:to>
      <xdr:col>1</xdr:col>
      <xdr:colOff>1862350</xdr:colOff>
      <xdr:row>4</xdr:row>
      <xdr:rowOff>213247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0D8C399-FA05-42EC-9AC0-FCE9530FAA4B}"/>
            </a:ext>
          </a:extLst>
        </xdr:cNvPr>
        <xdr:cNvSpPr/>
      </xdr:nvSpPr>
      <xdr:spPr>
        <a:xfrm>
          <a:off x="251345" y="1208396"/>
          <a:ext cx="1824251" cy="3127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Indian Heritage Carfts</a:t>
          </a:r>
          <a:endParaRPr lang="en-IN" sz="12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absolute">
    <xdr:from>
      <xdr:col>1</xdr:col>
      <xdr:colOff>349250</xdr:colOff>
      <xdr:row>5</xdr:row>
      <xdr:rowOff>31750</xdr:rowOff>
    </xdr:from>
    <xdr:to>
      <xdr:col>1</xdr:col>
      <xdr:colOff>1524000</xdr:colOff>
      <xdr:row>6</xdr:row>
      <xdr:rowOff>44450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AE4A611-D492-4C37-81AE-3172FCD3980E}"/>
            </a:ext>
          </a:extLst>
        </xdr:cNvPr>
        <xdr:cNvSpPr/>
      </xdr:nvSpPr>
      <xdr:spPr>
        <a:xfrm>
          <a:off x="558800" y="168275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Dashboard</a:t>
          </a:r>
        </a:p>
      </xdr:txBody>
    </xdr:sp>
    <xdr:clientData/>
  </xdr:twoCellAnchor>
  <xdr:twoCellAnchor editAs="absolute">
    <xdr:from>
      <xdr:col>1</xdr:col>
      <xdr:colOff>82550</xdr:colOff>
      <xdr:row>5</xdr:row>
      <xdr:rowOff>19050</xdr:rowOff>
    </xdr:from>
    <xdr:to>
      <xdr:col>1</xdr:col>
      <xdr:colOff>412750</xdr:colOff>
      <xdr:row>6</xdr:row>
      <xdr:rowOff>19050</xdr:rowOff>
    </xdr:to>
    <xdr:pic>
      <xdr:nvPicPr>
        <xdr:cNvPr id="5" name="Graphic 4" descr="Presentation with bar chart with solid fill">
          <a:extLst>
            <a:ext uri="{FF2B5EF4-FFF2-40B4-BE49-F238E27FC236}">
              <a16:creationId xmlns:a16="http://schemas.microsoft.com/office/drawing/2014/main" id="{1905E049-BCBC-47A2-A3C5-6BC7E7D4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92100" y="1670050"/>
          <a:ext cx="330200" cy="330200"/>
        </a:xfrm>
        <a:prstGeom prst="rect">
          <a:avLst/>
        </a:prstGeom>
      </xdr:spPr>
    </xdr:pic>
    <xdr:clientData/>
  </xdr:twoCellAnchor>
  <xdr:twoCellAnchor editAs="absolute">
    <xdr:from>
      <xdr:col>1</xdr:col>
      <xdr:colOff>349250</xdr:colOff>
      <xdr:row>6</xdr:row>
      <xdr:rowOff>39914</xdr:rowOff>
    </xdr:from>
    <xdr:to>
      <xdr:col>1</xdr:col>
      <xdr:colOff>1524000</xdr:colOff>
      <xdr:row>7</xdr:row>
      <xdr:rowOff>52614</xdr:rowOff>
    </xdr:to>
    <xdr:sp macro="" textlink="">
      <xdr:nvSpPr>
        <xdr:cNvPr id="6" name="Rectangl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C8F4E7D-7F79-4C3C-92CD-CA4C30213898}"/>
            </a:ext>
          </a:extLst>
        </xdr:cNvPr>
        <xdr:cNvSpPr/>
      </xdr:nvSpPr>
      <xdr:spPr>
        <a:xfrm>
          <a:off x="558800" y="2021114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Customers</a:t>
          </a:r>
        </a:p>
      </xdr:txBody>
    </xdr:sp>
    <xdr:clientData/>
  </xdr:twoCellAnchor>
  <xdr:twoCellAnchor editAs="absolute">
    <xdr:from>
      <xdr:col>1</xdr:col>
      <xdr:colOff>349250</xdr:colOff>
      <xdr:row>7</xdr:row>
      <xdr:rowOff>48078</xdr:rowOff>
    </xdr:from>
    <xdr:to>
      <xdr:col>1</xdr:col>
      <xdr:colOff>1524000</xdr:colOff>
      <xdr:row>8</xdr:row>
      <xdr:rowOff>60778</xdr:rowOff>
    </xdr:to>
    <xdr:sp macro="" textlink="">
      <xdr:nvSpPr>
        <xdr:cNvPr id="7" name="Rectangle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14B31E6-29ED-4A85-AD42-FE7AF593BE21}"/>
            </a:ext>
          </a:extLst>
        </xdr:cNvPr>
        <xdr:cNvSpPr/>
      </xdr:nvSpPr>
      <xdr:spPr>
        <a:xfrm>
          <a:off x="558800" y="2359478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Vendors</a:t>
          </a:r>
        </a:p>
      </xdr:txBody>
    </xdr:sp>
    <xdr:clientData/>
  </xdr:twoCellAnchor>
  <xdr:twoCellAnchor editAs="absolute">
    <xdr:from>
      <xdr:col>1</xdr:col>
      <xdr:colOff>349250</xdr:colOff>
      <xdr:row>8</xdr:row>
      <xdr:rowOff>56242</xdr:rowOff>
    </xdr:from>
    <xdr:to>
      <xdr:col>1</xdr:col>
      <xdr:colOff>1524000</xdr:colOff>
      <xdr:row>9</xdr:row>
      <xdr:rowOff>68942</xdr:rowOff>
    </xdr:to>
    <xdr:sp macro="" textlink="">
      <xdr:nvSpPr>
        <xdr:cNvPr id="8" name="Rectangl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65A8806-716E-44CF-867E-5C7595FBBC77}"/>
            </a:ext>
          </a:extLst>
        </xdr:cNvPr>
        <xdr:cNvSpPr/>
      </xdr:nvSpPr>
      <xdr:spPr>
        <a:xfrm>
          <a:off x="558800" y="2697842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Products</a:t>
          </a:r>
        </a:p>
      </xdr:txBody>
    </xdr:sp>
    <xdr:clientData/>
  </xdr:twoCellAnchor>
  <xdr:twoCellAnchor editAs="absolute">
    <xdr:from>
      <xdr:col>1</xdr:col>
      <xdr:colOff>349250</xdr:colOff>
      <xdr:row>9</xdr:row>
      <xdr:rowOff>64406</xdr:rowOff>
    </xdr:from>
    <xdr:to>
      <xdr:col>1</xdr:col>
      <xdr:colOff>1524000</xdr:colOff>
      <xdr:row>10</xdr:row>
      <xdr:rowOff>77106</xdr:rowOff>
    </xdr:to>
    <xdr:sp macro="" textlink="">
      <xdr:nvSpPr>
        <xdr:cNvPr id="9" name="Rectangl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24ACED0-4950-46FB-9304-CCA08BF62987}"/>
            </a:ext>
          </a:extLst>
        </xdr:cNvPr>
        <xdr:cNvSpPr/>
      </xdr:nvSpPr>
      <xdr:spPr>
        <a:xfrm>
          <a:off x="558800" y="3036206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New Entry</a:t>
          </a:r>
        </a:p>
      </xdr:txBody>
    </xdr:sp>
    <xdr:clientData/>
  </xdr:twoCellAnchor>
  <xdr:twoCellAnchor editAs="absolute">
    <xdr:from>
      <xdr:col>1</xdr:col>
      <xdr:colOff>349250</xdr:colOff>
      <xdr:row>10</xdr:row>
      <xdr:rowOff>72570</xdr:rowOff>
    </xdr:from>
    <xdr:to>
      <xdr:col>1</xdr:col>
      <xdr:colOff>1524000</xdr:colOff>
      <xdr:row>11</xdr:row>
      <xdr:rowOff>85270</xdr:rowOff>
    </xdr:to>
    <xdr:sp macro="" textlink="">
      <xdr:nvSpPr>
        <xdr:cNvPr id="10" name="Rectangle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C0D2A78-2FCE-4033-8B65-070FA3794935}"/>
            </a:ext>
          </a:extLst>
        </xdr:cNvPr>
        <xdr:cNvSpPr/>
      </xdr:nvSpPr>
      <xdr:spPr>
        <a:xfrm>
          <a:off x="558800" y="337457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/>
              </a:solidFill>
            </a:rPr>
            <a:t>Purchase</a:t>
          </a:r>
        </a:p>
      </xdr:txBody>
    </xdr:sp>
    <xdr:clientData/>
  </xdr:twoCellAnchor>
  <xdr:twoCellAnchor editAs="absolute">
    <xdr:from>
      <xdr:col>1</xdr:col>
      <xdr:colOff>349250</xdr:colOff>
      <xdr:row>11</xdr:row>
      <xdr:rowOff>80734</xdr:rowOff>
    </xdr:from>
    <xdr:to>
      <xdr:col>1</xdr:col>
      <xdr:colOff>1524000</xdr:colOff>
      <xdr:row>12</xdr:row>
      <xdr:rowOff>93434</xdr:rowOff>
    </xdr:to>
    <xdr:sp macro="" textlink="">
      <xdr:nvSpPr>
        <xdr:cNvPr id="11" name="Rectangl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284FA09-B98A-43ED-992C-259E59AC72BD}"/>
            </a:ext>
          </a:extLst>
        </xdr:cNvPr>
        <xdr:cNvSpPr/>
      </xdr:nvSpPr>
      <xdr:spPr>
        <a:xfrm>
          <a:off x="558800" y="3712934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</xdr:col>
      <xdr:colOff>349250</xdr:colOff>
      <xdr:row>12</xdr:row>
      <xdr:rowOff>88900</xdr:rowOff>
    </xdr:from>
    <xdr:to>
      <xdr:col>1</xdr:col>
      <xdr:colOff>1524000</xdr:colOff>
      <xdr:row>13</xdr:row>
      <xdr:rowOff>101600</xdr:rowOff>
    </xdr:to>
    <xdr:sp macro="" textlink="">
      <xdr:nvSpPr>
        <xdr:cNvPr id="12" name="Rectangle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760C74E-7CBA-4279-8473-06E51D42309F}"/>
            </a:ext>
          </a:extLst>
        </xdr:cNvPr>
        <xdr:cNvSpPr/>
      </xdr:nvSpPr>
      <xdr:spPr>
        <a:xfrm>
          <a:off x="558800" y="405130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Inventory</a:t>
          </a:r>
        </a:p>
      </xdr:txBody>
    </xdr:sp>
    <xdr:clientData/>
  </xdr:twoCellAnchor>
  <xdr:twoCellAnchor editAs="absolute">
    <xdr:from>
      <xdr:col>1</xdr:col>
      <xdr:colOff>82550</xdr:colOff>
      <xdr:row>12</xdr:row>
      <xdr:rowOff>82550</xdr:rowOff>
    </xdr:from>
    <xdr:to>
      <xdr:col>1</xdr:col>
      <xdr:colOff>334550</xdr:colOff>
      <xdr:row>13</xdr:row>
      <xdr:rowOff>4350</xdr:rowOff>
    </xdr:to>
    <xdr:pic>
      <xdr:nvPicPr>
        <xdr:cNvPr id="13" name="Graphic 12" descr="Clipboard Partially Checked with solid fill">
          <a:extLst>
            <a:ext uri="{FF2B5EF4-FFF2-40B4-BE49-F238E27FC236}">
              <a16:creationId xmlns:a16="http://schemas.microsoft.com/office/drawing/2014/main" id="{C2B47126-594C-46D3-8118-E9733FFC5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92100" y="40449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10</xdr:row>
      <xdr:rowOff>111900</xdr:rowOff>
    </xdr:from>
    <xdr:to>
      <xdr:col>1</xdr:col>
      <xdr:colOff>334550</xdr:colOff>
      <xdr:row>11</xdr:row>
      <xdr:rowOff>33700</xdr:rowOff>
    </xdr:to>
    <xdr:pic>
      <xdr:nvPicPr>
        <xdr:cNvPr id="14" name="Graphic 13" descr="Receipt with solid fill">
          <a:extLst>
            <a:ext uri="{FF2B5EF4-FFF2-40B4-BE49-F238E27FC236}">
              <a16:creationId xmlns:a16="http://schemas.microsoft.com/office/drawing/2014/main" id="{0FE54BA0-CC9D-4EBB-8532-580C4271F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2100" y="34139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11</xdr:row>
      <xdr:rowOff>96800</xdr:rowOff>
    </xdr:from>
    <xdr:to>
      <xdr:col>1</xdr:col>
      <xdr:colOff>334550</xdr:colOff>
      <xdr:row>12</xdr:row>
      <xdr:rowOff>18600</xdr:rowOff>
    </xdr:to>
    <xdr:pic>
      <xdr:nvPicPr>
        <xdr:cNvPr id="15" name="Graphic 14" descr="Register with solid fill">
          <a:extLst>
            <a:ext uri="{FF2B5EF4-FFF2-40B4-BE49-F238E27FC236}">
              <a16:creationId xmlns:a16="http://schemas.microsoft.com/office/drawing/2014/main" id="{EF0F6F69-73F8-4F3C-A682-C8466AB18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92100" y="37290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9</xdr:row>
      <xdr:rowOff>56300</xdr:rowOff>
    </xdr:from>
    <xdr:to>
      <xdr:col>1</xdr:col>
      <xdr:colOff>334550</xdr:colOff>
      <xdr:row>9</xdr:row>
      <xdr:rowOff>308300</xdr:rowOff>
    </xdr:to>
    <xdr:pic>
      <xdr:nvPicPr>
        <xdr:cNvPr id="16" name="Graphic 15" descr="Full Brick Wall with solid fill">
          <a:extLst>
            <a:ext uri="{FF2B5EF4-FFF2-40B4-BE49-F238E27FC236}">
              <a16:creationId xmlns:a16="http://schemas.microsoft.com/office/drawing/2014/main" id="{84C552CC-4835-4A91-9071-422B48020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92100" y="30281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6</xdr:row>
      <xdr:rowOff>41200</xdr:rowOff>
    </xdr:from>
    <xdr:to>
      <xdr:col>1</xdr:col>
      <xdr:colOff>334550</xdr:colOff>
      <xdr:row>6</xdr:row>
      <xdr:rowOff>293200</xdr:rowOff>
    </xdr:to>
    <xdr:pic>
      <xdr:nvPicPr>
        <xdr:cNvPr id="17" name="Graphic 16" descr="User with solid fill">
          <a:extLst>
            <a:ext uri="{FF2B5EF4-FFF2-40B4-BE49-F238E27FC236}">
              <a16:creationId xmlns:a16="http://schemas.microsoft.com/office/drawing/2014/main" id="{0033288B-BDD1-4178-AD11-A6551C9D1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92100" y="20224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7</xdr:row>
      <xdr:rowOff>7050</xdr:rowOff>
    </xdr:from>
    <xdr:to>
      <xdr:col>1</xdr:col>
      <xdr:colOff>334550</xdr:colOff>
      <xdr:row>7</xdr:row>
      <xdr:rowOff>259050</xdr:rowOff>
    </xdr:to>
    <xdr:pic>
      <xdr:nvPicPr>
        <xdr:cNvPr id="18" name="Graphic 17" descr="User outline">
          <a:extLst>
            <a:ext uri="{FF2B5EF4-FFF2-40B4-BE49-F238E27FC236}">
              <a16:creationId xmlns:a16="http://schemas.microsoft.com/office/drawing/2014/main" id="{720543F0-906B-4CDA-A960-A7867B73A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92100" y="23184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8</xdr:row>
      <xdr:rowOff>31750</xdr:rowOff>
    </xdr:from>
    <xdr:to>
      <xdr:col>1</xdr:col>
      <xdr:colOff>334550</xdr:colOff>
      <xdr:row>8</xdr:row>
      <xdr:rowOff>283750</xdr:rowOff>
    </xdr:to>
    <xdr:pic>
      <xdr:nvPicPr>
        <xdr:cNvPr id="19" name="Graphic 18" descr="Inventory outline">
          <a:extLst>
            <a:ext uri="{FF2B5EF4-FFF2-40B4-BE49-F238E27FC236}">
              <a16:creationId xmlns:a16="http://schemas.microsoft.com/office/drawing/2014/main" id="{CDC3ED4A-C3B9-4DD3-8341-A671F164B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292100" y="26733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3</xdr:col>
      <xdr:colOff>2450</xdr:colOff>
      <xdr:row>1</xdr:row>
      <xdr:rowOff>6350</xdr:rowOff>
    </xdr:from>
    <xdr:to>
      <xdr:col>42</xdr:col>
      <xdr:colOff>1521157</xdr:colOff>
      <xdr:row>3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3F42D02A-7621-47D3-9B27-214CB8DBD3DC}"/>
            </a:ext>
          </a:extLst>
        </xdr:cNvPr>
        <xdr:cNvSpPr/>
      </xdr:nvSpPr>
      <xdr:spPr>
        <a:xfrm>
          <a:off x="2376592" y="333328"/>
          <a:ext cx="68037326" cy="666655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800" b="1" kern="1200">
              <a:solidFill>
                <a:schemeClr val="tx1"/>
              </a:solidFill>
            </a:rPr>
            <a:t>  Purchase - IHC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168275</xdr:colOff>
      <xdr:row>0</xdr:row>
      <xdr:rowOff>135182</xdr:rowOff>
    </xdr:from>
    <xdr:to>
      <xdr:col>1</xdr:col>
      <xdr:colOff>1717387</xdr:colOff>
      <xdr:row>4</xdr:row>
      <xdr:rowOff>216478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1A89969D-63D1-41E6-B360-B85F2DC40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4752" y="135182"/>
          <a:ext cx="1549112" cy="1409023"/>
        </a:xfrm>
        <a:prstGeom prst="rect">
          <a:avLst/>
        </a:prstGeom>
      </xdr:spPr>
    </xdr:pic>
    <xdr:clientData/>
  </xdr:twoCellAnchor>
  <xdr:twoCellAnchor editAs="absolute">
    <xdr:from>
      <xdr:col>1</xdr:col>
      <xdr:colOff>38099</xdr:colOff>
      <xdr:row>3</xdr:row>
      <xdr:rowOff>245342</xdr:rowOff>
    </xdr:from>
    <xdr:to>
      <xdr:col>1</xdr:col>
      <xdr:colOff>1876136</xdr:colOff>
      <xdr:row>4</xdr:row>
      <xdr:rowOff>230910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3593543-6226-4C56-BD8B-AB990D4F6E98}"/>
            </a:ext>
          </a:extLst>
        </xdr:cNvPr>
        <xdr:cNvSpPr/>
      </xdr:nvSpPr>
      <xdr:spPr>
        <a:xfrm>
          <a:off x="254576" y="1241137"/>
          <a:ext cx="1838037" cy="317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Indian Heritage Carfts</a:t>
          </a:r>
          <a:endParaRPr lang="en-IN" sz="12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absolute">
    <xdr:from>
      <xdr:col>1</xdr:col>
      <xdr:colOff>349250</xdr:colOff>
      <xdr:row>5</xdr:row>
      <xdr:rowOff>31750</xdr:rowOff>
    </xdr:from>
    <xdr:to>
      <xdr:col>1</xdr:col>
      <xdr:colOff>1524000</xdr:colOff>
      <xdr:row>6</xdr:row>
      <xdr:rowOff>44450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E1C46F-BA9E-4726-8096-DC3BE49501BB}"/>
            </a:ext>
          </a:extLst>
        </xdr:cNvPr>
        <xdr:cNvSpPr/>
      </xdr:nvSpPr>
      <xdr:spPr>
        <a:xfrm>
          <a:off x="558800" y="168275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Dashboard</a:t>
          </a:r>
        </a:p>
      </xdr:txBody>
    </xdr:sp>
    <xdr:clientData/>
  </xdr:twoCellAnchor>
  <xdr:twoCellAnchor editAs="absolute">
    <xdr:from>
      <xdr:col>1</xdr:col>
      <xdr:colOff>82550</xdr:colOff>
      <xdr:row>5</xdr:row>
      <xdr:rowOff>19050</xdr:rowOff>
    </xdr:from>
    <xdr:to>
      <xdr:col>1</xdr:col>
      <xdr:colOff>412750</xdr:colOff>
      <xdr:row>6</xdr:row>
      <xdr:rowOff>19050</xdr:rowOff>
    </xdr:to>
    <xdr:pic>
      <xdr:nvPicPr>
        <xdr:cNvPr id="5" name="Graphic 4" descr="Presentation with bar chart with solid fill">
          <a:extLst>
            <a:ext uri="{FF2B5EF4-FFF2-40B4-BE49-F238E27FC236}">
              <a16:creationId xmlns:a16="http://schemas.microsoft.com/office/drawing/2014/main" id="{1D115934-CBCB-4FCD-BBAA-1351A9BC4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92100" y="1670050"/>
          <a:ext cx="330200" cy="330200"/>
        </a:xfrm>
        <a:prstGeom prst="rect">
          <a:avLst/>
        </a:prstGeom>
      </xdr:spPr>
    </xdr:pic>
    <xdr:clientData/>
  </xdr:twoCellAnchor>
  <xdr:twoCellAnchor editAs="absolute">
    <xdr:from>
      <xdr:col>1</xdr:col>
      <xdr:colOff>349250</xdr:colOff>
      <xdr:row>6</xdr:row>
      <xdr:rowOff>39914</xdr:rowOff>
    </xdr:from>
    <xdr:to>
      <xdr:col>1</xdr:col>
      <xdr:colOff>1524000</xdr:colOff>
      <xdr:row>7</xdr:row>
      <xdr:rowOff>52614</xdr:rowOff>
    </xdr:to>
    <xdr:sp macro="" textlink="">
      <xdr:nvSpPr>
        <xdr:cNvPr id="6" name="Rectangl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E8B9D2F-A604-4365-AAC9-17E60B09BFBE}"/>
            </a:ext>
          </a:extLst>
        </xdr:cNvPr>
        <xdr:cNvSpPr/>
      </xdr:nvSpPr>
      <xdr:spPr>
        <a:xfrm>
          <a:off x="558800" y="2021114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Customers</a:t>
          </a:r>
        </a:p>
      </xdr:txBody>
    </xdr:sp>
    <xdr:clientData/>
  </xdr:twoCellAnchor>
  <xdr:twoCellAnchor editAs="absolute">
    <xdr:from>
      <xdr:col>1</xdr:col>
      <xdr:colOff>349250</xdr:colOff>
      <xdr:row>7</xdr:row>
      <xdr:rowOff>48078</xdr:rowOff>
    </xdr:from>
    <xdr:to>
      <xdr:col>1</xdr:col>
      <xdr:colOff>1524000</xdr:colOff>
      <xdr:row>8</xdr:row>
      <xdr:rowOff>60778</xdr:rowOff>
    </xdr:to>
    <xdr:sp macro="" textlink="">
      <xdr:nvSpPr>
        <xdr:cNvPr id="7" name="Rectangle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9DDC1EA-3ED7-4907-90FC-3AB2C416469C}"/>
            </a:ext>
          </a:extLst>
        </xdr:cNvPr>
        <xdr:cNvSpPr/>
      </xdr:nvSpPr>
      <xdr:spPr>
        <a:xfrm>
          <a:off x="558800" y="2359478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Vendors</a:t>
          </a:r>
        </a:p>
      </xdr:txBody>
    </xdr:sp>
    <xdr:clientData/>
  </xdr:twoCellAnchor>
  <xdr:twoCellAnchor editAs="absolute">
    <xdr:from>
      <xdr:col>1</xdr:col>
      <xdr:colOff>349250</xdr:colOff>
      <xdr:row>8</xdr:row>
      <xdr:rowOff>56242</xdr:rowOff>
    </xdr:from>
    <xdr:to>
      <xdr:col>1</xdr:col>
      <xdr:colOff>1524000</xdr:colOff>
      <xdr:row>9</xdr:row>
      <xdr:rowOff>68942</xdr:rowOff>
    </xdr:to>
    <xdr:sp macro="" textlink="">
      <xdr:nvSpPr>
        <xdr:cNvPr id="8" name="Rectangl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38B5768-9376-4CBC-8039-F7DE878FA4E3}"/>
            </a:ext>
          </a:extLst>
        </xdr:cNvPr>
        <xdr:cNvSpPr/>
      </xdr:nvSpPr>
      <xdr:spPr>
        <a:xfrm>
          <a:off x="558800" y="2697842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Products</a:t>
          </a:r>
        </a:p>
      </xdr:txBody>
    </xdr:sp>
    <xdr:clientData/>
  </xdr:twoCellAnchor>
  <xdr:twoCellAnchor editAs="absolute">
    <xdr:from>
      <xdr:col>1</xdr:col>
      <xdr:colOff>349250</xdr:colOff>
      <xdr:row>9</xdr:row>
      <xdr:rowOff>64406</xdr:rowOff>
    </xdr:from>
    <xdr:to>
      <xdr:col>1</xdr:col>
      <xdr:colOff>1524000</xdr:colOff>
      <xdr:row>10</xdr:row>
      <xdr:rowOff>77106</xdr:rowOff>
    </xdr:to>
    <xdr:sp macro="" textlink="">
      <xdr:nvSpPr>
        <xdr:cNvPr id="9" name="Rectangl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97D72B7-CAB0-451A-9618-E7719D5F2026}"/>
            </a:ext>
          </a:extLst>
        </xdr:cNvPr>
        <xdr:cNvSpPr/>
      </xdr:nvSpPr>
      <xdr:spPr>
        <a:xfrm>
          <a:off x="558800" y="3036206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New Entry</a:t>
          </a:r>
        </a:p>
      </xdr:txBody>
    </xdr:sp>
    <xdr:clientData/>
  </xdr:twoCellAnchor>
  <xdr:twoCellAnchor editAs="absolute">
    <xdr:from>
      <xdr:col>1</xdr:col>
      <xdr:colOff>349250</xdr:colOff>
      <xdr:row>10</xdr:row>
      <xdr:rowOff>72570</xdr:rowOff>
    </xdr:from>
    <xdr:to>
      <xdr:col>1</xdr:col>
      <xdr:colOff>1524000</xdr:colOff>
      <xdr:row>11</xdr:row>
      <xdr:rowOff>85270</xdr:rowOff>
    </xdr:to>
    <xdr:sp macro="" textlink="">
      <xdr:nvSpPr>
        <xdr:cNvPr id="10" name="Rectangle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1CA0687-9614-4D89-9F77-9A2C8018EBEE}"/>
            </a:ext>
          </a:extLst>
        </xdr:cNvPr>
        <xdr:cNvSpPr/>
      </xdr:nvSpPr>
      <xdr:spPr>
        <a:xfrm>
          <a:off x="558800" y="337457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Purchase</a:t>
          </a:r>
        </a:p>
      </xdr:txBody>
    </xdr:sp>
    <xdr:clientData/>
  </xdr:twoCellAnchor>
  <xdr:twoCellAnchor editAs="absolute">
    <xdr:from>
      <xdr:col>1</xdr:col>
      <xdr:colOff>349250</xdr:colOff>
      <xdr:row>11</xdr:row>
      <xdr:rowOff>80734</xdr:rowOff>
    </xdr:from>
    <xdr:to>
      <xdr:col>1</xdr:col>
      <xdr:colOff>1524000</xdr:colOff>
      <xdr:row>12</xdr:row>
      <xdr:rowOff>93434</xdr:rowOff>
    </xdr:to>
    <xdr:sp macro="" textlink="">
      <xdr:nvSpPr>
        <xdr:cNvPr id="11" name="Rectangl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5DA887E-91DC-4F69-A0E1-2A657F7CD77A}"/>
            </a:ext>
          </a:extLst>
        </xdr:cNvPr>
        <xdr:cNvSpPr/>
      </xdr:nvSpPr>
      <xdr:spPr>
        <a:xfrm>
          <a:off x="558800" y="3712934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/>
              </a:solidFill>
            </a:rPr>
            <a:t>Sales</a:t>
          </a:r>
        </a:p>
      </xdr:txBody>
    </xdr:sp>
    <xdr:clientData/>
  </xdr:twoCellAnchor>
  <xdr:twoCellAnchor editAs="absolute">
    <xdr:from>
      <xdr:col>1</xdr:col>
      <xdr:colOff>349250</xdr:colOff>
      <xdr:row>12</xdr:row>
      <xdr:rowOff>88900</xdr:rowOff>
    </xdr:from>
    <xdr:to>
      <xdr:col>1</xdr:col>
      <xdr:colOff>1524000</xdr:colOff>
      <xdr:row>13</xdr:row>
      <xdr:rowOff>101600</xdr:rowOff>
    </xdr:to>
    <xdr:sp macro="" textlink="">
      <xdr:nvSpPr>
        <xdr:cNvPr id="12" name="Rectangle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B4581DA-E424-4865-9F6F-037063DC2C0D}"/>
            </a:ext>
          </a:extLst>
        </xdr:cNvPr>
        <xdr:cNvSpPr/>
      </xdr:nvSpPr>
      <xdr:spPr>
        <a:xfrm>
          <a:off x="558800" y="405130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Inventory</a:t>
          </a:r>
        </a:p>
      </xdr:txBody>
    </xdr:sp>
    <xdr:clientData/>
  </xdr:twoCellAnchor>
  <xdr:twoCellAnchor editAs="absolute">
    <xdr:from>
      <xdr:col>1</xdr:col>
      <xdr:colOff>82550</xdr:colOff>
      <xdr:row>12</xdr:row>
      <xdr:rowOff>82550</xdr:rowOff>
    </xdr:from>
    <xdr:to>
      <xdr:col>1</xdr:col>
      <xdr:colOff>334550</xdr:colOff>
      <xdr:row>13</xdr:row>
      <xdr:rowOff>4350</xdr:rowOff>
    </xdr:to>
    <xdr:pic>
      <xdr:nvPicPr>
        <xdr:cNvPr id="13" name="Graphic 12" descr="Clipboard Partially Checked with solid fill">
          <a:extLst>
            <a:ext uri="{FF2B5EF4-FFF2-40B4-BE49-F238E27FC236}">
              <a16:creationId xmlns:a16="http://schemas.microsoft.com/office/drawing/2014/main" id="{592CBE5C-935E-4125-8589-E2C8A7B9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92100" y="40449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10</xdr:row>
      <xdr:rowOff>111900</xdr:rowOff>
    </xdr:from>
    <xdr:to>
      <xdr:col>1</xdr:col>
      <xdr:colOff>334550</xdr:colOff>
      <xdr:row>11</xdr:row>
      <xdr:rowOff>33700</xdr:rowOff>
    </xdr:to>
    <xdr:pic>
      <xdr:nvPicPr>
        <xdr:cNvPr id="14" name="Graphic 13" descr="Receipt with solid fill">
          <a:extLst>
            <a:ext uri="{FF2B5EF4-FFF2-40B4-BE49-F238E27FC236}">
              <a16:creationId xmlns:a16="http://schemas.microsoft.com/office/drawing/2014/main" id="{49FBFA4F-84D5-44A3-A86E-89894E538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2100" y="34139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11</xdr:row>
      <xdr:rowOff>96800</xdr:rowOff>
    </xdr:from>
    <xdr:to>
      <xdr:col>1</xdr:col>
      <xdr:colOff>334550</xdr:colOff>
      <xdr:row>12</xdr:row>
      <xdr:rowOff>18600</xdr:rowOff>
    </xdr:to>
    <xdr:pic>
      <xdr:nvPicPr>
        <xdr:cNvPr id="15" name="Graphic 14" descr="Register with solid fill">
          <a:extLst>
            <a:ext uri="{FF2B5EF4-FFF2-40B4-BE49-F238E27FC236}">
              <a16:creationId xmlns:a16="http://schemas.microsoft.com/office/drawing/2014/main" id="{16666631-CE93-4086-8289-8B90A32B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92100" y="37290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9</xdr:row>
      <xdr:rowOff>56300</xdr:rowOff>
    </xdr:from>
    <xdr:to>
      <xdr:col>1</xdr:col>
      <xdr:colOff>334550</xdr:colOff>
      <xdr:row>9</xdr:row>
      <xdr:rowOff>308300</xdr:rowOff>
    </xdr:to>
    <xdr:pic>
      <xdr:nvPicPr>
        <xdr:cNvPr id="16" name="Graphic 15" descr="Full Brick Wall with solid fill">
          <a:extLst>
            <a:ext uri="{FF2B5EF4-FFF2-40B4-BE49-F238E27FC236}">
              <a16:creationId xmlns:a16="http://schemas.microsoft.com/office/drawing/2014/main" id="{94D74236-B43C-4269-A991-21D1A185B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92100" y="30281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6</xdr:row>
      <xdr:rowOff>41200</xdr:rowOff>
    </xdr:from>
    <xdr:to>
      <xdr:col>1</xdr:col>
      <xdr:colOff>334550</xdr:colOff>
      <xdr:row>6</xdr:row>
      <xdr:rowOff>293200</xdr:rowOff>
    </xdr:to>
    <xdr:pic>
      <xdr:nvPicPr>
        <xdr:cNvPr id="17" name="Graphic 16" descr="User with solid fill">
          <a:extLst>
            <a:ext uri="{FF2B5EF4-FFF2-40B4-BE49-F238E27FC236}">
              <a16:creationId xmlns:a16="http://schemas.microsoft.com/office/drawing/2014/main" id="{0B9C1822-CD81-42E3-82D7-472B2613C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92100" y="20224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7</xdr:row>
      <xdr:rowOff>7050</xdr:rowOff>
    </xdr:from>
    <xdr:to>
      <xdr:col>1</xdr:col>
      <xdr:colOff>334550</xdr:colOff>
      <xdr:row>7</xdr:row>
      <xdr:rowOff>259050</xdr:rowOff>
    </xdr:to>
    <xdr:pic>
      <xdr:nvPicPr>
        <xdr:cNvPr id="18" name="Graphic 17" descr="User outline">
          <a:extLst>
            <a:ext uri="{FF2B5EF4-FFF2-40B4-BE49-F238E27FC236}">
              <a16:creationId xmlns:a16="http://schemas.microsoft.com/office/drawing/2014/main" id="{EB3C67A4-BD12-408A-B5C2-CED0475DC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92100" y="23184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8</xdr:row>
      <xdr:rowOff>31750</xdr:rowOff>
    </xdr:from>
    <xdr:to>
      <xdr:col>1</xdr:col>
      <xdr:colOff>334550</xdr:colOff>
      <xdr:row>8</xdr:row>
      <xdr:rowOff>283750</xdr:rowOff>
    </xdr:to>
    <xdr:pic>
      <xdr:nvPicPr>
        <xdr:cNvPr id="19" name="Graphic 18" descr="Inventory outline">
          <a:extLst>
            <a:ext uri="{FF2B5EF4-FFF2-40B4-BE49-F238E27FC236}">
              <a16:creationId xmlns:a16="http://schemas.microsoft.com/office/drawing/2014/main" id="{5920513F-38C1-4539-99C3-AB390AE5F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292100" y="26733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2</xdr:col>
      <xdr:colOff>230271</xdr:colOff>
      <xdr:row>1</xdr:row>
      <xdr:rowOff>6350</xdr:rowOff>
    </xdr:from>
    <xdr:to>
      <xdr:col>44</xdr:col>
      <xdr:colOff>1861705</xdr:colOff>
      <xdr:row>3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6A96D0EC-4BD7-4693-A554-ACB266ACDB9D}"/>
            </a:ext>
          </a:extLst>
        </xdr:cNvPr>
        <xdr:cNvSpPr/>
      </xdr:nvSpPr>
      <xdr:spPr>
        <a:xfrm>
          <a:off x="2380612" y="338282"/>
          <a:ext cx="59560752" cy="676563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800" b="1" kern="1200">
              <a:solidFill>
                <a:schemeClr val="tx1"/>
              </a:solidFill>
            </a:rPr>
            <a:t>  Sales - IHC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174237</xdr:colOff>
      <xdr:row>0</xdr:row>
      <xdr:rowOff>104542</xdr:rowOff>
    </xdr:from>
    <xdr:to>
      <xdr:col>1</xdr:col>
      <xdr:colOff>1661066</xdr:colOff>
      <xdr:row>4</xdr:row>
      <xdr:rowOff>129555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D106CB57-B783-4509-B387-7FB6D56B6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94938" y="104542"/>
          <a:ext cx="1486829" cy="1372452"/>
        </a:xfrm>
        <a:prstGeom prst="rect">
          <a:avLst/>
        </a:prstGeom>
      </xdr:spPr>
    </xdr:pic>
    <xdr:clientData/>
  </xdr:twoCellAnchor>
  <xdr:twoCellAnchor editAs="absolute">
    <xdr:from>
      <xdr:col>1</xdr:col>
      <xdr:colOff>38099</xdr:colOff>
      <xdr:row>3</xdr:row>
      <xdr:rowOff>197470</xdr:rowOff>
    </xdr:from>
    <xdr:to>
      <xdr:col>1</xdr:col>
      <xdr:colOff>1858536</xdr:colOff>
      <xdr:row>4</xdr:row>
      <xdr:rowOff>241300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17A1E3CE-E347-4314-9205-538AFE2CA12B}"/>
            </a:ext>
          </a:extLst>
        </xdr:cNvPr>
        <xdr:cNvSpPr/>
      </xdr:nvSpPr>
      <xdr:spPr>
        <a:xfrm>
          <a:off x="258800" y="1208049"/>
          <a:ext cx="1820437" cy="3806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Indian Heritage Carfts</a:t>
          </a:r>
          <a:endParaRPr lang="en-IN" sz="12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absolute">
    <xdr:from>
      <xdr:col>1</xdr:col>
      <xdr:colOff>349250</xdr:colOff>
      <xdr:row>5</xdr:row>
      <xdr:rowOff>31750</xdr:rowOff>
    </xdr:from>
    <xdr:to>
      <xdr:col>1</xdr:col>
      <xdr:colOff>1524000</xdr:colOff>
      <xdr:row>6</xdr:row>
      <xdr:rowOff>44450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A4A71FE-28FD-48DA-9E7C-88EF60F60266}"/>
            </a:ext>
          </a:extLst>
        </xdr:cNvPr>
        <xdr:cNvSpPr/>
      </xdr:nvSpPr>
      <xdr:spPr>
        <a:xfrm>
          <a:off x="568325" y="1698625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Dashboard</a:t>
          </a:r>
        </a:p>
      </xdr:txBody>
    </xdr:sp>
    <xdr:clientData/>
  </xdr:twoCellAnchor>
  <xdr:twoCellAnchor editAs="absolute">
    <xdr:from>
      <xdr:col>1</xdr:col>
      <xdr:colOff>82550</xdr:colOff>
      <xdr:row>5</xdr:row>
      <xdr:rowOff>19050</xdr:rowOff>
    </xdr:from>
    <xdr:to>
      <xdr:col>1</xdr:col>
      <xdr:colOff>412750</xdr:colOff>
      <xdr:row>6</xdr:row>
      <xdr:rowOff>19050</xdr:rowOff>
    </xdr:to>
    <xdr:pic>
      <xdr:nvPicPr>
        <xdr:cNvPr id="5" name="Graphic 4" descr="Presentation with bar chart with solid fill">
          <a:extLst>
            <a:ext uri="{FF2B5EF4-FFF2-40B4-BE49-F238E27FC236}">
              <a16:creationId xmlns:a16="http://schemas.microsoft.com/office/drawing/2014/main" id="{61BF8747-320E-4E5C-9143-8CA4A7C68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1625" y="1685925"/>
          <a:ext cx="330200" cy="333375"/>
        </a:xfrm>
        <a:prstGeom prst="rect">
          <a:avLst/>
        </a:prstGeom>
      </xdr:spPr>
    </xdr:pic>
    <xdr:clientData/>
  </xdr:twoCellAnchor>
  <xdr:twoCellAnchor editAs="absolute">
    <xdr:from>
      <xdr:col>1</xdr:col>
      <xdr:colOff>349250</xdr:colOff>
      <xdr:row>6</xdr:row>
      <xdr:rowOff>39914</xdr:rowOff>
    </xdr:from>
    <xdr:to>
      <xdr:col>1</xdr:col>
      <xdr:colOff>1524000</xdr:colOff>
      <xdr:row>7</xdr:row>
      <xdr:rowOff>52614</xdr:rowOff>
    </xdr:to>
    <xdr:sp macro="" textlink="">
      <xdr:nvSpPr>
        <xdr:cNvPr id="6" name="Rectangl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E42C8F7-95AE-48E3-A24F-795B24EA97A7}"/>
            </a:ext>
          </a:extLst>
        </xdr:cNvPr>
        <xdr:cNvSpPr/>
      </xdr:nvSpPr>
      <xdr:spPr>
        <a:xfrm>
          <a:off x="568325" y="2040164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Customers</a:t>
          </a:r>
        </a:p>
      </xdr:txBody>
    </xdr:sp>
    <xdr:clientData/>
  </xdr:twoCellAnchor>
  <xdr:twoCellAnchor editAs="absolute">
    <xdr:from>
      <xdr:col>1</xdr:col>
      <xdr:colOff>349250</xdr:colOff>
      <xdr:row>7</xdr:row>
      <xdr:rowOff>48078</xdr:rowOff>
    </xdr:from>
    <xdr:to>
      <xdr:col>1</xdr:col>
      <xdr:colOff>1524000</xdr:colOff>
      <xdr:row>8</xdr:row>
      <xdr:rowOff>60778</xdr:rowOff>
    </xdr:to>
    <xdr:sp macro="" textlink="">
      <xdr:nvSpPr>
        <xdr:cNvPr id="7" name="Rectangle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00FCB2E-752D-4961-BA66-312CF0797DA0}"/>
            </a:ext>
          </a:extLst>
        </xdr:cNvPr>
        <xdr:cNvSpPr/>
      </xdr:nvSpPr>
      <xdr:spPr>
        <a:xfrm>
          <a:off x="568325" y="2381703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Vendors</a:t>
          </a:r>
        </a:p>
      </xdr:txBody>
    </xdr:sp>
    <xdr:clientData/>
  </xdr:twoCellAnchor>
  <xdr:twoCellAnchor editAs="absolute">
    <xdr:from>
      <xdr:col>1</xdr:col>
      <xdr:colOff>349250</xdr:colOff>
      <xdr:row>8</xdr:row>
      <xdr:rowOff>56242</xdr:rowOff>
    </xdr:from>
    <xdr:to>
      <xdr:col>1</xdr:col>
      <xdr:colOff>1524000</xdr:colOff>
      <xdr:row>9</xdr:row>
      <xdr:rowOff>68942</xdr:rowOff>
    </xdr:to>
    <xdr:sp macro="" textlink="">
      <xdr:nvSpPr>
        <xdr:cNvPr id="8" name="Rectangl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BCB6727-1697-4536-93A8-77B132254559}"/>
            </a:ext>
          </a:extLst>
        </xdr:cNvPr>
        <xdr:cNvSpPr/>
      </xdr:nvSpPr>
      <xdr:spPr>
        <a:xfrm>
          <a:off x="568325" y="2723242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Products</a:t>
          </a:r>
        </a:p>
      </xdr:txBody>
    </xdr:sp>
    <xdr:clientData/>
  </xdr:twoCellAnchor>
  <xdr:twoCellAnchor editAs="absolute">
    <xdr:from>
      <xdr:col>1</xdr:col>
      <xdr:colOff>349250</xdr:colOff>
      <xdr:row>9</xdr:row>
      <xdr:rowOff>64406</xdr:rowOff>
    </xdr:from>
    <xdr:to>
      <xdr:col>1</xdr:col>
      <xdr:colOff>1524000</xdr:colOff>
      <xdr:row>10</xdr:row>
      <xdr:rowOff>77106</xdr:rowOff>
    </xdr:to>
    <xdr:sp macro="" textlink="">
      <xdr:nvSpPr>
        <xdr:cNvPr id="9" name="Rectangl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19E9D82-CC39-4E42-8A8C-EC13DD67FA31}"/>
            </a:ext>
          </a:extLst>
        </xdr:cNvPr>
        <xdr:cNvSpPr/>
      </xdr:nvSpPr>
      <xdr:spPr>
        <a:xfrm>
          <a:off x="568325" y="3064781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New Entry</a:t>
          </a:r>
        </a:p>
      </xdr:txBody>
    </xdr:sp>
    <xdr:clientData/>
  </xdr:twoCellAnchor>
  <xdr:twoCellAnchor editAs="absolute">
    <xdr:from>
      <xdr:col>1</xdr:col>
      <xdr:colOff>349250</xdr:colOff>
      <xdr:row>10</xdr:row>
      <xdr:rowOff>72570</xdr:rowOff>
    </xdr:from>
    <xdr:to>
      <xdr:col>1</xdr:col>
      <xdr:colOff>1524000</xdr:colOff>
      <xdr:row>11</xdr:row>
      <xdr:rowOff>85270</xdr:rowOff>
    </xdr:to>
    <xdr:sp macro="" textlink="">
      <xdr:nvSpPr>
        <xdr:cNvPr id="10" name="Rectangle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021A86F-F1D0-44B0-94EB-5CBFA727055F}"/>
            </a:ext>
          </a:extLst>
        </xdr:cNvPr>
        <xdr:cNvSpPr/>
      </xdr:nvSpPr>
      <xdr:spPr>
        <a:xfrm>
          <a:off x="568325" y="340632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Purchase</a:t>
          </a:r>
        </a:p>
      </xdr:txBody>
    </xdr:sp>
    <xdr:clientData/>
  </xdr:twoCellAnchor>
  <xdr:twoCellAnchor editAs="absolute">
    <xdr:from>
      <xdr:col>1</xdr:col>
      <xdr:colOff>349250</xdr:colOff>
      <xdr:row>11</xdr:row>
      <xdr:rowOff>80734</xdr:rowOff>
    </xdr:from>
    <xdr:to>
      <xdr:col>1</xdr:col>
      <xdr:colOff>1524000</xdr:colOff>
      <xdr:row>12</xdr:row>
      <xdr:rowOff>93434</xdr:rowOff>
    </xdr:to>
    <xdr:sp macro="" textlink="">
      <xdr:nvSpPr>
        <xdr:cNvPr id="11" name="Rectangl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EEF0E54-9AB8-43CE-A0B6-4E556470C0B8}"/>
            </a:ext>
          </a:extLst>
        </xdr:cNvPr>
        <xdr:cNvSpPr/>
      </xdr:nvSpPr>
      <xdr:spPr>
        <a:xfrm>
          <a:off x="568325" y="3747859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</xdr:col>
      <xdr:colOff>349250</xdr:colOff>
      <xdr:row>12</xdr:row>
      <xdr:rowOff>88900</xdr:rowOff>
    </xdr:from>
    <xdr:to>
      <xdr:col>1</xdr:col>
      <xdr:colOff>1524000</xdr:colOff>
      <xdr:row>13</xdr:row>
      <xdr:rowOff>101600</xdr:rowOff>
    </xdr:to>
    <xdr:sp macro="" textlink="">
      <xdr:nvSpPr>
        <xdr:cNvPr id="12" name="Rectangle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DE5DC2A4-409A-460D-9948-8AE7E500751F}"/>
            </a:ext>
          </a:extLst>
        </xdr:cNvPr>
        <xdr:cNvSpPr/>
      </xdr:nvSpPr>
      <xdr:spPr>
        <a:xfrm>
          <a:off x="568325" y="408940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/>
              </a:solidFill>
            </a:rPr>
            <a:t>Inventory</a:t>
          </a:r>
        </a:p>
      </xdr:txBody>
    </xdr:sp>
    <xdr:clientData/>
  </xdr:twoCellAnchor>
  <xdr:twoCellAnchor editAs="absolute">
    <xdr:from>
      <xdr:col>1</xdr:col>
      <xdr:colOff>82550</xdr:colOff>
      <xdr:row>12</xdr:row>
      <xdr:rowOff>82550</xdr:rowOff>
    </xdr:from>
    <xdr:to>
      <xdr:col>1</xdr:col>
      <xdr:colOff>334550</xdr:colOff>
      <xdr:row>13</xdr:row>
      <xdr:rowOff>4350</xdr:rowOff>
    </xdr:to>
    <xdr:pic>
      <xdr:nvPicPr>
        <xdr:cNvPr id="13" name="Graphic 12" descr="Clipboard Partially Checked with solid fill">
          <a:extLst>
            <a:ext uri="{FF2B5EF4-FFF2-40B4-BE49-F238E27FC236}">
              <a16:creationId xmlns:a16="http://schemas.microsoft.com/office/drawing/2014/main" id="{F3AAE406-98E2-490D-B516-39A8E7D9B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301625" y="40830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10</xdr:row>
      <xdr:rowOff>111900</xdr:rowOff>
    </xdr:from>
    <xdr:to>
      <xdr:col>1</xdr:col>
      <xdr:colOff>334550</xdr:colOff>
      <xdr:row>11</xdr:row>
      <xdr:rowOff>33700</xdr:rowOff>
    </xdr:to>
    <xdr:pic>
      <xdr:nvPicPr>
        <xdr:cNvPr id="14" name="Graphic 13" descr="Receipt with solid fill">
          <a:extLst>
            <a:ext uri="{FF2B5EF4-FFF2-40B4-BE49-F238E27FC236}">
              <a16:creationId xmlns:a16="http://schemas.microsoft.com/office/drawing/2014/main" id="{3ACF7262-9634-460D-8BD7-6D3345767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1625" y="34456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11</xdr:row>
      <xdr:rowOff>96800</xdr:rowOff>
    </xdr:from>
    <xdr:to>
      <xdr:col>1</xdr:col>
      <xdr:colOff>334550</xdr:colOff>
      <xdr:row>12</xdr:row>
      <xdr:rowOff>18600</xdr:rowOff>
    </xdr:to>
    <xdr:pic>
      <xdr:nvPicPr>
        <xdr:cNvPr id="15" name="Graphic 14" descr="Register with solid fill">
          <a:extLst>
            <a:ext uri="{FF2B5EF4-FFF2-40B4-BE49-F238E27FC236}">
              <a16:creationId xmlns:a16="http://schemas.microsoft.com/office/drawing/2014/main" id="{5C33D118-BE33-455F-87F1-FC82B1AC5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1625" y="3763925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9</xdr:row>
      <xdr:rowOff>56300</xdr:rowOff>
    </xdr:from>
    <xdr:to>
      <xdr:col>1</xdr:col>
      <xdr:colOff>334550</xdr:colOff>
      <xdr:row>9</xdr:row>
      <xdr:rowOff>308300</xdr:rowOff>
    </xdr:to>
    <xdr:pic>
      <xdr:nvPicPr>
        <xdr:cNvPr id="16" name="Graphic 15" descr="Full Brick Wall with solid fill">
          <a:extLst>
            <a:ext uri="{FF2B5EF4-FFF2-40B4-BE49-F238E27FC236}">
              <a16:creationId xmlns:a16="http://schemas.microsoft.com/office/drawing/2014/main" id="{01B5E581-3C10-4DAE-A3B1-512A5FB2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01625" y="3056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6</xdr:row>
      <xdr:rowOff>41200</xdr:rowOff>
    </xdr:from>
    <xdr:to>
      <xdr:col>1</xdr:col>
      <xdr:colOff>334550</xdr:colOff>
      <xdr:row>6</xdr:row>
      <xdr:rowOff>293200</xdr:rowOff>
    </xdr:to>
    <xdr:pic>
      <xdr:nvPicPr>
        <xdr:cNvPr id="17" name="Graphic 16" descr="User with solid fill">
          <a:extLst>
            <a:ext uri="{FF2B5EF4-FFF2-40B4-BE49-F238E27FC236}">
              <a16:creationId xmlns:a16="http://schemas.microsoft.com/office/drawing/2014/main" id="{53E374D5-2988-4E09-834C-4EA2DC507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01625" y="20414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7</xdr:row>
      <xdr:rowOff>7050</xdr:rowOff>
    </xdr:from>
    <xdr:to>
      <xdr:col>1</xdr:col>
      <xdr:colOff>334550</xdr:colOff>
      <xdr:row>7</xdr:row>
      <xdr:rowOff>259050</xdr:rowOff>
    </xdr:to>
    <xdr:pic>
      <xdr:nvPicPr>
        <xdr:cNvPr id="18" name="Graphic 17" descr="User outline">
          <a:extLst>
            <a:ext uri="{FF2B5EF4-FFF2-40B4-BE49-F238E27FC236}">
              <a16:creationId xmlns:a16="http://schemas.microsoft.com/office/drawing/2014/main" id="{E26673F8-42C4-495C-8568-E233DB090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01625" y="2340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8</xdr:row>
      <xdr:rowOff>31750</xdr:rowOff>
    </xdr:from>
    <xdr:to>
      <xdr:col>1</xdr:col>
      <xdr:colOff>334550</xdr:colOff>
      <xdr:row>8</xdr:row>
      <xdr:rowOff>283750</xdr:rowOff>
    </xdr:to>
    <xdr:pic>
      <xdr:nvPicPr>
        <xdr:cNvPr id="19" name="Graphic 18" descr="Inventory outline">
          <a:extLst>
            <a:ext uri="{FF2B5EF4-FFF2-40B4-BE49-F238E27FC236}">
              <a16:creationId xmlns:a16="http://schemas.microsoft.com/office/drawing/2014/main" id="{21AFB42D-6974-4AD5-B4E9-25537669B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301625" y="26987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2</xdr:col>
      <xdr:colOff>224746</xdr:colOff>
      <xdr:row>1</xdr:row>
      <xdr:rowOff>6350</xdr:rowOff>
    </xdr:from>
    <xdr:to>
      <xdr:col>25</xdr:col>
      <xdr:colOff>975732</xdr:colOff>
      <xdr:row>3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65D082A5-9A44-4EC5-9819-8CF7AFF76E7D}"/>
            </a:ext>
          </a:extLst>
        </xdr:cNvPr>
        <xdr:cNvSpPr/>
      </xdr:nvSpPr>
      <xdr:spPr>
        <a:xfrm>
          <a:off x="2373679" y="343210"/>
          <a:ext cx="38246962" cy="686419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800" b="0" kern="1200">
              <a:solidFill>
                <a:sysClr val="windowText" lastClr="000000"/>
              </a:solidFill>
            </a:rPr>
            <a:t>  </a:t>
          </a:r>
          <a:r>
            <a:rPr lang="en-IN" sz="2800" b="0">
              <a:solidFill>
                <a:sysClr val="windowText" lastClr="000000"/>
              </a:solidFill>
            </a:rPr>
            <a:t>Payment Entry - IHC</a:t>
          </a:r>
          <a:endParaRPr lang="en-IN" sz="2800" b="0" kern="12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116158</xdr:colOff>
      <xdr:row>0</xdr:row>
      <xdr:rowOff>162622</xdr:rowOff>
    </xdr:from>
    <xdr:to>
      <xdr:col>1</xdr:col>
      <xdr:colOff>1788841</xdr:colOff>
      <xdr:row>4</xdr:row>
      <xdr:rowOff>152787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C39C7B24-558A-439F-A7F9-E1EE8EA3E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6859" y="162622"/>
          <a:ext cx="1672683" cy="1337604"/>
        </a:xfrm>
        <a:prstGeom prst="rect">
          <a:avLst/>
        </a:prstGeom>
      </xdr:spPr>
    </xdr:pic>
    <xdr:clientData/>
  </xdr:twoCellAnchor>
  <xdr:twoCellAnchor editAs="absolute">
    <xdr:from>
      <xdr:col>1</xdr:col>
      <xdr:colOff>38099</xdr:colOff>
      <xdr:row>3</xdr:row>
      <xdr:rowOff>174238</xdr:rowOff>
    </xdr:from>
    <xdr:to>
      <xdr:col>1</xdr:col>
      <xdr:colOff>1881768</xdr:colOff>
      <xdr:row>4</xdr:row>
      <xdr:rowOff>241300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A5C906C-206C-4EE4-A848-A083A056A5B4}"/>
            </a:ext>
          </a:extLst>
        </xdr:cNvPr>
        <xdr:cNvSpPr/>
      </xdr:nvSpPr>
      <xdr:spPr>
        <a:xfrm>
          <a:off x="258800" y="1184817"/>
          <a:ext cx="1843669" cy="40392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Indian Heritage Carfts</a:t>
          </a:r>
          <a:endParaRPr lang="en-IN" sz="12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absolute">
    <xdr:from>
      <xdr:col>1</xdr:col>
      <xdr:colOff>349250</xdr:colOff>
      <xdr:row>5</xdr:row>
      <xdr:rowOff>31750</xdr:rowOff>
    </xdr:from>
    <xdr:to>
      <xdr:col>1</xdr:col>
      <xdr:colOff>1524000</xdr:colOff>
      <xdr:row>6</xdr:row>
      <xdr:rowOff>44450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B8812C4-9046-497B-8DD7-BF10C7610567}"/>
            </a:ext>
          </a:extLst>
        </xdr:cNvPr>
        <xdr:cNvSpPr/>
      </xdr:nvSpPr>
      <xdr:spPr>
        <a:xfrm>
          <a:off x="568325" y="1698625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Dashboard</a:t>
          </a:r>
        </a:p>
      </xdr:txBody>
    </xdr:sp>
    <xdr:clientData/>
  </xdr:twoCellAnchor>
  <xdr:twoCellAnchor editAs="absolute">
    <xdr:from>
      <xdr:col>1</xdr:col>
      <xdr:colOff>82550</xdr:colOff>
      <xdr:row>5</xdr:row>
      <xdr:rowOff>19050</xdr:rowOff>
    </xdr:from>
    <xdr:to>
      <xdr:col>1</xdr:col>
      <xdr:colOff>412750</xdr:colOff>
      <xdr:row>6</xdr:row>
      <xdr:rowOff>19050</xdr:rowOff>
    </xdr:to>
    <xdr:pic>
      <xdr:nvPicPr>
        <xdr:cNvPr id="5" name="Graphic 4" descr="Presentation with bar chart with solid fill">
          <a:extLst>
            <a:ext uri="{FF2B5EF4-FFF2-40B4-BE49-F238E27FC236}">
              <a16:creationId xmlns:a16="http://schemas.microsoft.com/office/drawing/2014/main" id="{689016BD-FF94-443D-A9E9-D04B589B7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1625" y="1685925"/>
          <a:ext cx="330200" cy="333375"/>
        </a:xfrm>
        <a:prstGeom prst="rect">
          <a:avLst/>
        </a:prstGeom>
      </xdr:spPr>
    </xdr:pic>
    <xdr:clientData/>
  </xdr:twoCellAnchor>
  <xdr:twoCellAnchor editAs="absolute">
    <xdr:from>
      <xdr:col>1</xdr:col>
      <xdr:colOff>349250</xdr:colOff>
      <xdr:row>6</xdr:row>
      <xdr:rowOff>39914</xdr:rowOff>
    </xdr:from>
    <xdr:to>
      <xdr:col>1</xdr:col>
      <xdr:colOff>1524000</xdr:colOff>
      <xdr:row>7</xdr:row>
      <xdr:rowOff>52614</xdr:rowOff>
    </xdr:to>
    <xdr:sp macro="" textlink="">
      <xdr:nvSpPr>
        <xdr:cNvPr id="6" name="Rectangl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245272D-BCEA-4D59-9589-925828EAC191}"/>
            </a:ext>
          </a:extLst>
        </xdr:cNvPr>
        <xdr:cNvSpPr/>
      </xdr:nvSpPr>
      <xdr:spPr>
        <a:xfrm>
          <a:off x="568325" y="2040164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Customers</a:t>
          </a:r>
        </a:p>
      </xdr:txBody>
    </xdr:sp>
    <xdr:clientData/>
  </xdr:twoCellAnchor>
  <xdr:twoCellAnchor editAs="absolute">
    <xdr:from>
      <xdr:col>1</xdr:col>
      <xdr:colOff>349250</xdr:colOff>
      <xdr:row>7</xdr:row>
      <xdr:rowOff>48078</xdr:rowOff>
    </xdr:from>
    <xdr:to>
      <xdr:col>1</xdr:col>
      <xdr:colOff>1524000</xdr:colOff>
      <xdr:row>8</xdr:row>
      <xdr:rowOff>60778</xdr:rowOff>
    </xdr:to>
    <xdr:sp macro="" textlink="">
      <xdr:nvSpPr>
        <xdr:cNvPr id="7" name="Rectangle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6DD80E6-525E-4F60-BA85-7B574CCE087D}"/>
            </a:ext>
          </a:extLst>
        </xdr:cNvPr>
        <xdr:cNvSpPr/>
      </xdr:nvSpPr>
      <xdr:spPr>
        <a:xfrm>
          <a:off x="568325" y="2381703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Vendors</a:t>
          </a:r>
        </a:p>
      </xdr:txBody>
    </xdr:sp>
    <xdr:clientData/>
  </xdr:twoCellAnchor>
  <xdr:twoCellAnchor editAs="absolute">
    <xdr:from>
      <xdr:col>1</xdr:col>
      <xdr:colOff>349250</xdr:colOff>
      <xdr:row>8</xdr:row>
      <xdr:rowOff>56242</xdr:rowOff>
    </xdr:from>
    <xdr:to>
      <xdr:col>1</xdr:col>
      <xdr:colOff>1524000</xdr:colOff>
      <xdr:row>9</xdr:row>
      <xdr:rowOff>68942</xdr:rowOff>
    </xdr:to>
    <xdr:sp macro="" textlink="">
      <xdr:nvSpPr>
        <xdr:cNvPr id="8" name="Rectangl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41F527D-D099-4D83-9C22-6A7C8CF83325}"/>
            </a:ext>
          </a:extLst>
        </xdr:cNvPr>
        <xdr:cNvSpPr/>
      </xdr:nvSpPr>
      <xdr:spPr>
        <a:xfrm>
          <a:off x="568325" y="2723242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Products</a:t>
          </a:r>
        </a:p>
      </xdr:txBody>
    </xdr:sp>
    <xdr:clientData/>
  </xdr:twoCellAnchor>
  <xdr:twoCellAnchor editAs="absolute">
    <xdr:from>
      <xdr:col>1</xdr:col>
      <xdr:colOff>349250</xdr:colOff>
      <xdr:row>9</xdr:row>
      <xdr:rowOff>64406</xdr:rowOff>
    </xdr:from>
    <xdr:to>
      <xdr:col>1</xdr:col>
      <xdr:colOff>1524000</xdr:colOff>
      <xdr:row>10</xdr:row>
      <xdr:rowOff>77106</xdr:rowOff>
    </xdr:to>
    <xdr:sp macro="" textlink="">
      <xdr:nvSpPr>
        <xdr:cNvPr id="9" name="Rectangl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3539F0-4EE3-47B5-94FB-15703E551F90}"/>
            </a:ext>
          </a:extLst>
        </xdr:cNvPr>
        <xdr:cNvSpPr/>
      </xdr:nvSpPr>
      <xdr:spPr>
        <a:xfrm>
          <a:off x="568325" y="3064781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New Entry</a:t>
          </a:r>
        </a:p>
      </xdr:txBody>
    </xdr:sp>
    <xdr:clientData/>
  </xdr:twoCellAnchor>
  <xdr:twoCellAnchor editAs="absolute">
    <xdr:from>
      <xdr:col>1</xdr:col>
      <xdr:colOff>349250</xdr:colOff>
      <xdr:row>10</xdr:row>
      <xdr:rowOff>72570</xdr:rowOff>
    </xdr:from>
    <xdr:to>
      <xdr:col>1</xdr:col>
      <xdr:colOff>1524000</xdr:colOff>
      <xdr:row>11</xdr:row>
      <xdr:rowOff>85270</xdr:rowOff>
    </xdr:to>
    <xdr:sp macro="" textlink="">
      <xdr:nvSpPr>
        <xdr:cNvPr id="10" name="Rectangle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5B7BE6A-55F3-499D-AC8C-6C30FB8E6B91}"/>
            </a:ext>
          </a:extLst>
        </xdr:cNvPr>
        <xdr:cNvSpPr/>
      </xdr:nvSpPr>
      <xdr:spPr>
        <a:xfrm>
          <a:off x="568325" y="340632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Purchase</a:t>
          </a:r>
        </a:p>
      </xdr:txBody>
    </xdr:sp>
    <xdr:clientData/>
  </xdr:twoCellAnchor>
  <xdr:twoCellAnchor editAs="absolute">
    <xdr:from>
      <xdr:col>1</xdr:col>
      <xdr:colOff>349250</xdr:colOff>
      <xdr:row>11</xdr:row>
      <xdr:rowOff>80734</xdr:rowOff>
    </xdr:from>
    <xdr:to>
      <xdr:col>1</xdr:col>
      <xdr:colOff>1524000</xdr:colOff>
      <xdr:row>12</xdr:row>
      <xdr:rowOff>93434</xdr:rowOff>
    </xdr:to>
    <xdr:sp macro="" textlink="">
      <xdr:nvSpPr>
        <xdr:cNvPr id="11" name="Rectangl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ED5E38F-D0CA-450F-98F7-2C0009BFA26D}"/>
            </a:ext>
          </a:extLst>
        </xdr:cNvPr>
        <xdr:cNvSpPr/>
      </xdr:nvSpPr>
      <xdr:spPr>
        <a:xfrm>
          <a:off x="568325" y="3747859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</xdr:col>
      <xdr:colOff>349250</xdr:colOff>
      <xdr:row>12</xdr:row>
      <xdr:rowOff>88900</xdr:rowOff>
    </xdr:from>
    <xdr:to>
      <xdr:col>1</xdr:col>
      <xdr:colOff>1524000</xdr:colOff>
      <xdr:row>13</xdr:row>
      <xdr:rowOff>101600</xdr:rowOff>
    </xdr:to>
    <xdr:sp macro="" textlink="">
      <xdr:nvSpPr>
        <xdr:cNvPr id="12" name="Rectangle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EDFA822-37A0-4EBE-B87C-1D23E21D18EE}"/>
            </a:ext>
          </a:extLst>
        </xdr:cNvPr>
        <xdr:cNvSpPr/>
      </xdr:nvSpPr>
      <xdr:spPr>
        <a:xfrm>
          <a:off x="568325" y="408940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/>
              </a:solidFill>
            </a:rPr>
            <a:t>Inventory</a:t>
          </a:r>
        </a:p>
      </xdr:txBody>
    </xdr:sp>
    <xdr:clientData/>
  </xdr:twoCellAnchor>
  <xdr:twoCellAnchor editAs="absolute">
    <xdr:from>
      <xdr:col>1</xdr:col>
      <xdr:colOff>82550</xdr:colOff>
      <xdr:row>12</xdr:row>
      <xdr:rowOff>82550</xdr:rowOff>
    </xdr:from>
    <xdr:to>
      <xdr:col>1</xdr:col>
      <xdr:colOff>334550</xdr:colOff>
      <xdr:row>13</xdr:row>
      <xdr:rowOff>4350</xdr:rowOff>
    </xdr:to>
    <xdr:pic>
      <xdr:nvPicPr>
        <xdr:cNvPr id="13" name="Graphic 12" descr="Clipboard Partially Checked with solid fill">
          <a:extLst>
            <a:ext uri="{FF2B5EF4-FFF2-40B4-BE49-F238E27FC236}">
              <a16:creationId xmlns:a16="http://schemas.microsoft.com/office/drawing/2014/main" id="{116FCFFD-F9D1-46D5-86B0-9B73F5621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301625" y="40830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10</xdr:row>
      <xdr:rowOff>111900</xdr:rowOff>
    </xdr:from>
    <xdr:to>
      <xdr:col>1</xdr:col>
      <xdr:colOff>334550</xdr:colOff>
      <xdr:row>11</xdr:row>
      <xdr:rowOff>33700</xdr:rowOff>
    </xdr:to>
    <xdr:pic>
      <xdr:nvPicPr>
        <xdr:cNvPr id="14" name="Graphic 13" descr="Receipt with solid fill">
          <a:extLst>
            <a:ext uri="{FF2B5EF4-FFF2-40B4-BE49-F238E27FC236}">
              <a16:creationId xmlns:a16="http://schemas.microsoft.com/office/drawing/2014/main" id="{1D9002DE-E859-4D6B-B52C-EF9997767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1625" y="34456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11</xdr:row>
      <xdr:rowOff>96800</xdr:rowOff>
    </xdr:from>
    <xdr:to>
      <xdr:col>1</xdr:col>
      <xdr:colOff>334550</xdr:colOff>
      <xdr:row>12</xdr:row>
      <xdr:rowOff>18600</xdr:rowOff>
    </xdr:to>
    <xdr:pic>
      <xdr:nvPicPr>
        <xdr:cNvPr id="15" name="Graphic 14" descr="Register with solid fill">
          <a:extLst>
            <a:ext uri="{FF2B5EF4-FFF2-40B4-BE49-F238E27FC236}">
              <a16:creationId xmlns:a16="http://schemas.microsoft.com/office/drawing/2014/main" id="{4552BD03-D909-4EED-9BD9-CFE227D7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1625" y="3763925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9</xdr:row>
      <xdr:rowOff>56300</xdr:rowOff>
    </xdr:from>
    <xdr:to>
      <xdr:col>1</xdr:col>
      <xdr:colOff>334550</xdr:colOff>
      <xdr:row>9</xdr:row>
      <xdr:rowOff>308300</xdr:rowOff>
    </xdr:to>
    <xdr:pic>
      <xdr:nvPicPr>
        <xdr:cNvPr id="16" name="Graphic 15" descr="Full Brick Wall with solid fill">
          <a:extLst>
            <a:ext uri="{FF2B5EF4-FFF2-40B4-BE49-F238E27FC236}">
              <a16:creationId xmlns:a16="http://schemas.microsoft.com/office/drawing/2014/main" id="{13AE09C2-8EE4-406C-BD28-FF5F3A2A9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01625" y="3056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6</xdr:row>
      <xdr:rowOff>41200</xdr:rowOff>
    </xdr:from>
    <xdr:to>
      <xdr:col>1</xdr:col>
      <xdr:colOff>334550</xdr:colOff>
      <xdr:row>6</xdr:row>
      <xdr:rowOff>293200</xdr:rowOff>
    </xdr:to>
    <xdr:pic>
      <xdr:nvPicPr>
        <xdr:cNvPr id="17" name="Graphic 16" descr="User with solid fill">
          <a:extLst>
            <a:ext uri="{FF2B5EF4-FFF2-40B4-BE49-F238E27FC236}">
              <a16:creationId xmlns:a16="http://schemas.microsoft.com/office/drawing/2014/main" id="{9D607CEB-377F-406B-B9DE-3C0FEC36D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01625" y="20414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7</xdr:row>
      <xdr:rowOff>7050</xdr:rowOff>
    </xdr:from>
    <xdr:to>
      <xdr:col>1</xdr:col>
      <xdr:colOff>334550</xdr:colOff>
      <xdr:row>7</xdr:row>
      <xdr:rowOff>259050</xdr:rowOff>
    </xdr:to>
    <xdr:pic>
      <xdr:nvPicPr>
        <xdr:cNvPr id="18" name="Graphic 17" descr="User outline">
          <a:extLst>
            <a:ext uri="{FF2B5EF4-FFF2-40B4-BE49-F238E27FC236}">
              <a16:creationId xmlns:a16="http://schemas.microsoft.com/office/drawing/2014/main" id="{3FE7C28B-648C-4A53-B13D-C163A8EC4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01625" y="2340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8</xdr:row>
      <xdr:rowOff>31750</xdr:rowOff>
    </xdr:from>
    <xdr:to>
      <xdr:col>1</xdr:col>
      <xdr:colOff>334550</xdr:colOff>
      <xdr:row>8</xdr:row>
      <xdr:rowOff>283750</xdr:rowOff>
    </xdr:to>
    <xdr:pic>
      <xdr:nvPicPr>
        <xdr:cNvPr id="19" name="Graphic 18" descr="Inventory outline">
          <a:extLst>
            <a:ext uri="{FF2B5EF4-FFF2-40B4-BE49-F238E27FC236}">
              <a16:creationId xmlns:a16="http://schemas.microsoft.com/office/drawing/2014/main" id="{BFBF3BB1-36D3-4040-A7A4-A85BC3AA1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301625" y="26987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2</xdr:col>
      <xdr:colOff>224745</xdr:colOff>
      <xdr:row>1</xdr:row>
      <xdr:rowOff>6350</xdr:rowOff>
    </xdr:from>
    <xdr:to>
      <xdr:col>20</xdr:col>
      <xdr:colOff>859572</xdr:colOff>
      <xdr:row>3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CACB016-F306-4033-9C63-86F68F4FB152}"/>
            </a:ext>
          </a:extLst>
        </xdr:cNvPr>
        <xdr:cNvSpPr/>
      </xdr:nvSpPr>
      <xdr:spPr>
        <a:xfrm>
          <a:off x="2373678" y="343210"/>
          <a:ext cx="39187845" cy="686419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800">
              <a:solidFill>
                <a:sysClr val="windowText" lastClr="000000"/>
              </a:solidFill>
            </a:rPr>
            <a:t>Voucher Entry - IHC</a:t>
          </a:r>
          <a:endParaRPr lang="en-IN" sz="2800" b="0" kern="12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116158</xdr:colOff>
      <xdr:row>0</xdr:row>
      <xdr:rowOff>162622</xdr:rowOff>
    </xdr:from>
    <xdr:to>
      <xdr:col>1</xdr:col>
      <xdr:colOff>1788841</xdr:colOff>
      <xdr:row>4</xdr:row>
      <xdr:rowOff>152787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5F39790F-A1E4-407E-8309-B172B2FD5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5233" y="162622"/>
          <a:ext cx="1672683" cy="1323665"/>
        </a:xfrm>
        <a:prstGeom prst="rect">
          <a:avLst/>
        </a:prstGeom>
      </xdr:spPr>
    </xdr:pic>
    <xdr:clientData/>
  </xdr:twoCellAnchor>
  <xdr:twoCellAnchor editAs="absolute">
    <xdr:from>
      <xdr:col>1</xdr:col>
      <xdr:colOff>38099</xdr:colOff>
      <xdr:row>3</xdr:row>
      <xdr:rowOff>174238</xdr:rowOff>
    </xdr:from>
    <xdr:to>
      <xdr:col>1</xdr:col>
      <xdr:colOff>1881768</xdr:colOff>
      <xdr:row>4</xdr:row>
      <xdr:rowOff>241300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ADFE025-C4B8-49EA-A88D-97FBC5EA0074}"/>
            </a:ext>
          </a:extLst>
        </xdr:cNvPr>
        <xdr:cNvSpPr/>
      </xdr:nvSpPr>
      <xdr:spPr>
        <a:xfrm>
          <a:off x="257174" y="1174363"/>
          <a:ext cx="1843669" cy="4004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Indian Heritage Carfts</a:t>
          </a:r>
          <a:endParaRPr lang="en-IN" sz="12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absolute">
    <xdr:from>
      <xdr:col>1</xdr:col>
      <xdr:colOff>349250</xdr:colOff>
      <xdr:row>5</xdr:row>
      <xdr:rowOff>31750</xdr:rowOff>
    </xdr:from>
    <xdr:to>
      <xdr:col>1</xdr:col>
      <xdr:colOff>1524000</xdr:colOff>
      <xdr:row>6</xdr:row>
      <xdr:rowOff>44450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AFFF3F-7B78-4707-9FE0-FB92F2F11F11}"/>
            </a:ext>
          </a:extLst>
        </xdr:cNvPr>
        <xdr:cNvSpPr/>
      </xdr:nvSpPr>
      <xdr:spPr>
        <a:xfrm>
          <a:off x="568325" y="1698625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Dashboard</a:t>
          </a:r>
        </a:p>
      </xdr:txBody>
    </xdr:sp>
    <xdr:clientData/>
  </xdr:twoCellAnchor>
  <xdr:twoCellAnchor editAs="absolute">
    <xdr:from>
      <xdr:col>1</xdr:col>
      <xdr:colOff>82550</xdr:colOff>
      <xdr:row>5</xdr:row>
      <xdr:rowOff>19050</xdr:rowOff>
    </xdr:from>
    <xdr:to>
      <xdr:col>1</xdr:col>
      <xdr:colOff>412750</xdr:colOff>
      <xdr:row>6</xdr:row>
      <xdr:rowOff>19050</xdr:rowOff>
    </xdr:to>
    <xdr:pic>
      <xdr:nvPicPr>
        <xdr:cNvPr id="5" name="Graphic 4" descr="Presentation with bar chart with solid fill">
          <a:extLst>
            <a:ext uri="{FF2B5EF4-FFF2-40B4-BE49-F238E27FC236}">
              <a16:creationId xmlns:a16="http://schemas.microsoft.com/office/drawing/2014/main" id="{B2DEF4DB-E0A1-41C3-8D4E-4CAC8478D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1625" y="1685925"/>
          <a:ext cx="330200" cy="333375"/>
        </a:xfrm>
        <a:prstGeom prst="rect">
          <a:avLst/>
        </a:prstGeom>
      </xdr:spPr>
    </xdr:pic>
    <xdr:clientData/>
  </xdr:twoCellAnchor>
  <xdr:twoCellAnchor editAs="absolute">
    <xdr:from>
      <xdr:col>1</xdr:col>
      <xdr:colOff>349250</xdr:colOff>
      <xdr:row>6</xdr:row>
      <xdr:rowOff>39914</xdr:rowOff>
    </xdr:from>
    <xdr:to>
      <xdr:col>1</xdr:col>
      <xdr:colOff>1524000</xdr:colOff>
      <xdr:row>7</xdr:row>
      <xdr:rowOff>52614</xdr:rowOff>
    </xdr:to>
    <xdr:sp macro="" textlink="">
      <xdr:nvSpPr>
        <xdr:cNvPr id="6" name="Rectangl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43F9B98-3D3C-4FB0-8F50-D14867776B6F}"/>
            </a:ext>
          </a:extLst>
        </xdr:cNvPr>
        <xdr:cNvSpPr/>
      </xdr:nvSpPr>
      <xdr:spPr>
        <a:xfrm>
          <a:off x="568325" y="2040164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Customers</a:t>
          </a:r>
        </a:p>
      </xdr:txBody>
    </xdr:sp>
    <xdr:clientData/>
  </xdr:twoCellAnchor>
  <xdr:twoCellAnchor editAs="absolute">
    <xdr:from>
      <xdr:col>1</xdr:col>
      <xdr:colOff>349250</xdr:colOff>
      <xdr:row>7</xdr:row>
      <xdr:rowOff>48078</xdr:rowOff>
    </xdr:from>
    <xdr:to>
      <xdr:col>1</xdr:col>
      <xdr:colOff>1524000</xdr:colOff>
      <xdr:row>8</xdr:row>
      <xdr:rowOff>60778</xdr:rowOff>
    </xdr:to>
    <xdr:sp macro="" textlink="">
      <xdr:nvSpPr>
        <xdr:cNvPr id="7" name="Rectangle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D23FFBA-88CB-41CA-8157-1FDBDC46FC7A}"/>
            </a:ext>
          </a:extLst>
        </xdr:cNvPr>
        <xdr:cNvSpPr/>
      </xdr:nvSpPr>
      <xdr:spPr>
        <a:xfrm>
          <a:off x="568325" y="2381703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Vendors</a:t>
          </a:r>
        </a:p>
      </xdr:txBody>
    </xdr:sp>
    <xdr:clientData/>
  </xdr:twoCellAnchor>
  <xdr:twoCellAnchor editAs="absolute">
    <xdr:from>
      <xdr:col>1</xdr:col>
      <xdr:colOff>349250</xdr:colOff>
      <xdr:row>8</xdr:row>
      <xdr:rowOff>56242</xdr:rowOff>
    </xdr:from>
    <xdr:to>
      <xdr:col>1</xdr:col>
      <xdr:colOff>1524000</xdr:colOff>
      <xdr:row>9</xdr:row>
      <xdr:rowOff>68942</xdr:rowOff>
    </xdr:to>
    <xdr:sp macro="" textlink="">
      <xdr:nvSpPr>
        <xdr:cNvPr id="8" name="Rectangl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6F3E93-9037-4E5C-9632-A8CE3A4DE280}"/>
            </a:ext>
          </a:extLst>
        </xdr:cNvPr>
        <xdr:cNvSpPr/>
      </xdr:nvSpPr>
      <xdr:spPr>
        <a:xfrm>
          <a:off x="568325" y="2723242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Products</a:t>
          </a:r>
        </a:p>
      </xdr:txBody>
    </xdr:sp>
    <xdr:clientData/>
  </xdr:twoCellAnchor>
  <xdr:twoCellAnchor editAs="absolute">
    <xdr:from>
      <xdr:col>1</xdr:col>
      <xdr:colOff>349250</xdr:colOff>
      <xdr:row>9</xdr:row>
      <xdr:rowOff>64406</xdr:rowOff>
    </xdr:from>
    <xdr:to>
      <xdr:col>1</xdr:col>
      <xdr:colOff>1524000</xdr:colOff>
      <xdr:row>10</xdr:row>
      <xdr:rowOff>77106</xdr:rowOff>
    </xdr:to>
    <xdr:sp macro="" textlink="">
      <xdr:nvSpPr>
        <xdr:cNvPr id="9" name="Rectangl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408D11C-19BC-4685-BAB3-C3220776003B}"/>
            </a:ext>
          </a:extLst>
        </xdr:cNvPr>
        <xdr:cNvSpPr/>
      </xdr:nvSpPr>
      <xdr:spPr>
        <a:xfrm>
          <a:off x="568325" y="3064781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New Entry</a:t>
          </a:r>
        </a:p>
      </xdr:txBody>
    </xdr:sp>
    <xdr:clientData/>
  </xdr:twoCellAnchor>
  <xdr:twoCellAnchor editAs="absolute">
    <xdr:from>
      <xdr:col>1</xdr:col>
      <xdr:colOff>349250</xdr:colOff>
      <xdr:row>10</xdr:row>
      <xdr:rowOff>72570</xdr:rowOff>
    </xdr:from>
    <xdr:to>
      <xdr:col>1</xdr:col>
      <xdr:colOff>1524000</xdr:colOff>
      <xdr:row>11</xdr:row>
      <xdr:rowOff>85270</xdr:rowOff>
    </xdr:to>
    <xdr:sp macro="" textlink="">
      <xdr:nvSpPr>
        <xdr:cNvPr id="10" name="Rectangle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06703E1-1C27-4D31-8F20-D5B7DF5FEB0A}"/>
            </a:ext>
          </a:extLst>
        </xdr:cNvPr>
        <xdr:cNvSpPr/>
      </xdr:nvSpPr>
      <xdr:spPr>
        <a:xfrm>
          <a:off x="568325" y="340632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Purchase</a:t>
          </a:r>
        </a:p>
      </xdr:txBody>
    </xdr:sp>
    <xdr:clientData/>
  </xdr:twoCellAnchor>
  <xdr:twoCellAnchor editAs="absolute">
    <xdr:from>
      <xdr:col>1</xdr:col>
      <xdr:colOff>349250</xdr:colOff>
      <xdr:row>11</xdr:row>
      <xdr:rowOff>80734</xdr:rowOff>
    </xdr:from>
    <xdr:to>
      <xdr:col>1</xdr:col>
      <xdr:colOff>1524000</xdr:colOff>
      <xdr:row>12</xdr:row>
      <xdr:rowOff>93434</xdr:rowOff>
    </xdr:to>
    <xdr:sp macro="" textlink="">
      <xdr:nvSpPr>
        <xdr:cNvPr id="11" name="Rectangl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82E1848-78E5-4822-83EE-B5CC2370F1B1}"/>
            </a:ext>
          </a:extLst>
        </xdr:cNvPr>
        <xdr:cNvSpPr/>
      </xdr:nvSpPr>
      <xdr:spPr>
        <a:xfrm>
          <a:off x="568325" y="3747859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</xdr:col>
      <xdr:colOff>349250</xdr:colOff>
      <xdr:row>12</xdr:row>
      <xdr:rowOff>88900</xdr:rowOff>
    </xdr:from>
    <xdr:to>
      <xdr:col>1</xdr:col>
      <xdr:colOff>1524000</xdr:colOff>
      <xdr:row>13</xdr:row>
      <xdr:rowOff>101600</xdr:rowOff>
    </xdr:to>
    <xdr:sp macro="" textlink="">
      <xdr:nvSpPr>
        <xdr:cNvPr id="12" name="Rectangle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8273CA2-6A1D-4888-B75C-2104E4D990DB}"/>
            </a:ext>
          </a:extLst>
        </xdr:cNvPr>
        <xdr:cNvSpPr/>
      </xdr:nvSpPr>
      <xdr:spPr>
        <a:xfrm>
          <a:off x="568325" y="408940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/>
              </a:solidFill>
            </a:rPr>
            <a:t>Inventory</a:t>
          </a:r>
        </a:p>
      </xdr:txBody>
    </xdr:sp>
    <xdr:clientData/>
  </xdr:twoCellAnchor>
  <xdr:twoCellAnchor editAs="absolute">
    <xdr:from>
      <xdr:col>1</xdr:col>
      <xdr:colOff>82550</xdr:colOff>
      <xdr:row>12</xdr:row>
      <xdr:rowOff>82550</xdr:rowOff>
    </xdr:from>
    <xdr:to>
      <xdr:col>1</xdr:col>
      <xdr:colOff>334550</xdr:colOff>
      <xdr:row>13</xdr:row>
      <xdr:rowOff>4350</xdr:rowOff>
    </xdr:to>
    <xdr:pic>
      <xdr:nvPicPr>
        <xdr:cNvPr id="13" name="Graphic 12" descr="Clipboard Partially Checked with solid fill">
          <a:extLst>
            <a:ext uri="{FF2B5EF4-FFF2-40B4-BE49-F238E27FC236}">
              <a16:creationId xmlns:a16="http://schemas.microsoft.com/office/drawing/2014/main" id="{3FF5012E-1FEB-464D-B946-FE36F0C1E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301625" y="40830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10</xdr:row>
      <xdr:rowOff>111900</xdr:rowOff>
    </xdr:from>
    <xdr:to>
      <xdr:col>1</xdr:col>
      <xdr:colOff>334550</xdr:colOff>
      <xdr:row>11</xdr:row>
      <xdr:rowOff>33700</xdr:rowOff>
    </xdr:to>
    <xdr:pic>
      <xdr:nvPicPr>
        <xdr:cNvPr id="14" name="Graphic 13" descr="Receipt with solid fill">
          <a:extLst>
            <a:ext uri="{FF2B5EF4-FFF2-40B4-BE49-F238E27FC236}">
              <a16:creationId xmlns:a16="http://schemas.microsoft.com/office/drawing/2014/main" id="{537BC186-8B36-41BD-9576-A2808D400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1625" y="34456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11</xdr:row>
      <xdr:rowOff>96800</xdr:rowOff>
    </xdr:from>
    <xdr:to>
      <xdr:col>1</xdr:col>
      <xdr:colOff>334550</xdr:colOff>
      <xdr:row>12</xdr:row>
      <xdr:rowOff>18600</xdr:rowOff>
    </xdr:to>
    <xdr:pic>
      <xdr:nvPicPr>
        <xdr:cNvPr id="15" name="Graphic 14" descr="Register with solid fill">
          <a:extLst>
            <a:ext uri="{FF2B5EF4-FFF2-40B4-BE49-F238E27FC236}">
              <a16:creationId xmlns:a16="http://schemas.microsoft.com/office/drawing/2014/main" id="{FDB29A9A-0BAF-4F0A-9334-DEF70F3D1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1625" y="3763925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9</xdr:row>
      <xdr:rowOff>56300</xdr:rowOff>
    </xdr:from>
    <xdr:to>
      <xdr:col>1</xdr:col>
      <xdr:colOff>334550</xdr:colOff>
      <xdr:row>9</xdr:row>
      <xdr:rowOff>308300</xdr:rowOff>
    </xdr:to>
    <xdr:pic>
      <xdr:nvPicPr>
        <xdr:cNvPr id="16" name="Graphic 15" descr="Full Brick Wall with solid fill">
          <a:extLst>
            <a:ext uri="{FF2B5EF4-FFF2-40B4-BE49-F238E27FC236}">
              <a16:creationId xmlns:a16="http://schemas.microsoft.com/office/drawing/2014/main" id="{1DBB1220-060A-4502-A491-ACCF8194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01625" y="3056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6</xdr:row>
      <xdr:rowOff>41200</xdr:rowOff>
    </xdr:from>
    <xdr:to>
      <xdr:col>1</xdr:col>
      <xdr:colOff>334550</xdr:colOff>
      <xdr:row>6</xdr:row>
      <xdr:rowOff>293200</xdr:rowOff>
    </xdr:to>
    <xdr:pic>
      <xdr:nvPicPr>
        <xdr:cNvPr id="17" name="Graphic 16" descr="User with solid fill">
          <a:extLst>
            <a:ext uri="{FF2B5EF4-FFF2-40B4-BE49-F238E27FC236}">
              <a16:creationId xmlns:a16="http://schemas.microsoft.com/office/drawing/2014/main" id="{4B0BE499-384F-4967-B01B-4ACFBCEBC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01625" y="20414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7</xdr:row>
      <xdr:rowOff>7050</xdr:rowOff>
    </xdr:from>
    <xdr:to>
      <xdr:col>1</xdr:col>
      <xdr:colOff>334550</xdr:colOff>
      <xdr:row>7</xdr:row>
      <xdr:rowOff>259050</xdr:rowOff>
    </xdr:to>
    <xdr:pic>
      <xdr:nvPicPr>
        <xdr:cNvPr id="18" name="Graphic 17" descr="User outline">
          <a:extLst>
            <a:ext uri="{FF2B5EF4-FFF2-40B4-BE49-F238E27FC236}">
              <a16:creationId xmlns:a16="http://schemas.microsoft.com/office/drawing/2014/main" id="{1C6320B0-E3A6-41C5-9593-EA3520580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01625" y="2340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8</xdr:row>
      <xdr:rowOff>31750</xdr:rowOff>
    </xdr:from>
    <xdr:to>
      <xdr:col>1</xdr:col>
      <xdr:colOff>334550</xdr:colOff>
      <xdr:row>8</xdr:row>
      <xdr:rowOff>283750</xdr:rowOff>
    </xdr:to>
    <xdr:pic>
      <xdr:nvPicPr>
        <xdr:cNvPr id="19" name="Graphic 18" descr="Inventory outline">
          <a:extLst>
            <a:ext uri="{FF2B5EF4-FFF2-40B4-BE49-F238E27FC236}">
              <a16:creationId xmlns:a16="http://schemas.microsoft.com/office/drawing/2014/main" id="{EC64664E-9BC3-46AB-A614-2BDEF8C8C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301625" y="26987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2</xdr:col>
      <xdr:colOff>224745</xdr:colOff>
      <xdr:row>1</xdr:row>
      <xdr:rowOff>6350</xdr:rowOff>
    </xdr:from>
    <xdr:to>
      <xdr:col>34</xdr:col>
      <xdr:colOff>1057041</xdr:colOff>
      <xdr:row>3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8F78227D-9375-4519-B925-B4FEF35614FA}"/>
            </a:ext>
          </a:extLst>
        </xdr:cNvPr>
        <xdr:cNvSpPr/>
      </xdr:nvSpPr>
      <xdr:spPr>
        <a:xfrm>
          <a:off x="2377395" y="339725"/>
          <a:ext cx="39192027" cy="6794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800">
              <a:solidFill>
                <a:sysClr val="windowText" lastClr="000000"/>
              </a:solidFill>
            </a:rPr>
            <a:t>Adjustment Entry - IHC</a:t>
          </a:r>
          <a:endParaRPr lang="en-IN" sz="2800" b="0" kern="12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116158</xdr:colOff>
      <xdr:row>0</xdr:row>
      <xdr:rowOff>162622</xdr:rowOff>
    </xdr:from>
    <xdr:to>
      <xdr:col>1</xdr:col>
      <xdr:colOff>1788841</xdr:colOff>
      <xdr:row>4</xdr:row>
      <xdr:rowOff>152787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38A483C4-4A26-4A01-9BA8-C18644F06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5233" y="162622"/>
          <a:ext cx="1672683" cy="1323665"/>
        </a:xfrm>
        <a:prstGeom prst="rect">
          <a:avLst/>
        </a:prstGeom>
      </xdr:spPr>
    </xdr:pic>
    <xdr:clientData/>
  </xdr:twoCellAnchor>
  <xdr:twoCellAnchor editAs="absolute">
    <xdr:from>
      <xdr:col>1</xdr:col>
      <xdr:colOff>38099</xdr:colOff>
      <xdr:row>3</xdr:row>
      <xdr:rowOff>174238</xdr:rowOff>
    </xdr:from>
    <xdr:to>
      <xdr:col>1</xdr:col>
      <xdr:colOff>1881768</xdr:colOff>
      <xdr:row>4</xdr:row>
      <xdr:rowOff>241300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708EF88-62D2-438F-884D-AEDAB76DAF92}"/>
            </a:ext>
          </a:extLst>
        </xdr:cNvPr>
        <xdr:cNvSpPr/>
      </xdr:nvSpPr>
      <xdr:spPr>
        <a:xfrm>
          <a:off x="257174" y="1174363"/>
          <a:ext cx="1843669" cy="4004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Indian Heritage Carfts</a:t>
          </a:r>
          <a:endParaRPr lang="en-IN" sz="12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absolute">
    <xdr:from>
      <xdr:col>1</xdr:col>
      <xdr:colOff>349250</xdr:colOff>
      <xdr:row>5</xdr:row>
      <xdr:rowOff>31750</xdr:rowOff>
    </xdr:from>
    <xdr:to>
      <xdr:col>1</xdr:col>
      <xdr:colOff>1524000</xdr:colOff>
      <xdr:row>6</xdr:row>
      <xdr:rowOff>44450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BE655CE-DC75-46F9-8597-5B65FB466880}"/>
            </a:ext>
          </a:extLst>
        </xdr:cNvPr>
        <xdr:cNvSpPr/>
      </xdr:nvSpPr>
      <xdr:spPr>
        <a:xfrm>
          <a:off x="568325" y="1698625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Dashboard</a:t>
          </a:r>
        </a:p>
      </xdr:txBody>
    </xdr:sp>
    <xdr:clientData/>
  </xdr:twoCellAnchor>
  <xdr:twoCellAnchor editAs="absolute">
    <xdr:from>
      <xdr:col>1</xdr:col>
      <xdr:colOff>82550</xdr:colOff>
      <xdr:row>5</xdr:row>
      <xdr:rowOff>19050</xdr:rowOff>
    </xdr:from>
    <xdr:to>
      <xdr:col>1</xdr:col>
      <xdr:colOff>412750</xdr:colOff>
      <xdr:row>6</xdr:row>
      <xdr:rowOff>19050</xdr:rowOff>
    </xdr:to>
    <xdr:pic>
      <xdr:nvPicPr>
        <xdr:cNvPr id="5" name="Graphic 4" descr="Presentation with bar chart with solid fill">
          <a:extLst>
            <a:ext uri="{FF2B5EF4-FFF2-40B4-BE49-F238E27FC236}">
              <a16:creationId xmlns:a16="http://schemas.microsoft.com/office/drawing/2014/main" id="{7ED77C3C-9E29-43F3-830B-792292BBB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1625" y="1685925"/>
          <a:ext cx="330200" cy="333375"/>
        </a:xfrm>
        <a:prstGeom prst="rect">
          <a:avLst/>
        </a:prstGeom>
      </xdr:spPr>
    </xdr:pic>
    <xdr:clientData/>
  </xdr:twoCellAnchor>
  <xdr:twoCellAnchor editAs="absolute">
    <xdr:from>
      <xdr:col>1</xdr:col>
      <xdr:colOff>349250</xdr:colOff>
      <xdr:row>6</xdr:row>
      <xdr:rowOff>39914</xdr:rowOff>
    </xdr:from>
    <xdr:to>
      <xdr:col>1</xdr:col>
      <xdr:colOff>1524000</xdr:colOff>
      <xdr:row>7</xdr:row>
      <xdr:rowOff>52614</xdr:rowOff>
    </xdr:to>
    <xdr:sp macro="" textlink="">
      <xdr:nvSpPr>
        <xdr:cNvPr id="6" name="Rectangl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F322615-148F-4D6B-A161-3619E9ABA020}"/>
            </a:ext>
          </a:extLst>
        </xdr:cNvPr>
        <xdr:cNvSpPr/>
      </xdr:nvSpPr>
      <xdr:spPr>
        <a:xfrm>
          <a:off x="568325" y="2040164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Customers</a:t>
          </a:r>
        </a:p>
      </xdr:txBody>
    </xdr:sp>
    <xdr:clientData/>
  </xdr:twoCellAnchor>
  <xdr:twoCellAnchor editAs="absolute">
    <xdr:from>
      <xdr:col>1</xdr:col>
      <xdr:colOff>349250</xdr:colOff>
      <xdr:row>7</xdr:row>
      <xdr:rowOff>48078</xdr:rowOff>
    </xdr:from>
    <xdr:to>
      <xdr:col>1</xdr:col>
      <xdr:colOff>1524000</xdr:colOff>
      <xdr:row>8</xdr:row>
      <xdr:rowOff>60778</xdr:rowOff>
    </xdr:to>
    <xdr:sp macro="" textlink="">
      <xdr:nvSpPr>
        <xdr:cNvPr id="7" name="Rectangle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FC255F1-7857-4B2F-84E0-1B5BA60D0FFB}"/>
            </a:ext>
          </a:extLst>
        </xdr:cNvPr>
        <xdr:cNvSpPr/>
      </xdr:nvSpPr>
      <xdr:spPr>
        <a:xfrm>
          <a:off x="568325" y="2381703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Vendors</a:t>
          </a:r>
        </a:p>
      </xdr:txBody>
    </xdr:sp>
    <xdr:clientData/>
  </xdr:twoCellAnchor>
  <xdr:twoCellAnchor editAs="absolute">
    <xdr:from>
      <xdr:col>1</xdr:col>
      <xdr:colOff>349250</xdr:colOff>
      <xdr:row>8</xdr:row>
      <xdr:rowOff>56242</xdr:rowOff>
    </xdr:from>
    <xdr:to>
      <xdr:col>1</xdr:col>
      <xdr:colOff>1524000</xdr:colOff>
      <xdr:row>9</xdr:row>
      <xdr:rowOff>68942</xdr:rowOff>
    </xdr:to>
    <xdr:sp macro="" textlink="">
      <xdr:nvSpPr>
        <xdr:cNvPr id="8" name="Rectangl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93C2923-C33B-4B53-B0BE-3AD0B7C5D606}"/>
            </a:ext>
          </a:extLst>
        </xdr:cNvPr>
        <xdr:cNvSpPr/>
      </xdr:nvSpPr>
      <xdr:spPr>
        <a:xfrm>
          <a:off x="568325" y="2723242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Products</a:t>
          </a:r>
        </a:p>
      </xdr:txBody>
    </xdr:sp>
    <xdr:clientData/>
  </xdr:twoCellAnchor>
  <xdr:twoCellAnchor editAs="absolute">
    <xdr:from>
      <xdr:col>1</xdr:col>
      <xdr:colOff>349250</xdr:colOff>
      <xdr:row>9</xdr:row>
      <xdr:rowOff>64406</xdr:rowOff>
    </xdr:from>
    <xdr:to>
      <xdr:col>1</xdr:col>
      <xdr:colOff>1524000</xdr:colOff>
      <xdr:row>10</xdr:row>
      <xdr:rowOff>77106</xdr:rowOff>
    </xdr:to>
    <xdr:sp macro="" textlink="">
      <xdr:nvSpPr>
        <xdr:cNvPr id="9" name="Rectangl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213A7D6C-7944-480C-BAA9-5C6BC052F032}"/>
            </a:ext>
          </a:extLst>
        </xdr:cNvPr>
        <xdr:cNvSpPr/>
      </xdr:nvSpPr>
      <xdr:spPr>
        <a:xfrm>
          <a:off x="568325" y="3064781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New Entry</a:t>
          </a:r>
        </a:p>
      </xdr:txBody>
    </xdr:sp>
    <xdr:clientData/>
  </xdr:twoCellAnchor>
  <xdr:twoCellAnchor editAs="absolute">
    <xdr:from>
      <xdr:col>1</xdr:col>
      <xdr:colOff>349250</xdr:colOff>
      <xdr:row>10</xdr:row>
      <xdr:rowOff>72570</xdr:rowOff>
    </xdr:from>
    <xdr:to>
      <xdr:col>1</xdr:col>
      <xdr:colOff>1524000</xdr:colOff>
      <xdr:row>11</xdr:row>
      <xdr:rowOff>85270</xdr:rowOff>
    </xdr:to>
    <xdr:sp macro="" textlink="">
      <xdr:nvSpPr>
        <xdr:cNvPr id="10" name="Rectangle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4080FA5-DB1E-43DC-80EF-1E4B0D6AD6B3}"/>
            </a:ext>
          </a:extLst>
        </xdr:cNvPr>
        <xdr:cNvSpPr/>
      </xdr:nvSpPr>
      <xdr:spPr>
        <a:xfrm>
          <a:off x="568325" y="340632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Purchase</a:t>
          </a:r>
        </a:p>
      </xdr:txBody>
    </xdr:sp>
    <xdr:clientData/>
  </xdr:twoCellAnchor>
  <xdr:twoCellAnchor editAs="absolute">
    <xdr:from>
      <xdr:col>1</xdr:col>
      <xdr:colOff>349250</xdr:colOff>
      <xdr:row>11</xdr:row>
      <xdr:rowOff>80734</xdr:rowOff>
    </xdr:from>
    <xdr:to>
      <xdr:col>1</xdr:col>
      <xdr:colOff>1524000</xdr:colOff>
      <xdr:row>12</xdr:row>
      <xdr:rowOff>93434</xdr:rowOff>
    </xdr:to>
    <xdr:sp macro="" textlink="">
      <xdr:nvSpPr>
        <xdr:cNvPr id="11" name="Rectangl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EA8C651-3336-414A-BF2F-ADA4EA4F4E35}"/>
            </a:ext>
          </a:extLst>
        </xdr:cNvPr>
        <xdr:cNvSpPr/>
      </xdr:nvSpPr>
      <xdr:spPr>
        <a:xfrm>
          <a:off x="568325" y="3747859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</xdr:col>
      <xdr:colOff>349250</xdr:colOff>
      <xdr:row>12</xdr:row>
      <xdr:rowOff>88900</xdr:rowOff>
    </xdr:from>
    <xdr:to>
      <xdr:col>1</xdr:col>
      <xdr:colOff>1524000</xdr:colOff>
      <xdr:row>13</xdr:row>
      <xdr:rowOff>101600</xdr:rowOff>
    </xdr:to>
    <xdr:sp macro="" textlink="">
      <xdr:nvSpPr>
        <xdr:cNvPr id="12" name="Rectangle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AE6F5B6-5C64-48EF-9EBB-201438F5399E}"/>
            </a:ext>
          </a:extLst>
        </xdr:cNvPr>
        <xdr:cNvSpPr/>
      </xdr:nvSpPr>
      <xdr:spPr>
        <a:xfrm>
          <a:off x="568325" y="4089400"/>
          <a:ext cx="1174750" cy="346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/>
              </a:solidFill>
            </a:rPr>
            <a:t>Inventory</a:t>
          </a:r>
        </a:p>
      </xdr:txBody>
    </xdr:sp>
    <xdr:clientData/>
  </xdr:twoCellAnchor>
  <xdr:twoCellAnchor editAs="absolute">
    <xdr:from>
      <xdr:col>1</xdr:col>
      <xdr:colOff>82550</xdr:colOff>
      <xdr:row>12</xdr:row>
      <xdr:rowOff>82550</xdr:rowOff>
    </xdr:from>
    <xdr:to>
      <xdr:col>1</xdr:col>
      <xdr:colOff>334550</xdr:colOff>
      <xdr:row>13</xdr:row>
      <xdr:rowOff>4350</xdr:rowOff>
    </xdr:to>
    <xdr:pic>
      <xdr:nvPicPr>
        <xdr:cNvPr id="13" name="Graphic 12" descr="Clipboard Partially Checked with solid fill">
          <a:extLst>
            <a:ext uri="{FF2B5EF4-FFF2-40B4-BE49-F238E27FC236}">
              <a16:creationId xmlns:a16="http://schemas.microsoft.com/office/drawing/2014/main" id="{C5D04E13-0789-4D3A-A06A-C056ECBB5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301625" y="40830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10</xdr:row>
      <xdr:rowOff>111900</xdr:rowOff>
    </xdr:from>
    <xdr:to>
      <xdr:col>1</xdr:col>
      <xdr:colOff>334550</xdr:colOff>
      <xdr:row>11</xdr:row>
      <xdr:rowOff>33700</xdr:rowOff>
    </xdr:to>
    <xdr:pic>
      <xdr:nvPicPr>
        <xdr:cNvPr id="14" name="Graphic 13" descr="Receipt with solid fill">
          <a:extLst>
            <a:ext uri="{FF2B5EF4-FFF2-40B4-BE49-F238E27FC236}">
              <a16:creationId xmlns:a16="http://schemas.microsoft.com/office/drawing/2014/main" id="{6EA0D316-51BB-4E27-8A99-8EF3029DA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301625" y="3445650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11</xdr:row>
      <xdr:rowOff>96800</xdr:rowOff>
    </xdr:from>
    <xdr:to>
      <xdr:col>1</xdr:col>
      <xdr:colOff>334550</xdr:colOff>
      <xdr:row>12</xdr:row>
      <xdr:rowOff>18600</xdr:rowOff>
    </xdr:to>
    <xdr:pic>
      <xdr:nvPicPr>
        <xdr:cNvPr id="15" name="Graphic 14" descr="Register with solid fill">
          <a:extLst>
            <a:ext uri="{FF2B5EF4-FFF2-40B4-BE49-F238E27FC236}">
              <a16:creationId xmlns:a16="http://schemas.microsoft.com/office/drawing/2014/main" id="{77C2C2DB-EFEB-4E30-BFBC-1B932AD1C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01625" y="3763925"/>
          <a:ext cx="252000" cy="255175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9</xdr:row>
      <xdr:rowOff>56300</xdr:rowOff>
    </xdr:from>
    <xdr:to>
      <xdr:col>1</xdr:col>
      <xdr:colOff>334550</xdr:colOff>
      <xdr:row>9</xdr:row>
      <xdr:rowOff>308300</xdr:rowOff>
    </xdr:to>
    <xdr:pic>
      <xdr:nvPicPr>
        <xdr:cNvPr id="16" name="Graphic 15" descr="Full Brick Wall with solid fill">
          <a:extLst>
            <a:ext uri="{FF2B5EF4-FFF2-40B4-BE49-F238E27FC236}">
              <a16:creationId xmlns:a16="http://schemas.microsoft.com/office/drawing/2014/main" id="{E56929FD-6208-43D7-9912-DBCAD7C6F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01625" y="3056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6</xdr:row>
      <xdr:rowOff>41200</xdr:rowOff>
    </xdr:from>
    <xdr:to>
      <xdr:col>1</xdr:col>
      <xdr:colOff>334550</xdr:colOff>
      <xdr:row>6</xdr:row>
      <xdr:rowOff>293200</xdr:rowOff>
    </xdr:to>
    <xdr:pic>
      <xdr:nvPicPr>
        <xdr:cNvPr id="17" name="Graphic 16" descr="User with solid fill">
          <a:extLst>
            <a:ext uri="{FF2B5EF4-FFF2-40B4-BE49-F238E27FC236}">
              <a16:creationId xmlns:a16="http://schemas.microsoft.com/office/drawing/2014/main" id="{D343BA8F-BA66-41EC-B416-A107197F8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301625" y="20414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7</xdr:row>
      <xdr:rowOff>7050</xdr:rowOff>
    </xdr:from>
    <xdr:to>
      <xdr:col>1</xdr:col>
      <xdr:colOff>334550</xdr:colOff>
      <xdr:row>7</xdr:row>
      <xdr:rowOff>259050</xdr:rowOff>
    </xdr:to>
    <xdr:pic>
      <xdr:nvPicPr>
        <xdr:cNvPr id="18" name="Graphic 17" descr="User outline">
          <a:extLst>
            <a:ext uri="{FF2B5EF4-FFF2-40B4-BE49-F238E27FC236}">
              <a16:creationId xmlns:a16="http://schemas.microsoft.com/office/drawing/2014/main" id="{C0D96540-10F4-49E9-8F90-A3F0B0993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301625" y="2340675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8</xdr:row>
      <xdr:rowOff>31750</xdr:rowOff>
    </xdr:from>
    <xdr:to>
      <xdr:col>1</xdr:col>
      <xdr:colOff>334550</xdr:colOff>
      <xdr:row>8</xdr:row>
      <xdr:rowOff>283750</xdr:rowOff>
    </xdr:to>
    <xdr:pic>
      <xdr:nvPicPr>
        <xdr:cNvPr id="19" name="Graphic 18" descr="Inventory outline">
          <a:extLst>
            <a:ext uri="{FF2B5EF4-FFF2-40B4-BE49-F238E27FC236}">
              <a16:creationId xmlns:a16="http://schemas.microsoft.com/office/drawing/2014/main" id="{C3D4C40C-B607-47DD-896F-77D2DD76D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301625" y="26987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2</xdr:col>
      <xdr:colOff>224745</xdr:colOff>
      <xdr:row>1</xdr:row>
      <xdr:rowOff>6350</xdr:rowOff>
    </xdr:from>
    <xdr:to>
      <xdr:col>33</xdr:col>
      <xdr:colOff>174236</xdr:colOff>
      <xdr:row>3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6079B4AC-BC20-455E-B30E-A8A709DAB08A}"/>
            </a:ext>
          </a:extLst>
        </xdr:cNvPr>
        <xdr:cNvSpPr/>
      </xdr:nvSpPr>
      <xdr:spPr>
        <a:xfrm>
          <a:off x="2377395" y="339725"/>
          <a:ext cx="39141846" cy="679450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800">
              <a:solidFill>
                <a:sysClr val="windowText" lastClr="000000"/>
              </a:solidFill>
            </a:rPr>
            <a:t>Transfer Entry - IHC</a:t>
          </a:r>
          <a:endParaRPr lang="en-IN" sz="2800" b="0" kern="12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158464</xdr:colOff>
      <xdr:row>0</xdr:row>
      <xdr:rowOff>160533</xdr:rowOff>
    </xdr:from>
    <xdr:to>
      <xdr:col>1</xdr:col>
      <xdr:colOff>1808679</xdr:colOff>
      <xdr:row>4</xdr:row>
      <xdr:rowOff>181936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91BF80C6-9908-42D3-867A-E09023B77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72509" y="160533"/>
          <a:ext cx="1650215" cy="1348482"/>
        </a:xfrm>
        <a:prstGeom prst="rect">
          <a:avLst/>
        </a:prstGeom>
      </xdr:spPr>
    </xdr:pic>
    <xdr:clientData/>
  </xdr:twoCellAnchor>
  <xdr:twoCellAnchor editAs="absolute">
    <xdr:from>
      <xdr:col>1</xdr:col>
      <xdr:colOff>38099</xdr:colOff>
      <xdr:row>3</xdr:row>
      <xdr:rowOff>267556</xdr:rowOff>
    </xdr:from>
    <xdr:to>
      <xdr:col>1</xdr:col>
      <xdr:colOff>1872892</xdr:colOff>
      <xdr:row>4</xdr:row>
      <xdr:rowOff>241300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06CFB95-8DAF-425B-B540-0A55F7A5B8AD}"/>
            </a:ext>
          </a:extLst>
        </xdr:cNvPr>
        <xdr:cNvSpPr/>
      </xdr:nvSpPr>
      <xdr:spPr>
        <a:xfrm>
          <a:off x="252144" y="1262865"/>
          <a:ext cx="1834793" cy="3055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Indian Heritage Carfts</a:t>
          </a:r>
          <a:endParaRPr lang="en-IN" sz="12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absolute">
    <xdr:from>
      <xdr:col>1</xdr:col>
      <xdr:colOff>349250</xdr:colOff>
      <xdr:row>5</xdr:row>
      <xdr:rowOff>31750</xdr:rowOff>
    </xdr:from>
    <xdr:to>
      <xdr:col>1</xdr:col>
      <xdr:colOff>1524000</xdr:colOff>
      <xdr:row>6</xdr:row>
      <xdr:rowOff>44450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F593ED-5053-45E1-92A9-F6CE3373E038}"/>
            </a:ext>
          </a:extLst>
        </xdr:cNvPr>
        <xdr:cNvSpPr/>
      </xdr:nvSpPr>
      <xdr:spPr>
        <a:xfrm>
          <a:off x="558800" y="168275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Dashboard</a:t>
          </a:r>
        </a:p>
      </xdr:txBody>
    </xdr:sp>
    <xdr:clientData/>
  </xdr:twoCellAnchor>
  <xdr:twoCellAnchor editAs="absolute">
    <xdr:from>
      <xdr:col>1</xdr:col>
      <xdr:colOff>82550</xdr:colOff>
      <xdr:row>5</xdr:row>
      <xdr:rowOff>19050</xdr:rowOff>
    </xdr:from>
    <xdr:to>
      <xdr:col>1</xdr:col>
      <xdr:colOff>412750</xdr:colOff>
      <xdr:row>6</xdr:row>
      <xdr:rowOff>19050</xdr:rowOff>
    </xdr:to>
    <xdr:pic>
      <xdr:nvPicPr>
        <xdr:cNvPr id="5" name="Graphic 4" descr="Presentation with bar chart with solid fill">
          <a:extLst>
            <a:ext uri="{FF2B5EF4-FFF2-40B4-BE49-F238E27FC236}">
              <a16:creationId xmlns:a16="http://schemas.microsoft.com/office/drawing/2014/main" id="{2A19CA5C-54AD-4433-9C1B-271FD5C0E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92100" y="1670050"/>
          <a:ext cx="330200" cy="330200"/>
        </a:xfrm>
        <a:prstGeom prst="rect">
          <a:avLst/>
        </a:prstGeom>
      </xdr:spPr>
    </xdr:pic>
    <xdr:clientData/>
  </xdr:twoCellAnchor>
  <xdr:twoCellAnchor editAs="absolute">
    <xdr:from>
      <xdr:col>1</xdr:col>
      <xdr:colOff>349250</xdr:colOff>
      <xdr:row>6</xdr:row>
      <xdr:rowOff>39914</xdr:rowOff>
    </xdr:from>
    <xdr:to>
      <xdr:col>1</xdr:col>
      <xdr:colOff>1524000</xdr:colOff>
      <xdr:row>7</xdr:row>
      <xdr:rowOff>52614</xdr:rowOff>
    </xdr:to>
    <xdr:sp macro="" textlink="">
      <xdr:nvSpPr>
        <xdr:cNvPr id="6" name="Rectangl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51D0C06-1155-49A3-8691-6B2230A6D82B}"/>
            </a:ext>
          </a:extLst>
        </xdr:cNvPr>
        <xdr:cNvSpPr/>
      </xdr:nvSpPr>
      <xdr:spPr>
        <a:xfrm>
          <a:off x="558800" y="2021114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Customers</a:t>
          </a:r>
        </a:p>
      </xdr:txBody>
    </xdr:sp>
    <xdr:clientData/>
  </xdr:twoCellAnchor>
  <xdr:twoCellAnchor editAs="absolute">
    <xdr:from>
      <xdr:col>1</xdr:col>
      <xdr:colOff>349250</xdr:colOff>
      <xdr:row>7</xdr:row>
      <xdr:rowOff>48078</xdr:rowOff>
    </xdr:from>
    <xdr:to>
      <xdr:col>1</xdr:col>
      <xdr:colOff>1524000</xdr:colOff>
      <xdr:row>8</xdr:row>
      <xdr:rowOff>60778</xdr:rowOff>
    </xdr:to>
    <xdr:sp macro="" textlink="">
      <xdr:nvSpPr>
        <xdr:cNvPr id="7" name="Rectangle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5E33F8FB-3DE3-4465-BDB5-AC83908CC88B}"/>
            </a:ext>
          </a:extLst>
        </xdr:cNvPr>
        <xdr:cNvSpPr/>
      </xdr:nvSpPr>
      <xdr:spPr>
        <a:xfrm>
          <a:off x="558800" y="2359478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Vendors</a:t>
          </a:r>
        </a:p>
      </xdr:txBody>
    </xdr:sp>
    <xdr:clientData/>
  </xdr:twoCellAnchor>
  <xdr:twoCellAnchor editAs="absolute">
    <xdr:from>
      <xdr:col>1</xdr:col>
      <xdr:colOff>349250</xdr:colOff>
      <xdr:row>8</xdr:row>
      <xdr:rowOff>56242</xdr:rowOff>
    </xdr:from>
    <xdr:to>
      <xdr:col>1</xdr:col>
      <xdr:colOff>1524000</xdr:colOff>
      <xdr:row>9</xdr:row>
      <xdr:rowOff>68942</xdr:rowOff>
    </xdr:to>
    <xdr:sp macro="" textlink="">
      <xdr:nvSpPr>
        <xdr:cNvPr id="8" name="Rectangl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5D40403-711A-481C-9210-9E3E61FFF5CB}"/>
            </a:ext>
          </a:extLst>
        </xdr:cNvPr>
        <xdr:cNvSpPr/>
      </xdr:nvSpPr>
      <xdr:spPr>
        <a:xfrm>
          <a:off x="558800" y="2697842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Products</a:t>
          </a:r>
        </a:p>
      </xdr:txBody>
    </xdr:sp>
    <xdr:clientData/>
  </xdr:twoCellAnchor>
  <xdr:twoCellAnchor editAs="absolute">
    <xdr:from>
      <xdr:col>1</xdr:col>
      <xdr:colOff>349250</xdr:colOff>
      <xdr:row>9</xdr:row>
      <xdr:rowOff>64406</xdr:rowOff>
    </xdr:from>
    <xdr:to>
      <xdr:col>1</xdr:col>
      <xdr:colOff>1524000</xdr:colOff>
      <xdr:row>10</xdr:row>
      <xdr:rowOff>77106</xdr:rowOff>
    </xdr:to>
    <xdr:sp macro="" textlink="">
      <xdr:nvSpPr>
        <xdr:cNvPr id="9" name="Rectangl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DB2AB66-E098-4C3B-BAA1-5C63BA49A16D}"/>
            </a:ext>
          </a:extLst>
        </xdr:cNvPr>
        <xdr:cNvSpPr/>
      </xdr:nvSpPr>
      <xdr:spPr>
        <a:xfrm>
          <a:off x="558800" y="3036206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New Entry</a:t>
          </a:r>
        </a:p>
      </xdr:txBody>
    </xdr:sp>
    <xdr:clientData/>
  </xdr:twoCellAnchor>
  <xdr:twoCellAnchor editAs="absolute">
    <xdr:from>
      <xdr:col>1</xdr:col>
      <xdr:colOff>349250</xdr:colOff>
      <xdr:row>10</xdr:row>
      <xdr:rowOff>72570</xdr:rowOff>
    </xdr:from>
    <xdr:to>
      <xdr:col>1</xdr:col>
      <xdr:colOff>1524000</xdr:colOff>
      <xdr:row>11</xdr:row>
      <xdr:rowOff>85270</xdr:rowOff>
    </xdr:to>
    <xdr:sp macro="" textlink="">
      <xdr:nvSpPr>
        <xdr:cNvPr id="10" name="Rectangle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9BF4B8E-F995-4DF9-92E4-FD420B98F3A1}"/>
            </a:ext>
          </a:extLst>
        </xdr:cNvPr>
        <xdr:cNvSpPr/>
      </xdr:nvSpPr>
      <xdr:spPr>
        <a:xfrm>
          <a:off x="558800" y="337457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Purchase</a:t>
          </a:r>
        </a:p>
      </xdr:txBody>
    </xdr:sp>
    <xdr:clientData/>
  </xdr:twoCellAnchor>
  <xdr:twoCellAnchor editAs="absolute">
    <xdr:from>
      <xdr:col>1</xdr:col>
      <xdr:colOff>349250</xdr:colOff>
      <xdr:row>11</xdr:row>
      <xdr:rowOff>80734</xdr:rowOff>
    </xdr:from>
    <xdr:to>
      <xdr:col>1</xdr:col>
      <xdr:colOff>1524000</xdr:colOff>
      <xdr:row>12</xdr:row>
      <xdr:rowOff>93434</xdr:rowOff>
    </xdr:to>
    <xdr:sp macro="" textlink="">
      <xdr:nvSpPr>
        <xdr:cNvPr id="11" name="Rectangle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819BEDF-0EE3-4615-9DEF-C95A0628E1C2}"/>
            </a:ext>
          </a:extLst>
        </xdr:cNvPr>
        <xdr:cNvSpPr/>
      </xdr:nvSpPr>
      <xdr:spPr>
        <a:xfrm>
          <a:off x="558800" y="3712934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>
                  <a:lumMod val="50000"/>
                  <a:lumOff val="50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</xdr:col>
      <xdr:colOff>349250</xdr:colOff>
      <xdr:row>12</xdr:row>
      <xdr:rowOff>88900</xdr:rowOff>
    </xdr:from>
    <xdr:to>
      <xdr:col>1</xdr:col>
      <xdr:colOff>1524000</xdr:colOff>
      <xdr:row>13</xdr:row>
      <xdr:rowOff>101600</xdr:rowOff>
    </xdr:to>
    <xdr:sp macro="" textlink="">
      <xdr:nvSpPr>
        <xdr:cNvPr id="12" name="Rectangle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9BFD10E6-8D08-422E-A565-8D55D6809BAF}"/>
            </a:ext>
          </a:extLst>
        </xdr:cNvPr>
        <xdr:cNvSpPr/>
      </xdr:nvSpPr>
      <xdr:spPr>
        <a:xfrm>
          <a:off x="558800" y="4051300"/>
          <a:ext cx="117475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 kern="1200">
              <a:solidFill>
                <a:schemeClr val="tx1"/>
              </a:solidFill>
            </a:rPr>
            <a:t>Inventory</a:t>
          </a:r>
        </a:p>
      </xdr:txBody>
    </xdr:sp>
    <xdr:clientData/>
  </xdr:twoCellAnchor>
  <xdr:twoCellAnchor editAs="absolute">
    <xdr:from>
      <xdr:col>1</xdr:col>
      <xdr:colOff>82550</xdr:colOff>
      <xdr:row>12</xdr:row>
      <xdr:rowOff>82550</xdr:rowOff>
    </xdr:from>
    <xdr:to>
      <xdr:col>1</xdr:col>
      <xdr:colOff>334550</xdr:colOff>
      <xdr:row>13</xdr:row>
      <xdr:rowOff>4350</xdr:rowOff>
    </xdr:to>
    <xdr:pic>
      <xdr:nvPicPr>
        <xdr:cNvPr id="13" name="Graphic 12" descr="Clipboard Partially Checked with solid fill">
          <a:extLst>
            <a:ext uri="{FF2B5EF4-FFF2-40B4-BE49-F238E27FC236}">
              <a16:creationId xmlns:a16="http://schemas.microsoft.com/office/drawing/2014/main" id="{62B14616-6CC2-4D2A-AA17-555F9EFF2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92100" y="40449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10</xdr:row>
      <xdr:rowOff>111900</xdr:rowOff>
    </xdr:from>
    <xdr:to>
      <xdr:col>1</xdr:col>
      <xdr:colOff>334550</xdr:colOff>
      <xdr:row>11</xdr:row>
      <xdr:rowOff>33700</xdr:rowOff>
    </xdr:to>
    <xdr:pic>
      <xdr:nvPicPr>
        <xdr:cNvPr id="14" name="Graphic 13" descr="Receipt with solid fill">
          <a:extLst>
            <a:ext uri="{FF2B5EF4-FFF2-40B4-BE49-F238E27FC236}">
              <a16:creationId xmlns:a16="http://schemas.microsoft.com/office/drawing/2014/main" id="{9E70EAB9-4217-4AAA-B565-F7E6CAB86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292100" y="34139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11</xdr:row>
      <xdr:rowOff>96800</xdr:rowOff>
    </xdr:from>
    <xdr:to>
      <xdr:col>1</xdr:col>
      <xdr:colOff>334550</xdr:colOff>
      <xdr:row>12</xdr:row>
      <xdr:rowOff>18600</xdr:rowOff>
    </xdr:to>
    <xdr:pic>
      <xdr:nvPicPr>
        <xdr:cNvPr id="15" name="Graphic 14" descr="Register with solid fill">
          <a:extLst>
            <a:ext uri="{FF2B5EF4-FFF2-40B4-BE49-F238E27FC236}">
              <a16:creationId xmlns:a16="http://schemas.microsoft.com/office/drawing/2014/main" id="{D71CFC21-5439-4E69-8281-EAE6C1C20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92100" y="37290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9</xdr:row>
      <xdr:rowOff>56300</xdr:rowOff>
    </xdr:from>
    <xdr:to>
      <xdr:col>1</xdr:col>
      <xdr:colOff>334550</xdr:colOff>
      <xdr:row>9</xdr:row>
      <xdr:rowOff>308300</xdr:rowOff>
    </xdr:to>
    <xdr:pic>
      <xdr:nvPicPr>
        <xdr:cNvPr id="16" name="Graphic 15" descr="Full Brick Wall with solid fill">
          <a:extLst>
            <a:ext uri="{FF2B5EF4-FFF2-40B4-BE49-F238E27FC236}">
              <a16:creationId xmlns:a16="http://schemas.microsoft.com/office/drawing/2014/main" id="{B7B43551-73CE-4D86-B8A4-E87E395AE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292100" y="30281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6</xdr:row>
      <xdr:rowOff>41200</xdr:rowOff>
    </xdr:from>
    <xdr:to>
      <xdr:col>1</xdr:col>
      <xdr:colOff>334550</xdr:colOff>
      <xdr:row>6</xdr:row>
      <xdr:rowOff>293200</xdr:rowOff>
    </xdr:to>
    <xdr:pic>
      <xdr:nvPicPr>
        <xdr:cNvPr id="17" name="Graphic 16" descr="User with solid fill">
          <a:extLst>
            <a:ext uri="{FF2B5EF4-FFF2-40B4-BE49-F238E27FC236}">
              <a16:creationId xmlns:a16="http://schemas.microsoft.com/office/drawing/2014/main" id="{5DCA7695-0153-4B49-A6FB-A5C634CA1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292100" y="202240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7</xdr:row>
      <xdr:rowOff>7050</xdr:rowOff>
    </xdr:from>
    <xdr:to>
      <xdr:col>1</xdr:col>
      <xdr:colOff>334550</xdr:colOff>
      <xdr:row>7</xdr:row>
      <xdr:rowOff>259050</xdr:rowOff>
    </xdr:to>
    <xdr:pic>
      <xdr:nvPicPr>
        <xdr:cNvPr id="18" name="Graphic 17" descr="User outline">
          <a:extLst>
            <a:ext uri="{FF2B5EF4-FFF2-40B4-BE49-F238E27FC236}">
              <a16:creationId xmlns:a16="http://schemas.microsoft.com/office/drawing/2014/main" id="{57CE1B90-0A98-4FC2-A4C8-A63A3B804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92100" y="23184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1</xdr:col>
      <xdr:colOff>82550</xdr:colOff>
      <xdr:row>8</xdr:row>
      <xdr:rowOff>31750</xdr:rowOff>
    </xdr:from>
    <xdr:to>
      <xdr:col>1</xdr:col>
      <xdr:colOff>334550</xdr:colOff>
      <xdr:row>8</xdr:row>
      <xdr:rowOff>283750</xdr:rowOff>
    </xdr:to>
    <xdr:pic>
      <xdr:nvPicPr>
        <xdr:cNvPr id="19" name="Graphic 18" descr="Inventory outline">
          <a:extLst>
            <a:ext uri="{FF2B5EF4-FFF2-40B4-BE49-F238E27FC236}">
              <a16:creationId xmlns:a16="http://schemas.microsoft.com/office/drawing/2014/main" id="{BFD17D1E-3EDB-46AF-B069-44A569C40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292100" y="2673350"/>
          <a:ext cx="252000" cy="252000"/>
        </a:xfrm>
        <a:prstGeom prst="rect">
          <a:avLst/>
        </a:prstGeom>
      </xdr:spPr>
    </xdr:pic>
    <xdr:clientData/>
  </xdr:twoCellAnchor>
  <xdr:twoCellAnchor editAs="absolute">
    <xdr:from>
      <xdr:col>2</xdr:col>
      <xdr:colOff>224745</xdr:colOff>
      <xdr:row>1</xdr:row>
      <xdr:rowOff>6350</xdr:rowOff>
    </xdr:from>
    <xdr:to>
      <xdr:col>37</xdr:col>
      <xdr:colOff>652837</xdr:colOff>
      <xdr:row>3</xdr:row>
      <xdr:rowOff>19050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88B40623-EAA9-4C50-8952-54A86BC7C765}"/>
            </a:ext>
          </a:extLst>
        </xdr:cNvPr>
        <xdr:cNvSpPr/>
      </xdr:nvSpPr>
      <xdr:spPr>
        <a:xfrm>
          <a:off x="2375897" y="338120"/>
          <a:ext cx="55844328" cy="676239"/>
        </a:xfrm>
        <a:prstGeom prst="rect">
          <a:avLst/>
        </a:prstGeom>
        <a:solidFill>
          <a:schemeClr val="bg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2800" b="1" kern="1200">
              <a:solidFill>
                <a:schemeClr val="tx1"/>
              </a:solidFill>
            </a:rPr>
            <a:t>  Inventory &amp; Stock - IHC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ish" refreshedDate="45771.039004513892" createdVersion="8" refreshedVersion="8" minRefreshableVersion="3" recordCount="17" xr:uid="{8856BFE3-4E2E-48FE-88A4-DC6774F55FFF}">
  <cacheSource type="worksheet">
    <worksheetSource name="purchase"/>
  </cacheSource>
  <cacheFields count="7">
    <cacheField name="HSN Code" numFmtId="0">
      <sharedItems containsBlank="1"/>
    </cacheField>
    <cacheField name="Product Name" numFmtId="0">
      <sharedItems/>
    </cacheField>
    <cacheField name="Vendor" numFmtId="0">
      <sharedItems/>
    </cacheField>
    <cacheField name="Date" numFmtId="0">
      <sharedItems containsNonDate="0" containsDate="1" containsString="0" containsBlank="1" minDate="2024-01-01T00:00:00" maxDate="2024-01-11T00:00:00"/>
    </cacheField>
    <cacheField name="Units" numFmtId="0">
      <sharedItems containsString="0" containsBlank="1" containsNumber="1" containsInteger="1" minValue="2" maxValue="100"/>
    </cacheField>
    <cacheField name="Cost" numFmtId="42">
      <sharedItems/>
    </cacheField>
    <cacheField name="Amount" numFmtId="42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ish" refreshedDate="45771.537225347223" createdVersion="8" refreshedVersion="8" minRefreshableVersion="3" recordCount="16" xr:uid="{BD969CCC-5601-437B-9FAA-F3CEFBDEA6DA}">
  <cacheSource type="worksheet">
    <worksheetSource name="sales"/>
  </cacheSource>
  <cacheFields count="9">
    <cacheField name="Cust_ID" numFmtId="0">
      <sharedItems containsString="0" containsBlank="1" containsNumber="1" containsInteger="1" minValue="100" maxValue="106"/>
    </cacheField>
    <cacheField name="Cust_Name" numFmtId="0">
      <sharedItems count="8">
        <s v=""/>
        <s v="99store" u="1"/>
        <s v="Rajesh Kumar" u="1"/>
        <s v="Atul Ltd." u="1"/>
        <s v="Ram sales" u="1"/>
        <s v="MK Tech." u="1"/>
        <s v="Amit " u="1"/>
        <s v="Jain Tel." u="1"/>
      </sharedItems>
    </cacheField>
    <cacheField name="HSN Code" numFmtId="0">
      <sharedItems containsBlank="1"/>
    </cacheField>
    <cacheField name="Product Name" numFmtId="0">
      <sharedItems count="10">
        <s v=""/>
        <s v="Headphones" u="1"/>
        <s v="Rgb Keyboard" u="1"/>
        <s v="Desktop" u="1"/>
        <s v="Laptop HP xyz i5" u="1"/>
        <s v="Tablets" u="1"/>
        <s v="Speakers" u="1"/>
        <s v="Smart Watch" u="1"/>
        <s v="Camera" u="1"/>
        <s v="Wireless Printer" u="1"/>
      </sharedItems>
    </cacheField>
    <cacheField name="Date" numFmtId="0">
      <sharedItems containsNonDate="0" containsDate="1" containsString="0" containsBlank="1" minDate="2024-01-01T00:00:00" maxDate="2024-01-09T00:00:00"/>
    </cacheField>
    <cacheField name="Stock(Units)" numFmtId="0">
      <sharedItems containsMixedTypes="1" containsNumber="1" containsInteger="1" minValue="0" maxValue="0"/>
    </cacheField>
    <cacheField name="Units" numFmtId="0">
      <sharedItems containsString="0" containsBlank="1" containsNumber="1" containsInteger="1" minValue="4" maxValue="55"/>
    </cacheField>
    <cacheField name="Price" numFmtId="42">
      <sharedItems/>
    </cacheField>
    <cacheField name="Amount" numFmtId="42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ish" refreshedDate="45773.848872569448" createdVersion="8" refreshedVersion="8" minRefreshableVersion="3" recordCount="13" xr:uid="{F3907C08-C420-4812-A5AB-11EEF3607E42}">
  <cacheSource type="worksheet">
    <worksheetSource name="Table7"/>
  </cacheSource>
  <cacheFields count="35">
    <cacheField name="Inventory_ID" numFmtId="0">
      <sharedItems/>
    </cacheField>
    <cacheField name="Product_ID" numFmtId="0">
      <sharedItems containsNonDate="0" containsString="0" containsBlank="1"/>
    </cacheField>
    <cacheField name="SKU" numFmtId="0">
      <sharedItems containsNonDate="0" containsString="0" containsBlank="1"/>
    </cacheField>
    <cacheField name="Batch Number" numFmtId="0">
      <sharedItems containsNonDate="0" containsString="0" containsBlank="1"/>
    </cacheField>
    <cacheField name="Warehouse_ID" numFmtId="0">
      <sharedItems containsNonDate="0" containsString="0" containsBlank="1"/>
    </cacheField>
    <cacheField name="Location" numFmtId="0">
      <sharedItems containsNonDate="0" containsString="0" containsBlank="1"/>
    </cacheField>
    <cacheField name="Opening Stock" numFmtId="164">
      <sharedItems containsNonDate="0" containsString="0" containsBlank="1"/>
    </cacheField>
    <cacheField name="Current Stock" numFmtId="0">
      <sharedItems containsNonDate="0" containsString="0" containsBlank="1"/>
    </cacheField>
    <cacheField name="Reserved Quantity" numFmtId="0">
      <sharedItems containsNonDate="0" containsString="0" containsBlank="1"/>
    </cacheField>
    <cacheField name="Incoming Quantity" numFmtId="0">
      <sharedItems containsNonDate="0" containsString="0" containsBlank="1"/>
    </cacheField>
    <cacheField name="Minimum Stock Level" numFmtId="0">
      <sharedItems containsNonDate="0" containsString="0" containsBlank="1"/>
    </cacheField>
    <cacheField name="Reorder Level" numFmtId="0">
      <sharedItems containsNonDate="0" containsString="0" containsBlank="1"/>
    </cacheField>
    <cacheField name="Reorder Quantity" numFmtId="0">
      <sharedItems containsNonDate="0" containsString="0" containsBlank="1"/>
    </cacheField>
    <cacheField name="Maximum Stock Level" numFmtId="0">
      <sharedItems containsNonDate="0" containsString="0" containsBlank="1"/>
    </cacheField>
    <cacheField name="Last Stock In Date" numFmtId="0">
      <sharedItems containsNonDate="0" containsString="0" containsBlank="1"/>
    </cacheField>
    <cacheField name="Last Stock Out Date" numFmtId="0">
      <sharedItems containsNonDate="0" containsString="0" containsBlank="1"/>
    </cacheField>
    <cacheField name="Total Stock In" numFmtId="0">
      <sharedItems containsNonDate="0" containsString="0" containsBlank="1"/>
    </cacheField>
    <cacheField name="Total Stock Out" numFmtId="0">
      <sharedItems containsNonDate="0" containsString="0" containsBlank="1"/>
    </cacheField>
    <cacheField name="Stock Adjustment Qty" numFmtId="0">
      <sharedItems containsNonDate="0" containsString="0" containsBlank="1"/>
    </cacheField>
    <cacheField name="Stock Transfer Qty" numFmtId="0">
      <sharedItems containsNonDate="0" containsString="0" containsBlank="1"/>
    </cacheField>
    <cacheField name="Purchase Price" numFmtId="0">
      <sharedItems containsNonDate="0" containsString="0" containsBlank="1"/>
    </cacheField>
    <cacheField name="Cost Method" numFmtId="0">
      <sharedItems containsNonDate="0" containsString="0" containsBlank="1"/>
    </cacheField>
    <cacheField name="Inventory Value" numFmtId="0">
      <sharedItems containsNonDate="0" containsString="0" containsBlank="1"/>
    </cacheField>
    <cacheField name="MRP" numFmtId="0">
      <sharedItems containsNonDate="0" containsString="0" containsBlank="1"/>
    </cacheField>
    <cacheField name="Last Updated Date" numFmtId="0">
      <sharedItems containsNonDate="0" containsString="0" containsBlank="1"/>
    </cacheField>
    <cacheField name="Created Date" numFmtId="0">
      <sharedItems containsNonDate="0" containsString="0" containsBlank="1"/>
    </cacheField>
    <cacheField name="Last Purchase Date" numFmtId="0">
      <sharedItems containsNonDate="0" containsString="0" containsBlank="1"/>
    </cacheField>
    <cacheField name="Last Sale Date" numFmtId="0">
      <sharedItems containsNonDate="0" containsString="0" containsBlank="1"/>
    </cacheField>
    <cacheField name="Inventory Status" numFmtId="0">
      <sharedItems containsNonDate="0" containsString="0" containsBlank="1"/>
    </cacheField>
    <cacheField name="Is Damaged Stock" numFmtId="0">
      <sharedItems containsNonDate="0" containsString="0" containsBlank="1"/>
    </cacheField>
    <cacheField name="Is Returnable" numFmtId="0">
      <sharedItems containsNonDate="0" containsString="0" containsBlank="1"/>
    </cacheField>
    <cacheField name="Expiry Date" numFmtId="0">
      <sharedItems containsNonDate="0" containsString="0" containsBlank="1"/>
    </cacheField>
    <cacheField name="Serial Number Tracking" numFmtId="0">
      <sharedItems containsNonDate="0" containsString="0" containsBlank="1"/>
    </cacheField>
    <cacheField name="Weight &amp; Dimensions" numFmtId="0">
      <sharedItems containsNonDate="0" containsString="0" containsBlank="1"/>
    </cacheField>
    <cacheField name="Unit of Measur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ish" refreshedDate="45773.848873148148" createdVersion="8" refreshedVersion="8" minRefreshableVersion="3" recordCount="7" xr:uid="{021DD6FF-A0B7-42F2-B26A-302441D9AD64}">
  <cacheSource type="worksheet">
    <worksheetSource name="customersdata"/>
  </cacheSource>
  <cacheFields count="33">
    <cacheField name="Customer_ID" numFmtId="0">
      <sharedItems/>
    </cacheField>
    <cacheField name="Name" numFmtId="0">
      <sharedItems containsNonDate="0" containsString="0" containsBlank="1"/>
    </cacheField>
    <cacheField name="Email" numFmtId="0">
      <sharedItems containsNonDate="0" containsString="0" containsBlank="1"/>
    </cacheField>
    <cacheField name="Mobile Number" numFmtId="0">
      <sharedItems containsNonDate="0" containsString="0" containsBlank="1"/>
    </cacheField>
    <cacheField name="Date of Birth" numFmtId="0">
      <sharedItems containsNonDate="0" containsString="0" containsBlank="1"/>
    </cacheField>
    <cacheField name="Gender" numFmtId="0">
      <sharedItems containsNonDate="0" containsString="0" containsBlank="1"/>
    </cacheField>
    <cacheField name="Customer Type" numFmtId="0">
      <sharedItems containsNonDate="0" containsString="0" containsBlank="1"/>
    </cacheField>
    <cacheField name="Purchased From" numFmtId="0">
      <sharedItems containsNonDate="0" containsString="0" containsBlank="1"/>
    </cacheField>
    <cacheField name="Billing Address" numFmtId="0">
      <sharedItems containsNonDate="0" containsString="0" containsBlank="1"/>
    </cacheField>
    <cacheField name="Shipping Address" numFmtId="0">
      <sharedItems containsNonDate="0" containsString="0" containsBlank="1"/>
    </cacheField>
    <cacheField name="City" numFmtId="0">
      <sharedItems containsNonDate="0" containsString="0" containsBlank="1"/>
    </cacheField>
    <cacheField name="State" numFmtId="0">
      <sharedItems containsNonDate="0" containsString="0" containsBlank="1"/>
    </cacheField>
    <cacheField name="Country" numFmtId="0">
      <sharedItems containsNonDate="0" containsString="0" containsBlank="1"/>
    </cacheField>
    <cacheField name="ZIP Code" numFmtId="0">
      <sharedItems containsNonDate="0" containsString="0" containsBlank="1"/>
    </cacheField>
    <cacheField name="Last Login Date" numFmtId="0">
      <sharedItems containsNonDate="0" containsString="0" containsBlank="1"/>
    </cacheField>
    <cacheField name="Account Status" numFmtId="0">
      <sharedItems containsNonDate="0" containsString="0" containsBlank="1"/>
    </cacheField>
    <cacheField name="Company Name" numFmtId="0">
      <sharedItems containsNonDate="0" containsString="0" containsBlank="1"/>
    </cacheField>
    <cacheField name="GST Number / VAT ID" numFmtId="0">
      <sharedItems containsNonDate="0" containsString="0" containsBlank="1"/>
    </cacheField>
    <cacheField name="Contact Person" numFmtId="0">
      <sharedItems containsNonDate="0" containsString="0" containsBlank="1"/>
    </cacheField>
    <cacheField name="Preferred Payment Method" numFmtId="0">
      <sharedItems containsNonDate="0" containsString="0" containsBlank="1"/>
    </cacheField>
    <cacheField name="Wallet Balance / Credit Limit" numFmtId="0">
      <sharedItems containsNonDate="0" containsString="0" containsBlank="1"/>
    </cacheField>
    <cacheField name="Total Spend" numFmtId="0">
      <sharedItems containsNonDate="0" containsString="0" containsBlank="1"/>
    </cacheField>
    <cacheField name="Last Purchase Date" numFmtId="0">
      <sharedItems containsNonDate="0" containsString="0" containsBlank="1"/>
    </cacheField>
    <cacheField name="Average Order Value" numFmtId="0">
      <sharedItems containsNonDate="0" containsString="0" containsBlank="1"/>
    </cacheField>
    <cacheField name="Order Frequency" numFmtId="0">
      <sharedItems containsNonDate="0" containsString="0" containsBlank="1"/>
    </cacheField>
    <cacheField name="Total Orders" numFmtId="0">
      <sharedItems containsNonDate="0" containsString="0" containsBlank="1"/>
    </cacheField>
    <cacheField name="Returns/Refunds Count" numFmtId="0">
      <sharedItems containsNonDate="0" containsString="0" containsBlank="1"/>
    </cacheField>
    <cacheField name="Customer Notes" numFmtId="0">
      <sharedItems containsNonDate="0" containsString="0" containsBlank="1"/>
    </cacheField>
    <cacheField name="Newsletter Subscription" numFmtId="0">
      <sharedItems containsNonDate="0" containsString="0" containsBlank="1"/>
    </cacheField>
    <cacheField name="Preferred Contact Channel" numFmtId="0">
      <sharedItems containsNonDate="0" containsString="0" containsBlank="1"/>
    </cacheField>
    <cacheField name="Loyalty Points" numFmtId="0">
      <sharedItems containsNonDate="0" containsString="0" containsBlank="1"/>
    </cacheField>
    <cacheField name="Referral Code" numFmtId="0">
      <sharedItems containsNonDate="0" containsString="0" containsBlank="1"/>
    </cacheField>
    <cacheField name="Rating Scor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ish" refreshedDate="45773.848873495372" createdVersion="8" refreshedVersion="8" minRefreshableVersion="3" recordCount="10" xr:uid="{46C68DA8-791C-4DC6-B31E-EFB611E14972}">
  <cacheSource type="worksheet">
    <worksheetSource name="Table4"/>
  </cacheSource>
  <cacheFields count="41">
    <cacheField name="Product_ID" numFmtId="0">
      <sharedItems/>
    </cacheField>
    <cacheField name="HSN Code" numFmtId="0">
      <sharedItems containsNonDate="0" containsString="0" containsBlank="1"/>
    </cacheField>
    <cacheField name="Product Name" numFmtId="0">
      <sharedItems containsNonDate="0" containsString="0" containsBlank="1"/>
    </cacheField>
    <cacheField name="Product Description" numFmtId="0">
      <sharedItems containsNonDate="0" containsString="0" containsBlank="1"/>
    </cacheField>
    <cacheField name="Category ID" numFmtId="0">
      <sharedItems containsNonDate="0" containsString="0" containsBlank="1"/>
    </cacheField>
    <cacheField name="Brand ID" numFmtId="0">
      <sharedItems containsNonDate="0" containsString="0" containsBlank="1"/>
    </cacheField>
    <cacheField name="SKU" numFmtId="0">
      <sharedItems containsNonDate="0" containsString="0" containsBlank="1"/>
    </cacheField>
    <cacheField name="Barcode" numFmtId="0">
      <sharedItems containsNonDate="0" containsString="0" containsBlank="1"/>
    </cacheField>
    <cacheField name="Model Number" numFmtId="0">
      <sharedItems containsNonDate="0" containsString="0" containsBlank="1"/>
    </cacheField>
    <cacheField name="Stock Quantity" numFmtId="0">
      <sharedItems containsNonDate="0" containsString="0" containsBlank="1"/>
    </cacheField>
    <cacheField name="Reorder Level" numFmtId="0">
      <sharedItems containsNonDate="0" containsString="0" containsBlank="1"/>
    </cacheField>
    <cacheField name="Backorder Allowed" numFmtId="0">
      <sharedItems containsNonDate="0" containsString="0" containsBlank="1"/>
    </cacheField>
    <cacheField name="Warehouse Location" numFmtId="0">
      <sharedItems containsNonDate="0" containsString="0" containsBlank="1"/>
    </cacheField>
    <cacheField name="Lead Time (Days)" numFmtId="0">
      <sharedItems containsNonDate="0" containsString="0" containsBlank="1"/>
    </cacheField>
    <cacheField name="MRP" numFmtId="0">
      <sharedItems containsNonDate="0" containsString="0" containsBlank="1"/>
    </cacheField>
    <cacheField name="Discounted Price" numFmtId="0">
      <sharedItems containsNonDate="0" containsString="0" containsBlank="1"/>
    </cacheField>
    <cacheField name="Cost" numFmtId="42">
      <sharedItems containsNonDate="0" containsString="0" containsBlank="1"/>
    </cacheField>
    <cacheField name="Currency" numFmtId="42">
      <sharedItems containsNonDate="0" containsString="0" containsBlank="1"/>
    </cacheField>
    <cacheField name="Tax Rate (%)" numFmtId="42">
      <sharedItems containsNonDate="0" containsString="0" containsBlank="1"/>
    </cacheField>
    <cacheField name="Selling Price" numFmtId="42">
      <sharedItems containsNonDate="0" containsString="0" containsBlank="1"/>
    </cacheField>
    <cacheField name="Main Product Image URL" numFmtId="42">
      <sharedItems containsNonDate="0" containsString="0" containsBlank="1"/>
    </cacheField>
    <cacheField name="Product Video URL" numFmtId="42">
      <sharedItems containsNonDate="0" containsString="0" containsBlank="1"/>
    </cacheField>
    <cacheField name="Color" numFmtId="42">
      <sharedItems containsNonDate="0" containsString="0" containsBlank="1"/>
    </cacheField>
    <cacheField name="Size" numFmtId="42">
      <sharedItems containsNonDate="0" containsString="0" containsBlank="1"/>
    </cacheField>
    <cacheField name="Weight" numFmtId="42">
      <sharedItems containsNonDate="0" containsString="0" containsBlank="1"/>
    </cacheField>
    <cacheField name="Material" numFmtId="42">
      <sharedItems containsNonDate="0" containsString="0" containsBlank="1"/>
    </cacheField>
    <cacheField name="Dimensions (LxWxH)" numFmtId="42">
      <sharedItems containsNonDate="0" containsString="0" containsBlank="1"/>
    </cacheField>
    <cacheField name="Units Sold" numFmtId="42">
      <sharedItems containsNonDate="0" containsString="0" containsBlank="1"/>
    </cacheField>
    <cacheField name="Average Rating" numFmtId="42">
      <sharedItems containsNonDate="0" containsString="0" containsBlank="1"/>
    </cacheField>
    <cacheField name="Number of Reviews" numFmtId="42">
      <sharedItems containsNonDate="0" containsString="0" containsBlank="1"/>
    </cacheField>
    <cacheField name="Last Sold Date" numFmtId="42">
      <sharedItems containsNonDate="0" containsString="0" containsBlank="1"/>
    </cacheField>
    <cacheField name="Date Added" numFmtId="42">
      <sharedItems containsNonDate="0" containsString="0" containsBlank="1"/>
    </cacheField>
    <cacheField name="Date Updated" numFmtId="42">
      <sharedItems containsNonDate="0" containsString="0" containsBlank="1"/>
    </cacheField>
    <cacheField name="Published Status" numFmtId="42">
      <sharedItems containsNonDate="0" containsString="0" containsBlank="1"/>
    </cacheField>
    <cacheField name="Is Featured Product" numFmtId="42">
      <sharedItems containsNonDate="0" containsString="0" containsBlank="1"/>
    </cacheField>
    <cacheField name="Is New Arrival" numFmtId="42">
      <sharedItems containsNonDate="0" containsString="0" containsBlank="1"/>
    </cacheField>
    <cacheField name="Product Tags" numFmtId="42">
      <sharedItems containsNonDate="0" containsString="0" containsBlank="1"/>
    </cacheField>
    <cacheField name="Vendor ID" numFmtId="42">
      <sharedItems containsNonDate="0" containsString="0" containsBlank="1"/>
    </cacheField>
    <cacheField name="Warranty Period" numFmtId="42">
      <sharedItems containsNonDate="0" containsString="0" containsBlank="1"/>
    </cacheField>
    <cacheField name="Return Policy" numFmtId="42">
      <sharedItems containsNonDate="0" containsString="0" containsBlank="1"/>
    </cacheField>
    <cacheField name="Shipping Info / Weight Class" numFmtId="42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ish" refreshedDate="45773.848897916665" createdVersion="8" refreshedVersion="8" minRefreshableVersion="3" recordCount="13" xr:uid="{36934813-7A35-4093-B385-26048FB281A5}">
  <cacheSource type="worksheet">
    <worksheetSource name="Table7[[Inventory_ID]:[Opening Stock]]"/>
  </cacheSource>
  <cacheFields count="7">
    <cacheField name="Inventory_ID" numFmtId="0">
      <sharedItems/>
    </cacheField>
    <cacheField name="Product_ID" numFmtId="0">
      <sharedItems containsNonDate="0" containsString="0" containsBlank="1"/>
    </cacheField>
    <cacheField name="SKU" numFmtId="0">
      <sharedItems containsNonDate="0" containsString="0" containsBlank="1"/>
    </cacheField>
    <cacheField name="Batch Number" numFmtId="0">
      <sharedItems containsNonDate="0" containsString="0" containsBlank="1"/>
    </cacheField>
    <cacheField name="Warehouse_ID" numFmtId="0">
      <sharedItems containsNonDate="0" containsString="0" containsBlank="1"/>
    </cacheField>
    <cacheField name="Location" numFmtId="0">
      <sharedItems containsNonDate="0" containsString="0" containsBlank="1"/>
    </cacheField>
    <cacheField name="Opening Stock" numFmtId="16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s v="N1005"/>
    <s v=""/>
    <s v=""/>
    <d v="2024-01-01T00:00:00"/>
    <n v="20"/>
    <s v=""/>
    <s v=""/>
  </r>
  <r>
    <s v="N1008"/>
    <s v=""/>
    <s v=""/>
    <d v="2024-01-02T00:00:00"/>
    <n v="10"/>
    <s v=""/>
    <s v=""/>
  </r>
  <r>
    <s v="N1006"/>
    <s v=""/>
    <s v=""/>
    <d v="2024-01-03T00:00:00"/>
    <n v="50"/>
    <s v=""/>
    <s v=""/>
  </r>
  <r>
    <s v="N1004"/>
    <s v=""/>
    <s v=""/>
    <d v="2024-01-04T00:00:00"/>
    <n v="100"/>
    <s v=""/>
    <s v=""/>
  </r>
  <r>
    <s v="N1007"/>
    <s v=""/>
    <s v=""/>
    <d v="2024-01-05T00:00:00"/>
    <n v="20"/>
    <s v=""/>
    <s v=""/>
  </r>
  <r>
    <s v="N1001"/>
    <s v=""/>
    <s v=""/>
    <d v="2024-01-06T00:00:00"/>
    <n v="40"/>
    <s v=""/>
    <s v=""/>
  </r>
  <r>
    <s v="N1002"/>
    <s v=""/>
    <s v=""/>
    <d v="2024-01-07T00:00:00"/>
    <n v="30"/>
    <s v=""/>
    <s v=""/>
  </r>
  <r>
    <s v="N1003"/>
    <s v=""/>
    <s v=""/>
    <d v="2024-01-08T00:00:00"/>
    <n v="40"/>
    <s v=""/>
    <s v=""/>
  </r>
  <r>
    <s v="N1009"/>
    <s v=""/>
    <s v=""/>
    <d v="2024-01-09T00:00:00"/>
    <n v="55"/>
    <s v=""/>
    <s v=""/>
  </r>
  <r>
    <s v="N1010"/>
    <s v=""/>
    <s v=""/>
    <d v="2024-01-10T00:00:00"/>
    <n v="40"/>
    <s v=""/>
    <s v=""/>
  </r>
  <r>
    <s v="N1008"/>
    <s v=""/>
    <s v=""/>
    <d v="2024-01-10T00:00:00"/>
    <n v="35"/>
    <s v=""/>
    <s v=""/>
  </r>
  <r>
    <s v="N1007"/>
    <s v=""/>
    <s v=""/>
    <d v="2024-01-10T00:00:00"/>
    <n v="2"/>
    <s v=""/>
    <s v=""/>
  </r>
  <r>
    <s v="N1008"/>
    <s v=""/>
    <s v=""/>
    <d v="2024-01-10T00:00:00"/>
    <n v="10"/>
    <s v=""/>
    <s v=""/>
  </r>
  <r>
    <m/>
    <s v=""/>
    <s v=""/>
    <m/>
    <m/>
    <s v=""/>
    <s v=""/>
  </r>
  <r>
    <m/>
    <s v=""/>
    <s v=""/>
    <m/>
    <m/>
    <s v=""/>
    <s v=""/>
  </r>
  <r>
    <m/>
    <s v=""/>
    <s v=""/>
    <m/>
    <m/>
    <s v=""/>
    <s v=""/>
  </r>
  <r>
    <m/>
    <s v=""/>
    <s v=""/>
    <m/>
    <m/>
    <s v=""/>
    <s v="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n v="103"/>
    <x v="0"/>
    <s v="N1008"/>
    <x v="0"/>
    <d v="2024-01-01T00:00:00"/>
    <s v=""/>
    <n v="10"/>
    <s v=""/>
    <s v=""/>
  </r>
  <r>
    <n v="104"/>
    <x v="0"/>
    <s v="N1006"/>
    <x v="0"/>
    <d v="2024-01-02T00:00:00"/>
    <s v=""/>
    <n v="37"/>
    <s v=""/>
    <s v=""/>
  </r>
  <r>
    <n v="101"/>
    <x v="0"/>
    <s v="N1004"/>
    <x v="0"/>
    <d v="2024-01-03T00:00:00"/>
    <s v=""/>
    <n v="10"/>
    <s v=""/>
    <s v=""/>
  </r>
  <r>
    <n v="100"/>
    <x v="0"/>
    <s v="N1008"/>
    <x v="0"/>
    <d v="2024-01-04T00:00:00"/>
    <s v=""/>
    <n v="32"/>
    <s v=""/>
    <s v=""/>
  </r>
  <r>
    <n v="102"/>
    <x v="0"/>
    <s v="N1002"/>
    <x v="0"/>
    <d v="2024-01-05T00:00:00"/>
    <s v=""/>
    <n v="27"/>
    <s v=""/>
    <s v=""/>
  </r>
  <r>
    <n v="103"/>
    <x v="0"/>
    <s v="N1004"/>
    <x v="0"/>
    <d v="2024-01-06T00:00:00"/>
    <s v=""/>
    <n v="55"/>
    <s v=""/>
    <s v=""/>
  </r>
  <r>
    <n v="105"/>
    <x v="0"/>
    <s v="N1010"/>
    <x v="0"/>
    <d v="2024-01-07T00:00:00"/>
    <s v=""/>
    <n v="33"/>
    <s v=""/>
    <s v=""/>
  </r>
  <r>
    <n v="106"/>
    <x v="0"/>
    <s v="N1009"/>
    <x v="0"/>
    <d v="2024-01-08T00:00:00"/>
    <s v=""/>
    <n v="52"/>
    <s v=""/>
    <s v=""/>
  </r>
  <r>
    <n v="104"/>
    <x v="0"/>
    <s v="N1010"/>
    <x v="0"/>
    <d v="2024-01-08T00:00:00"/>
    <s v=""/>
    <n v="4"/>
    <s v=""/>
    <s v=""/>
  </r>
  <r>
    <n v="103"/>
    <x v="0"/>
    <s v="N1001"/>
    <x v="0"/>
    <d v="2024-01-08T00:00:00"/>
    <s v=""/>
    <n v="37"/>
    <s v=""/>
    <s v=""/>
  </r>
  <r>
    <n v="104"/>
    <x v="0"/>
    <s v="N1007"/>
    <x v="0"/>
    <d v="2024-01-08T00:00:00"/>
    <s v=""/>
    <n v="4"/>
    <s v=""/>
    <s v=""/>
  </r>
  <r>
    <n v="105"/>
    <x v="0"/>
    <s v="N1007"/>
    <x v="0"/>
    <d v="2024-01-08T00:00:00"/>
    <s v=""/>
    <n v="4"/>
    <s v=""/>
    <s v=""/>
  </r>
  <r>
    <n v="104"/>
    <x v="0"/>
    <s v="N1003"/>
    <x v="0"/>
    <d v="2024-01-08T00:00:00"/>
    <s v=""/>
    <n v="5"/>
    <s v=""/>
    <s v=""/>
  </r>
  <r>
    <m/>
    <x v="0"/>
    <m/>
    <x v="0"/>
    <m/>
    <n v="0"/>
    <m/>
    <s v=""/>
    <s v=""/>
  </r>
  <r>
    <m/>
    <x v="0"/>
    <m/>
    <x v="0"/>
    <m/>
    <n v="0"/>
    <m/>
    <s v=""/>
    <s v=""/>
  </r>
  <r>
    <m/>
    <x v="0"/>
    <m/>
    <x v="0"/>
    <m/>
    <n v="0"/>
    <m/>
    <s v=""/>
    <s v="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s v="INVENT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INVENT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INVENT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INVENT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INVENT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INVENT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INVENT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INVENT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INVENT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INVENT0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INVENT0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INVENT0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INVENT0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s v="CUST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UST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UST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UST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UST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UST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CUST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s v="PROD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PROD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PROD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PROD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PROD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PROD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PROD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PROD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PROD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s v="PROD0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s v="INVENT0001"/>
    <m/>
    <m/>
    <m/>
    <m/>
    <m/>
    <m/>
  </r>
  <r>
    <s v="INVENT0002"/>
    <m/>
    <m/>
    <m/>
    <m/>
    <m/>
    <m/>
  </r>
  <r>
    <s v="INVENT0003"/>
    <m/>
    <m/>
    <m/>
    <m/>
    <m/>
    <m/>
  </r>
  <r>
    <s v="INVENT0004"/>
    <m/>
    <m/>
    <m/>
    <m/>
    <m/>
    <m/>
  </r>
  <r>
    <s v="INVENT0005"/>
    <m/>
    <m/>
    <m/>
    <m/>
    <m/>
    <m/>
  </r>
  <r>
    <s v="INVENT0006"/>
    <m/>
    <m/>
    <m/>
    <m/>
    <m/>
    <m/>
  </r>
  <r>
    <s v="INVENT0007"/>
    <m/>
    <m/>
    <m/>
    <m/>
    <m/>
    <m/>
  </r>
  <r>
    <s v="INVENT0008"/>
    <m/>
    <m/>
    <m/>
    <m/>
    <m/>
    <m/>
  </r>
  <r>
    <s v="INVENT0009"/>
    <m/>
    <m/>
    <m/>
    <m/>
    <m/>
    <m/>
  </r>
  <r>
    <s v="INVENT0010"/>
    <m/>
    <m/>
    <m/>
    <m/>
    <m/>
    <m/>
  </r>
  <r>
    <s v="INVENT0011"/>
    <m/>
    <m/>
    <m/>
    <m/>
    <m/>
    <m/>
  </r>
  <r>
    <s v="INVENT0012"/>
    <m/>
    <m/>
    <m/>
    <m/>
    <m/>
    <m/>
  </r>
  <r>
    <s v="INVENT0013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79024-32AA-4AEB-88C5-BC6057F9EEF8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A9" firstHeaderRow="1" firstDataRow="1" firstDataCol="0"/>
  <pivotFields count="7">
    <pivotField showAll="0"/>
    <pivotField showAll="0"/>
    <pivotField showAll="0"/>
    <pivotField numFmtId="14" showAll="0"/>
    <pivotField showAll="0"/>
    <pivotField numFmtId="42" showAll="0"/>
    <pivotField dataField="1" numFmtId="42" showAll="0"/>
  </pivotFields>
  <rowItems count="1">
    <i/>
  </rowItems>
  <colItems count="1">
    <i/>
  </colItems>
  <dataFields count="1">
    <dataField name="Sum of Amount" fld="6" baseField="0" baseItem="0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FD83B7-5D13-45F8-80EA-FD9243E86B40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A12" firstHeaderRow="1" firstDataRow="1" firstDataCol="0"/>
  <pivotFields count="9">
    <pivotField showAll="0"/>
    <pivotField showAll="0"/>
    <pivotField showAll="0"/>
    <pivotField showAll="0"/>
    <pivotField numFmtId="14" showAll="0"/>
    <pivotField showAll="0"/>
    <pivotField showAll="0"/>
    <pivotField numFmtId="42" showAll="0"/>
    <pivotField dataField="1" numFmtId="42" showAll="0"/>
  </pivotFields>
  <rowItems count="1">
    <i/>
  </rowItems>
  <colItems count="1">
    <i/>
  </colItems>
  <dataFields count="1">
    <dataField name="Sum of Amount" fld="8" baseField="0" baseItem="0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8DA40-6C07-4D1B-AB83-ABB0F6DBA762}" name="PivotTable1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E21:G38" firstHeaderRow="1" firstDataRow="1" firstDataCol="0"/>
  <pivotFields count="3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1944E7-BCF5-489F-9505-367980F1C3E5}" name="PivotTable1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E12:F14" firstHeaderRow="1" firstDataRow="1" firstDataCol="1"/>
  <pivotFields count="9">
    <pivotField showAll="0"/>
    <pivotField showAll="0"/>
    <pivotField showAll="0"/>
    <pivotField axis="axisRow" showAll="0" measureFilter="1" sortType="ascending">
      <items count="11">
        <item m="1" x="3"/>
        <item m="1" x="1"/>
        <item m="1" x="4"/>
        <item m="1" x="2"/>
        <item m="1" x="6"/>
        <item m="1" x="5"/>
        <item m="1" x="7"/>
        <item m="1" x="8"/>
        <item x="0"/>
        <item m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dataField="1" showAll="0"/>
    <pivotField numFmtId="42" showAll="0"/>
    <pivotField numFmtId="42" showAll="0"/>
  </pivotFields>
  <rowFields count="1">
    <field x="3"/>
  </rowFields>
  <rowItems count="2">
    <i>
      <x v="8"/>
    </i>
    <i t="grand">
      <x/>
    </i>
  </rowItems>
  <colItems count="1">
    <i/>
  </colItems>
  <dataFields count="1">
    <dataField name="Sum of Units" fld="6" baseField="0" baseItem="0"/>
  </dataFields>
  <chartFormats count="3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68901B-ACBE-4A87-9BF1-ED699BAEF9AD}" name="PivotTable1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E2:F4" firstHeaderRow="1" firstDataRow="1" firstDataCol="1"/>
  <pivotFields count="9">
    <pivotField showAll="0"/>
    <pivotField axis="axisRow" showAll="0" measureFilter="1" sortType="ascending">
      <items count="9">
        <item m="1" x="1"/>
        <item m="1" x="6"/>
        <item m="1" x="3"/>
        <item m="1" x="7"/>
        <item m="1" x="5"/>
        <item m="1" x="2"/>
        <item m="1"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showAll="0"/>
    <pivotField numFmtId="42" showAll="0"/>
    <pivotField dataField="1" numFmtId="42" showAll="0"/>
  </pivotFields>
  <rowFields count="1">
    <field x="1"/>
  </rowFields>
  <rowItems count="2">
    <i>
      <x v="7"/>
    </i>
    <i t="grand">
      <x/>
    </i>
  </rowItems>
  <colItems count="1">
    <i/>
  </colItems>
  <dataFields count="1">
    <dataField name="Sum of Amount" fld="8" baseField="0" baseItem="0" numFmtId="42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195CA-F339-406E-921A-768D722685FE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A3" firstHeaderRow="1" firstDataRow="1" firstDataCol="0"/>
  <pivotFields count="33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F4616-D7A1-4B6E-8421-6F487933189A}" name="PivotTable1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A6" firstHeaderRow="1" firstDataRow="1" firstDataCol="0"/>
  <pivotFields count="41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2" showAll="0"/>
    <pivotField showAll="0"/>
    <pivotField showAll="0"/>
    <pivotField numFmtId="4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Product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9D09B-01F2-4326-977C-15240764636E}" name="PivotTable1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6:C33" firstHeaderRow="1" firstDataRow="1" firstDataCol="0"/>
  <pivotFields count="7"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8EDAF4-9F55-4D95-8363-29B2401224DA}" name="customersdata" displayName="customersdata" ref="D5:AJ12" totalsRowShown="0" headerRowDxfId="382" dataDxfId="381">
  <autoFilter ref="D5:AJ12" xr:uid="{0D8EDAF4-9F55-4D95-8363-29B2401224DA}"/>
  <tableColumns count="33">
    <tableColumn id="1" xr3:uid="{A028F778-FAE2-4DA3-9E91-62E658D36DF6}" name="Customer_ID" dataDxfId="380">
      <calculatedColumnFormula>"CUST" &amp; TEXT(ROW()-5, "0000")</calculatedColumnFormula>
    </tableColumn>
    <tableColumn id="2" xr3:uid="{BCB3C8F0-9DF4-4900-8C66-81EE87B434F8}" name="Name" dataDxfId="379"/>
    <tableColumn id="3" xr3:uid="{FE0BAB7F-3A2F-433A-9582-E73617E2FB67}" name="Email" dataDxfId="378"/>
    <tableColumn id="6" xr3:uid="{D51946A9-93B2-4A7C-B4F2-46223DBF1EFF}" name="Mobile Number" dataDxfId="377"/>
    <tableColumn id="7" xr3:uid="{5357A5A2-7CEA-4A3B-8FA7-89C083C59B0A}" name="Date of Birth" dataDxfId="376"/>
    <tableColumn id="8" xr3:uid="{25100823-ACAD-495C-9218-8004EB448CF6}" name="Gender" dataDxfId="375"/>
    <tableColumn id="9" xr3:uid="{C817D97F-DB7D-4E62-9D99-E70EB51A0CBC}" name="Customer Type" dataDxfId="374"/>
    <tableColumn id="34" xr3:uid="{7F5E911E-5EA0-4CA9-A4B9-12983C4A5ADF}" name="Purchased From" dataDxfId="373"/>
    <tableColumn id="4" xr3:uid="{842A10DD-1F38-4C5D-8EFB-A221D293F165}" name="Billing Address" dataDxfId="372"/>
    <tableColumn id="10" xr3:uid="{57E63EC6-B59B-48A1-BCE1-19FF8CAA730E}" name="Shipping Address" dataDxfId="371"/>
    <tableColumn id="11" xr3:uid="{43016150-0740-4D51-89EF-B9886581E4E0}" name="City" dataDxfId="370"/>
    <tableColumn id="12" xr3:uid="{AA71C54F-BC48-4B39-8390-E00ED8D3FC34}" name="State" dataDxfId="369"/>
    <tableColumn id="13" xr3:uid="{C82CF09C-0375-4CBF-AAB6-DF32F5B2D774}" name="Country" dataDxfId="368"/>
    <tableColumn id="14" xr3:uid="{40AF7AC7-D16F-4B08-85FC-5F24F72DD412}" name="ZIP Code" dataDxfId="367"/>
    <tableColumn id="15" xr3:uid="{E8B04C48-1FE2-4A62-80AC-F76208379312}" name="Last Login Date" dataDxfId="366"/>
    <tableColumn id="16" xr3:uid="{3FA71712-DB35-42DD-B327-D79FF6109364}" name="Account Status" dataDxfId="365"/>
    <tableColumn id="17" xr3:uid="{116C855A-0562-45B4-ACDF-C735BBAA87CD}" name="Company Name" dataDxfId="364"/>
    <tableColumn id="18" xr3:uid="{238F27B3-B6F3-4146-AA57-B55F0C218E0F}" name="GST Number / VAT ID" dataDxfId="363"/>
    <tableColumn id="19" xr3:uid="{E6C18E83-CE2D-4618-9BF2-5A7AF35D5AF4}" name="Contact Person" dataDxfId="362"/>
    <tableColumn id="20" xr3:uid="{A9D4D09C-8508-422E-9E31-378BE600DF58}" name="Preferred Payment Method" dataDxfId="361"/>
    <tableColumn id="21" xr3:uid="{CBC0C7CD-BC40-4E6E-82B8-92602414B1FD}" name="Wallet Balance / Credit Limit" dataDxfId="360"/>
    <tableColumn id="22" xr3:uid="{A856E622-C561-4558-8CCB-25F1625284C4}" name="Total Spend" dataDxfId="359"/>
    <tableColumn id="23" xr3:uid="{76E5C79A-7133-4B6B-8532-537C9E97168C}" name="Last Purchase Date" dataDxfId="358"/>
    <tableColumn id="24" xr3:uid="{604B79DD-DBF4-4BE8-8770-126DB620EA6B}" name="Average Order Value" dataDxfId="357"/>
    <tableColumn id="25" xr3:uid="{0D5F1BAA-8305-45C3-A84E-C9CA52C0A0BC}" name="Order Frequency" dataDxfId="356"/>
    <tableColumn id="26" xr3:uid="{B36BF37C-A10C-4A4E-BD6C-D41E9130E4C5}" name="Total Orders" dataDxfId="355"/>
    <tableColumn id="27" xr3:uid="{551B5F23-F2E9-4543-A21E-B7477AE9BBE9}" name="Returns/Refunds Count" dataDxfId="354"/>
    <tableColumn id="28" xr3:uid="{36352885-8056-4970-97D1-62AF29A31BEA}" name="Customer Notes" dataDxfId="353"/>
    <tableColumn id="29" xr3:uid="{CDFDB722-4D69-4622-AA08-CDA19703F12D}" name="Newsletter Subscription" dataDxfId="352"/>
    <tableColumn id="30" xr3:uid="{0CBACF4E-4A7A-4DE8-BDCB-D3B75BEA8862}" name="Preferred Contact Channel" dataDxfId="351"/>
    <tableColumn id="31" xr3:uid="{E9ABA82F-743E-498C-830C-126D5BCDF283}" name="Loyalty Points" dataDxfId="350"/>
    <tableColumn id="32" xr3:uid="{9AD75FC5-0B72-4D77-8EB1-F0AEC4D39A6B}" name="Referral Code" dataDxfId="349"/>
    <tableColumn id="33" xr3:uid="{4DBEFF4D-9BCE-44C2-9E21-7DC99C5D2FA6}" name="Rating Score" dataDxfId="348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2D6322-E072-4CD6-B243-64F6749A3BC8}" name="vendorsdata" displayName="vendorsdata" ref="D5:AT17" totalsRowShown="0" headerRowDxfId="347" dataDxfId="346">
  <autoFilter ref="D5:AT17" xr:uid="{A12D6322-E072-4CD6-B243-64F6749A3BC8}"/>
  <tableColumns count="43">
    <tableColumn id="39" xr3:uid="{5C77FBBE-42AC-4356-8B78-2820F5225F24}" name="Vendor_ID" dataDxfId="345">
      <calculatedColumnFormula>"VEN" &amp; TEXT(ROW()-5, "0000")</calculatedColumnFormula>
    </tableColumn>
    <tableColumn id="1" xr3:uid="{C918567B-AA6D-4722-901E-0B9DF50E02B0}" name="Vendor Name" dataDxfId="344"/>
    <tableColumn id="2" xr3:uid="{C2C48FD5-FD9B-4E3C-98B8-D75FB6A2077A}" name="Company Name" dataDxfId="343"/>
    <tableColumn id="23" xr3:uid="{E0B0DFA8-25DF-4B3A-B183-04FE5403A955}" name="Contact Person" dataDxfId="342"/>
    <tableColumn id="24" xr3:uid="{D3525C15-05FF-4B7A-85A2-ED8D1994BDEC}" name="Email Address" dataDxfId="341"/>
    <tableColumn id="3" xr3:uid="{A07A3EE5-3FD1-4333-9581-2DDCDB3D7A8A}" name="Phone Number" dataDxfId="340"/>
    <tableColumn id="6" xr3:uid="{B935642B-C330-4093-932B-1F63527FE573}" name="Alternate Phone Number" dataDxfId="339"/>
    <tableColumn id="7" xr3:uid="{009EE648-12A6-4F90-8F83-66DC647E5DE8}" name="Website URL" dataDxfId="338"/>
    <tableColumn id="9" xr3:uid="{DAAFF72D-3E84-4072-93AB-F154861FEBE4}" name="Billing Address" dataDxfId="337"/>
    <tableColumn id="4" xr3:uid="{8A74C083-67EC-4C86-BFF4-993ECEB89735}" name="Shipping Address" dataDxfId="336"/>
    <tableColumn id="8" xr3:uid="{CD4E4EF0-9DEC-4DC3-A9D0-696ADB5DE0E1}" name="City" dataDxfId="335"/>
    <tableColumn id="5" xr3:uid="{1193D20E-2B1E-4EA8-90A8-30BDFF23CFCB}" name="State" dataDxfId="334"/>
    <tableColumn id="10" xr3:uid="{83C458FC-51A0-4042-9E1A-E1EECC8C326B}" name="Country" dataDxfId="333"/>
    <tableColumn id="11" xr3:uid="{ABE90621-D970-410C-BAFD-72CAF4422C4A}" name="ZIP Code" dataDxfId="332"/>
    <tableColumn id="12" xr3:uid="{5BDB1252-4806-4377-8BE6-A2ADD84A1700}" name="GST Number" dataDxfId="331"/>
    <tableColumn id="22" xr3:uid="{2EF83B40-B26C-4D96-8AEB-EBF2900421F3}" name="PAN Number" dataDxfId="330"/>
    <tableColumn id="13" xr3:uid="{763AF5BD-5D09-4CF5-9D46-AE4AEF4FAB26}" name="Udyam No" dataDxfId="329"/>
    <tableColumn id="14" xr3:uid="{7EF0FE12-A1F3-4AF0-B32D-9E8FFD5149D2}" name="Business Type" dataDxfId="328"/>
    <tableColumn id="15" xr3:uid="{DDA84D14-D4B7-4EF8-8836-437722D5FBD2}" name="Legal Entity Type" dataDxfId="327"/>
    <tableColumn id="16" xr3:uid="{F89E3A4F-235B-45EB-BFC2-11AD795340A3}" name="Bank Name" dataDxfId="326"/>
    <tableColumn id="17" xr3:uid="{2AD540ED-4B7A-4A74-9E59-43664D42A34E}" name="Account Number" dataDxfId="325"/>
    <tableColumn id="18" xr3:uid="{8A4F878C-AB9E-4761-A293-1F8832CD1622}" name="IFSC Code / SWIFT Code" dataDxfId="324"/>
    <tableColumn id="19" xr3:uid="{75ACF09B-B6F2-40AC-B1C3-36E2F2440251}" name="Account Holder Name" dataDxfId="323"/>
    <tableColumn id="20" xr3:uid="{C6432919-5879-4239-BABC-B81D51CD2098}" name="Preferred Payment Method" dataDxfId="322"/>
    <tableColumn id="21" xr3:uid="{5B8D5F19-82D3-4C74-92CB-E1895CB3CA5F}" name="Payment Terms" dataDxfId="321"/>
    <tableColumn id="40" xr3:uid="{D759F032-62F2-49F5-A292-0EDE1FA31710}" name="Products Offered" dataDxfId="320"/>
    <tableColumn id="41" xr3:uid="{4B92DA2A-C899-47B5-ADE2-4CFDA135E242}" name="Product Category" dataDxfId="319"/>
    <tableColumn id="42" xr3:uid="{E37A0513-BAC7-4DBF-B8A6-406E40EA1A8B}" name="Brand Names" dataDxfId="318"/>
    <tableColumn id="43" xr3:uid="{23F25314-DF8A-4B85-B74E-15359A8C7702}" name="MOQ" dataDxfId="317"/>
    <tableColumn id="25" xr3:uid="{16528EF9-C72E-4657-991E-D0B3932FAFEB}" name="Vendor Rating" dataDxfId="316"/>
    <tableColumn id="26" xr3:uid="{A0A30059-DF65-4290-AF35-69CBCFABB809}" name="On-Time Delivery %" dataDxfId="315"/>
    <tableColumn id="27" xr3:uid="{E2A1E92B-089C-4805-A192-D7BD3E1849DB}" name="Average Lead Time" dataDxfId="314"/>
    <tableColumn id="28" xr3:uid="{CFC97267-3839-4078-89D3-10F760C57FC6}" name="Return/Rejection Rate" dataDxfId="313"/>
    <tableColumn id="29" xr3:uid="{D4C88DE2-12C5-4AEB-89F5-305D578CAC66}" name="Total Orders Fulfilled" dataDxfId="312"/>
    <tableColumn id="30" xr3:uid="{A9BD1BD6-E149-44FF-BDD0-5D72EAB79968}" name="Compliance Status" dataDxfId="311"/>
    <tableColumn id="31" xr3:uid="{6AB6C286-BE3A-4FA1-8955-E02D49591669}" name="Working Days/Hours" dataDxfId="310"/>
    <tableColumn id="32" xr3:uid="{43790ABA-26FD-4AC5-A8A1-6DFE74D7D12F}" name="Delivery Coverage Area" dataDxfId="309"/>
    <tableColumn id="33" xr3:uid="{F4BC1629-A27D-4480-8E1B-53CE36BDCF16}" name="Preferred Logistics Partner" dataDxfId="308"/>
    <tableColumn id="34" xr3:uid="{F7D5199F-0986-4666-A77D-02F57047352D}" name="Warehouse Location" dataDxfId="307"/>
    <tableColumn id="35" xr3:uid="{FD2DB74C-1405-4181-A6E9-308C68DB40F2}" name="GST Certificate" dataDxfId="306"/>
    <tableColumn id="36" xr3:uid="{6EE6575B-6030-4275-B4A1-6B1642037423}" name="Trade License" dataDxfId="305"/>
    <tableColumn id="37" xr3:uid="{42716805-A7E0-438D-A7A9-58AF8174FD19}" name="Product Catalog" dataDxfId="304"/>
    <tableColumn id="38" xr3:uid="{2BCBCFEB-34EE-4E34-956F-58D96EC8FF7D}" name="Bank Cancelled Cheque" dataDxfId="303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730C987-43CB-4043-AC1D-D7B54AEEA829}" name="Table410" displayName="Table410" ref="D5:F79" totalsRowShown="0" headerRowDxfId="302" dataDxfId="301">
  <autoFilter ref="D5:F79" xr:uid="{B32B01B6-81F6-4929-A637-9CA357EBE280}"/>
  <tableColumns count="3">
    <tableColumn id="4" xr3:uid="{3996B923-00D0-43AF-9F68-DFF508CC39F4}" name="Product_ID" dataDxfId="300"/>
    <tableColumn id="5" xr3:uid="{FC3A7292-5976-4FB8-9B24-FFEBEF0F000B}" name="Category_ID" dataDxfId="299"/>
    <tableColumn id="2" xr3:uid="{541F3E65-9CAF-4FA6-B42D-16DDCDB6CA84}" name="Category Name" dataDxfId="298"/>
  </tableColumns>
  <tableStyleInfo name="TableStyleMedium2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7EA6950-0700-44EA-934E-52E5B470E2B2}" name="Table41011" displayName="Table41011" ref="D5:G80" totalsRowShown="0" headerRowDxfId="297" dataDxfId="296">
  <autoFilter ref="D5:G80" xr:uid="{B32B01B6-81F6-4929-A637-9CA357EBE280}"/>
  <tableColumns count="4">
    <tableColumn id="4" xr3:uid="{583DAD49-DE9B-4FF9-B005-EBC847D4DF71}" name="Product_ID" dataDxfId="295"/>
    <tableColumn id="5" xr3:uid="{7F97F8D2-AA46-4CF4-B1E1-225BD0739C72}" name="Brand_ID" dataDxfId="294"/>
    <tableColumn id="2" xr3:uid="{FEA7499F-F707-47E6-A2E8-BD7D33EB8202}" name="Brand Name" dataDxfId="293"/>
    <tableColumn id="1" xr3:uid="{D1BCB78E-5D5B-4757-B46A-F5E779D8236D}" name="Vendor_ID" dataDxfId="292"/>
  </tableColumns>
  <tableStyleInfo name="TableStyleMedium2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32B01B6-81F6-4929-A637-9CA357EBE280}" name="Table4" displayName="Table4" ref="D5:BI78" totalsRowShown="0" headerRowDxfId="291" dataDxfId="290">
  <autoFilter ref="D5:BI78" xr:uid="{B32B01B6-81F6-4929-A637-9CA357EBE280}"/>
  <tableColumns count="58">
    <tableColumn id="5" xr3:uid="{6A392814-7EE5-45A6-A9C5-E795CF84ABA7}" name="Product_ID" dataDxfId="289">
      <calculatedColumnFormula>"PROD" &amp; TEXT(ROW()-5, "0000")</calculatedColumnFormula>
    </tableColumn>
    <tableColumn id="1" xr3:uid="{08EDD484-6CDD-4BC0-91E5-06E7A4DE9FDA}" name="HSN Code" dataDxfId="288"/>
    <tableColumn id="2" xr3:uid="{62C7355B-8C5F-4CA0-84C6-CD709FC19FDF}" name="Product Name" dataDxfId="287"/>
    <tableColumn id="6" xr3:uid="{28306D79-D8F8-4EBB-9F37-4317962D70AA}" name="Product Description" dataDxfId="286"/>
    <tableColumn id="7" xr3:uid="{614B9471-5D44-4101-B477-79C149856599}" name="Category_ID" dataDxfId="285">
      <calculatedColumnFormula>IFERROR(VLOOKUP(Table4[[#This Row],[Product_ID]],Table410[#All],2,0),"")</calculatedColumnFormula>
    </tableColumn>
    <tableColumn id="8" xr3:uid="{E2E0D519-2602-4001-AFD0-D2A97F73C1C8}" name="Brand ID" dataDxfId="284"/>
    <tableColumn id="9" xr3:uid="{4A649576-20E3-44FA-8B11-6E991D4CB86E}" name="SKU" dataDxfId="283">
      <calculatedColumnFormula>Table4[[#This Row],[Category_ID]] &amp; Table4[[#This Row],[Product_ID]] &amp; "IHC" &amp; TEXT(SUMPRODUCT((Table4[[#This Row],[Product_ID]]=Table4[[#This Row],[Product_ID]])*(Table4[[#This Row],[Category_ID]]=Table4[[#This Row],[Category_ID]])),"0000") &amp; "SKU"</calculatedColumnFormula>
    </tableColumn>
    <tableColumn id="10" xr3:uid="{976779C0-712A-4C8D-A6F0-781C3182D6DF}" name="Barcode" dataDxfId="282"/>
    <tableColumn id="11" xr3:uid="{727B0B78-E095-4248-A6F9-F90D3A9DC067}" name="Model Number/GTIN" dataDxfId="281">
      <calculatedColumnFormula>IF(COUNTIF($L$1:L1, TEXT(ROW()-1,"0000000000"))=0, TEXT(ROW()-1,"0000000000"), "Duplicate Found")</calculatedColumnFormula>
    </tableColumn>
    <tableColumn id="54" xr3:uid="{739BD998-0BAA-4AAF-95BD-E1060F4AFB5C}" name="Part Number" dataDxfId="280">
      <calculatedColumnFormula>"BTBA4" &amp; TEXT(ROW()-1,"00000")</calculatedColumnFormula>
    </tableColumn>
    <tableColumn id="12" xr3:uid="{2A2646BC-7451-4A93-99AA-FD76D99C37CB}" name="Stock Quantity" dataDxfId="279">
      <calculatedColumnFormula>SUMIFS(purchase[Received Quantity],purchase[Product_ID],Table4[[#This Row],[Product_ID]],purchase[Delivery Status],"Completed")-SUMIFS(sales[Quantity Sold],sales[Product_ID],Table4[[#This Row],[Product_ID]],sales[Delivery Status],"Completed")</calculatedColumnFormula>
    </tableColumn>
    <tableColumn id="13" xr3:uid="{69395A4A-9B9E-464A-82D7-FA8D9B1EEC4F}" name="Reorder Level" dataDxfId="278">
      <calculatedColumnFormula>IFERROR(Table4[[#This Row],[Expected_Demand_During_Lead_Time]]+Table4[[#This Row],[Safety_Stock]],"")</calculatedColumnFormula>
    </tableColumn>
    <tableColumn id="52" xr3:uid="{D15D02C0-6BF6-40B3-ADE0-92F4E90CB714}" name="Reorder Quantity" dataDxfId="277">
      <calculatedColumnFormula>IFERROR(Table4[[#This Row],[Reorder Level]]-Table4[[#This Row],[Stock Quantity]],"")</calculatedColumnFormula>
    </tableColumn>
    <tableColumn id="53" xr3:uid="{EE2519E4-DA6E-4A65-8B52-ED598ED3545F}" name="Maximum Stock Level" dataDxfId="276">
      <calculatedColumnFormula>IFERROR(Table4[[#This Row],[Reorder Level]]+Table4[[#This Row],[Safety_Stock]]+Table4[[#This Row],[Expected_Demand_During_Lead_Time]],"")</calculatedColumnFormula>
    </tableColumn>
    <tableColumn id="14" xr3:uid="{719854D8-4DA2-4C47-8F9D-F125D2C49E4F}" name="Backorder Allowed" dataDxfId="275"/>
    <tableColumn id="15" xr3:uid="{E9D47E37-A73F-43EC-8862-25F616A7AF93}" name="Warehouse Location" dataDxfId="274"/>
    <tableColumn id="16" xr3:uid="{D991A24C-BFE1-430A-8737-613ECFB9B50F}" name="Lead Time (Days)" dataDxfId="273"/>
    <tableColumn id="17" xr3:uid="{15C7F534-1E76-4915-B38C-D8FFA5E2B1A4}" name="MRP" dataDxfId="272"/>
    <tableColumn id="18" xr3:uid="{E91CD431-B02E-4381-A960-F4061A257140}" name="Discounted %" dataDxfId="271"/>
    <tableColumn id="3" xr3:uid="{D65B4A46-653D-4F59-B768-AC754E8555A1}" name="Cost Before Tax" dataDxfId="270"/>
    <tableColumn id="19" xr3:uid="{30AB7C22-F760-4013-BE87-2A207943A9F8}" name="Currency" dataDxfId="269"/>
    <tableColumn id="20" xr3:uid="{199F0EC3-8289-437D-9A3F-1990BB4D5759}" name="Tax Rate (%)" dataDxfId="268"/>
    <tableColumn id="56" xr3:uid="{3BE20774-DA01-4D42-B194-7638DF4277B8}" name="Cost After Tax" dataDxfId="267">
      <calculatedColumnFormula>(Table4[[#This Row],[Cost Before Tax]]*Table4[[#This Row],[Tax Rate (%)]])/100+Table4[[#This Row],[Cost Before Tax]]</calculatedColumnFormula>
    </tableColumn>
    <tableColumn id="58" xr3:uid="{3CB404CF-323E-4345-9D3A-D29C16D674E2}" name="QTY x CAT" dataDxfId="266">
      <calculatedColumnFormula>4*Table4[[#This Row],[Cost After Tax]]</calculatedColumnFormula>
    </tableColumn>
    <tableColumn id="55" xr3:uid="{BAA89C00-F972-41ED-9845-D9D9CEF244F6}" name="Profit %" dataDxfId="265"/>
    <tableColumn id="57" xr3:uid="{85353ED5-4F60-4041-BFC8-B200A8A47699}" name="Profit Amout" dataDxfId="264">
      <calculatedColumnFormula>Table4[[#This Row],[Selling Price]]-Table4[[#This Row],[Cost After Tax]]</calculatedColumnFormula>
    </tableColumn>
    <tableColumn id="4" xr3:uid="{6028FF07-9D22-4D25-A68E-76575D20E9CB}" name="Selling Price" dataDxfId="263"/>
    <tableColumn id="22" xr3:uid="{FD609C88-8638-4401-9A94-6294C57D30B9}" name="Main Product Image URL" dataDxfId="262"/>
    <tableColumn id="23" xr3:uid="{5BA12F81-7604-4107-88A9-029EEDD8B6AD}" name="Product Video URL" dataDxfId="261"/>
    <tableColumn id="24" xr3:uid="{D17C7701-A2B8-4B69-812D-6F54B0208A15}" name="Color" dataDxfId="260"/>
    <tableColumn id="25" xr3:uid="{5FF0A60F-57E8-49D5-A3F4-02F41B333CEA}" name="Size" dataDxfId="259"/>
    <tableColumn id="26" xr3:uid="{22F8317D-1700-4C3B-961C-63BA1D8EE8BD}" name="Weight" dataDxfId="258"/>
    <tableColumn id="27" xr3:uid="{1D7D8E64-910C-4C8B-A104-785CF964B777}" name="Material" dataDxfId="257"/>
    <tableColumn id="28" xr3:uid="{4B7400D6-E439-4BB6-8F46-4259EE4ED5D7}" name="Dimensions (LxWxH)" dataDxfId="256"/>
    <tableColumn id="29" xr3:uid="{7C62AFAD-C35F-4591-9B12-8962A6F468CF}" name="Units Sold" dataDxfId="255"/>
    <tableColumn id="30" xr3:uid="{5955B20B-9B79-4B82-8618-B23390CBC07C}" name="Average Rating" dataDxfId="254"/>
    <tableColumn id="31" xr3:uid="{E9723E54-442C-460B-ACA7-5721E3F352C2}" name="Number of Reviews" dataDxfId="253"/>
    <tableColumn id="32" xr3:uid="{A7BD145E-3B35-4642-BDC7-9F9FCD68BC1E}" name="Last Sold Date" dataDxfId="252">
      <calculatedColumnFormula>IFERROR(MAX(IF((sales[Product_ID]=Table4[[#This Row],[Product_ID]])*(sales[Sales Status]="Confirmed"),sales[Invoice Date])),"")</calculatedColumnFormula>
    </tableColumn>
    <tableColumn id="33" xr3:uid="{2A440791-3C1A-4414-AA7E-52E06E15AAF6}" name="Date Added" dataDxfId="251"/>
    <tableColumn id="34" xr3:uid="{51AE6ED7-5035-4444-BC2E-F517CFCC3B80}" name="Date Updated" dataDxfId="250"/>
    <tableColumn id="35" xr3:uid="{0B638AB4-CAF1-4AEC-ACB5-9C8541C2113C}" name="Published Status" dataDxfId="249"/>
    <tableColumn id="36" xr3:uid="{3D0B098C-8566-48F8-9EA8-CC197990E890}" name="Is Featured Product" dataDxfId="248"/>
    <tableColumn id="37" xr3:uid="{2A121E74-D2F0-4E93-87EF-EFC5D063A91A}" name="Is New Arrival" dataDxfId="247"/>
    <tableColumn id="38" xr3:uid="{234FFB22-3355-4EC7-888A-53DEFFD12BBD}" name="Product Tags" dataDxfId="246"/>
    <tableColumn id="39" xr3:uid="{339E2856-78B1-445B-AEAC-3830D7BF0753}" name="Vendor ID" dataDxfId="245"/>
    <tableColumn id="40" xr3:uid="{817ED3C1-BD39-4A7C-9986-9273FB9A6C1A}" name="Warranty Period" dataDxfId="244"/>
    <tableColumn id="41" xr3:uid="{F7932F5E-958A-4324-B540-0ACA96EE32F3}" name="Return Policy" dataDxfId="243"/>
    <tableColumn id="42" xr3:uid="{C6A2C87D-2A83-4EB0-BF44-8B6EFA3659D0}" name="Shipping Info / Weight Class" dataDxfId="242"/>
    <tableColumn id="21" xr3:uid="{4403A8DC-D231-4C4D-AC68-47F94AF42C1D}" name="Demand_Last_30_Days" dataDxfId="241">
      <calculatedColumnFormula>SUMIFS(sales[Quantity Sold],sales[Product_ID],Table4[[#This Row],[Product_ID]],sales[Invoice Date],"&gt;="&amp;TODAY()-30)</calculatedColumnFormula>
    </tableColumn>
    <tableColumn id="43" xr3:uid="{B4F7B9E5-3B05-4B26-8BD2-DEE64E570359}" name="Lead_Time_Days" dataDxfId="240">
      <calculatedColumnFormula>IFERROR(AVERAGEIFS(purchase[Lead Time (Days)],purchase[Product_ID],Table4[[#This Row],[Product_ID]]),"")</calculatedColumnFormula>
    </tableColumn>
    <tableColumn id="44" xr3:uid="{6F016159-2D77-419C-A95C-D27AFB6A0737}" name="Average_Daily_Usage" dataDxfId="239">
      <calculatedColumnFormula>IF(Table4[[#This Row],[Demand_Last_30_Days]]=0,0,Table4[[#This Row],[Demand_Last_30_Days]]/30)</calculatedColumnFormula>
    </tableColumn>
    <tableColumn id="45" xr3:uid="{7379E247-5506-4948-B7C8-64657FD7696E}" name="Buffer_Days" dataDxfId="238"/>
    <tableColumn id="46" xr3:uid="{DFBF29E1-1C12-444E-A327-02D61084D951}" name="Safety_Stock" dataDxfId="237">
      <calculatedColumnFormula>Table4[[#This Row],[Average_Daily_Usage]]*Table4[[#This Row],[Buffer_Days]]</calculatedColumnFormula>
    </tableColumn>
    <tableColumn id="47" xr3:uid="{7D25D9E0-3D51-4C9D-991A-0691377A8421}" name="Expected_Demand_During_Lead_Time" dataDxfId="236">
      <calculatedColumnFormula>IFERROR(Table4[[#This Row],[Average_Daily_Usage]]*Table4[[#This Row],[Lead_Time_Days]],"")</calculatedColumnFormula>
    </tableColumn>
    <tableColumn id="48" xr3:uid="{E3599979-4D8B-4037-9797-509EC19A950D}" name="Max Daily Usage" dataDxfId="235">
      <calculatedColumnFormula>IFERROR(MAX(IF(sales[Product_ID]=Table4[Product_ID],sales[Quantity Sold])),"")</calculatedColumnFormula>
    </tableColumn>
    <tableColumn id="49" xr3:uid="{581D64EF-371F-4312-8E36-3B19DF360C19}" name="Max Lead Time (Days)" dataDxfId="234">
      <calculatedColumnFormula>IFERROR(MAX(IF(purchase[Received Date]-purchase[Purchase Date],purchase[Product_ID],Table4[Product_ID])),"")</calculatedColumnFormula>
    </tableColumn>
    <tableColumn id="50" xr3:uid="{CE4FB679-FDC7-4148-B7E8-4B17D34B18F1}" name="Avg Daily Usage" dataDxfId="233">
      <calculatedColumnFormula>IFERROR(AVERAGEIFS(sales[Quantity Sold],sales[Product_ID],Table4[Product_ID]),"")</calculatedColumnFormula>
    </tableColumn>
    <tableColumn id="51" xr3:uid="{FE2C5BF1-8E96-4622-AE37-E62207B9203B}" name="Avg Lead Time (Days)" dataDxfId="232">
      <calculatedColumnFormula>IFERROR(AVERAGEIFS(purchase[Lead Time (Days)],purchase[Product_ID],Table4[Product_ID]),"")</calculatedColumnFormula>
    </tableColumn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A318A60-1C25-47F2-95A9-A7D921E74B3F}" name="Table4101114" displayName="Table4101114" ref="D5:M52" totalsRowShown="0" headerRowDxfId="231" dataDxfId="230">
  <autoFilter ref="D5:M52" xr:uid="{B32B01B6-81F6-4929-A637-9CA357EBE280}"/>
  <tableColumns count="10">
    <tableColumn id="5" xr3:uid="{F38D4050-8897-443A-A26D-798C0647C80E}" name="Company_ID" dataDxfId="229">
      <calculatedColumnFormula>"COMPID" &amp; TEXT(ROW()-5, "0000")</calculatedColumnFormula>
    </tableColumn>
    <tableColumn id="2" xr3:uid="{905E479E-9087-45F6-9569-8E361FB171A0}" name="Company  Name" dataDxfId="228"/>
    <tableColumn id="1" xr3:uid="{2CEA85FE-CB4E-4860-8704-E0DA2A1514B5}" name="Account_ID" dataDxfId="227">
      <calculatedColumnFormula>"ACCID" &amp; TEXT(ROW()-5, "0000")</calculatedColumnFormula>
    </tableColumn>
    <tableColumn id="3" xr3:uid="{295C36B0-19A4-47AE-92CC-6D5E820986C6}" name="Account No" dataDxfId="226"/>
    <tableColumn id="4" xr3:uid="{C78A1C23-BE9C-4280-8BCA-9E58696B5C43}" name="Account Holder Name" dataDxfId="225"/>
    <tableColumn id="7" xr3:uid="{FEA55887-0A3E-4649-8CB1-5FB44CA2970C}" name="Branch" dataDxfId="224"/>
    <tableColumn id="8" xr3:uid="{976030C5-7F2E-4791-BF93-0DB41909C9F4}" name="IFSC Code" dataDxfId="223"/>
    <tableColumn id="9" xr3:uid="{0F366E14-6594-4F5F-98C3-F5CD2EE2DBD6}" name="Account Type" dataDxfId="222"/>
    <tableColumn id="10" xr3:uid="{53859ACA-79BF-41A7-BEB2-81C929B64451}" name="Bank Address" dataDxfId="221"/>
    <tableColumn id="6" xr3:uid="{1BBA14AB-EFA5-4E8A-BB59-F0EB3A60A5AB}" name="Documents" dataDxfId="220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BC658A3-22A6-45BE-921E-6F3D1636B313}" name="Table4101112" displayName="Table4101112" ref="D5:M52" totalsRowShown="0" headerRowDxfId="219" dataDxfId="218">
  <autoFilter ref="D5:M52" xr:uid="{B32B01B6-81F6-4929-A637-9CA357EBE280}"/>
  <tableColumns count="10">
    <tableColumn id="5" xr3:uid="{6B406F2E-FE38-4A03-9FB8-D068AD865DDA}" name="Warehouse_ID" dataDxfId="217">
      <calculatedColumnFormula>"WHOUSE" &amp; TEXT(ROW()-5, "0000")</calculatedColumnFormula>
    </tableColumn>
    <tableColumn id="2" xr3:uid="{AE24B413-F554-4DE5-A5C4-7FDF4DF23DA4}" name="Location" dataDxfId="216"/>
    <tableColumn id="9" xr3:uid="{8F315F86-8B6A-45D2-B7CF-37BC3EBEF4C8}" name="Address" dataDxfId="215"/>
    <tableColumn id="4" xr3:uid="{E116ADB3-EDB6-46D1-A6F9-078974BA07FC}" name="Country" dataDxfId="214"/>
    <tableColumn id="6" xr3:uid="{6285BB44-702A-4A6A-A3D0-BCBEA2B8AD32}" name="State" dataDxfId="213"/>
    <tableColumn id="7" xr3:uid="{34735D3E-FDA0-43A5-82F5-C14C1D3285D5}" name="City" dataDxfId="212"/>
    <tableColumn id="8" xr3:uid="{4F69AD1F-A810-4061-8C4F-AE36EF66952E}" name="Pincode" dataDxfId="211"/>
    <tableColumn id="1" xr3:uid="{967CE026-6B9D-49BE-8FEE-5CA8364ABC25}" name="Vendor_ID" dataDxfId="210"/>
    <tableColumn id="3" xr3:uid="{4018DB15-F84A-4EE1-9B5A-78019192ECD2}" name="Contact Person" dataDxfId="209">
      <calculatedColumnFormula>IFERROR(VLOOKUP(Table4101112[[#This Row],[Vendor_ID]],vendorsdata[#All],4,0),"")</calculatedColumnFormula>
    </tableColumn>
    <tableColumn id="10" xr3:uid="{731E82BB-23F2-4614-817C-8F0C23861FDA}" name="Phone Number" dataDxfId="208">
      <calculatedColumnFormula>IFERROR(VLOOKUP(Table4101112[[#This Row],[Vendor_ID]],vendorsdata[#All],6,0),"")</calculatedColumnFormula>
    </tableColumn>
  </tableColumns>
  <tableStyleInfo name="TableStyleMedium2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012DF1E-A134-4544-86B5-D73C8ACD9A51}" name="Table4101113" displayName="Table4101113" ref="D5:J52" totalsRowShown="0" headerRowDxfId="207" dataDxfId="206">
  <autoFilter ref="D5:J52" xr:uid="{B32B01B6-81F6-4929-A637-9CA357EBE280}"/>
  <tableColumns count="7">
    <tableColumn id="5" xr3:uid="{924FB802-10C6-4B67-952A-142E25B581AC}" name="Account_ID" dataDxfId="205">
      <calculatedColumnFormula>"ACTRANSID-" &amp; YEAR(TODAY()) &amp; "-" &amp; TEXT(ROW()-1,"0000")</calculatedColumnFormula>
    </tableColumn>
    <tableColumn id="2" xr3:uid="{91AF65B7-5159-4190-84E3-DBFFD14C8D38}" name="Account Name" dataDxfId="204"/>
    <tableColumn id="1" xr3:uid="{CBB91DB6-A8F6-4EDC-926C-C989BAA081F7}" name="Account Type" dataDxfId="203"/>
    <tableColumn id="3" xr3:uid="{B82202F9-0BA7-4B58-8B05-7625B2CFC187}" name="Opening Balance" dataDxfId="202"/>
    <tableColumn id="4" xr3:uid="{AECAF834-5B70-459C-871F-D6E6C14C31CD}" name="Current Balance" dataDxfId="201">
      <calculatedColumnFormula>(Table4101113[[#This Row],[Opening Balance]]-Table729[[#This Row],[Debits]])+Table729[[#This Row],[Credits]]</calculatedColumnFormula>
    </tableColumn>
    <tableColumn id="6" xr3:uid="{BC5481DC-8BAC-4EA7-8719-1E1622283A84}" name="Created Date" dataDxfId="200"/>
    <tableColumn id="7" xr3:uid="{36378177-E05B-472A-BC4E-AFE72149F47B}" name="Status" dataDxfId="199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40F9499-CBEE-4148-8CD1-36647B3FAE20}" name="Table4101115" displayName="Table4101115" ref="D5:J52" totalsRowShown="0" headerRowDxfId="198" dataDxfId="197">
  <autoFilter ref="D5:J52" xr:uid="{B32B01B6-81F6-4929-A637-9CA357EBE280}"/>
  <tableColumns count="7">
    <tableColumn id="5" xr3:uid="{5EC1C600-5E10-4238-998C-FFA5E79B0714}" name="Order ID" dataDxfId="196">
      <calculatedColumnFormula>"ODID" &amp; TEXT(ROW()-5, "0000")</calculatedColumnFormula>
    </tableColumn>
    <tableColumn id="4" xr3:uid="{42C4EDDA-BD44-4EE9-BD1F-43AAB664EAD7}" name="Product_ID" dataDxfId="195"/>
    <tableColumn id="2" xr3:uid="{A4909D74-DF66-4EC9-8C54-2655F36387E6}" name="Product Name" dataDxfId="194">
      <calculatedColumnFormula>IFERROR(VLOOKUP(Table4101115[[#This Row],[Product_ID]],Table4[#All],3,0),"")</calculatedColumnFormula>
    </tableColumn>
    <tableColumn id="1" xr3:uid="{4625ED4F-19B3-4339-B3AB-FDB434BC05D6}" name="Order Type" dataDxfId="193"/>
    <tableColumn id="3" xr3:uid="{709EEEFA-777D-444C-85F9-BFDD36341099}" name="Quantity" dataDxfId="192"/>
    <tableColumn id="6" xr3:uid="{13A1B4BA-F232-4A3A-AFE8-BD1DD1687C79}" name="Order Status" dataDxfId="191"/>
    <tableColumn id="7" xr3:uid="{FD86BEAF-4326-46B6-99BC-3117DC8A69A4}" name="Expected Delivery Date" dataDxfId="190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F69DB1B-F78C-440F-8379-D74F3737A441}" name="purchase" displayName="purchase" ref="D5:AS22" totalsRowShown="0" headerRowDxfId="189" dataDxfId="188">
  <autoFilter ref="D5:AS22" xr:uid="{7F69DB1B-F78C-440F-8379-D74F3737A441}"/>
  <tableColumns count="42">
    <tableColumn id="8" xr3:uid="{CC1D2630-4542-446C-BD1E-E408A8D08ACD}" name="Purchase_ID" dataDxfId="187">
      <calculatedColumnFormula>"PURCH" &amp; TEXT(ROW()-5, "0000")</calculatedColumnFormula>
    </tableColumn>
    <tableColumn id="1" xr3:uid="{281F2F20-031A-4206-BE02-B74A64165CDE}" name="Purchase Date" dataDxfId="186"/>
    <tableColumn id="2" xr3:uid="{58E6BB63-F36F-47AB-8E5F-3D0968883888}" name="Vendor_ID" dataDxfId="185"/>
    <tableColumn id="3" xr3:uid="{C0D568B3-CC9D-4E41-9E03-F05F5F4B75AE}" name="Purchase Order Number" dataDxfId="184">
      <calculatedColumnFormula>IFERROR(VLOOKUP(purchase[[#This Row],[Purchase Date]],vendorsdata[#All],3,0),"")</calculatedColumnFormula>
    </tableColumn>
    <tableColumn id="4" xr3:uid="{E7264B9C-1D7E-4A57-935A-E4EDF2794062}" name="Invoice Number" dataDxfId="183"/>
    <tableColumn id="5" xr3:uid="{C70A9A5A-AF9E-4E17-855D-CFA6DC456170}" name="Purchase Type" dataDxfId="182"/>
    <tableColumn id="6" xr3:uid="{313BBF4F-C6E1-4967-9FE1-5BB23793BA88}" name="Product_ID" dataDxfId="181">
      <calculatedColumnFormula>IFERROR(VLOOKUP(purchase[[#This Row],[Purchase Date]],Table4[#All],3,0),"")</calculatedColumnFormula>
    </tableColumn>
    <tableColumn id="7" xr3:uid="{F7BEFE5D-F2EE-41A6-9CE6-265FCB997B14}" name="Quantity Purchased" dataDxfId="180">
      <calculatedColumnFormula>IFERROR(purchase[[#This Row],[Purchase Type]]*purchase[[#This Row],[Product_ID]],"")</calculatedColumnFormula>
    </tableColumn>
    <tableColumn id="9" xr3:uid="{4DEF3A0F-C0E2-44CB-A8B4-60CD49779A62}" name="Unit Price" dataDxfId="179"/>
    <tableColumn id="10" xr3:uid="{09464564-61D9-44D7-B2F4-918A8BA19999}" name="Total Price" dataDxfId="178">
      <calculatedColumnFormula>purchase[[#This Row],[Unit Price]]*purchase[[#This Row],[Quantity Purchased]]</calculatedColumnFormula>
    </tableColumn>
    <tableColumn id="11" xr3:uid="{3631AE10-9492-46E0-961B-A818839BEDBE}" name="Batch Number" dataDxfId="177"/>
    <tableColumn id="12" xr3:uid="{A07977E5-9BFA-4E32-A598-2098373F9B8C}" name="Expiry Date" dataDxfId="176"/>
    <tableColumn id="13" xr3:uid="{F0BECE1E-DFF7-49CD-931F-FBC36026804F}" name="Received Quantity" dataDxfId="175"/>
    <tableColumn id="14" xr3:uid="{B1FCF67A-E6DB-486C-AE33-42EA7613D02B}" name="Pending Quantity" dataDxfId="174"/>
    <tableColumn id="15" xr3:uid="{1660C186-AE41-4ADB-A336-2541636121AC}" name="Subtotal" dataDxfId="173">
      <calculatedColumnFormula>purchase[[#This Row],[Unit Price]]*(purchase[[#This Row],[Received Quantity]]-purchase[[#This Row],[Pending Quantity]])</calculatedColumnFormula>
    </tableColumn>
    <tableColumn id="16" xr3:uid="{61BA91FC-0110-423B-9D4F-067B2705D90D}" name="Discount Amount" dataDxfId="172"/>
    <tableColumn id="17" xr3:uid="{5A33E2F7-26CA-4D4B-AD6F-22E7AC65ED25}" name="Taxable Amount" dataDxfId="171">
      <calculatedColumnFormula>(purchase[[#This Row],[Subtotal]]*purchase[[#This Row],[Tax Rate]])/100</calculatedColumnFormula>
    </tableColumn>
    <tableColumn id="18" xr3:uid="{21ADA1AF-55E9-4275-8502-0B476A78CCA3}" name="Tax Type" dataDxfId="170"/>
    <tableColumn id="19" xr3:uid="{ABE8A4B5-7693-49B1-A456-976E876C7BA7}" name="Tax Rate" dataDxfId="169"/>
    <tableColumn id="20" xr3:uid="{D91CC0AD-109E-435A-9D1F-97397A6E0A65}" name="Shipping Charges" dataDxfId="168"/>
    <tableColumn id="21" xr3:uid="{25CAC3FD-FA8E-421D-B40C-C03D69C1A235}" name="Other Charges" dataDxfId="167"/>
    <tableColumn id="22" xr3:uid="{1B8E04AB-EFE1-42FF-BE3C-F388E26A9E22}" name="Total Purchase Amount" dataDxfId="166">
      <calculatedColumnFormula>SUM(R6,T6,W6,X6)</calculatedColumnFormula>
    </tableColumn>
    <tableColumn id="23" xr3:uid="{FD2EB340-B3CF-46E2-9512-528EBA25E595}" name="Vendor Name" dataDxfId="165">
      <calculatedColumnFormula>IFERROR(VLOOKUP(purchase[[#This Row],[Vendor_ID]],vendorsdata[#All],2,0),"")</calculatedColumnFormula>
    </tableColumn>
    <tableColumn id="24" xr3:uid="{17803192-1034-4C41-B803-4FE99D0D94BC}" name="Billing Address" dataDxfId="164">
      <calculatedColumnFormula>IFERROR(VLOOKUP(purchase[[#This Row],[Vendor_ID]],vendorsdata[#All],9,0),"")</calculatedColumnFormula>
    </tableColumn>
    <tableColumn id="25" xr3:uid="{E09BFF02-20F7-4F46-86C7-15F308E82977}" name="Shipping Address" dataDxfId="163">
      <calculatedColumnFormula>IFERROR(VLOOKUP(purchase[[#This Row],[Vendor_ID]],vendorsdata[#All],10,0),"")</calculatedColumnFormula>
    </tableColumn>
    <tableColumn id="26" xr3:uid="{1BAD965B-0F8E-4750-8C6E-31DBD13A8601}" name="Delivery Terms" dataDxfId="162"/>
    <tableColumn id="41" xr3:uid="{C1991C8F-F924-4B7C-B3B7-72F28F360205}" name="Expected Delivery Date" dataDxfId="161"/>
    <tableColumn id="42" xr3:uid="{939246AA-C89E-4EE9-80E0-255E87B6A8F6}" name="Received Date" dataDxfId="160"/>
    <tableColumn id="27" xr3:uid="{D883B4A9-844F-4943-8056-30D7DB5194D4}" name="Lead Time (Days)" dataDxfId="159">
      <calculatedColumnFormula>purchase[[#This Row],[Received Date]]-purchase[[#This Row],[Purchase Date]]</calculatedColumnFormula>
    </tableColumn>
    <tableColumn id="28" xr3:uid="{B344EB26-678E-45C3-A89D-573AE0A096CF}" name="Delivery Status" dataDxfId="158"/>
    <tableColumn id="29" xr3:uid="{B187E24C-CD36-4347-97B7-A0D1EE04E7E4}" name="Transporter Name" dataDxfId="157"/>
    <tableColumn id="30" xr3:uid="{59B593C3-6217-435F-AC07-460339EAC5CE}" name="Tracking Number" dataDxfId="156"/>
    <tableColumn id="31" xr3:uid="{6AB040C4-B5D3-4E98-9886-83ABDD8C1BA3}" name="Payment Status" dataDxfId="155"/>
    <tableColumn id="32" xr3:uid="{9277BBBC-8BBE-4C40-839E-D66F13354DE9}" name="Payment Terms" dataDxfId="154"/>
    <tableColumn id="33" xr3:uid="{7A0A3EB2-11CB-4067-A82A-14DA9078D737}" name="Payment Method" dataDxfId="153"/>
    <tableColumn id="34" xr3:uid="{DBA74A75-5A0A-4377-B733-57F2986FD124}" name="Payment Date" dataDxfId="152"/>
    <tableColumn id="35" xr3:uid="{D56B2F04-07BB-4150-8AAB-BBC1C50A80D4}" name="Reference Transaction ID" dataDxfId="151"/>
    <tableColumn id="36" xr3:uid="{58C4778C-A984-4108-AFD3-16482B2BD4B6}" name="Created Date" dataDxfId="150"/>
    <tableColumn id="37" xr3:uid="{708C783F-8545-450E-9BDB-FFCE28F683ED}" name="Last Updated Date" dataDxfId="149"/>
    <tableColumn id="38" xr3:uid="{8FA556BE-A8C3-4D70-A97A-74204F2D7B98}" name="Purchase Status" dataDxfId="148"/>
    <tableColumn id="39" xr3:uid="{13420908-E04A-455D-A309-75F8996D1B9A}" name="Remarks" dataDxfId="147"/>
    <tableColumn id="40" xr3:uid="{A5921F65-41FF-44FF-AC52-3077516B122C}" name="Purchase Invoice Copy" dataDxfId="146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DED9A71-0A3D-4455-94EF-277D3CC83DA3}" name="sales" displayName="sales" ref="D5:AS21" totalsRowShown="0" headerRowDxfId="145" dataDxfId="144">
  <autoFilter ref="D5:AS21" xr:uid="{EDED9A71-0A3D-4455-94EF-277D3CC83DA3}"/>
  <tableColumns count="42">
    <tableColumn id="1" xr3:uid="{A0F7ED1A-E4E3-4EA1-BA05-75F57C56799A}" name="Sales_ID" dataDxfId="143">
      <calculatedColumnFormula>"SALES" &amp; TEXT(ROW()-5, "0000")</calculatedColumnFormula>
    </tableColumn>
    <tableColumn id="2" xr3:uid="{256C1B52-FCC4-4F50-B756-A3AC152CA9E5}" name="Invoice Date" dataDxfId="142"/>
    <tableColumn id="3" xr3:uid="{FE9140E4-CB8B-4372-BEA9-CCD9BF62B00E}" name="Invoice Number" dataDxfId="141"/>
    <tableColumn id="4" xr3:uid="{2A0A64FE-6454-43F5-B726-85CC124EEBC8}" name="Customer_ID" dataDxfId="140"/>
    <tableColumn id="5" xr3:uid="{A003305E-C804-41D6-9152-341D318EE379}" name="Sales Channel" dataDxfId="139"/>
    <tableColumn id="6" xr3:uid="{D17F4138-C7C6-406B-A63C-90F1DDCFBEBF}" name="Sales Type" dataDxfId="138"/>
    <tableColumn id="7" xr3:uid="{C7B052F3-CCF7-4E96-877D-3F26A203BDFF}" name="Product_ID" dataDxfId="137"/>
    <tableColumn id="8" xr3:uid="{02D41819-BB7A-46F6-BD5C-0188DF9772A0}" name="Quantity Sold" dataDxfId="136"/>
    <tableColumn id="9" xr3:uid="{2FB962C8-D7FC-4E2D-8174-D8A15E771C1B}" name="Discount Amount" dataDxfId="135"/>
    <tableColumn id="10" xr3:uid="{BF9046AD-6EF0-4BF7-9A7E-A0B4FFAEEB47}" name="Tax %" dataDxfId="134"/>
    <tableColumn id="11" xr3:uid="{B18CBE39-7DA5-43FC-BD5B-170425E832E8}" name="Total Line Amoun" dataDxfId="133"/>
    <tableColumn id="12" xr3:uid="{BB1A9307-AA22-4EA2-BABF-B612BDD7D1B8}" name="Subtotal(Before Discount)" dataDxfId="132"/>
    <tableColumn id="13" xr3:uid="{A26B9BD9-37F9-4F2E-9D80-79E1271123C0}" name="Total Discount" dataDxfId="131"/>
    <tableColumn id="14" xr3:uid="{F9EFC884-35DF-45E3-AF72-0CD797046661}" name="Taxable Amount" dataDxfId="130"/>
    <tableColumn id="15" xr3:uid="{7DBCC0AD-97DE-4E09-A623-3678A7AA2A26}" name="Tax Amounts" dataDxfId="129"/>
    <tableColumn id="16" xr3:uid="{6B16F985-6E17-4E7A-A68E-07D8BADD44FF}" name="Shipping Charges" dataDxfId="128"/>
    <tableColumn id="17" xr3:uid="{DF1657E9-CFBC-405B-BCF8-D4C981175ED9}" name="Other Charges" dataDxfId="127"/>
    <tableColumn id="18" xr3:uid="{850167E7-6B4B-482D-8E7D-295746E44524}" name="Round Off" dataDxfId="126"/>
    <tableColumn id="19" xr3:uid="{D5E533F8-FC10-49BE-AB79-64D0839471A5}" name="Grand Total" dataDxfId="125"/>
    <tableColumn id="20" xr3:uid="{B065CFB0-34EA-4F54-9A02-8532A9A99E1A}" name="Payment Status" dataDxfId="124"/>
    <tableColumn id="21" xr3:uid="{3DD2BBB6-E375-43C2-A93A-C8E5D4F75EF6}" name="Payment Method" dataDxfId="123"/>
    <tableColumn id="22" xr3:uid="{60D59B56-2593-4A94-A556-B7257A4F1CF1}" name="Amount Paid" dataDxfId="122"/>
    <tableColumn id="23" xr3:uid="{C0C500C8-592F-43FC-AA8F-62F460B0F9D3}" name="Outstanding Amount" dataDxfId="121"/>
    <tableColumn id="24" xr3:uid="{F79E853E-D7AA-45DF-9520-23F491F8B6E4}" name="Payment Reference Number" dataDxfId="120"/>
    <tableColumn id="25" xr3:uid="{FDFF33E1-C006-4E50-BE35-D9F15B562462}" name="Payment Date" dataDxfId="119"/>
    <tableColumn id="26" xr3:uid="{EAECDB73-B039-4B72-8A51-24CDF10794C7}" name="Customer Name" dataDxfId="118"/>
    <tableColumn id="27" xr3:uid="{C8B878E2-65F2-4B77-86E0-6350FFD556DB}" name="Billing Address" dataDxfId="117"/>
    <tableColumn id="28" xr3:uid="{3F250B97-217E-48BC-B0B1-C21087A7582F}" name="Shipping Address" dataDxfId="116"/>
    <tableColumn id="29" xr3:uid="{344D5848-1B24-42C3-8844-C7625FA869A3}" name="Shipping Method" dataDxfId="115"/>
    <tableColumn id="30" xr3:uid="{7B299378-3FDA-41FC-9310-101DCE9BE857}" name="Delivery Partner Name" dataDxfId="114"/>
    <tableColumn id="31" xr3:uid="{FB6E366D-1A0E-43AE-AD87-3ED380677538}" name="Tracking Number" dataDxfId="113"/>
    <tableColumn id="32" xr3:uid="{F8B400FC-299A-4A0D-A574-740D3929838A}" name="Delivery Status" dataDxfId="112"/>
    <tableColumn id="33" xr3:uid="{418E95DB-91C7-4163-B702-C2B66D62425C}" name="Delivery Date" dataDxfId="111"/>
    <tableColumn id="34" xr3:uid="{DEA460B9-63AE-45B4-981E-769164CF4951}" name="Sales Status" dataDxfId="110"/>
    <tableColumn id="35" xr3:uid="{3A63F60A-6DBD-4C77-91DA-72DE36870AA1}" name="Return Status" dataDxfId="109"/>
    <tableColumn id="36" xr3:uid="{357850EA-7553-4CF2-BC21-8AC3732D2753}" name="Created Date" dataDxfId="108"/>
    <tableColumn id="37" xr3:uid="{40F23D26-1E16-42D6-A711-174E574BCC48}" name="Updated Date" dataDxfId="107"/>
    <tableColumn id="38" xr3:uid="{C3B2BEDF-A710-4186-96A2-1774FFD8198D}" name="Remarks" dataDxfId="106"/>
    <tableColumn id="39" xr3:uid="{BE47F84F-5EDA-448F-8F59-CA810F8D59EF}" name="Invoice PDF" dataDxfId="105"/>
    <tableColumn id="40" xr3:uid="{F427C6E0-B2B2-4056-8BA5-74A1EB5DBC47}" name="Delivery Note" dataDxfId="104"/>
    <tableColumn id="41" xr3:uid="{7C935E4A-2287-450E-A72A-78EC2E2613FE}" name="Payment Receipt" dataDxfId="103"/>
    <tableColumn id="42" xr3:uid="{0C297361-8059-429D-9AB0-30C52AAA14AB}" name="Return Authorization Document" dataDxfId="102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5679B4-59D8-4762-A125-06B64AB6186A}" name="Table72" displayName="Table72" ref="D5:Z18" totalsRowShown="0" headerRowDxfId="101" dataDxfId="100">
  <autoFilter ref="D5:Z18" xr:uid="{09F3C46D-4B6E-4F1F-BC80-5D1AE2A51D2B}"/>
  <tableColumns count="23">
    <tableColumn id="1" xr3:uid="{7D3F438A-8A9B-4C3C-8ABC-F9F0D85200B7}" name="Payment_ID" dataDxfId="99">
      <calculatedColumnFormula>"PAYE" &amp; TEXT(ROW()-5, "0000")</calculatedColumnFormula>
    </tableColumn>
    <tableColumn id="2" xr3:uid="{8F1E5C7A-A1E2-4EE2-A42B-7E134D53AF61}" name="Payment_Type" dataDxfId="98"/>
    <tableColumn id="3" xr3:uid="{08CF3EE1-F7C8-40ED-94B3-5E1FB6C8FA9D}" name="Transaction_Type" dataDxfId="97"/>
    <tableColumn id="4" xr3:uid="{07F93C72-D8A2-4DA7-9430-F2B506F44944}" name="Account_ID" dataDxfId="96"/>
    <tableColumn id="5" xr3:uid="{F2F2F421-88A9-4A10-8767-34588DFE0C6A}" name="Customer_ID" dataDxfId="95"/>
    <tableColumn id="6" xr3:uid="{6F0B9296-F641-4A0E-B757-72BCEEFD8518}" name="Vendor_ID" dataDxfId="94"/>
    <tableColumn id="8" xr3:uid="{7650AE1F-0DC6-4049-9543-674EAAB7B3C0}" name="Payment_Date" dataDxfId="93"/>
    <tableColumn id="7" xr3:uid="{04A8DD3A-5F43-48C0-8CDC-9D2A61B0D234}" name="Payment_Amount" dataDxfId="92"/>
    <tableColumn id="9" xr3:uid="{30B91BD1-E60A-4A7B-BA84-666C5010EC6C}" name="Payment_Method" dataDxfId="91"/>
    <tableColumn id="10" xr3:uid="{83136CAC-E405-48D8-95AB-BA6E1A3F303B}" name="Bank_Account_ID" dataDxfId="90"/>
    <tableColumn id="11" xr3:uid="{570D0CBC-A771-4896-AED3-1E28787748E3}" name="Instrument_Number" dataDxfId="89"/>
    <tableColumn id="12" xr3:uid="{F73D9622-0FC6-4D72-9E80-B3C2ACB28307}" name="Payment_Status" dataDxfId="88"/>
    <tableColumn id="13" xr3:uid="{858BEB8D-9765-48EB-A6C7-EDBBC4F18328}" name="Currency" dataDxfId="87"/>
    <tableColumn id="14" xr3:uid="{206B3695-08BE-4F68-B99A-DC7FD74B30AE}" name="Exchange_Rate" dataDxfId="86"/>
    <tableColumn id="15" xr3:uid="{D9BC6A28-3B8E-4F8A-8DE6-8F8DC9BB03C4}" name="Voucher_ID" dataDxfId="85"/>
    <tableColumn id="16" xr3:uid="{E4ABC777-B5BA-4726-A777-9C9144EA5881}" name="Reference_Note" dataDxfId="84"/>
    <tableColumn id="17" xr3:uid="{4CF12E5E-5A1C-4AA9-B18C-C9AC9D4A2936}" name="Adjusted_Against" dataDxfId="83"/>
    <tableColumn id="18" xr3:uid="{D078B5D7-77B0-4384-80C8-5D08DC42C2E7}" name="Created_At" dataDxfId="82"/>
    <tableColumn id="19" xr3:uid="{385C5A56-61A9-497D-BB9E-FA6786B149DF}" name="Created_By" dataDxfId="81"/>
    <tableColumn id="20" xr3:uid="{A1737A95-B189-41C9-ACD8-9CDE678395A5}" name="Updated_At" dataDxfId="80"/>
    <tableColumn id="21" xr3:uid="{57F55561-8492-46CF-90F4-18BBFBA8610F}" name="Is_Advance_Payment" dataDxfId="79"/>
    <tableColumn id="22" xr3:uid="{B1E260C8-5B1A-4DD4-B8AD-06477B0752FF}" name="Is_Refund" dataDxfId="78"/>
    <tableColumn id="23" xr3:uid="{316C0EB3-19C2-4802-9BFD-7681D56772BA}" name="Is_Reconciled" dataDxfId="77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475E475-531F-4896-9DFF-DFD967F65BE6}" name="Table729" displayName="Table729" ref="D5:Z18" totalsRowShown="0" headerRowDxfId="76" dataDxfId="75">
  <autoFilter ref="D5:Z18" xr:uid="{09F3C46D-4B6E-4F1F-BC80-5D1AE2A51D2B}"/>
  <tableColumns count="23">
    <tableColumn id="1" xr3:uid="{DC91A425-F160-455F-9068-3722D6FEC649}" name="Voucher_ID" dataDxfId="74">
      <calculatedColumnFormula>"VOUCHE" &amp; TEXT(ROW()-5, "0000")</calculatedColumnFormula>
    </tableColumn>
    <tableColumn id="2" xr3:uid="{F61B4A93-E71C-48EF-9F0E-B11F56B11BE9}" name="Voucher_Type" dataDxfId="73"/>
    <tableColumn id="3" xr3:uid="{B81677F2-FF25-4732-9F2A-1AC820998419}" name="Voucher_Date" dataDxfId="72"/>
    <tableColumn id="4" xr3:uid="{32B940A8-1FEE-4942-9CCA-D96F50989279}" name="Voucher_Number" dataDxfId="71">
      <calculatedColumnFormula>Table729[[#This Row],[Voucher_ID]]</calculatedColumnFormula>
    </tableColumn>
    <tableColumn id="5" xr3:uid="{5F06B082-3226-4736-B8D2-E9B4956F5B47}" name="Account_Debit_ID" dataDxfId="70"/>
    <tableColumn id="6" xr3:uid="{1ED59E86-7FB9-4628-919E-CDE8F8D0DE60}" name="Account_Credit_ID" dataDxfId="69"/>
    <tableColumn id="23" xr3:uid="{CC085CF9-E6FB-4007-9781-B4A1A005BF8E}" name="Debits" dataDxfId="68"/>
    <tableColumn id="8" xr3:uid="{B10DE7D4-559D-4C44-8946-2355BCB06614}" name="Credits" dataDxfId="67"/>
    <tableColumn id="7" xr3:uid="{3CA8EC21-80E1-42EC-BBD4-5FD425D70E27}" name="Currency" dataDxfId="66"/>
    <tableColumn id="9" xr3:uid="{32DEC8F9-F88D-42E9-A0D8-E27C6BCAF8BE}" name="Exchange_Rate" dataDxfId="65"/>
    <tableColumn id="10" xr3:uid="{997D54E6-5071-4763-B30E-1D7108B87C7E}" name="Reference_Number" dataDxfId="64"/>
    <tableColumn id="11" xr3:uid="{34B96543-8F54-43EB-8A5F-9AB8D78A4E56}" name="Description" dataDxfId="63"/>
    <tableColumn id="12" xr3:uid="{1C356AE9-75A3-4F3A-9B6E-D352573DA0A8}" name="Attached_Document" dataDxfId="62"/>
    <tableColumn id="13" xr3:uid="{9BC41131-2D93-4E7E-BEF5-BFCAE08F2070}" name="Related_Customer_ID" dataDxfId="61"/>
    <tableColumn id="14" xr3:uid="{7919C403-40BF-4D7F-9CB1-ADD61253DED6}" name="Vendor_ID" dataDxfId="60"/>
    <tableColumn id="15" xr3:uid="{851503D3-B1F4-4EC2-B942-577CD9CEB70B}" name="Created_At" dataDxfId="59"/>
    <tableColumn id="16" xr3:uid="{56AAD8E1-DE78-42FB-8F1A-E05A0774B847}" name="Updated_At" dataDxfId="58"/>
    <tableColumn id="17" xr3:uid="{48AD7BEF-A1F6-4504-87DE-8E1309819716}" name="Approved_By" dataDxfId="57"/>
    <tableColumn id="18" xr3:uid="{39E1E7DF-94D7-4C02-A3DF-F161275EA1B9}" name="Approved_Date" dataDxfId="56"/>
    <tableColumn id="19" xr3:uid="{BE952578-1A64-4486-9A63-D03D5C420CED}" name="Is_Posted_To_Ledger" dataDxfId="55"/>
    <tableColumn id="20" xr3:uid="{474ED60A-8F4B-4ABB-9050-29EA15BCBA0B}" name="Reversed_Voucher_ID" dataDxfId="54"/>
    <tableColumn id="21" xr3:uid="{E9C9D96C-6B0B-4F14-8FC2-AF77A70BCB1E}" name="Project_ID" dataDxfId="53"/>
    <tableColumn id="22" xr3:uid="{2306EAD9-8185-45E8-9014-24C6874363C7}" name="Department_ID" dataDxfId="52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FCB87DE-B557-4107-8360-374A2CCE6137}" name="Table72916" displayName="Table72916" ref="D5:G18" totalsRowShown="0" headerRowDxfId="51" dataDxfId="50">
  <autoFilter ref="D5:G18" xr:uid="{09F3C46D-4B6E-4F1F-BC80-5D1AE2A51D2B}"/>
  <tableColumns count="4">
    <tableColumn id="1" xr3:uid="{F522C656-FABC-4D19-88AF-5A54A078B538}" name="Product_ID" dataDxfId="49"/>
    <tableColumn id="2" xr3:uid="{E6A45FF2-CEDE-47C8-9498-E5454F6CF0D3}" name="Adjustment_Date" dataDxfId="48"/>
    <tableColumn id="3" xr3:uid="{19F86342-6060-43C8-BB4D-43B7F987A9CF}" name="Adjustment_Qty" dataDxfId="47"/>
    <tableColumn id="4" xr3:uid="{A078C7DE-879C-4141-A3D7-E8AA4BE18119}" name="Adjustment_Reason" dataDxfId="46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A0C78EB-5EC7-406A-9D1B-EDC710AC98FF}" name="Table7291617" displayName="Table7291617" ref="D5:J18" totalsRowShown="0" headerRowDxfId="45" dataDxfId="44">
  <autoFilter ref="D5:J18" xr:uid="{09F3C46D-4B6E-4F1F-BC80-5D1AE2A51D2B}"/>
  <tableColumns count="7">
    <tableColumn id="1" xr3:uid="{289C1F82-05DB-4FBE-B142-C7ADE8344B39}" name="Product_ID" dataDxfId="43"/>
    <tableColumn id="2" xr3:uid="{4E74D076-5297-4146-AF52-47EA60DEAB9F}" name="Transfer_Date" dataDxfId="42"/>
    <tableColumn id="3" xr3:uid="{B4CF27FB-E6B0-4252-96AD-8C67C18FEA7F}" name="Transfer_Qty" dataDxfId="41"/>
    <tableColumn id="4" xr3:uid="{30395E46-BB43-4AF1-AA86-56410DFB154F}" name="From_Warehouse_ID" dataDxfId="40"/>
    <tableColumn id="5" xr3:uid="{6CDFF121-6F5A-4253-80AA-7AB174BC3B06}" name="From_Location" dataDxfId="39">
      <calculatedColumnFormula>IFERROR(VLOOKUP(Table7291617[[#This Row],[From_Warehouse_ID]],Table4101112[#All],2,0),"")</calculatedColumnFormula>
    </tableColumn>
    <tableColumn id="6" xr3:uid="{EAA3687E-3F8B-413A-87E3-55401DB81B47}" name="To_Warehouse_ID" dataDxfId="38"/>
    <tableColumn id="7" xr3:uid="{93F7C506-5EC7-4467-89A6-517951DFE1B6}" name="To_Location" dataDxfId="37">
      <calculatedColumnFormula>IFERROR(VLOOKUP(Table7291617[[#This Row],[To_Warehouse_ID]],Table4101112[#All],2,0),"")</calculatedColumnFormula>
    </tableColumn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9F3C46D-4B6E-4F1F-BC80-5D1AE2A51D2B}" name="Table7" displayName="Table7" ref="D5:AL18" totalsRowShown="0" headerRowDxfId="36" dataDxfId="35">
  <autoFilter ref="D5:AL18" xr:uid="{09F3C46D-4B6E-4F1F-BC80-5D1AE2A51D2B}"/>
  <tableColumns count="35">
    <tableColumn id="1" xr3:uid="{FEA2C901-8333-45F5-AD7B-289B7EEB07A3}" name="Inventory_ID" dataDxfId="34">
      <calculatedColumnFormula>"INVENT" &amp; TEXT(ROW()-5, "0000")</calculatedColumnFormula>
    </tableColumn>
    <tableColumn id="2" xr3:uid="{5B409354-BCF7-4A87-B8A5-ECC6BA2FC4E7}" name="Product_ID" dataDxfId="33"/>
    <tableColumn id="3" xr3:uid="{33A3B97F-F797-48FB-B05C-5FC1D76C4611}" name="SKU" dataDxfId="32">
      <calculatedColumnFormula>IFERROR(VLOOKUP(Table7[[#This Row],[Product_ID]],Table4[#All],7,0),"")</calculatedColumnFormula>
    </tableColumn>
    <tableColumn id="4" xr3:uid="{81A9F783-F5A1-42A4-A34C-E453BEBBC4DA}" name="Batch Number" dataDxfId="31"/>
    <tableColumn id="5" xr3:uid="{482669EB-EC97-42F4-B888-565CCCD2CC30}" name="Warehouse_ID" dataDxfId="30"/>
    <tableColumn id="6" xr3:uid="{7C00E586-B911-4250-82F9-09788CBA5FE0}" name="Location" dataDxfId="29">
      <calculatedColumnFormula>IFERROR(VLOOKUP(Table7[[#This Row],[Warehouse_ID]],Table4101112[#All],2,0),"")</calculatedColumnFormula>
    </tableColumn>
    <tableColumn id="8" xr3:uid="{2D8C8997-402C-47FE-A877-DACA414D2822}" name="Opening Stock" dataDxfId="28"/>
    <tableColumn id="7" xr3:uid="{E0C323AF-E1F3-4B76-AAA2-29F55812982A}" name="Current Stock" dataDxfId="27">
      <calculatedColumnFormula>IFERROR(SUMIF(purchase[Product_ID],Table7[[#This Row],[Product_ID]],purchase[Received Quantity]),0)-IFERROR(SUMIF(sales[Product_ID],Table7[[#This Row],[Product_ID]],sales[Quantity Sold]),0)</calculatedColumnFormula>
    </tableColumn>
    <tableColumn id="9" xr3:uid="{7F1CD34D-6402-41A3-840A-4C9FD68C0EE3}" name="Reserved Quantity" dataDxfId="26">
      <calculatedColumnFormula>IFERROR(SUMIFS(Table4101115[Quantity],Table4101115[Product_ID],Table7[Product_ID],Table4101115[Order Type],"Sales Order",Table4101115[Order Status],"Pending"),"")</calculatedColumnFormula>
    </tableColumn>
    <tableColumn id="10" xr3:uid="{1238858A-413E-431B-9D4F-BF3CC5F17371}" name="Incoming Quantity" dataDxfId="25">
      <calculatedColumnFormula>IFERROR(SUMIFS(Table4101115[Order Status],Table4101115[Product Name],Table7[SKU],Table4101115[Quantity],"Purchase Order",Table4101115[Expected Delivery Date],"Pending"),"")</calculatedColumnFormula>
    </tableColumn>
    <tableColumn id="11" xr3:uid="{01A495CA-B407-4588-882D-B350DFE23A61}" name="Minimum Stock Level" dataDxfId="24">
      <calculatedColumnFormula>IFERROR((Table4[[#This Row],[Average_Daily_Usage]]*Table4[[#This Row],[Lead_Time_Days]])-(Table4[[#This Row],[Average_Daily_Usage]]*Table4[[#This Row],[Buffer_Days]]),"")</calculatedColumnFormula>
    </tableColumn>
    <tableColumn id="12" xr3:uid="{67A1D229-9CA3-4C6B-AF77-97C25060DA77}" name="Reorder Level" dataDxfId="23">
      <calculatedColumnFormula>IFERROR(Table4[[#This Row],[Expected_Demand_During_Lead_Time]]+Table4[[#This Row],[Safety_Stock]],"")</calculatedColumnFormula>
    </tableColumn>
    <tableColumn id="13" xr3:uid="{576CBA6C-6E2A-4248-94E3-26D37EC9B024}" name="Reorder Quantity" dataDxfId="22">
      <calculatedColumnFormula>IFERROR(Table7[[#This Row],[Reorder Level]]-Table7[[#This Row],[Current Stock]],"")</calculatedColumnFormula>
    </tableColumn>
    <tableColumn id="14" xr3:uid="{85D50F4C-465A-4400-8C65-DC1903C03023}" name="Maximum Stock Level" dataDxfId="21">
      <calculatedColumnFormula>IFERROR(Table7[[#This Row],[Reorder Level]]+Table4[[#This Row],[Safety_Stock]]+Table4[[#This Row],[Expected_Demand_During_Lead_Time]],"")</calculatedColumnFormula>
    </tableColumn>
    <tableColumn id="15" xr3:uid="{CFBBA88C-957F-4DC6-8EBC-965CC3457EA3}" name="Last Stock In Date" dataDxfId="20">
      <calculatedColumnFormula>MAX(IF((purchase[Product_ID]=Table7[[#This Row],[Product_ID]])*(purchase[Delivery Status]="Completed"),purchase[Received Date]))</calculatedColumnFormula>
    </tableColumn>
    <tableColumn id="16" xr3:uid="{A47BD053-2AA8-489C-BF0B-AD8FEC3917DF}" name="Last Stock Out Date" dataDxfId="19">
      <calculatedColumnFormula>MAX(IF((sales[Product_ID]=Table7[[#This Row],[Product_ID]])*(sales[Sales Status]="Confirmed"),sales[Delivery Date]))</calculatedColumnFormula>
    </tableColumn>
    <tableColumn id="17" xr3:uid="{F204C37E-1685-4F02-90AD-3623CFB0C983}" name="Total Stock In" dataDxfId="18">
      <calculatedColumnFormula>SUMIFS(purchase[Received Quantity],purchase[Product_ID],Table7[[#This Row],[Product_ID]],purchase[Delivery Status],"Completed")</calculatedColumnFormula>
    </tableColumn>
    <tableColumn id="18" xr3:uid="{00CB6141-620C-4E69-826F-A3E555E63661}" name="Total Stock Out" dataDxfId="17">
      <calculatedColumnFormula>SUMIFS(sales[Quantity Sold],sales[Product_ID],Table7[[#This Row],[Product_ID]],sales[Sales Status],"Confirmed")</calculatedColumnFormula>
    </tableColumn>
    <tableColumn id="19" xr3:uid="{D2351579-7FED-4D1F-8ABC-2FF444431EF0}" name="Stock Adjustment Qty" dataDxfId="16">
      <calculatedColumnFormula>SUMIF(Table72916[Product_ID],Table7[[#This Row],[Product_ID]],Table72916[Adjustment_Qty])</calculatedColumnFormula>
    </tableColumn>
    <tableColumn id="20" xr3:uid="{0A008B75-F333-4606-AE6F-3771A09F1830}" name="Stock Transfer Qty" dataDxfId="15">
      <calculatedColumnFormula>SUMIF(Table7291617[Product_ID],Table7[[#This Row],[Product_ID]],Table7291617[Transfer_Qty])</calculatedColumnFormula>
    </tableColumn>
    <tableColumn id="21" xr3:uid="{95F28EA2-8E4A-400A-805D-8C4017391226}" name="Purchase Price" dataDxfId="14"/>
    <tableColumn id="22" xr3:uid="{38D5442D-37A3-446D-96AB-CDC03119FD7B}" name="Cost Method" dataDxfId="13"/>
    <tableColumn id="23" xr3:uid="{599AB830-394F-46B2-BFF6-8B5FC2C8780B}" name="Inventory Value" dataDxfId="12">
      <calculatedColumnFormula>IFERROR((Table7[[#This Row],[Total Stock In]]-Table7[[#This Row],[Total Stock Out]]+Table7[[#This Row],[Stock Adjustment Qty]]-Table7[[#This Row],[Stock Transfer Qty]])*VLOOKUP(Table7[[#This Row],[Product_ID]],Table4[#All],22,0),"")</calculatedColumnFormula>
    </tableColumn>
    <tableColumn id="24" xr3:uid="{C16B8454-B8AA-4B50-A3FC-35E6F79744F6}" name="MRP" dataDxfId="11">
      <calculatedColumnFormula>IFERROR(VLOOKUP(Table7[[#This Row],[Product_ID]],Table4[#All],17,0),"")</calculatedColumnFormula>
    </tableColumn>
    <tableColumn id="25" xr3:uid="{CFF7ECDB-C23B-4226-A27C-727F198EF659}" name="Last Updated Date" dataDxfId="10"/>
    <tableColumn id="26" xr3:uid="{E4B416FA-CB8C-460C-842B-4BEEC98F4B01}" name="Created Date" dataDxfId="9"/>
    <tableColumn id="27" xr3:uid="{C47AF6D1-150E-4425-A23B-E3F96EC649AD}" name="Last Purchase Date" dataDxfId="8"/>
    <tableColumn id="28" xr3:uid="{E7E30703-7CBC-4DC6-BC9F-2EE23116D47C}" name="Last Sale Date" dataDxfId="7"/>
    <tableColumn id="29" xr3:uid="{B7F1F05D-4CAA-43E9-A9CD-EC2B20915B77}" name="Inventory Status" dataDxfId="6"/>
    <tableColumn id="30" xr3:uid="{76715EC0-AEE4-47BB-BD20-E6FA795D142B}" name="Is Damaged Stock" dataDxfId="5"/>
    <tableColumn id="31" xr3:uid="{E9D8D848-19FF-4C89-997E-1D931CB2C47F}" name="Is Returnable" dataDxfId="4"/>
    <tableColumn id="32" xr3:uid="{DAE5F0F7-5978-42B6-92E3-623C6F99D40E}" name="Expiry Date" dataDxfId="3"/>
    <tableColumn id="33" xr3:uid="{6EABB5F6-52B7-4DB4-990E-419E9000F9A9}" name="Serial Number Tracking" dataDxfId="2"/>
    <tableColumn id="34" xr3:uid="{5F2B5FD9-81D4-431A-B48E-FBCB304A42D8}" name="Weight &amp; Dimensions" dataDxfId="1"/>
    <tableColumn id="35" xr3:uid="{1954FAC9-0AD3-4B57-ACFC-18AC00953B91}" name="Unit of Measur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7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08B7F35-539E-466F-A69E-699C1A36019B}">
  <we:reference id="wa200005271" version="2.5.5.0" store="en-US" storeType="OMEX"/>
  <we:alternateReferences>
    <we:reference id="wa200005271" version="2.5.5.0" store="wa200005271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file:///D:\My%20Drive\Indian%20Heritage%20Crafts\Vendor\VEN0001" TargetMode="External"/><Relationship Id="rId1" Type="http://schemas.openxmlformats.org/officeDocument/2006/relationships/hyperlink" Target="file:///D:\My%20Drive\Indian%20Heritage%20Crafts\Vendor\VEN0001" TargetMode="External"/><Relationship Id="rId5" Type="http://schemas.openxmlformats.org/officeDocument/2006/relationships/table" Target="../tables/table2.xm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3" Type="http://schemas.openxmlformats.org/officeDocument/2006/relationships/hyperlink" Target="file:///D:\My%20Drive\Indian%20Heritage%20Crafts\SKUs\IHC046SKU\Bamboo%20Toothbrush%20Marketplace%20Promo.mp4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file:///D:\My%20Drive\Indian%20Heritage%20Crafts\SKUs\IHC046SKU\IHC0038_EHC_1.png" TargetMode="External"/><Relationship Id="rId1" Type="http://schemas.openxmlformats.org/officeDocument/2006/relationships/hyperlink" Target="file:///D:\My%20Drive\Indian%20Heritage%20Crafts\SKUs\IHC046SKU\IHC046SKU.gif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file:///D:\My%20Drive\Indian%20Heritage%20Crafts\SKUs\IHC046SKU\IHC0038_EHC_1.png" TargetMode="External"/><Relationship Id="rId4" Type="http://schemas.openxmlformats.org/officeDocument/2006/relationships/hyperlink" Target="file:///D:\My%20Drive\Indian%20Heritage%20Crafts\SKUs\IHC046SKU\IHC046SKU.gif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Official_Docs" TargetMode="External"/><Relationship Id="rId1" Type="http://schemas.openxmlformats.org/officeDocument/2006/relationships/hyperlink" Target="Official_Docs" TargetMode="External"/><Relationship Id="rId5" Type="http://schemas.openxmlformats.org/officeDocument/2006/relationships/table" Target="../tables/table6.xm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hyperlink" Target="file:///D:\My%20Drive\Indian%20Heritage%20Crafts\Purchase\April\GGC1171.pdf" TargetMode="External"/><Relationship Id="rId1" Type="http://schemas.openxmlformats.org/officeDocument/2006/relationships/hyperlink" Target="file:///D:\My%20Drive\Indian%20Heritage%20Crafts\Purchase\April\GGC240015.pdf" TargetMode="External"/><Relationship Id="rId5" Type="http://schemas.openxmlformats.org/officeDocument/2006/relationships/table" Target="../tables/table10.xml"/><Relationship Id="rId4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75040-6543-4E5F-A738-DF6AD96DCB7C}">
  <sheetPr codeName="Sheet2"/>
  <dimension ref="B1:O20"/>
  <sheetViews>
    <sheetView showGridLines="0" showRowColHeaders="0" zoomScaleNormal="100" workbookViewId="0"/>
  </sheetViews>
  <sheetFormatPr defaultColWidth="8.78515625" defaultRowHeight="26.25" x14ac:dyDescent="0.4"/>
  <cols>
    <col min="1" max="1" width="1.640625" style="1" customWidth="1"/>
    <col min="2" max="2" width="14.5" customWidth="1"/>
    <col min="3" max="3" width="1.7109375" style="1" customWidth="1"/>
    <col min="4" max="7" width="8.78515625" style="1"/>
    <col min="8" max="8" width="14.42578125" style="1" customWidth="1"/>
    <col min="9" max="9" width="25.85546875" style="1" customWidth="1"/>
    <col min="10" max="16384" width="8.78515625" style="1"/>
  </cols>
  <sheetData>
    <row r="1" spans="2:15" x14ac:dyDescent="0.4">
      <c r="B1" s="1"/>
    </row>
    <row r="2" spans="2:15" x14ac:dyDescent="0.4">
      <c r="B2" s="13"/>
      <c r="O2" s="2"/>
    </row>
    <row r="3" spans="2:15" x14ac:dyDescent="0.4">
      <c r="B3" s="14"/>
    </row>
    <row r="4" spans="2:15" x14ac:dyDescent="0.4">
      <c r="B4" s="14"/>
    </row>
    <row r="5" spans="2:15" x14ac:dyDescent="0.4">
      <c r="B5" s="14"/>
    </row>
    <row r="6" spans="2:15" x14ac:dyDescent="0.4">
      <c r="B6" s="14"/>
    </row>
    <row r="7" spans="2:15" x14ac:dyDescent="0.4">
      <c r="B7" s="14"/>
      <c r="I7" s="18" t="s">
        <v>9</v>
      </c>
    </row>
    <row r="8" spans="2:15" x14ac:dyDescent="0.4">
      <c r="B8" s="14"/>
      <c r="I8" s="16" t="e" cm="1">
        <f t="array" aca="1" ref="I8:I11" ca="1">_xlfn._xlws.FILTER(Table7[Current Stock],Table7[Current Stock]&lt;&gt;"")</f>
        <v>#NAME?</v>
      </c>
    </row>
    <row r="9" spans="2:15" x14ac:dyDescent="0.4">
      <c r="B9" s="14"/>
      <c r="I9" s="16" t="e">
        <f ca="1"/>
        <v>#NAME?</v>
      </c>
    </row>
    <row r="10" spans="2:15" x14ac:dyDescent="0.4">
      <c r="B10" s="14" t="s">
        <v>0</v>
      </c>
      <c r="I10" s="16" t="e">
        <f ca="1"/>
        <v>#NAME?</v>
      </c>
    </row>
    <row r="11" spans="2:15" x14ac:dyDescent="0.4">
      <c r="B11" s="14"/>
      <c r="I11" s="16" t="e">
        <f ca="1"/>
        <v>#NAME?</v>
      </c>
    </row>
    <row r="12" spans="2:15" x14ac:dyDescent="0.4">
      <c r="B12" s="14"/>
      <c r="I12" s="16"/>
    </row>
    <row r="13" spans="2:15" x14ac:dyDescent="0.4">
      <c r="B13" s="14"/>
      <c r="I13" s="16"/>
    </row>
    <row r="14" spans="2:15" x14ac:dyDescent="0.4">
      <c r="B14" s="14"/>
      <c r="I14" s="16"/>
    </row>
    <row r="15" spans="2:15" x14ac:dyDescent="0.4">
      <c r="B15" s="14"/>
      <c r="I15" s="16"/>
    </row>
    <row r="16" spans="2:15" x14ac:dyDescent="0.4">
      <c r="B16" s="14"/>
      <c r="I16" s="16"/>
    </row>
    <row r="17" spans="2:9" x14ac:dyDescent="0.4">
      <c r="B17" s="14"/>
      <c r="I17" s="16"/>
    </row>
    <row r="18" spans="2:9" x14ac:dyDescent="0.4">
      <c r="B18" s="14"/>
      <c r="I18" s="16"/>
    </row>
    <row r="19" spans="2:9" x14ac:dyDescent="0.4">
      <c r="B19" s="15"/>
      <c r="I19" s="17"/>
    </row>
    <row r="20" spans="2:9" x14ac:dyDescent="0.4">
      <c r="B20" s="8"/>
      <c r="C20" s="8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6CAF9-BA04-4F2C-9A63-4295EE7B666C}">
  <sheetPr codeName="Sheet3"/>
  <dimension ref="A2:G38"/>
  <sheetViews>
    <sheetView showRowColHeaders="0" zoomScale="50" zoomScaleNormal="50" workbookViewId="0"/>
  </sheetViews>
  <sheetFormatPr defaultRowHeight="26.25" x14ac:dyDescent="0.4"/>
  <cols>
    <col min="1" max="1" width="19.42578125" bestFit="1" customWidth="1"/>
    <col min="3" max="3" width="13.0703125" customWidth="1"/>
    <col min="5" max="5" width="11.140625" bestFit="1" customWidth="1"/>
    <col min="6" max="6" width="11.28515625" bestFit="1" customWidth="1"/>
  </cols>
  <sheetData>
    <row r="2" spans="1:6" x14ac:dyDescent="0.4">
      <c r="A2" t="s">
        <v>10</v>
      </c>
      <c r="C2" t="s">
        <v>11</v>
      </c>
      <c r="E2" s="11" t="s">
        <v>17</v>
      </c>
      <c r="F2" t="s">
        <v>14</v>
      </c>
    </row>
    <row r="3" spans="1:6" x14ac:dyDescent="0.4">
      <c r="C3">
        <f>GETPIVOTDATA("Name",$A$2)</f>
        <v>0</v>
      </c>
      <c r="E3" s="12"/>
      <c r="F3" s="9">
        <v>0</v>
      </c>
    </row>
    <row r="4" spans="1:6" x14ac:dyDescent="0.4">
      <c r="E4" s="12" t="s">
        <v>18</v>
      </c>
      <c r="F4" s="9">
        <v>0</v>
      </c>
    </row>
    <row r="5" spans="1:6" x14ac:dyDescent="0.4">
      <c r="A5" t="s">
        <v>12</v>
      </c>
      <c r="C5" t="s">
        <v>13</v>
      </c>
    </row>
    <row r="6" spans="1:6" x14ac:dyDescent="0.4">
      <c r="C6">
        <f>GETPIVOTDATA("Product Name",$A$5)</f>
        <v>0</v>
      </c>
    </row>
    <row r="8" spans="1:6" x14ac:dyDescent="0.4">
      <c r="A8" t="s">
        <v>14</v>
      </c>
      <c r="C8" t="s">
        <v>15</v>
      </c>
    </row>
    <row r="9" spans="1:6" x14ac:dyDescent="0.4">
      <c r="A9" s="9">
        <v>0</v>
      </c>
      <c r="C9" s="10">
        <f>GETPIVOTDATA("Amount",$A$8)</f>
        <v>0</v>
      </c>
    </row>
    <row r="11" spans="1:6" x14ac:dyDescent="0.4">
      <c r="A11" t="s">
        <v>14</v>
      </c>
      <c r="C11" t="s">
        <v>16</v>
      </c>
    </row>
    <row r="12" spans="1:6" x14ac:dyDescent="0.4">
      <c r="A12" s="9">
        <v>0</v>
      </c>
      <c r="C12" s="10">
        <f>GETPIVOTDATA("Amount",$A$11)</f>
        <v>0</v>
      </c>
      <c r="E12" s="11" t="s">
        <v>17</v>
      </c>
      <c r="F12" t="s">
        <v>19</v>
      </c>
    </row>
    <row r="13" spans="1:6" x14ac:dyDescent="0.4">
      <c r="E13" s="12"/>
      <c r="F13">
        <v>310</v>
      </c>
    </row>
    <row r="14" spans="1:6" x14ac:dyDescent="0.4">
      <c r="E14" s="12" t="s">
        <v>18</v>
      </c>
      <c r="F14">
        <v>310</v>
      </c>
    </row>
    <row r="16" spans="1:6" x14ac:dyDescent="0.4">
      <c r="A16" s="26"/>
      <c r="B16" s="27"/>
      <c r="C16" s="28"/>
    </row>
    <row r="17" spans="1:7" x14ac:dyDescent="0.4">
      <c r="A17" s="29"/>
      <c r="B17" s="30"/>
      <c r="C17" s="31"/>
    </row>
    <row r="18" spans="1:7" x14ac:dyDescent="0.4">
      <c r="A18" s="29"/>
      <c r="B18" s="30"/>
      <c r="C18" s="31"/>
    </row>
    <row r="19" spans="1:7" x14ac:dyDescent="0.4">
      <c r="A19" s="29"/>
      <c r="B19" s="30"/>
      <c r="C19" s="31"/>
    </row>
    <row r="20" spans="1:7" x14ac:dyDescent="0.4">
      <c r="A20" s="29"/>
      <c r="B20" s="30"/>
      <c r="C20" s="31"/>
    </row>
    <row r="21" spans="1:7" x14ac:dyDescent="0.4">
      <c r="A21" s="29"/>
      <c r="B21" s="30"/>
      <c r="C21" s="31"/>
      <c r="E21" s="26"/>
      <c r="F21" s="27"/>
      <c r="G21" s="28"/>
    </row>
    <row r="22" spans="1:7" x14ac:dyDescent="0.4">
      <c r="A22" s="29"/>
      <c r="B22" s="30"/>
      <c r="C22" s="31"/>
      <c r="E22" s="29"/>
      <c r="F22" s="30"/>
      <c r="G22" s="31"/>
    </row>
    <row r="23" spans="1:7" x14ac:dyDescent="0.4">
      <c r="A23" s="29"/>
      <c r="B23" s="30"/>
      <c r="C23" s="31"/>
      <c r="E23" s="29"/>
      <c r="F23" s="30"/>
      <c r="G23" s="31"/>
    </row>
    <row r="24" spans="1:7" x14ac:dyDescent="0.4">
      <c r="A24" s="29"/>
      <c r="B24" s="30"/>
      <c r="C24" s="31"/>
      <c r="E24" s="29"/>
      <c r="F24" s="30"/>
      <c r="G24" s="31"/>
    </row>
    <row r="25" spans="1:7" x14ac:dyDescent="0.4">
      <c r="A25" s="29"/>
      <c r="B25" s="30"/>
      <c r="C25" s="31"/>
      <c r="E25" s="29"/>
      <c r="F25" s="30"/>
      <c r="G25" s="31"/>
    </row>
    <row r="26" spans="1:7" x14ac:dyDescent="0.4">
      <c r="A26" s="29"/>
      <c r="B26" s="30"/>
      <c r="C26" s="31"/>
      <c r="E26" s="29"/>
      <c r="F26" s="30"/>
      <c r="G26" s="31"/>
    </row>
    <row r="27" spans="1:7" x14ac:dyDescent="0.4">
      <c r="A27" s="29"/>
      <c r="B27" s="30"/>
      <c r="C27" s="31"/>
      <c r="E27" s="29"/>
      <c r="F27" s="30"/>
      <c r="G27" s="31"/>
    </row>
    <row r="28" spans="1:7" x14ac:dyDescent="0.4">
      <c r="A28" s="29"/>
      <c r="B28" s="30"/>
      <c r="C28" s="31"/>
      <c r="E28" s="29"/>
      <c r="F28" s="30"/>
      <c r="G28" s="31"/>
    </row>
    <row r="29" spans="1:7" x14ac:dyDescent="0.4">
      <c r="A29" s="29"/>
      <c r="B29" s="30"/>
      <c r="C29" s="31"/>
      <c r="E29" s="29"/>
      <c r="F29" s="30"/>
      <c r="G29" s="31"/>
    </row>
    <row r="30" spans="1:7" x14ac:dyDescent="0.4">
      <c r="A30" s="29"/>
      <c r="B30" s="30"/>
      <c r="C30" s="31"/>
      <c r="E30" s="29"/>
      <c r="F30" s="30"/>
      <c r="G30" s="31"/>
    </row>
    <row r="31" spans="1:7" x14ac:dyDescent="0.4">
      <c r="A31" s="29"/>
      <c r="B31" s="30"/>
      <c r="C31" s="31"/>
      <c r="E31" s="29"/>
      <c r="F31" s="30"/>
      <c r="G31" s="31"/>
    </row>
    <row r="32" spans="1:7" x14ac:dyDescent="0.4">
      <c r="A32" s="29"/>
      <c r="B32" s="30"/>
      <c r="C32" s="31"/>
      <c r="E32" s="29"/>
      <c r="F32" s="30"/>
      <c r="G32" s="31"/>
    </row>
    <row r="33" spans="1:7" x14ac:dyDescent="0.4">
      <c r="A33" s="32"/>
      <c r="B33" s="33"/>
      <c r="C33" s="34"/>
      <c r="E33" s="29"/>
      <c r="F33" s="30"/>
      <c r="G33" s="31"/>
    </row>
    <row r="34" spans="1:7" x14ac:dyDescent="0.4">
      <c r="E34" s="29"/>
      <c r="F34" s="30"/>
      <c r="G34" s="31"/>
    </row>
    <row r="35" spans="1:7" x14ac:dyDescent="0.4">
      <c r="E35" s="29"/>
      <c r="F35" s="30"/>
      <c r="G35" s="31"/>
    </row>
    <row r="36" spans="1:7" x14ac:dyDescent="0.4">
      <c r="E36" s="29"/>
      <c r="F36" s="30"/>
      <c r="G36" s="31"/>
    </row>
    <row r="37" spans="1:7" x14ac:dyDescent="0.4">
      <c r="E37" s="29"/>
      <c r="F37" s="30"/>
      <c r="G37" s="31"/>
    </row>
    <row r="38" spans="1:7" x14ac:dyDescent="0.4">
      <c r="E38" s="32"/>
      <c r="F38" s="33"/>
      <c r="G38" s="34"/>
    </row>
  </sheetData>
  <pageMargins left="0.7" right="0.7" top="0.75" bottom="0.75" header="0.3" footer="0.3"/>
  <pageSetup orientation="portrait" r:id="rId9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CAD7F-460B-478F-AB15-7C7D4B9B9276}">
  <sheetPr codeName="Sheet4"/>
  <dimension ref="B1:AJ20"/>
  <sheetViews>
    <sheetView zoomScale="73" zoomScaleNormal="73" workbookViewId="0">
      <selection activeCell="AK3" sqref="AK3"/>
    </sheetView>
  </sheetViews>
  <sheetFormatPr defaultColWidth="8.78515625" defaultRowHeight="26.25" x14ac:dyDescent="0.4"/>
  <cols>
    <col min="1" max="1" width="1.640625" style="1" customWidth="1"/>
    <col min="2" max="2" width="14.5" customWidth="1"/>
    <col min="3" max="3" width="1.7109375" style="1" customWidth="1"/>
    <col min="4" max="4" width="10.42578125" style="1" bestFit="1" customWidth="1"/>
    <col min="5" max="7" width="15.640625" style="1" customWidth="1"/>
    <col min="8" max="8" width="10.140625" style="1" bestFit="1" customWidth="1"/>
    <col min="9" max="9" width="6.85546875" style="1" bestFit="1" customWidth="1"/>
    <col min="10" max="10" width="11.7109375" style="1" bestFit="1" customWidth="1"/>
    <col min="11" max="11" width="12.42578125" style="1" bestFit="1" customWidth="1"/>
    <col min="12" max="12" width="12.5703125" style="1" bestFit="1" customWidth="1"/>
    <col min="13" max="13" width="13.0703125" style="1" bestFit="1" customWidth="1"/>
    <col min="14" max="14" width="4.78515625" style="1" bestFit="1" customWidth="1"/>
    <col min="15" max="15" width="14.7109375" style="1" bestFit="1" customWidth="1"/>
    <col min="16" max="16" width="9.140625" style="1" bestFit="1" customWidth="1"/>
    <col min="17" max="17" width="11.28515625" style="1" bestFit="1" customWidth="1"/>
    <col min="18" max="18" width="11.78515625" style="1" bestFit="1" customWidth="1"/>
    <col min="19" max="19" width="11.640625" style="1" bestFit="1" customWidth="1"/>
    <col min="20" max="20" width="14.640625" style="1" bestFit="1" customWidth="1"/>
    <col min="21" max="21" width="15.5" style="1" bestFit="1" customWidth="1"/>
    <col min="22" max="22" width="18.5" style="1" bestFit="1" customWidth="1"/>
    <col min="23" max="23" width="19.7109375" style="1" bestFit="1" customWidth="1"/>
    <col min="24" max="24" width="20.640625" style="1" bestFit="1" customWidth="1"/>
    <col min="25" max="25" width="13.7109375" style="1" bestFit="1" customWidth="1"/>
    <col min="26" max="26" width="14.5703125" style="1" bestFit="1" customWidth="1"/>
    <col min="27" max="27" width="15.2109375" style="1" bestFit="1" customWidth="1"/>
    <col min="28" max="28" width="12.78515625" style="1" bestFit="1" customWidth="1"/>
    <col min="29" max="29" width="16.5" style="1" bestFit="1" customWidth="1"/>
    <col min="30" max="30" width="17.0703125" style="1" bestFit="1" customWidth="1"/>
    <col min="31" max="31" width="12.5" style="1" bestFit="1" customWidth="1"/>
    <col min="32" max="32" width="17.5703125" style="1" bestFit="1" customWidth="1"/>
    <col min="33" max="33" width="19.35546875" style="1" bestFit="1" customWidth="1"/>
    <col min="34" max="34" width="11" style="1" bestFit="1" customWidth="1"/>
    <col min="35" max="35" width="10.92578125" style="1" bestFit="1" customWidth="1"/>
    <col min="36" max="36" width="10.2109375" style="1" bestFit="1" customWidth="1"/>
    <col min="37" max="16384" width="8.78515625" style="1"/>
  </cols>
  <sheetData>
    <row r="1" spans="2:36" x14ac:dyDescent="0.4">
      <c r="B1" s="1"/>
    </row>
    <row r="2" spans="2:36" x14ac:dyDescent="0.4">
      <c r="B2" s="13"/>
      <c r="Q2" s="2"/>
    </row>
    <row r="3" spans="2:36" x14ac:dyDescent="0.4">
      <c r="B3" s="14"/>
    </row>
    <row r="4" spans="2:36" x14ac:dyDescent="0.4">
      <c r="B4" s="14"/>
      <c r="C4" s="21"/>
      <c r="D4" s="70" t="s">
        <v>327</v>
      </c>
      <c r="E4" s="71"/>
      <c r="F4" s="71"/>
      <c r="G4" s="71"/>
      <c r="H4" s="71"/>
      <c r="I4" s="71"/>
      <c r="J4" s="72"/>
      <c r="L4" s="70" t="s">
        <v>328</v>
      </c>
      <c r="M4" s="71"/>
      <c r="N4" s="71"/>
      <c r="O4" s="71"/>
      <c r="P4" s="71"/>
      <c r="Q4" s="72"/>
      <c r="R4" s="70" t="s">
        <v>329</v>
      </c>
      <c r="S4" s="72"/>
      <c r="T4" s="70" t="s">
        <v>330</v>
      </c>
      <c r="U4" s="71"/>
      <c r="V4" s="72"/>
      <c r="W4" s="70" t="s">
        <v>331</v>
      </c>
      <c r="X4" s="71"/>
      <c r="Y4" s="71"/>
      <c r="Z4" s="71"/>
      <c r="AA4" s="71"/>
      <c r="AB4" s="72"/>
      <c r="AC4" s="70" t="s">
        <v>332</v>
      </c>
      <c r="AD4" s="71"/>
      <c r="AE4" s="72"/>
      <c r="AF4" s="67" t="s">
        <v>333</v>
      </c>
      <c r="AG4" s="68"/>
      <c r="AH4" s="68"/>
      <c r="AI4" s="68"/>
      <c r="AJ4" s="69"/>
    </row>
    <row r="5" spans="2:36" x14ac:dyDescent="0.4">
      <c r="B5" s="14"/>
      <c r="D5" s="3" t="s">
        <v>242</v>
      </c>
      <c r="E5" s="4" t="s">
        <v>1</v>
      </c>
      <c r="F5" s="4" t="s">
        <v>2</v>
      </c>
      <c r="G5" s="4" t="s">
        <v>20</v>
      </c>
      <c r="H5" s="4" t="s">
        <v>88</v>
      </c>
      <c r="I5" s="4" t="s">
        <v>89</v>
      </c>
      <c r="J5" s="4" t="s">
        <v>90</v>
      </c>
      <c r="K5" s="4" t="s">
        <v>129</v>
      </c>
      <c r="L5" s="4" t="s">
        <v>91</v>
      </c>
      <c r="M5" s="4" t="s">
        <v>92</v>
      </c>
      <c r="N5" s="4" t="s">
        <v>93</v>
      </c>
      <c r="O5" s="4" t="s">
        <v>94</v>
      </c>
      <c r="P5" s="4" t="s">
        <v>95</v>
      </c>
      <c r="Q5" s="4" t="s">
        <v>96</v>
      </c>
      <c r="R5" s="4" t="s">
        <v>97</v>
      </c>
      <c r="S5" s="4" t="s">
        <v>98</v>
      </c>
      <c r="T5" s="4" t="s">
        <v>21</v>
      </c>
      <c r="U5" s="4" t="s">
        <v>99</v>
      </c>
      <c r="V5" s="4" t="s">
        <v>100</v>
      </c>
      <c r="W5" s="4" t="s">
        <v>34</v>
      </c>
      <c r="X5" s="4" t="s">
        <v>101</v>
      </c>
      <c r="Y5" s="4" t="s">
        <v>102</v>
      </c>
      <c r="Z5" s="4" t="s">
        <v>103</v>
      </c>
      <c r="AA5" s="4" t="s">
        <v>104</v>
      </c>
      <c r="AB5" s="4" t="s">
        <v>105</v>
      </c>
      <c r="AC5" s="4" t="s">
        <v>106</v>
      </c>
      <c r="AD5" s="4" t="s">
        <v>107</v>
      </c>
      <c r="AE5" s="4" t="s">
        <v>108</v>
      </c>
      <c r="AF5" s="4" t="s">
        <v>109</v>
      </c>
      <c r="AG5" s="4" t="s">
        <v>110</v>
      </c>
      <c r="AH5" s="4" t="s">
        <v>111</v>
      </c>
      <c r="AI5" s="4" t="s">
        <v>112</v>
      </c>
      <c r="AJ5" s="4" t="s">
        <v>113</v>
      </c>
    </row>
    <row r="6" spans="2:36" x14ac:dyDescent="0.4">
      <c r="B6" s="14"/>
      <c r="D6" s="3" t="str">
        <f t="shared" ref="D6:D12" si="0">"CUST" &amp; TEXT(ROW()-5, "0000")</f>
        <v>CUST0001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</row>
    <row r="7" spans="2:36" x14ac:dyDescent="0.4">
      <c r="B7" s="14"/>
      <c r="D7" s="3" t="str">
        <f t="shared" si="0"/>
        <v>CUST0002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</row>
    <row r="8" spans="2:36" x14ac:dyDescent="0.4">
      <c r="B8" s="14"/>
      <c r="D8" s="3" t="str">
        <f t="shared" si="0"/>
        <v>CUST0003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</row>
    <row r="9" spans="2:36" x14ac:dyDescent="0.4">
      <c r="B9" s="14"/>
      <c r="D9" s="3" t="str">
        <f t="shared" si="0"/>
        <v>CUST0004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</row>
    <row r="10" spans="2:36" x14ac:dyDescent="0.4">
      <c r="B10" s="14" t="s">
        <v>0</v>
      </c>
      <c r="D10" s="3" t="str">
        <f t="shared" si="0"/>
        <v>CUST0005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</row>
    <row r="11" spans="2:36" x14ac:dyDescent="0.4">
      <c r="B11" s="14"/>
      <c r="D11" s="3" t="str">
        <f t="shared" si="0"/>
        <v>CUST0006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</row>
    <row r="12" spans="2:36" x14ac:dyDescent="0.4">
      <c r="B12" s="14"/>
      <c r="D12" s="3" t="str">
        <f t="shared" si="0"/>
        <v>CUST0007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</row>
    <row r="13" spans="2:36" x14ac:dyDescent="0.4">
      <c r="B13" s="14"/>
    </row>
    <row r="14" spans="2:36" x14ac:dyDescent="0.4">
      <c r="B14" s="14"/>
    </row>
    <row r="15" spans="2:36" x14ac:dyDescent="0.4">
      <c r="B15" s="14"/>
    </row>
    <row r="16" spans="2:36" x14ac:dyDescent="0.4">
      <c r="B16" s="14"/>
    </row>
    <row r="17" spans="2:2" x14ac:dyDescent="0.4">
      <c r="B17" s="14"/>
    </row>
    <row r="18" spans="2:2" x14ac:dyDescent="0.4">
      <c r="B18" s="14"/>
    </row>
    <row r="19" spans="2:2" x14ac:dyDescent="0.4">
      <c r="B19" s="15"/>
    </row>
    <row r="20" spans="2:2" x14ac:dyDescent="0.4">
      <c r="B20" s="8"/>
    </row>
  </sheetData>
  <mergeCells count="7">
    <mergeCell ref="AF4:AJ4"/>
    <mergeCell ref="D4:J4"/>
    <mergeCell ref="L4:Q4"/>
    <mergeCell ref="R4:S4"/>
    <mergeCell ref="T4:V4"/>
    <mergeCell ref="W4:AB4"/>
    <mergeCell ref="AC4:AE4"/>
  </mergeCells>
  <dataValidations count="9">
    <dataValidation type="list" allowBlank="1" showInputMessage="1" showErrorMessage="1" sqref="I6:I12" xr:uid="{74BEED45-7E24-45AD-B49F-D42CB9A2BAF2}">
      <formula1>gender</formula1>
    </dataValidation>
    <dataValidation type="list" allowBlank="1" showInputMessage="1" showErrorMessage="1" sqref="J6:J12 K7:K12" xr:uid="{4F2D040A-458C-42E1-8BF0-AFBAA6542F8E}">
      <formula1>custtype</formula1>
    </dataValidation>
    <dataValidation type="list" allowBlank="1" showInputMessage="1" showErrorMessage="1" sqref="S6:S12" xr:uid="{1E3C8246-8B81-480C-941A-64B59C2C3323}">
      <formula1>accountstatus</formula1>
    </dataValidation>
    <dataValidation type="list" allowBlank="1" showInputMessage="1" showErrorMessage="1" sqref="W6" xr:uid="{73C54F4E-E72A-4D77-91C6-14690385D18D}">
      <formula1>ppmethod</formula1>
    </dataValidation>
    <dataValidation type="list" allowBlank="1" showInputMessage="1" showErrorMessage="1" sqref="AF6" xr:uid="{CE8137C3-255A-406A-8729-8BE9BA6F2B5F}">
      <formula1>newslatersubs</formula1>
    </dataValidation>
    <dataValidation type="list" allowBlank="1" showInputMessage="1" showErrorMessage="1" sqref="K6" xr:uid="{7D3E1ADF-2895-4233-9214-628E257AC70E}">
      <formula1>purchsdfrm</formula1>
    </dataValidation>
    <dataValidation type="list" allowBlank="1" showInputMessage="1" showErrorMessage="1" sqref="AG6:AG12" xr:uid="{0334D1C0-9602-4251-9272-A6D906A5DCF8}">
      <formula1>prefedcnctchnl</formula1>
    </dataValidation>
    <dataValidation type="list" allowBlank="1" showInputMessage="1" showErrorMessage="1" sqref="O6" xr:uid="{D09B268D-1C3D-48B5-9CFF-1474F43A658A}">
      <formula1>statelist</formula1>
    </dataValidation>
    <dataValidation type="list" allowBlank="1" showInputMessage="1" showErrorMessage="1" sqref="P6" xr:uid="{43DD0CDA-4589-468D-AC30-45A5671DB1EC}">
      <formula1>countrylist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2B58F-57CA-4487-A38A-E02C7AD46304}">
  <sheetPr codeName="Sheet1"/>
  <dimension ref="B1:AU21"/>
  <sheetViews>
    <sheetView tabSelected="1" topLeftCell="S1" zoomScale="82" zoomScaleNormal="82" workbookViewId="0">
      <selection activeCell="Y12" sqref="Y12"/>
    </sheetView>
  </sheetViews>
  <sheetFormatPr defaultColWidth="8.78515625" defaultRowHeight="26.25" x14ac:dyDescent="0.4"/>
  <cols>
    <col min="1" max="1" width="1.640625" style="1" customWidth="1"/>
    <col min="2" max="2" width="14.5" customWidth="1"/>
    <col min="3" max="3" width="1.7109375" style="1" customWidth="1"/>
    <col min="4" max="4" width="8.78515625" style="1"/>
    <col min="5" max="6" width="21.28515625" style="1" bestFit="1" customWidth="1"/>
    <col min="7" max="7" width="15.42578125" style="1" bestFit="1" customWidth="1"/>
    <col min="8" max="8" width="17.5703125" style="1" bestFit="1" customWidth="1"/>
    <col min="9" max="9" width="13.92578125" style="1" bestFit="1" customWidth="1"/>
    <col min="10" max="10" width="17.28515625" style="1" bestFit="1" customWidth="1"/>
    <col min="11" max="11" width="20" style="1" bestFit="1" customWidth="1"/>
    <col min="12" max="13" width="37.5" style="1" bestFit="1" customWidth="1"/>
    <col min="14" max="14" width="4.5703125" style="1" customWidth="1"/>
    <col min="15" max="15" width="11.5" style="1" bestFit="1" customWidth="1"/>
    <col min="16" max="16" width="12.78515625" style="1" bestFit="1" customWidth="1"/>
    <col min="17" max="17" width="10.640625" style="1" bestFit="1" customWidth="1"/>
    <col min="18" max="18" width="23.140625" style="1" bestFit="1" customWidth="1"/>
    <col min="19" max="19" width="10.640625" style="1" bestFit="1" customWidth="1"/>
    <col min="20" max="20" width="23.35546875" style="1" bestFit="1" customWidth="1"/>
    <col min="21" max="21" width="16.78515625" style="1" bestFit="1" customWidth="1"/>
    <col min="22" max="22" width="15.5703125" style="1" bestFit="1" customWidth="1"/>
    <col min="23" max="23" width="18.5" style="1" bestFit="1" customWidth="1"/>
    <col min="24" max="24" width="15.28515625" style="1" bestFit="1" customWidth="1"/>
    <col min="25" max="25" width="18.5" style="1" bestFit="1" customWidth="1"/>
    <col min="26" max="26" width="17" style="1" bestFit="1" customWidth="1"/>
    <col min="27" max="27" width="10.5" style="1" bestFit="1" customWidth="1"/>
    <col min="28" max="28" width="13.85546875" style="1" bestFit="1" customWidth="1"/>
    <col min="29" max="29" width="18.7109375" style="1" bestFit="1" customWidth="1"/>
    <col min="30" max="30" width="24.2109375" style="1" bestFit="1" customWidth="1"/>
    <col min="31" max="31" width="14.92578125" style="1" bestFit="1" customWidth="1"/>
    <col min="32" max="32" width="13.5703125" style="1" bestFit="1" customWidth="1"/>
    <col min="33" max="33" width="14.5703125" style="1" bestFit="1" customWidth="1"/>
    <col min="34" max="34" width="16.2109375" style="1" bestFit="1" customWidth="1"/>
    <col min="35" max="35" width="18.5" style="1" bestFit="1" customWidth="1"/>
    <col min="36" max="36" width="15.85546875" style="1" bestFit="1" customWidth="1"/>
    <col min="37" max="37" width="15.2109375" style="1" bestFit="1" customWidth="1"/>
    <col min="38" max="38" width="13.85546875" style="1" bestFit="1" customWidth="1"/>
    <col min="39" max="39" width="11.7109375" style="1" bestFit="1" customWidth="1"/>
    <col min="40" max="41" width="16.7109375" style="1" bestFit="1" customWidth="1"/>
    <col min="42" max="42" width="14.78515625" style="1" bestFit="1" customWidth="1"/>
    <col min="43" max="43" width="11.28515625" style="1" bestFit="1" customWidth="1"/>
    <col min="44" max="44" width="10.7109375" style="1" bestFit="1" customWidth="1"/>
    <col min="45" max="45" width="11" style="1" customWidth="1"/>
    <col min="46" max="46" width="17" style="1" bestFit="1" customWidth="1"/>
    <col min="47" max="16384" width="8.78515625" style="1"/>
  </cols>
  <sheetData>
    <row r="1" spans="2:47" x14ac:dyDescent="0.4">
      <c r="B1" s="1"/>
    </row>
    <row r="2" spans="2:47" x14ac:dyDescent="0.4">
      <c r="B2" s="13"/>
      <c r="Q2" s="2"/>
    </row>
    <row r="3" spans="2:47" x14ac:dyDescent="0.4">
      <c r="B3" s="14"/>
    </row>
    <row r="4" spans="2:47" x14ac:dyDescent="0.4">
      <c r="B4" s="14"/>
      <c r="C4" s="21"/>
      <c r="D4" s="70" t="s">
        <v>335</v>
      </c>
      <c r="E4" s="71"/>
      <c r="F4" s="71"/>
      <c r="G4" s="71"/>
      <c r="H4" s="71"/>
      <c r="I4" s="71"/>
      <c r="J4" s="71"/>
      <c r="K4" s="72"/>
      <c r="L4" s="70" t="s">
        <v>336</v>
      </c>
      <c r="M4" s="71"/>
      <c r="N4" s="71"/>
      <c r="O4" s="71"/>
      <c r="P4" s="71"/>
      <c r="Q4" s="72"/>
      <c r="R4" s="70" t="s">
        <v>330</v>
      </c>
      <c r="S4" s="71"/>
      <c r="T4" s="71"/>
      <c r="U4" s="71"/>
      <c r="V4" s="72"/>
      <c r="W4" s="70" t="s">
        <v>337</v>
      </c>
      <c r="X4" s="71"/>
      <c r="Y4" s="71"/>
      <c r="Z4" s="71"/>
      <c r="AA4" s="71"/>
      <c r="AB4" s="72"/>
      <c r="AC4" s="67" t="s">
        <v>340</v>
      </c>
      <c r="AD4" s="68"/>
      <c r="AE4" s="68"/>
      <c r="AF4" s="69"/>
      <c r="AG4" s="70" t="s">
        <v>341</v>
      </c>
      <c r="AH4" s="71"/>
      <c r="AI4" s="71"/>
      <c r="AJ4" s="71"/>
      <c r="AK4" s="71"/>
      <c r="AL4" s="72"/>
      <c r="AM4" s="67" t="s">
        <v>342</v>
      </c>
      <c r="AN4" s="68"/>
      <c r="AO4" s="68"/>
      <c r="AP4" s="69"/>
      <c r="AQ4" s="67" t="s">
        <v>343</v>
      </c>
      <c r="AR4" s="68"/>
      <c r="AS4" s="68"/>
      <c r="AT4" s="68"/>
      <c r="AU4" s="68"/>
    </row>
    <row r="5" spans="2:47" x14ac:dyDescent="0.4">
      <c r="B5" s="14"/>
      <c r="D5" s="53" t="s">
        <v>137</v>
      </c>
      <c r="E5" s="53" t="s">
        <v>5</v>
      </c>
      <c r="F5" s="53" t="s">
        <v>21</v>
      </c>
      <c r="G5" s="53" t="s">
        <v>100</v>
      </c>
      <c r="H5" s="53" t="s">
        <v>23</v>
      </c>
      <c r="I5" s="53" t="s">
        <v>334</v>
      </c>
      <c r="J5" s="53" t="s">
        <v>22</v>
      </c>
      <c r="K5" s="53" t="s">
        <v>24</v>
      </c>
      <c r="L5" s="53" t="s">
        <v>91</v>
      </c>
      <c r="M5" s="53" t="s">
        <v>92</v>
      </c>
      <c r="N5" s="53" t="s">
        <v>93</v>
      </c>
      <c r="O5" s="53" t="s">
        <v>94</v>
      </c>
      <c r="P5" s="53" t="s">
        <v>95</v>
      </c>
      <c r="Q5" s="53" t="s">
        <v>96</v>
      </c>
      <c r="R5" s="53" t="s">
        <v>25</v>
      </c>
      <c r="S5" s="53" t="s">
        <v>26</v>
      </c>
      <c r="T5" s="53" t="s">
        <v>27</v>
      </c>
      <c r="U5" s="53" t="s">
        <v>28</v>
      </c>
      <c r="V5" s="53" t="s">
        <v>29</v>
      </c>
      <c r="W5" s="53" t="s">
        <v>30</v>
      </c>
      <c r="X5" s="53" t="s">
        <v>31</v>
      </c>
      <c r="Y5" s="53" t="s">
        <v>32</v>
      </c>
      <c r="Z5" s="53" t="s">
        <v>33</v>
      </c>
      <c r="AA5" s="53" t="s">
        <v>34</v>
      </c>
      <c r="AB5" s="53" t="s">
        <v>35</v>
      </c>
      <c r="AC5" s="53" t="s">
        <v>338</v>
      </c>
      <c r="AD5" s="53" t="s">
        <v>36</v>
      </c>
      <c r="AE5" s="53" t="s">
        <v>339</v>
      </c>
      <c r="AF5" s="53" t="s">
        <v>37</v>
      </c>
      <c r="AG5" s="53" t="s">
        <v>38</v>
      </c>
      <c r="AH5" s="53" t="s">
        <v>39</v>
      </c>
      <c r="AI5" s="53" t="s">
        <v>40</v>
      </c>
      <c r="AJ5" s="53" t="s">
        <v>41</v>
      </c>
      <c r="AK5" s="53" t="s">
        <v>42</v>
      </c>
      <c r="AL5" s="53" t="s">
        <v>43</v>
      </c>
      <c r="AM5" s="53" t="s">
        <v>44</v>
      </c>
      <c r="AN5" s="53" t="s">
        <v>45</v>
      </c>
      <c r="AO5" s="53" t="s">
        <v>46</v>
      </c>
      <c r="AP5" s="53" t="s">
        <v>47</v>
      </c>
      <c r="AQ5" s="53" t="s">
        <v>48</v>
      </c>
      <c r="AR5" s="53" t="s">
        <v>49</v>
      </c>
      <c r="AS5" s="53" t="s">
        <v>50</v>
      </c>
      <c r="AT5" s="53" t="s">
        <v>51</v>
      </c>
    </row>
    <row r="6" spans="2:47" x14ac:dyDescent="0.4">
      <c r="B6" s="14"/>
      <c r="D6" s="53" t="str">
        <f t="shared" ref="D6:D16" si="0">"VEN" &amp; TEXT(ROW()-5, "0000")</f>
        <v>VEN0001</v>
      </c>
      <c r="E6" s="53" t="s">
        <v>55</v>
      </c>
      <c r="F6" s="53" t="s">
        <v>54</v>
      </c>
      <c r="G6" s="53" t="s">
        <v>55</v>
      </c>
      <c r="H6" s="53" t="s">
        <v>56</v>
      </c>
      <c r="I6" s="53">
        <v>9084184700</v>
      </c>
      <c r="J6" s="53" t="s">
        <v>57</v>
      </c>
      <c r="K6" s="53" t="s">
        <v>57</v>
      </c>
      <c r="L6" s="53" t="s">
        <v>455</v>
      </c>
      <c r="M6" s="53" t="s">
        <v>455</v>
      </c>
      <c r="N6" s="53" t="s">
        <v>456</v>
      </c>
      <c r="O6" s="53" t="s">
        <v>412</v>
      </c>
      <c r="P6" s="53" t="s">
        <v>58</v>
      </c>
      <c r="Q6" s="53">
        <v>110025</v>
      </c>
      <c r="R6" s="53" t="s">
        <v>59</v>
      </c>
      <c r="S6" s="53" t="s">
        <v>57</v>
      </c>
      <c r="T6" s="53" t="s">
        <v>60</v>
      </c>
      <c r="U6" s="53" t="s">
        <v>61</v>
      </c>
      <c r="V6" s="53" t="s">
        <v>67</v>
      </c>
      <c r="W6" s="53" t="s">
        <v>74</v>
      </c>
      <c r="X6" s="49">
        <v>5632196500</v>
      </c>
      <c r="Y6" s="53" t="s">
        <v>75</v>
      </c>
      <c r="Z6" s="53" t="s">
        <v>76</v>
      </c>
      <c r="AA6" s="53" t="s">
        <v>70</v>
      </c>
      <c r="AB6" s="53" t="s">
        <v>80</v>
      </c>
      <c r="AC6" s="53" t="s">
        <v>52</v>
      </c>
      <c r="AD6" s="53" t="s">
        <v>503</v>
      </c>
      <c r="AE6" s="53" t="s">
        <v>507</v>
      </c>
      <c r="AF6" s="53">
        <v>500</v>
      </c>
      <c r="AG6" s="53">
        <v>7.5</v>
      </c>
      <c r="AH6" s="53">
        <v>50</v>
      </c>
      <c r="AI6" s="53" t="s">
        <v>81</v>
      </c>
      <c r="AJ6" s="53">
        <v>0</v>
      </c>
      <c r="AK6" s="53" t="s">
        <v>82</v>
      </c>
      <c r="AL6" s="53" t="s">
        <v>73</v>
      </c>
      <c r="AM6" s="53" t="s">
        <v>83</v>
      </c>
      <c r="AN6" s="53" t="s">
        <v>58</v>
      </c>
      <c r="AO6" s="53" t="s">
        <v>84</v>
      </c>
      <c r="AP6" s="53" t="s">
        <v>85</v>
      </c>
      <c r="AQ6" s="53"/>
      <c r="AR6" s="53"/>
      <c r="AS6" s="55" t="s">
        <v>509</v>
      </c>
      <c r="AT6" s="53"/>
    </row>
    <row r="7" spans="2:47" x14ac:dyDescent="0.4">
      <c r="B7" s="14"/>
      <c r="D7" s="53" t="s">
        <v>404</v>
      </c>
      <c r="E7" s="53" t="s">
        <v>55</v>
      </c>
      <c r="F7" s="53" t="s">
        <v>54</v>
      </c>
      <c r="G7" s="53" t="s">
        <v>55</v>
      </c>
      <c r="H7" s="53" t="s">
        <v>56</v>
      </c>
      <c r="I7" s="53">
        <v>9084184700</v>
      </c>
      <c r="J7" s="53" t="s">
        <v>57</v>
      </c>
      <c r="K7" s="53" t="s">
        <v>57</v>
      </c>
      <c r="L7" s="53" t="s">
        <v>455</v>
      </c>
      <c r="M7" s="53" t="s">
        <v>455</v>
      </c>
      <c r="N7" s="53" t="s">
        <v>456</v>
      </c>
      <c r="O7" s="53" t="s">
        <v>412</v>
      </c>
      <c r="P7" s="53" t="s">
        <v>58</v>
      </c>
      <c r="Q7" s="53">
        <v>110025</v>
      </c>
      <c r="R7" s="53" t="s">
        <v>59</v>
      </c>
      <c r="S7" s="53" t="s">
        <v>57</v>
      </c>
      <c r="T7" s="53" t="s">
        <v>60</v>
      </c>
      <c r="U7" s="53" t="s">
        <v>61</v>
      </c>
      <c r="V7" s="53" t="s">
        <v>67</v>
      </c>
      <c r="W7" s="53" t="s">
        <v>74</v>
      </c>
      <c r="X7" s="49">
        <v>5632196500</v>
      </c>
      <c r="Y7" s="53" t="s">
        <v>87</v>
      </c>
      <c r="Z7" s="53" t="s">
        <v>76</v>
      </c>
      <c r="AA7" s="53" t="s">
        <v>70</v>
      </c>
      <c r="AB7" s="53" t="s">
        <v>80</v>
      </c>
      <c r="AC7" s="53" t="s">
        <v>86</v>
      </c>
      <c r="AD7" s="53" t="s">
        <v>504</v>
      </c>
      <c r="AE7" s="53" t="s">
        <v>507</v>
      </c>
      <c r="AF7" s="53">
        <v>3000</v>
      </c>
      <c r="AG7" s="53">
        <v>5</v>
      </c>
      <c r="AH7" s="53">
        <v>50</v>
      </c>
      <c r="AI7" s="53" t="s">
        <v>81</v>
      </c>
      <c r="AJ7" s="53">
        <v>50</v>
      </c>
      <c r="AK7" s="53" t="s">
        <v>82</v>
      </c>
      <c r="AL7" s="53" t="s">
        <v>73</v>
      </c>
      <c r="AM7" s="53" t="s">
        <v>83</v>
      </c>
      <c r="AN7" s="53" t="s">
        <v>58</v>
      </c>
      <c r="AO7" s="53" t="s">
        <v>84</v>
      </c>
      <c r="AP7" s="53" t="s">
        <v>85</v>
      </c>
      <c r="AQ7" s="53"/>
      <c r="AR7" s="53"/>
      <c r="AS7" s="55" t="s">
        <v>510</v>
      </c>
      <c r="AT7" s="53"/>
    </row>
    <row r="8" spans="2:47" x14ac:dyDescent="0.4">
      <c r="B8" s="14"/>
      <c r="D8" s="53" t="str">
        <f t="shared" si="0"/>
        <v>VEN0003</v>
      </c>
      <c r="E8" s="53" t="s">
        <v>507</v>
      </c>
      <c r="F8" s="53" t="s">
        <v>519</v>
      </c>
      <c r="G8" s="53" t="s">
        <v>401</v>
      </c>
      <c r="H8" s="53" t="s">
        <v>520</v>
      </c>
      <c r="I8" s="53">
        <v>9830882887</v>
      </c>
      <c r="J8" s="53" t="s">
        <v>57</v>
      </c>
      <c r="K8" s="53" t="s">
        <v>521</v>
      </c>
      <c r="L8" s="53" t="s">
        <v>522</v>
      </c>
      <c r="M8" s="53" t="s">
        <v>522</v>
      </c>
      <c r="N8" s="53" t="s">
        <v>518</v>
      </c>
      <c r="O8" s="53" t="s">
        <v>424</v>
      </c>
      <c r="P8" s="53" t="s">
        <v>58</v>
      </c>
      <c r="Q8" s="53">
        <v>700150</v>
      </c>
      <c r="R8" s="53" t="s">
        <v>523</v>
      </c>
      <c r="S8" s="53" t="s">
        <v>524</v>
      </c>
      <c r="T8" s="53" t="s">
        <v>525</v>
      </c>
      <c r="U8" s="53" t="s">
        <v>64</v>
      </c>
      <c r="V8" s="53" t="s">
        <v>67</v>
      </c>
      <c r="W8" s="53" t="s">
        <v>526</v>
      </c>
      <c r="X8" s="49">
        <v>151202100001542</v>
      </c>
      <c r="Y8" s="53" t="s">
        <v>527</v>
      </c>
      <c r="Z8" s="53" t="s">
        <v>528</v>
      </c>
      <c r="AA8" s="53" t="s">
        <v>70</v>
      </c>
      <c r="AB8" s="53" t="s">
        <v>80</v>
      </c>
      <c r="AC8" s="53" t="s">
        <v>52</v>
      </c>
      <c r="AD8" s="53" t="s">
        <v>503</v>
      </c>
      <c r="AE8" s="53" t="s">
        <v>507</v>
      </c>
      <c r="AF8" s="53">
        <v>1000</v>
      </c>
      <c r="AG8" s="53">
        <v>10</v>
      </c>
      <c r="AH8" s="53">
        <v>100</v>
      </c>
      <c r="AI8" s="53" t="s">
        <v>81</v>
      </c>
      <c r="AJ8" s="53">
        <v>0</v>
      </c>
      <c r="AK8" s="53" t="s">
        <v>82</v>
      </c>
      <c r="AL8" s="53" t="s">
        <v>73</v>
      </c>
      <c r="AM8" s="53" t="s">
        <v>83</v>
      </c>
      <c r="AN8" s="53" t="s">
        <v>529</v>
      </c>
      <c r="AO8" s="53" t="s">
        <v>84</v>
      </c>
      <c r="AP8" s="53" t="s">
        <v>530</v>
      </c>
      <c r="AQ8" s="53"/>
      <c r="AR8" s="53"/>
      <c r="AS8" s="53"/>
      <c r="AT8" s="53"/>
    </row>
    <row r="9" spans="2:47" x14ac:dyDescent="0.4">
      <c r="B9" s="14"/>
      <c r="D9" s="53" t="str">
        <f t="shared" si="0"/>
        <v>VEN0004</v>
      </c>
      <c r="E9" s="53" t="s">
        <v>534</v>
      </c>
      <c r="F9" s="53" t="s">
        <v>534</v>
      </c>
      <c r="G9" s="53" t="s">
        <v>535</v>
      </c>
      <c r="H9" s="53" t="s">
        <v>536</v>
      </c>
      <c r="I9" s="53">
        <v>730054367</v>
      </c>
      <c r="J9" s="53">
        <v>9429692198</v>
      </c>
      <c r="K9" s="53" t="s">
        <v>537</v>
      </c>
      <c r="L9" s="53" t="s">
        <v>538</v>
      </c>
      <c r="M9" s="53" t="s">
        <v>538</v>
      </c>
      <c r="N9" s="53" t="s">
        <v>533</v>
      </c>
      <c r="O9" s="53" t="s">
        <v>413</v>
      </c>
      <c r="P9" s="53" t="s">
        <v>58</v>
      </c>
      <c r="Q9" s="53">
        <v>302018</v>
      </c>
      <c r="R9" s="53" t="s">
        <v>539</v>
      </c>
      <c r="S9" s="53" t="s">
        <v>57</v>
      </c>
      <c r="T9" s="53" t="s">
        <v>57</v>
      </c>
      <c r="U9" s="53" t="s">
        <v>62</v>
      </c>
      <c r="V9" s="53" t="s">
        <v>67</v>
      </c>
      <c r="W9" s="53"/>
      <c r="X9" s="49"/>
      <c r="Y9" s="53"/>
      <c r="Z9" s="53" t="s">
        <v>540</v>
      </c>
      <c r="AA9" s="53" t="s">
        <v>70</v>
      </c>
      <c r="AB9" s="53" t="s">
        <v>80</v>
      </c>
      <c r="AC9" s="53"/>
      <c r="AD9" s="53"/>
      <c r="AE9" s="53" t="s">
        <v>541</v>
      </c>
      <c r="AF9" s="53">
        <v>0</v>
      </c>
      <c r="AG9" s="53">
        <v>8</v>
      </c>
      <c r="AH9" s="53">
        <v>100</v>
      </c>
      <c r="AI9" s="53" t="s">
        <v>543</v>
      </c>
      <c r="AJ9" s="53">
        <v>50</v>
      </c>
      <c r="AK9" s="53" t="s">
        <v>544</v>
      </c>
      <c r="AL9" s="53" t="s">
        <v>73</v>
      </c>
      <c r="AM9" s="53" t="s">
        <v>83</v>
      </c>
      <c r="AN9" s="53" t="s">
        <v>529</v>
      </c>
      <c r="AO9" s="53" t="s">
        <v>84</v>
      </c>
      <c r="AP9" s="53" t="s">
        <v>533</v>
      </c>
      <c r="AQ9" s="53"/>
      <c r="AR9" s="53"/>
      <c r="AS9" s="53"/>
      <c r="AT9" s="53"/>
    </row>
    <row r="10" spans="2:47" x14ac:dyDescent="0.4">
      <c r="B10" s="14" t="s">
        <v>0</v>
      </c>
      <c r="D10" s="53" t="str">
        <f t="shared" si="0"/>
        <v>VEN0005</v>
      </c>
      <c r="E10" s="53" t="s">
        <v>545</v>
      </c>
      <c r="F10" s="53" t="s">
        <v>545</v>
      </c>
      <c r="G10" s="53" t="s">
        <v>535</v>
      </c>
      <c r="H10" s="53" t="s">
        <v>536</v>
      </c>
      <c r="I10" s="53">
        <v>730054367</v>
      </c>
      <c r="J10" s="53">
        <v>9429692198</v>
      </c>
      <c r="K10" s="53" t="s">
        <v>537</v>
      </c>
      <c r="L10" s="53" t="s">
        <v>538</v>
      </c>
      <c r="M10" s="53" t="s">
        <v>538</v>
      </c>
      <c r="N10" s="53" t="s">
        <v>533</v>
      </c>
      <c r="O10" s="53" t="s">
        <v>413</v>
      </c>
      <c r="P10" s="53" t="s">
        <v>58</v>
      </c>
      <c r="Q10" s="53">
        <v>302018</v>
      </c>
      <c r="R10" s="53" t="s">
        <v>546</v>
      </c>
      <c r="S10" s="53" t="s">
        <v>57</v>
      </c>
      <c r="T10" s="53" t="s">
        <v>57</v>
      </c>
      <c r="U10" s="53" t="s">
        <v>62</v>
      </c>
      <c r="V10" s="53" t="s">
        <v>67</v>
      </c>
      <c r="W10" s="53"/>
      <c r="X10" s="49"/>
      <c r="Y10" s="53"/>
      <c r="Z10" s="53" t="s">
        <v>540</v>
      </c>
      <c r="AA10" s="53" t="s">
        <v>70</v>
      </c>
      <c r="AB10" s="53" t="s">
        <v>80</v>
      </c>
      <c r="AC10" s="53"/>
      <c r="AD10" s="53"/>
      <c r="AE10" s="53" t="s">
        <v>541</v>
      </c>
      <c r="AF10" s="53">
        <v>0</v>
      </c>
      <c r="AG10" s="53">
        <v>8</v>
      </c>
      <c r="AH10" s="53">
        <v>100</v>
      </c>
      <c r="AI10" s="53" t="s">
        <v>543</v>
      </c>
      <c r="AJ10" s="53">
        <v>50</v>
      </c>
      <c r="AK10" s="53" t="s">
        <v>544</v>
      </c>
      <c r="AL10" s="53" t="s">
        <v>73</v>
      </c>
      <c r="AM10" s="53" t="s">
        <v>83</v>
      </c>
      <c r="AN10" s="53" t="s">
        <v>529</v>
      </c>
      <c r="AO10" s="53" t="s">
        <v>84</v>
      </c>
      <c r="AP10" s="53" t="s">
        <v>533</v>
      </c>
      <c r="AQ10" s="53"/>
      <c r="AR10" s="53"/>
      <c r="AS10" s="53"/>
      <c r="AT10" s="53"/>
    </row>
    <row r="11" spans="2:47" x14ac:dyDescent="0.4">
      <c r="B11" s="14"/>
      <c r="D11" s="53" t="str">
        <f t="shared" si="0"/>
        <v>VEN0006</v>
      </c>
      <c r="E11" s="53" t="s">
        <v>623</v>
      </c>
      <c r="F11" s="53" t="s">
        <v>519</v>
      </c>
      <c r="G11" s="53" t="s">
        <v>401</v>
      </c>
      <c r="H11" s="56" t="s">
        <v>520</v>
      </c>
      <c r="I11" s="53">
        <v>9830882887</v>
      </c>
      <c r="J11" s="53" t="s">
        <v>57</v>
      </c>
      <c r="K11" s="53" t="s">
        <v>521</v>
      </c>
      <c r="L11" s="53" t="s">
        <v>522</v>
      </c>
      <c r="M11" s="53" t="s">
        <v>522</v>
      </c>
      <c r="N11" s="53" t="s">
        <v>518</v>
      </c>
      <c r="O11" s="53" t="s">
        <v>424</v>
      </c>
      <c r="P11" s="53" t="s">
        <v>58</v>
      </c>
      <c r="Q11" s="53">
        <v>700150</v>
      </c>
      <c r="R11" s="53" t="s">
        <v>523</v>
      </c>
      <c r="S11" s="53" t="s">
        <v>524</v>
      </c>
      <c r="T11" s="53" t="s">
        <v>525</v>
      </c>
      <c r="U11" s="53" t="s">
        <v>62</v>
      </c>
      <c r="V11" s="53" t="s">
        <v>67</v>
      </c>
      <c r="W11" s="53" t="s">
        <v>526</v>
      </c>
      <c r="X11" s="49">
        <v>151202100001542</v>
      </c>
      <c r="Y11" s="53" t="s">
        <v>527</v>
      </c>
      <c r="Z11" s="53" t="s">
        <v>528</v>
      </c>
      <c r="AA11" s="53" t="s">
        <v>70</v>
      </c>
      <c r="AB11" s="53" t="s">
        <v>80</v>
      </c>
      <c r="AC11" s="53" t="s">
        <v>484</v>
      </c>
      <c r="AD11" s="53" t="s">
        <v>624</v>
      </c>
      <c r="AE11" s="53" t="s">
        <v>623</v>
      </c>
      <c r="AF11" s="53">
        <v>1000</v>
      </c>
      <c r="AG11" s="53">
        <v>10</v>
      </c>
      <c r="AH11" s="53">
        <v>100</v>
      </c>
      <c r="AI11" s="53" t="s">
        <v>543</v>
      </c>
      <c r="AJ11" s="53">
        <v>0</v>
      </c>
      <c r="AK11" s="53" t="s">
        <v>82</v>
      </c>
      <c r="AL11" s="53" t="s">
        <v>73</v>
      </c>
      <c r="AM11" s="53" t="s">
        <v>83</v>
      </c>
      <c r="AN11" s="53" t="s">
        <v>529</v>
      </c>
      <c r="AO11" s="53" t="s">
        <v>84</v>
      </c>
      <c r="AP11" s="53" t="s">
        <v>530</v>
      </c>
      <c r="AQ11" s="53"/>
      <c r="AR11" s="53"/>
      <c r="AS11" s="53"/>
      <c r="AT11" s="53"/>
    </row>
    <row r="12" spans="2:47" x14ac:dyDescent="0.4">
      <c r="B12" s="14"/>
      <c r="D12" s="53" t="str">
        <f t="shared" si="0"/>
        <v>VEN0007</v>
      </c>
      <c r="E12" s="53" t="s">
        <v>760</v>
      </c>
      <c r="F12" s="53" t="s">
        <v>760</v>
      </c>
      <c r="G12" s="53" t="s">
        <v>535</v>
      </c>
      <c r="H12" s="53" t="s">
        <v>536</v>
      </c>
      <c r="I12" s="53">
        <v>730054367</v>
      </c>
      <c r="J12" s="53">
        <v>9429692198</v>
      </c>
      <c r="K12" s="53" t="s">
        <v>537</v>
      </c>
      <c r="L12" s="53" t="s">
        <v>538</v>
      </c>
      <c r="M12" s="53" t="s">
        <v>538</v>
      </c>
      <c r="N12" s="53" t="s">
        <v>533</v>
      </c>
      <c r="O12" s="53" t="s">
        <v>413</v>
      </c>
      <c r="P12" s="53" t="s">
        <v>58</v>
      </c>
      <c r="Q12" s="53">
        <v>302018</v>
      </c>
      <c r="R12" s="53" t="s">
        <v>539</v>
      </c>
      <c r="S12" s="53" t="s">
        <v>880</v>
      </c>
      <c r="T12" s="53" t="s">
        <v>57</v>
      </c>
      <c r="U12" s="53" t="s">
        <v>62</v>
      </c>
      <c r="V12" s="53" t="s">
        <v>67</v>
      </c>
      <c r="W12" s="53"/>
      <c r="X12" s="49"/>
      <c r="Y12" s="53"/>
      <c r="Z12" s="53" t="s">
        <v>540</v>
      </c>
      <c r="AA12" s="53" t="s">
        <v>70</v>
      </c>
      <c r="AB12" s="53" t="s">
        <v>80</v>
      </c>
      <c r="AC12" s="53"/>
      <c r="AD12" s="53"/>
      <c r="AE12" s="53" t="s">
        <v>541</v>
      </c>
      <c r="AF12" s="53">
        <v>0</v>
      </c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</row>
    <row r="13" spans="2:47" x14ac:dyDescent="0.4">
      <c r="B13" s="14"/>
      <c r="D13" s="53" t="str">
        <f t="shared" si="0"/>
        <v>VEN0008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49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</row>
    <row r="14" spans="2:47" x14ac:dyDescent="0.4">
      <c r="B14" s="14"/>
      <c r="D14" s="53" t="str">
        <f t="shared" si="0"/>
        <v>VEN0009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49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</row>
    <row r="15" spans="2:47" x14ac:dyDescent="0.4">
      <c r="B15" s="14"/>
      <c r="D15" s="53" t="str">
        <f t="shared" si="0"/>
        <v>VEN0010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49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</row>
    <row r="16" spans="2:47" x14ac:dyDescent="0.4">
      <c r="B16" s="14"/>
      <c r="D16" s="53" t="str">
        <f t="shared" si="0"/>
        <v>VEN0011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49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</row>
    <row r="17" spans="2:46" x14ac:dyDescent="0.4">
      <c r="B17" s="14"/>
      <c r="D17" s="53" t="str">
        <f>"VEN" &amp; TEXT(ROW()-5, "0000")</f>
        <v>VEN0012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49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</row>
    <row r="18" spans="2:46" x14ac:dyDescent="0.4">
      <c r="B18" s="14"/>
    </row>
    <row r="19" spans="2:46" x14ac:dyDescent="0.4">
      <c r="B19" s="15"/>
    </row>
    <row r="20" spans="2:46" x14ac:dyDescent="0.4">
      <c r="B20" s="8"/>
    </row>
    <row r="21" spans="2:46" x14ac:dyDescent="0.4">
      <c r="B21" s="8"/>
    </row>
  </sheetData>
  <mergeCells count="8">
    <mergeCell ref="AM4:AP4"/>
    <mergeCell ref="AQ4:AU4"/>
    <mergeCell ref="D4:K4"/>
    <mergeCell ref="L4:Q4"/>
    <mergeCell ref="R4:V4"/>
    <mergeCell ref="W4:AB4"/>
    <mergeCell ref="AC4:AF4"/>
    <mergeCell ref="AG4:AL4"/>
  </mergeCells>
  <phoneticPr fontId="6" type="noConversion"/>
  <dataValidations count="10">
    <dataValidation type="list" allowBlank="1" showInputMessage="1" showErrorMessage="1" sqref="U6:U17" xr:uid="{5E56F6E8-8B33-4ABF-B8B5-6625E2C6D02A}">
      <formula1>businesstype</formula1>
    </dataValidation>
    <dataValidation type="list" allowBlank="1" showInputMessage="1" showErrorMessage="1" sqref="V6:V17" xr:uid="{9DCE9F7C-3E58-4479-8E0B-B138CA02B0F0}">
      <formula1>legalentitytype</formula1>
    </dataValidation>
    <dataValidation type="list" allowBlank="1" showInputMessage="1" showErrorMessage="1" sqref="AA6:AA17" xr:uid="{95EAFF08-4BBB-40C5-AA74-4E1B9DF5513F}">
      <formula1>ppmethod</formula1>
    </dataValidation>
    <dataValidation type="list" allowBlank="1" showInputMessage="1" showErrorMessage="1" sqref="AB6:AB17" xr:uid="{962D4D1E-3093-4C82-B730-37FDE7719AD8}">
      <formula1>paymentterms</formula1>
    </dataValidation>
    <dataValidation type="list" allowBlank="1" showInputMessage="1" showErrorMessage="1" sqref="AL6:AL17" xr:uid="{FE2D1A38-B34D-4BCE-BA48-CD2CB9915E11}">
      <formula1>compstatus</formula1>
    </dataValidation>
    <dataValidation type="list" allowBlank="1" showInputMessage="1" showErrorMessage="1" sqref="O6:O17" xr:uid="{8A9846F9-855C-4128-8B69-2017E0D04DA9}">
      <formula1>statelist</formula1>
    </dataValidation>
    <dataValidation type="list" allowBlank="1" showInputMessage="1" showErrorMessage="1" sqref="P6:P17" xr:uid="{1AF707C0-C55C-4867-885D-B7C64AB0C1ED}">
      <formula1>countrylist</formula1>
    </dataValidation>
    <dataValidation type="list" allowBlank="1" showInputMessage="1" showErrorMessage="1" sqref="AC6:AC17" xr:uid="{FA76F045-77E6-4D17-A5A3-06E5044407BD}">
      <formula1>Product_Name</formula1>
    </dataValidation>
    <dataValidation type="list" allowBlank="1" showInputMessage="1" showErrorMessage="1" sqref="AD6:AD17" xr:uid="{F8261875-FD21-48B9-AA20-D7B6AAE8A23B}">
      <formula1>categoryname</formula1>
    </dataValidation>
    <dataValidation type="list" allowBlank="1" showInputMessage="1" showErrorMessage="1" sqref="AE6:AE17" xr:uid="{12A68956-A4CC-4C7C-8336-4B98CD402719}">
      <formula1>brandname</formula1>
    </dataValidation>
  </dataValidations>
  <hyperlinks>
    <hyperlink ref="AS6" r:id="rId1" xr:uid="{AC0D580D-1B42-4270-9A4B-F7496211FDBD}"/>
    <hyperlink ref="AS7" r:id="rId2" display="D:\My Drive\Indian Heritage Crafts\Vendor\VEN0001" xr:uid="{B1AA47E6-D53B-4C5B-8FA3-54FD0AA8E5F1}"/>
  </hyperlinks>
  <pageMargins left="0.7" right="0.7" top="0.75" bottom="0.75" header="0.3" footer="0.3"/>
  <pageSetup orientation="portrait" r:id="rId3"/>
  <drawing r:id="rId4"/>
  <tableParts count="1"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E1739-921C-4BED-AD99-9A98769C288A}">
  <dimension ref="B1:F79"/>
  <sheetViews>
    <sheetView topLeftCell="A67" zoomScale="86" zoomScaleNormal="86" workbookViewId="0">
      <selection activeCell="E74" sqref="E74"/>
    </sheetView>
  </sheetViews>
  <sheetFormatPr defaultColWidth="8.78515625" defaultRowHeight="26.25" x14ac:dyDescent="0.4"/>
  <cols>
    <col min="1" max="1" width="1.640625" style="1" customWidth="1"/>
    <col min="2" max="2" width="14.5" customWidth="1"/>
    <col min="3" max="3" width="1.7109375" style="1" customWidth="1"/>
    <col min="4" max="4" width="9.7109375" style="1" bestFit="1" customWidth="1"/>
    <col min="5" max="5" width="12.42578125" style="1" customWidth="1"/>
    <col min="6" max="6" width="24.35546875" style="1" bestFit="1" customWidth="1"/>
    <col min="7" max="16384" width="8.78515625" style="1"/>
  </cols>
  <sheetData>
    <row r="1" spans="2:6" x14ac:dyDescent="0.4">
      <c r="B1" s="1"/>
    </row>
    <row r="2" spans="2:6" x14ac:dyDescent="0.4">
      <c r="B2" s="13"/>
    </row>
    <row r="3" spans="2:6" x14ac:dyDescent="0.4">
      <c r="B3" s="14"/>
    </row>
    <row r="4" spans="2:6" x14ac:dyDescent="0.4">
      <c r="B4" s="14"/>
    </row>
    <row r="5" spans="2:6" x14ac:dyDescent="0.4">
      <c r="B5" s="14"/>
      <c r="D5" s="53" t="s">
        <v>183</v>
      </c>
      <c r="E5" s="53" t="s">
        <v>457</v>
      </c>
      <c r="F5" s="53" t="s">
        <v>458</v>
      </c>
    </row>
    <row r="6" spans="2:6" x14ac:dyDescent="0.4">
      <c r="B6" s="14"/>
      <c r="D6" s="53" t="s">
        <v>659</v>
      </c>
      <c r="E6" s="65" t="s">
        <v>636</v>
      </c>
      <c r="F6" s="53" t="s">
        <v>762</v>
      </c>
    </row>
    <row r="7" spans="2:6" x14ac:dyDescent="0.4">
      <c r="B7" s="14"/>
      <c r="D7" s="53" t="s">
        <v>660</v>
      </c>
      <c r="E7" s="65" t="s">
        <v>637</v>
      </c>
      <c r="F7" s="53" t="s">
        <v>763</v>
      </c>
    </row>
    <row r="8" spans="2:6" x14ac:dyDescent="0.4">
      <c r="B8" s="14"/>
      <c r="D8" s="53" t="s">
        <v>661</v>
      </c>
      <c r="E8" s="65" t="s">
        <v>638</v>
      </c>
      <c r="F8" s="53" t="s">
        <v>764</v>
      </c>
    </row>
    <row r="9" spans="2:6" x14ac:dyDescent="0.4">
      <c r="B9" s="14"/>
      <c r="D9" s="53" t="s">
        <v>662</v>
      </c>
      <c r="E9" s="65" t="s">
        <v>639</v>
      </c>
      <c r="F9" s="53" t="s">
        <v>765</v>
      </c>
    </row>
    <row r="10" spans="2:6" x14ac:dyDescent="0.4">
      <c r="B10" s="14" t="s">
        <v>0</v>
      </c>
      <c r="D10" s="53" t="s">
        <v>663</v>
      </c>
      <c r="E10" s="65" t="s">
        <v>640</v>
      </c>
      <c r="F10" s="53" t="s">
        <v>766</v>
      </c>
    </row>
    <row r="11" spans="2:6" x14ac:dyDescent="0.4">
      <c r="B11" s="14"/>
      <c r="D11" s="53" t="s">
        <v>664</v>
      </c>
      <c r="E11" s="65" t="s">
        <v>641</v>
      </c>
      <c r="F11" s="53" t="s">
        <v>767</v>
      </c>
    </row>
    <row r="12" spans="2:6" x14ac:dyDescent="0.4">
      <c r="B12" s="14"/>
      <c r="D12" s="53" t="s">
        <v>665</v>
      </c>
      <c r="E12" s="65" t="s">
        <v>642</v>
      </c>
      <c r="F12" s="53" t="s">
        <v>768</v>
      </c>
    </row>
    <row r="13" spans="2:6" x14ac:dyDescent="0.4">
      <c r="B13" s="14"/>
      <c r="D13" s="53" t="s">
        <v>666</v>
      </c>
      <c r="E13" s="65" t="s">
        <v>643</v>
      </c>
      <c r="F13" s="53" t="s">
        <v>769</v>
      </c>
    </row>
    <row r="14" spans="2:6" x14ac:dyDescent="0.4">
      <c r="B14" s="14"/>
      <c r="D14" s="53" t="s">
        <v>626</v>
      </c>
      <c r="E14" s="65" t="s">
        <v>644</v>
      </c>
      <c r="F14" s="53" t="s">
        <v>770</v>
      </c>
    </row>
    <row r="15" spans="2:6" x14ac:dyDescent="0.4">
      <c r="B15" s="14"/>
      <c r="D15" s="53" t="s">
        <v>667</v>
      </c>
      <c r="E15" s="65" t="s">
        <v>645</v>
      </c>
      <c r="F15" s="53" t="s">
        <v>771</v>
      </c>
    </row>
    <row r="16" spans="2:6" x14ac:dyDescent="0.4">
      <c r="B16" s="14"/>
      <c r="D16" s="53" t="s">
        <v>668</v>
      </c>
      <c r="E16" s="65" t="s">
        <v>646</v>
      </c>
      <c r="F16" s="53" t="s">
        <v>772</v>
      </c>
    </row>
    <row r="17" spans="2:6" x14ac:dyDescent="0.4">
      <c r="B17" s="14"/>
      <c r="D17" s="53" t="s">
        <v>669</v>
      </c>
      <c r="E17" s="65" t="s">
        <v>647</v>
      </c>
      <c r="F17" s="53" t="s">
        <v>773</v>
      </c>
    </row>
    <row r="18" spans="2:6" x14ac:dyDescent="0.4">
      <c r="B18" s="14"/>
      <c r="D18" s="53" t="s">
        <v>670</v>
      </c>
      <c r="E18" s="65" t="s">
        <v>648</v>
      </c>
      <c r="F18" s="53" t="s">
        <v>774</v>
      </c>
    </row>
    <row r="19" spans="2:6" x14ac:dyDescent="0.4">
      <c r="B19" s="15"/>
      <c r="D19" s="53" t="s">
        <v>671</v>
      </c>
      <c r="E19" s="65" t="s">
        <v>649</v>
      </c>
      <c r="F19" s="53" t="s">
        <v>775</v>
      </c>
    </row>
    <row r="20" spans="2:6" x14ac:dyDescent="0.4">
      <c r="B20" s="8"/>
      <c r="D20" s="53" t="s">
        <v>672</v>
      </c>
      <c r="E20" s="65" t="s">
        <v>650</v>
      </c>
      <c r="F20" s="53" t="s">
        <v>776</v>
      </c>
    </row>
    <row r="21" spans="2:6" x14ac:dyDescent="0.4">
      <c r="B21" s="8"/>
      <c r="D21" s="53" t="s">
        <v>673</v>
      </c>
      <c r="E21" s="65" t="s">
        <v>651</v>
      </c>
      <c r="F21" s="53" t="s">
        <v>777</v>
      </c>
    </row>
    <row r="22" spans="2:6" x14ac:dyDescent="0.4">
      <c r="D22" s="53" t="s">
        <v>674</v>
      </c>
      <c r="E22" s="65" t="s">
        <v>652</v>
      </c>
      <c r="F22" s="53" t="s">
        <v>778</v>
      </c>
    </row>
    <row r="23" spans="2:6" x14ac:dyDescent="0.4">
      <c r="D23" s="53" t="s">
        <v>675</v>
      </c>
      <c r="E23" s="65" t="s">
        <v>653</v>
      </c>
      <c r="F23" s="53" t="s">
        <v>779</v>
      </c>
    </row>
    <row r="24" spans="2:6" x14ac:dyDescent="0.4">
      <c r="D24" s="53" t="s">
        <v>676</v>
      </c>
      <c r="E24" s="65" t="s">
        <v>654</v>
      </c>
      <c r="F24" s="53" t="s">
        <v>780</v>
      </c>
    </row>
    <row r="25" spans="2:6" x14ac:dyDescent="0.4">
      <c r="D25" s="53" t="s">
        <v>677</v>
      </c>
      <c r="E25" s="65" t="s">
        <v>655</v>
      </c>
      <c r="F25" s="53" t="s">
        <v>781</v>
      </c>
    </row>
    <row r="26" spans="2:6" x14ac:dyDescent="0.4">
      <c r="D26" s="53" t="s">
        <v>678</v>
      </c>
      <c r="E26" s="65" t="s">
        <v>656</v>
      </c>
      <c r="F26" s="53" t="s">
        <v>782</v>
      </c>
    </row>
    <row r="27" spans="2:6" x14ac:dyDescent="0.4">
      <c r="D27" s="53" t="s">
        <v>679</v>
      </c>
      <c r="E27" s="65" t="s">
        <v>657</v>
      </c>
      <c r="F27" s="53" t="s">
        <v>783</v>
      </c>
    </row>
    <row r="28" spans="2:6" x14ac:dyDescent="0.4">
      <c r="D28" s="53" t="s">
        <v>680</v>
      </c>
      <c r="E28" s="65" t="s">
        <v>658</v>
      </c>
      <c r="F28" s="53" t="s">
        <v>784</v>
      </c>
    </row>
    <row r="29" spans="2:6" x14ac:dyDescent="0.4">
      <c r="D29" s="53" t="s">
        <v>681</v>
      </c>
      <c r="E29" s="65" t="s">
        <v>749</v>
      </c>
      <c r="F29" s="53" t="s">
        <v>785</v>
      </c>
    </row>
    <row r="30" spans="2:6" x14ac:dyDescent="0.4">
      <c r="D30" s="53" t="s">
        <v>682</v>
      </c>
      <c r="E30" s="65" t="s">
        <v>750</v>
      </c>
      <c r="F30" s="53" t="s">
        <v>786</v>
      </c>
    </row>
    <row r="31" spans="2:6" x14ac:dyDescent="0.4">
      <c r="D31" s="53" t="s">
        <v>683</v>
      </c>
      <c r="E31" s="65" t="s">
        <v>751</v>
      </c>
      <c r="F31" s="53" t="s">
        <v>787</v>
      </c>
    </row>
    <row r="32" spans="2:6" x14ac:dyDescent="0.4">
      <c r="D32" s="53" t="s">
        <v>684</v>
      </c>
      <c r="E32" s="65" t="s">
        <v>755</v>
      </c>
      <c r="F32" s="53" t="s">
        <v>624</v>
      </c>
    </row>
    <row r="33" spans="4:6" x14ac:dyDescent="0.4">
      <c r="D33" s="53" t="s">
        <v>685</v>
      </c>
      <c r="E33" s="65" t="s">
        <v>808</v>
      </c>
      <c r="F33" s="53" t="s">
        <v>788</v>
      </c>
    </row>
    <row r="34" spans="4:6" x14ac:dyDescent="0.4">
      <c r="D34" s="53" t="s">
        <v>686</v>
      </c>
      <c r="E34" s="65" t="s">
        <v>809</v>
      </c>
      <c r="F34" s="53" t="s">
        <v>789</v>
      </c>
    </row>
    <row r="35" spans="4:6" x14ac:dyDescent="0.4">
      <c r="D35" s="53" t="s">
        <v>687</v>
      </c>
      <c r="E35" s="65" t="s">
        <v>810</v>
      </c>
      <c r="F35" s="53" t="s">
        <v>790</v>
      </c>
    </row>
    <row r="36" spans="4:6" x14ac:dyDescent="0.4">
      <c r="D36" s="53" t="s">
        <v>688</v>
      </c>
      <c r="E36" s="65" t="s">
        <v>811</v>
      </c>
      <c r="F36" s="53" t="s">
        <v>791</v>
      </c>
    </row>
    <row r="37" spans="4:6" x14ac:dyDescent="0.4">
      <c r="D37" s="53" t="s">
        <v>689</v>
      </c>
      <c r="E37" s="65" t="s">
        <v>812</v>
      </c>
      <c r="F37" s="53" t="s">
        <v>792</v>
      </c>
    </row>
    <row r="38" spans="4:6" x14ac:dyDescent="0.4">
      <c r="D38" s="53" t="s">
        <v>690</v>
      </c>
      <c r="E38" s="65" t="s">
        <v>813</v>
      </c>
      <c r="F38" s="53" t="s">
        <v>793</v>
      </c>
    </row>
    <row r="39" spans="4:6" x14ac:dyDescent="0.4">
      <c r="D39" s="53" t="s">
        <v>691</v>
      </c>
      <c r="E39" s="65" t="s">
        <v>814</v>
      </c>
      <c r="F39" s="53" t="s">
        <v>794</v>
      </c>
    </row>
    <row r="40" spans="4:6" x14ac:dyDescent="0.4">
      <c r="D40" s="53" t="s">
        <v>692</v>
      </c>
      <c r="E40" s="65" t="s">
        <v>815</v>
      </c>
      <c r="F40" s="53" t="s">
        <v>795</v>
      </c>
    </row>
    <row r="41" spans="4:6" x14ac:dyDescent="0.4">
      <c r="D41" s="53" t="s">
        <v>693</v>
      </c>
      <c r="E41" s="65" t="s">
        <v>816</v>
      </c>
      <c r="F41" s="53" t="s">
        <v>796</v>
      </c>
    </row>
    <row r="42" spans="4:6" x14ac:dyDescent="0.4">
      <c r="D42" s="53" t="s">
        <v>694</v>
      </c>
      <c r="E42" s="65" t="s">
        <v>817</v>
      </c>
      <c r="F42" s="53" t="s">
        <v>797</v>
      </c>
    </row>
    <row r="43" spans="4:6" x14ac:dyDescent="0.4">
      <c r="D43" s="53" t="s">
        <v>695</v>
      </c>
      <c r="E43" s="65" t="s">
        <v>818</v>
      </c>
      <c r="F43" s="53" t="s">
        <v>798</v>
      </c>
    </row>
    <row r="44" spans="4:6" x14ac:dyDescent="0.4">
      <c r="D44" s="53" t="s">
        <v>696</v>
      </c>
      <c r="E44" s="65" t="s">
        <v>819</v>
      </c>
      <c r="F44" s="53" t="s">
        <v>799</v>
      </c>
    </row>
    <row r="45" spans="4:6" x14ac:dyDescent="0.4">
      <c r="D45" s="53" t="s">
        <v>697</v>
      </c>
      <c r="E45" s="65" t="s">
        <v>820</v>
      </c>
      <c r="F45" s="53" t="s">
        <v>800</v>
      </c>
    </row>
    <row r="46" spans="4:6" x14ac:dyDescent="0.4">
      <c r="D46" s="53" t="s">
        <v>698</v>
      </c>
      <c r="E46" s="65" t="s">
        <v>821</v>
      </c>
      <c r="F46" s="53" t="s">
        <v>801</v>
      </c>
    </row>
    <row r="47" spans="4:6" x14ac:dyDescent="0.4">
      <c r="D47" s="53" t="s">
        <v>699</v>
      </c>
      <c r="E47" s="65" t="s">
        <v>822</v>
      </c>
      <c r="F47" s="53" t="s">
        <v>802</v>
      </c>
    </row>
    <row r="48" spans="4:6" x14ac:dyDescent="0.4">
      <c r="D48" s="53" t="s">
        <v>700</v>
      </c>
      <c r="E48" s="65" t="s">
        <v>823</v>
      </c>
      <c r="F48" s="53" t="s">
        <v>803</v>
      </c>
    </row>
    <row r="49" spans="4:6" x14ac:dyDescent="0.4">
      <c r="D49" s="53" t="s">
        <v>701</v>
      </c>
      <c r="E49" s="65" t="s">
        <v>824</v>
      </c>
      <c r="F49" s="53" t="s">
        <v>804</v>
      </c>
    </row>
    <row r="50" spans="4:6" x14ac:dyDescent="0.4">
      <c r="D50" s="53" t="s">
        <v>702</v>
      </c>
      <c r="E50" s="65" t="s">
        <v>825</v>
      </c>
      <c r="F50" s="53" t="s">
        <v>805</v>
      </c>
    </row>
    <row r="51" spans="4:6" x14ac:dyDescent="0.4">
      <c r="D51" s="53" t="s">
        <v>508</v>
      </c>
      <c r="E51" s="65" t="s">
        <v>826</v>
      </c>
      <c r="F51" s="53" t="s">
        <v>806</v>
      </c>
    </row>
    <row r="52" spans="4:6" x14ac:dyDescent="0.4">
      <c r="D52" s="53" t="s">
        <v>584</v>
      </c>
      <c r="E52" s="65" t="s">
        <v>827</v>
      </c>
      <c r="F52" s="53" t="s">
        <v>807</v>
      </c>
    </row>
    <row r="53" spans="4:6" x14ac:dyDescent="0.4">
      <c r="D53" s="53" t="s">
        <v>723</v>
      </c>
      <c r="E53" s="65" t="s">
        <v>828</v>
      </c>
      <c r="F53" s="53" t="s">
        <v>829</v>
      </c>
    </row>
    <row r="54" spans="4:6" x14ac:dyDescent="0.4">
      <c r="D54" s="53" t="s">
        <v>724</v>
      </c>
      <c r="E54" s="65" t="s">
        <v>828</v>
      </c>
      <c r="F54" s="53" t="s">
        <v>829</v>
      </c>
    </row>
    <row r="55" spans="4:6" x14ac:dyDescent="0.4">
      <c r="D55" s="53" t="s">
        <v>723</v>
      </c>
      <c r="E55" s="65" t="s">
        <v>828</v>
      </c>
      <c r="F55" s="53" t="s">
        <v>829</v>
      </c>
    </row>
    <row r="56" spans="4:6" x14ac:dyDescent="0.4">
      <c r="D56" s="53" t="s">
        <v>724</v>
      </c>
      <c r="E56" s="65" t="s">
        <v>828</v>
      </c>
      <c r="F56" s="53" t="s">
        <v>829</v>
      </c>
    </row>
    <row r="57" spans="4:6" x14ac:dyDescent="0.4">
      <c r="D57" s="53" t="s">
        <v>725</v>
      </c>
      <c r="E57" s="65" t="s">
        <v>828</v>
      </c>
      <c r="F57" s="53" t="s">
        <v>829</v>
      </c>
    </row>
    <row r="58" spans="4:6" x14ac:dyDescent="0.4">
      <c r="D58" s="53" t="s">
        <v>726</v>
      </c>
      <c r="E58" s="65" t="s">
        <v>828</v>
      </c>
      <c r="F58" s="53" t="s">
        <v>829</v>
      </c>
    </row>
    <row r="59" spans="4:6" x14ac:dyDescent="0.4">
      <c r="D59" s="53" t="s">
        <v>727</v>
      </c>
      <c r="E59" s="65" t="s">
        <v>828</v>
      </c>
      <c r="F59" s="53" t="s">
        <v>829</v>
      </c>
    </row>
    <row r="60" spans="4:6" x14ac:dyDescent="0.4">
      <c r="D60" s="53" t="s">
        <v>728</v>
      </c>
      <c r="E60" s="65" t="s">
        <v>828</v>
      </c>
      <c r="F60" s="53" t="s">
        <v>829</v>
      </c>
    </row>
    <row r="61" spans="4:6" x14ac:dyDescent="0.4">
      <c r="D61" s="53" t="s">
        <v>729</v>
      </c>
      <c r="E61" s="65" t="s">
        <v>828</v>
      </c>
      <c r="F61" s="53" t="s">
        <v>829</v>
      </c>
    </row>
    <row r="62" spans="4:6" x14ac:dyDescent="0.4">
      <c r="D62" s="53" t="s">
        <v>730</v>
      </c>
      <c r="E62" s="65" t="s">
        <v>828</v>
      </c>
      <c r="F62" s="53" t="s">
        <v>829</v>
      </c>
    </row>
    <row r="63" spans="4:6" x14ac:dyDescent="0.4">
      <c r="D63" s="53" t="s">
        <v>731</v>
      </c>
      <c r="E63" s="65" t="s">
        <v>828</v>
      </c>
      <c r="F63" s="53" t="s">
        <v>829</v>
      </c>
    </row>
    <row r="64" spans="4:6" x14ac:dyDescent="0.4">
      <c r="D64" s="53" t="s">
        <v>732</v>
      </c>
      <c r="E64" s="65" t="s">
        <v>828</v>
      </c>
      <c r="F64" s="53" t="s">
        <v>829</v>
      </c>
    </row>
    <row r="65" spans="4:6" x14ac:dyDescent="0.4">
      <c r="D65" s="53" t="s">
        <v>733</v>
      </c>
      <c r="E65" s="65" t="s">
        <v>828</v>
      </c>
      <c r="F65" s="53" t="s">
        <v>829</v>
      </c>
    </row>
    <row r="66" spans="4:6" x14ac:dyDescent="0.4">
      <c r="D66" s="53" t="s">
        <v>734</v>
      </c>
      <c r="E66" s="65" t="s">
        <v>828</v>
      </c>
      <c r="F66" s="53" t="s">
        <v>829</v>
      </c>
    </row>
    <row r="67" spans="4:6" x14ac:dyDescent="0.4">
      <c r="D67" s="53" t="s">
        <v>735</v>
      </c>
      <c r="E67" s="65" t="s">
        <v>828</v>
      </c>
      <c r="F67" s="53" t="s">
        <v>829</v>
      </c>
    </row>
    <row r="68" spans="4:6" x14ac:dyDescent="0.4">
      <c r="D68" s="53" t="s">
        <v>736</v>
      </c>
      <c r="E68" s="65" t="s">
        <v>828</v>
      </c>
      <c r="F68" s="53" t="s">
        <v>829</v>
      </c>
    </row>
    <row r="69" spans="4:6" x14ac:dyDescent="0.4">
      <c r="D69" s="53" t="s">
        <v>737</v>
      </c>
      <c r="E69" s="65" t="s">
        <v>828</v>
      </c>
      <c r="F69" s="53" t="s">
        <v>829</v>
      </c>
    </row>
    <row r="70" spans="4:6" x14ac:dyDescent="0.4">
      <c r="D70" s="53" t="s">
        <v>738</v>
      </c>
      <c r="E70" s="65" t="s">
        <v>828</v>
      </c>
      <c r="F70" s="53" t="s">
        <v>829</v>
      </c>
    </row>
    <row r="71" spans="4:6" x14ac:dyDescent="0.4">
      <c r="D71" s="53" t="s">
        <v>739</v>
      </c>
      <c r="E71" s="65" t="s">
        <v>828</v>
      </c>
      <c r="F71" s="53" t="s">
        <v>829</v>
      </c>
    </row>
    <row r="72" spans="4:6" x14ac:dyDescent="0.4">
      <c r="D72" s="53" t="s">
        <v>740</v>
      </c>
      <c r="E72" s="65" t="s">
        <v>828</v>
      </c>
      <c r="F72" s="53" t="s">
        <v>829</v>
      </c>
    </row>
    <row r="73" spans="4:6" x14ac:dyDescent="0.4">
      <c r="D73" s="53" t="s">
        <v>741</v>
      </c>
      <c r="E73" s="65" t="s">
        <v>828</v>
      </c>
      <c r="F73" s="53" t="s">
        <v>829</v>
      </c>
    </row>
    <row r="74" spans="4:6" x14ac:dyDescent="0.4">
      <c r="D74" s="53" t="s">
        <v>742</v>
      </c>
      <c r="E74" s="65" t="s">
        <v>828</v>
      </c>
      <c r="F74" s="53" t="s">
        <v>829</v>
      </c>
    </row>
    <row r="75" spans="4:6" x14ac:dyDescent="0.4">
      <c r="D75" s="53" t="s">
        <v>743</v>
      </c>
      <c r="E75" s="65" t="s">
        <v>828</v>
      </c>
      <c r="F75" s="53" t="s">
        <v>829</v>
      </c>
    </row>
    <row r="76" spans="4:6" x14ac:dyDescent="0.4">
      <c r="D76" s="53" t="s">
        <v>744</v>
      </c>
      <c r="E76" s="65" t="s">
        <v>828</v>
      </c>
      <c r="F76" s="53" t="s">
        <v>829</v>
      </c>
    </row>
    <row r="77" spans="4:6" x14ac:dyDescent="0.4">
      <c r="D77" s="53" t="s">
        <v>745</v>
      </c>
      <c r="E77" s="65" t="s">
        <v>828</v>
      </c>
      <c r="F77" s="53" t="s">
        <v>829</v>
      </c>
    </row>
    <row r="78" spans="4:6" x14ac:dyDescent="0.4">
      <c r="D78" s="53" t="s">
        <v>746</v>
      </c>
      <c r="E78" s="65" t="s">
        <v>828</v>
      </c>
      <c r="F78" s="53" t="s">
        <v>829</v>
      </c>
    </row>
    <row r="79" spans="4:6" x14ac:dyDescent="0.4">
      <c r="D79" s="53" t="s">
        <v>747</v>
      </c>
      <c r="E79" s="65" t="s">
        <v>828</v>
      </c>
      <c r="F79" s="53" t="s">
        <v>829</v>
      </c>
    </row>
  </sheetData>
  <phoneticPr fontId="6" type="noConversion"/>
  <dataValidations count="1">
    <dataValidation type="list" allowBlank="1" showInputMessage="1" showErrorMessage="1" sqref="D6:D79" xr:uid="{B4DCB23B-E38C-463C-B75D-5D39ADA2D56E}">
      <formula1>productid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08E46-4D9B-48BC-BA33-00EF24694AE3}">
  <dimension ref="B1:G80"/>
  <sheetViews>
    <sheetView topLeftCell="A46" zoomScale="86" zoomScaleNormal="86" workbookViewId="0">
      <selection activeCell="D56" sqref="D56"/>
    </sheetView>
  </sheetViews>
  <sheetFormatPr defaultColWidth="8.78515625" defaultRowHeight="26.25" x14ac:dyDescent="0.4"/>
  <cols>
    <col min="1" max="1" width="1.640625" style="1" customWidth="1"/>
    <col min="2" max="2" width="14.5" customWidth="1"/>
    <col min="3" max="3" width="1.7109375" style="1" customWidth="1"/>
    <col min="4" max="5" width="11.78515625" style="1" bestFit="1" customWidth="1"/>
    <col min="6" max="6" width="15" style="1" bestFit="1" customWidth="1"/>
    <col min="7" max="7" width="9.7109375" style="1" bestFit="1" customWidth="1"/>
    <col min="8" max="16384" width="8.78515625" style="1"/>
  </cols>
  <sheetData>
    <row r="1" spans="2:7" x14ac:dyDescent="0.4">
      <c r="B1" s="1"/>
    </row>
    <row r="2" spans="2:7" x14ac:dyDescent="0.4">
      <c r="B2" s="13"/>
    </row>
    <row r="3" spans="2:7" x14ac:dyDescent="0.4">
      <c r="B3" s="14"/>
    </row>
    <row r="4" spans="2:7" x14ac:dyDescent="0.4">
      <c r="B4" s="14"/>
    </row>
    <row r="5" spans="2:7" x14ac:dyDescent="0.4">
      <c r="B5" s="14"/>
      <c r="D5" s="66" t="s">
        <v>183</v>
      </c>
      <c r="E5" s="66" t="s">
        <v>505</v>
      </c>
      <c r="F5" s="66" t="s">
        <v>506</v>
      </c>
      <c r="G5" s="66" t="s">
        <v>137</v>
      </c>
    </row>
    <row r="6" spans="2:7" x14ac:dyDescent="0.4">
      <c r="B6" s="14"/>
      <c r="D6" s="53" t="s">
        <v>659</v>
      </c>
      <c r="E6" s="53" t="s">
        <v>512</v>
      </c>
      <c r="F6" s="53" t="s">
        <v>507</v>
      </c>
      <c r="G6" s="53" t="s">
        <v>404</v>
      </c>
    </row>
    <row r="7" spans="2:7" x14ac:dyDescent="0.4">
      <c r="B7" s="14"/>
      <c r="D7" s="53" t="s">
        <v>660</v>
      </c>
      <c r="E7" s="53" t="s">
        <v>512</v>
      </c>
      <c r="F7" s="53" t="s">
        <v>507</v>
      </c>
      <c r="G7" s="53" t="s">
        <v>404</v>
      </c>
    </row>
    <row r="8" spans="2:7" x14ac:dyDescent="0.4">
      <c r="B8" s="14"/>
      <c r="D8" s="53" t="s">
        <v>661</v>
      </c>
      <c r="E8" s="53" t="s">
        <v>512</v>
      </c>
      <c r="F8" s="53" t="s">
        <v>507</v>
      </c>
      <c r="G8" s="53" t="s">
        <v>404</v>
      </c>
    </row>
    <row r="9" spans="2:7" x14ac:dyDescent="0.4">
      <c r="B9" s="14"/>
      <c r="D9" s="53" t="s">
        <v>662</v>
      </c>
      <c r="E9" s="53" t="s">
        <v>512</v>
      </c>
      <c r="F9" s="53" t="s">
        <v>507</v>
      </c>
      <c r="G9" s="53" t="s">
        <v>404</v>
      </c>
    </row>
    <row r="10" spans="2:7" x14ac:dyDescent="0.4">
      <c r="B10" s="14" t="s">
        <v>0</v>
      </c>
      <c r="D10" s="53" t="s">
        <v>663</v>
      </c>
      <c r="E10" s="53" t="s">
        <v>512</v>
      </c>
      <c r="F10" s="53" t="s">
        <v>507</v>
      </c>
      <c r="G10" s="53" t="s">
        <v>404</v>
      </c>
    </row>
    <row r="11" spans="2:7" x14ac:dyDescent="0.4">
      <c r="B11" s="14"/>
      <c r="D11" s="53" t="s">
        <v>664</v>
      </c>
      <c r="E11" s="53" t="s">
        <v>512</v>
      </c>
      <c r="F11" s="53" t="s">
        <v>507</v>
      </c>
      <c r="G11" s="53" t="s">
        <v>404</v>
      </c>
    </row>
    <row r="12" spans="2:7" x14ac:dyDescent="0.4">
      <c r="B12" s="14"/>
      <c r="D12" s="53" t="s">
        <v>665</v>
      </c>
      <c r="E12" s="53" t="s">
        <v>512</v>
      </c>
      <c r="F12" s="53" t="s">
        <v>507</v>
      </c>
      <c r="G12" s="53" t="s">
        <v>404</v>
      </c>
    </row>
    <row r="13" spans="2:7" x14ac:dyDescent="0.4">
      <c r="B13" s="14"/>
      <c r="D13" s="53" t="s">
        <v>666</v>
      </c>
      <c r="E13" s="53" t="s">
        <v>512</v>
      </c>
      <c r="F13" s="53" t="s">
        <v>507</v>
      </c>
      <c r="G13" s="53" t="s">
        <v>404</v>
      </c>
    </row>
    <row r="14" spans="2:7" x14ac:dyDescent="0.4">
      <c r="B14" s="14"/>
      <c r="D14" s="53" t="s">
        <v>626</v>
      </c>
      <c r="E14" s="53" t="s">
        <v>512</v>
      </c>
      <c r="F14" s="53" t="s">
        <v>507</v>
      </c>
      <c r="G14" s="53" t="s">
        <v>404</v>
      </c>
    </row>
    <row r="15" spans="2:7" x14ac:dyDescent="0.4">
      <c r="B15" s="14"/>
      <c r="D15" s="53" t="s">
        <v>667</v>
      </c>
      <c r="E15" s="53" t="s">
        <v>512</v>
      </c>
      <c r="F15" s="53" t="s">
        <v>507</v>
      </c>
      <c r="G15" s="53" t="s">
        <v>404</v>
      </c>
    </row>
    <row r="16" spans="2:7" x14ac:dyDescent="0.4">
      <c r="B16" s="14"/>
      <c r="D16" s="53" t="s">
        <v>668</v>
      </c>
      <c r="E16" s="53" t="s">
        <v>512</v>
      </c>
      <c r="F16" s="53" t="s">
        <v>507</v>
      </c>
      <c r="G16" s="53" t="s">
        <v>404</v>
      </c>
    </row>
    <row r="17" spans="2:7" x14ac:dyDescent="0.4">
      <c r="B17" s="14"/>
      <c r="D17" s="53" t="s">
        <v>669</v>
      </c>
      <c r="E17" s="53" t="s">
        <v>512</v>
      </c>
      <c r="F17" s="53" t="s">
        <v>507</v>
      </c>
      <c r="G17" s="53" t="s">
        <v>404</v>
      </c>
    </row>
    <row r="18" spans="2:7" x14ac:dyDescent="0.4">
      <c r="B18" s="14"/>
      <c r="D18" s="53" t="s">
        <v>670</v>
      </c>
      <c r="E18" s="53" t="s">
        <v>512</v>
      </c>
      <c r="F18" s="53" t="s">
        <v>507</v>
      </c>
      <c r="G18" s="53" t="s">
        <v>404</v>
      </c>
    </row>
    <row r="19" spans="2:7" x14ac:dyDescent="0.4">
      <c r="B19" s="15"/>
      <c r="D19" s="53" t="s">
        <v>671</v>
      </c>
      <c r="E19" s="53" t="s">
        <v>512</v>
      </c>
      <c r="F19" s="53" t="s">
        <v>507</v>
      </c>
      <c r="G19" s="53" t="s">
        <v>404</v>
      </c>
    </row>
    <row r="20" spans="2:7" x14ac:dyDescent="0.4">
      <c r="B20" s="8"/>
      <c r="D20" s="53" t="s">
        <v>672</v>
      </c>
      <c r="E20" s="53" t="s">
        <v>512</v>
      </c>
      <c r="F20" s="53" t="s">
        <v>507</v>
      </c>
      <c r="G20" s="53" t="s">
        <v>404</v>
      </c>
    </row>
    <row r="21" spans="2:7" x14ac:dyDescent="0.4">
      <c r="B21" s="8"/>
      <c r="D21" s="53" t="s">
        <v>673</v>
      </c>
      <c r="E21" s="53" t="s">
        <v>512</v>
      </c>
      <c r="F21" s="53" t="s">
        <v>507</v>
      </c>
      <c r="G21" s="53" t="s">
        <v>404</v>
      </c>
    </row>
    <row r="22" spans="2:7" x14ac:dyDescent="0.4">
      <c r="D22" s="53" t="s">
        <v>674</v>
      </c>
      <c r="E22" s="53" t="s">
        <v>512</v>
      </c>
      <c r="F22" s="53" t="s">
        <v>507</v>
      </c>
      <c r="G22" s="53" t="s">
        <v>404</v>
      </c>
    </row>
    <row r="23" spans="2:7" x14ac:dyDescent="0.4">
      <c r="D23" s="53" t="s">
        <v>675</v>
      </c>
      <c r="E23" s="53" t="s">
        <v>512</v>
      </c>
      <c r="F23" s="53" t="s">
        <v>507</v>
      </c>
      <c r="G23" s="53" t="s">
        <v>404</v>
      </c>
    </row>
    <row r="24" spans="2:7" x14ac:dyDescent="0.4">
      <c r="D24" s="53" t="s">
        <v>676</v>
      </c>
      <c r="E24" s="53" t="s">
        <v>512</v>
      </c>
      <c r="F24" s="53" t="s">
        <v>507</v>
      </c>
      <c r="G24" s="53" t="s">
        <v>404</v>
      </c>
    </row>
    <row r="25" spans="2:7" x14ac:dyDescent="0.4">
      <c r="D25" s="53" t="s">
        <v>677</v>
      </c>
      <c r="E25" s="53" t="s">
        <v>512</v>
      </c>
      <c r="F25" s="53" t="s">
        <v>507</v>
      </c>
      <c r="G25" s="53" t="s">
        <v>404</v>
      </c>
    </row>
    <row r="26" spans="2:7" x14ac:dyDescent="0.4">
      <c r="D26" s="53" t="s">
        <v>678</v>
      </c>
      <c r="E26" s="53" t="s">
        <v>512</v>
      </c>
      <c r="F26" s="53" t="s">
        <v>507</v>
      </c>
      <c r="G26" s="53" t="s">
        <v>404</v>
      </c>
    </row>
    <row r="27" spans="2:7" x14ac:dyDescent="0.4">
      <c r="D27" s="53" t="s">
        <v>679</v>
      </c>
      <c r="E27" s="53" t="s">
        <v>512</v>
      </c>
      <c r="F27" s="53" t="s">
        <v>507</v>
      </c>
      <c r="G27" s="53" t="s">
        <v>404</v>
      </c>
    </row>
    <row r="28" spans="2:7" x14ac:dyDescent="0.4">
      <c r="D28" s="53" t="s">
        <v>680</v>
      </c>
      <c r="E28" s="53" t="s">
        <v>512</v>
      </c>
      <c r="F28" s="53" t="s">
        <v>507</v>
      </c>
      <c r="G28" s="53" t="s">
        <v>404</v>
      </c>
    </row>
    <row r="29" spans="2:7" x14ac:dyDescent="0.4">
      <c r="D29" s="53" t="s">
        <v>681</v>
      </c>
      <c r="E29" s="53" t="s">
        <v>512</v>
      </c>
      <c r="F29" s="53" t="s">
        <v>507</v>
      </c>
      <c r="G29" s="53" t="s">
        <v>404</v>
      </c>
    </row>
    <row r="30" spans="2:7" x14ac:dyDescent="0.4">
      <c r="D30" s="53" t="s">
        <v>682</v>
      </c>
      <c r="E30" s="53" t="s">
        <v>512</v>
      </c>
      <c r="F30" s="53" t="s">
        <v>507</v>
      </c>
      <c r="G30" s="53" t="s">
        <v>404</v>
      </c>
    </row>
    <row r="31" spans="2:7" x14ac:dyDescent="0.4">
      <c r="D31" s="53" t="s">
        <v>683</v>
      </c>
      <c r="E31" s="53" t="s">
        <v>512</v>
      </c>
      <c r="F31" s="53" t="s">
        <v>507</v>
      </c>
      <c r="G31" s="53" t="s">
        <v>404</v>
      </c>
    </row>
    <row r="32" spans="2:7" x14ac:dyDescent="0.4">
      <c r="D32" s="53" t="s">
        <v>684</v>
      </c>
      <c r="E32" s="53" t="s">
        <v>512</v>
      </c>
      <c r="F32" s="53" t="s">
        <v>507</v>
      </c>
      <c r="G32" s="53" t="s">
        <v>404</v>
      </c>
    </row>
    <row r="33" spans="4:7" x14ac:dyDescent="0.4">
      <c r="D33" s="53" t="s">
        <v>685</v>
      </c>
      <c r="E33" s="53" t="s">
        <v>512</v>
      </c>
      <c r="F33" s="53" t="s">
        <v>507</v>
      </c>
      <c r="G33" s="53" t="s">
        <v>404</v>
      </c>
    </row>
    <row r="34" spans="4:7" x14ac:dyDescent="0.4">
      <c r="D34" s="53" t="s">
        <v>686</v>
      </c>
      <c r="E34" s="53" t="s">
        <v>512</v>
      </c>
      <c r="F34" s="53" t="s">
        <v>507</v>
      </c>
      <c r="G34" s="53" t="s">
        <v>404</v>
      </c>
    </row>
    <row r="35" spans="4:7" x14ac:dyDescent="0.4">
      <c r="D35" s="53" t="s">
        <v>687</v>
      </c>
      <c r="E35" s="53" t="s">
        <v>512</v>
      </c>
      <c r="F35" s="53" t="s">
        <v>507</v>
      </c>
      <c r="G35" s="53" t="s">
        <v>404</v>
      </c>
    </row>
    <row r="36" spans="4:7" x14ac:dyDescent="0.4">
      <c r="D36" s="53" t="s">
        <v>688</v>
      </c>
      <c r="E36" s="53" t="s">
        <v>512</v>
      </c>
      <c r="F36" s="53" t="s">
        <v>507</v>
      </c>
      <c r="G36" s="53" t="s">
        <v>404</v>
      </c>
    </row>
    <row r="37" spans="4:7" x14ac:dyDescent="0.4">
      <c r="D37" s="53" t="s">
        <v>689</v>
      </c>
      <c r="E37" s="53" t="s">
        <v>512</v>
      </c>
      <c r="F37" s="53" t="s">
        <v>507</v>
      </c>
      <c r="G37" s="53" t="s">
        <v>404</v>
      </c>
    </row>
    <row r="38" spans="4:7" x14ac:dyDescent="0.4">
      <c r="D38" s="53" t="s">
        <v>690</v>
      </c>
      <c r="E38" s="53" t="s">
        <v>512</v>
      </c>
      <c r="F38" s="53" t="s">
        <v>507</v>
      </c>
      <c r="G38" s="53" t="s">
        <v>404</v>
      </c>
    </row>
    <row r="39" spans="4:7" x14ac:dyDescent="0.4">
      <c r="D39" s="53" t="s">
        <v>691</v>
      </c>
      <c r="E39" s="53" t="s">
        <v>512</v>
      </c>
      <c r="F39" s="53" t="s">
        <v>507</v>
      </c>
      <c r="G39" s="53" t="s">
        <v>404</v>
      </c>
    </row>
    <row r="40" spans="4:7" x14ac:dyDescent="0.4">
      <c r="D40" s="53" t="s">
        <v>692</v>
      </c>
      <c r="E40" s="53" t="s">
        <v>512</v>
      </c>
      <c r="F40" s="53" t="s">
        <v>507</v>
      </c>
      <c r="G40" s="53" t="s">
        <v>404</v>
      </c>
    </row>
    <row r="41" spans="4:7" x14ac:dyDescent="0.4">
      <c r="D41" s="53" t="s">
        <v>693</v>
      </c>
      <c r="E41" s="53" t="s">
        <v>512</v>
      </c>
      <c r="F41" s="53" t="s">
        <v>507</v>
      </c>
      <c r="G41" s="53" t="s">
        <v>404</v>
      </c>
    </row>
    <row r="42" spans="4:7" x14ac:dyDescent="0.4">
      <c r="D42" s="53" t="s">
        <v>694</v>
      </c>
      <c r="E42" s="53" t="s">
        <v>512</v>
      </c>
      <c r="F42" s="53" t="s">
        <v>507</v>
      </c>
      <c r="G42" s="53" t="s">
        <v>404</v>
      </c>
    </row>
    <row r="43" spans="4:7" x14ac:dyDescent="0.4">
      <c r="D43" s="53" t="s">
        <v>695</v>
      </c>
      <c r="E43" s="53" t="s">
        <v>512</v>
      </c>
      <c r="F43" s="53" t="s">
        <v>507</v>
      </c>
      <c r="G43" s="53" t="s">
        <v>404</v>
      </c>
    </row>
    <row r="44" spans="4:7" x14ac:dyDescent="0.4">
      <c r="D44" s="53" t="s">
        <v>696</v>
      </c>
      <c r="E44" s="53" t="s">
        <v>512</v>
      </c>
      <c r="F44" s="53" t="s">
        <v>507</v>
      </c>
      <c r="G44" s="53" t="s">
        <v>404</v>
      </c>
    </row>
    <row r="45" spans="4:7" x14ac:dyDescent="0.4">
      <c r="D45" s="53" t="s">
        <v>697</v>
      </c>
      <c r="E45" s="53" t="s">
        <v>512</v>
      </c>
      <c r="F45" s="53" t="s">
        <v>507</v>
      </c>
      <c r="G45" s="53" t="s">
        <v>404</v>
      </c>
    </row>
    <row r="46" spans="4:7" x14ac:dyDescent="0.4">
      <c r="D46" s="53" t="s">
        <v>698</v>
      </c>
      <c r="E46" s="53" t="s">
        <v>512</v>
      </c>
      <c r="F46" s="53" t="s">
        <v>507</v>
      </c>
      <c r="G46" s="53" t="s">
        <v>404</v>
      </c>
    </row>
    <row r="47" spans="4:7" x14ac:dyDescent="0.4">
      <c r="D47" s="53" t="s">
        <v>699</v>
      </c>
      <c r="E47" s="53" t="s">
        <v>512</v>
      </c>
      <c r="F47" s="53" t="s">
        <v>507</v>
      </c>
      <c r="G47" s="53" t="s">
        <v>404</v>
      </c>
    </row>
    <row r="48" spans="4:7" x14ac:dyDescent="0.4">
      <c r="D48" s="53" t="s">
        <v>700</v>
      </c>
      <c r="E48" s="53" t="s">
        <v>512</v>
      </c>
      <c r="F48" s="53" t="s">
        <v>507</v>
      </c>
      <c r="G48" s="53" t="s">
        <v>404</v>
      </c>
    </row>
    <row r="49" spans="4:7" x14ac:dyDescent="0.4">
      <c r="D49" s="53" t="s">
        <v>701</v>
      </c>
      <c r="E49" s="53" t="s">
        <v>512</v>
      </c>
      <c r="F49" s="53" t="s">
        <v>507</v>
      </c>
      <c r="G49" s="53" t="s">
        <v>404</v>
      </c>
    </row>
    <row r="50" spans="4:7" x14ac:dyDescent="0.4">
      <c r="D50" s="53" t="s">
        <v>702</v>
      </c>
      <c r="E50" s="53" t="s">
        <v>512</v>
      </c>
      <c r="F50" s="53" t="s">
        <v>507</v>
      </c>
      <c r="G50" s="53" t="s">
        <v>404</v>
      </c>
    </row>
    <row r="51" spans="4:7" x14ac:dyDescent="0.4">
      <c r="D51" s="53" t="s">
        <v>508</v>
      </c>
      <c r="E51" s="53" t="s">
        <v>512</v>
      </c>
      <c r="F51" s="53" t="s">
        <v>507</v>
      </c>
      <c r="G51" s="53" t="s">
        <v>404</v>
      </c>
    </row>
    <row r="52" spans="4:7" x14ac:dyDescent="0.4">
      <c r="D52" s="53" t="s">
        <v>584</v>
      </c>
      <c r="E52" s="53" t="s">
        <v>512</v>
      </c>
      <c r="F52" s="53" t="s">
        <v>507</v>
      </c>
      <c r="G52" s="53" t="s">
        <v>404</v>
      </c>
    </row>
    <row r="53" spans="4:7" x14ac:dyDescent="0.4">
      <c r="D53" s="53" t="s">
        <v>703</v>
      </c>
      <c r="E53" s="53" t="s">
        <v>719</v>
      </c>
      <c r="F53" s="53" t="s">
        <v>541</v>
      </c>
      <c r="G53" s="53" t="s">
        <v>761</v>
      </c>
    </row>
    <row r="54" spans="4:7" x14ac:dyDescent="0.4">
      <c r="D54" s="53" t="s">
        <v>704</v>
      </c>
      <c r="E54" s="53" t="s">
        <v>720</v>
      </c>
      <c r="F54" s="53" t="s">
        <v>623</v>
      </c>
      <c r="G54" s="53" t="s">
        <v>625</v>
      </c>
    </row>
    <row r="55" spans="4:7" x14ac:dyDescent="0.4">
      <c r="D55" s="53" t="s">
        <v>723</v>
      </c>
      <c r="E55" s="53" t="s">
        <v>719</v>
      </c>
      <c r="F55" s="53" t="s">
        <v>541</v>
      </c>
      <c r="G55" s="36" t="s">
        <v>761</v>
      </c>
    </row>
    <row r="56" spans="4:7" x14ac:dyDescent="0.4">
      <c r="D56" s="53" t="s">
        <v>724</v>
      </c>
      <c r="E56" s="53" t="s">
        <v>719</v>
      </c>
      <c r="F56" s="53" t="s">
        <v>541</v>
      </c>
      <c r="G56" s="36" t="s">
        <v>761</v>
      </c>
    </row>
    <row r="57" spans="4:7" x14ac:dyDescent="0.4">
      <c r="D57" s="53" t="s">
        <v>725</v>
      </c>
      <c r="E57" s="36"/>
      <c r="F57" s="36"/>
      <c r="G57" s="36"/>
    </row>
    <row r="58" spans="4:7" x14ac:dyDescent="0.4">
      <c r="D58" s="53" t="s">
        <v>726</v>
      </c>
      <c r="E58" s="36"/>
      <c r="F58" s="36"/>
      <c r="G58" s="36"/>
    </row>
    <row r="59" spans="4:7" x14ac:dyDescent="0.4">
      <c r="D59" s="53" t="s">
        <v>727</v>
      </c>
      <c r="E59" s="36"/>
      <c r="F59" s="36"/>
      <c r="G59" s="36"/>
    </row>
    <row r="60" spans="4:7" x14ac:dyDescent="0.4">
      <c r="D60" s="53" t="s">
        <v>728</v>
      </c>
      <c r="E60" s="36"/>
      <c r="F60" s="36"/>
      <c r="G60" s="36"/>
    </row>
    <row r="61" spans="4:7" x14ac:dyDescent="0.4">
      <c r="D61" s="53" t="s">
        <v>729</v>
      </c>
      <c r="E61" s="36"/>
      <c r="F61" s="36"/>
      <c r="G61" s="36"/>
    </row>
    <row r="62" spans="4:7" x14ac:dyDescent="0.4">
      <c r="D62" s="53" t="s">
        <v>730</v>
      </c>
      <c r="E62" s="36"/>
      <c r="F62" s="36"/>
      <c r="G62" s="36"/>
    </row>
    <row r="63" spans="4:7" x14ac:dyDescent="0.4">
      <c r="D63" s="53" t="s">
        <v>731</v>
      </c>
      <c r="E63" s="36"/>
      <c r="F63" s="36"/>
      <c r="G63" s="36"/>
    </row>
    <row r="64" spans="4:7" x14ac:dyDescent="0.4">
      <c r="D64" s="53" t="s">
        <v>732</v>
      </c>
      <c r="E64" s="36"/>
      <c r="F64" s="36"/>
      <c r="G64" s="36"/>
    </row>
    <row r="65" spans="4:7" x14ac:dyDescent="0.4">
      <c r="D65" s="53" t="s">
        <v>733</v>
      </c>
      <c r="E65" s="36"/>
      <c r="F65" s="36"/>
      <c r="G65" s="36"/>
    </row>
    <row r="66" spans="4:7" x14ac:dyDescent="0.4">
      <c r="D66" s="53" t="s">
        <v>734</v>
      </c>
      <c r="E66" s="36"/>
      <c r="F66" s="36"/>
      <c r="G66" s="36"/>
    </row>
    <row r="67" spans="4:7" x14ac:dyDescent="0.4">
      <c r="D67" s="53" t="s">
        <v>735</v>
      </c>
      <c r="E67" s="36"/>
      <c r="F67" s="36"/>
      <c r="G67" s="36"/>
    </row>
    <row r="68" spans="4:7" x14ac:dyDescent="0.4">
      <c r="D68" s="53" t="s">
        <v>736</v>
      </c>
      <c r="E68" s="36"/>
      <c r="F68" s="36"/>
      <c r="G68" s="36"/>
    </row>
    <row r="69" spans="4:7" x14ac:dyDescent="0.4">
      <c r="D69" s="53" t="s">
        <v>737</v>
      </c>
      <c r="E69" s="36"/>
      <c r="F69" s="36"/>
      <c r="G69" s="36"/>
    </row>
    <row r="70" spans="4:7" x14ac:dyDescent="0.4">
      <c r="D70" s="53" t="s">
        <v>738</v>
      </c>
      <c r="E70" s="36"/>
      <c r="F70" s="36"/>
      <c r="G70" s="36"/>
    </row>
    <row r="71" spans="4:7" x14ac:dyDescent="0.4">
      <c r="D71" s="53" t="s">
        <v>739</v>
      </c>
      <c r="E71" s="36"/>
      <c r="F71" s="36"/>
      <c r="G71" s="36"/>
    </row>
    <row r="72" spans="4:7" x14ac:dyDescent="0.4">
      <c r="D72" s="53" t="s">
        <v>740</v>
      </c>
      <c r="E72" s="36"/>
      <c r="F72" s="36"/>
      <c r="G72" s="36"/>
    </row>
    <row r="73" spans="4:7" x14ac:dyDescent="0.4">
      <c r="D73" s="53" t="s">
        <v>741</v>
      </c>
      <c r="E73" s="36"/>
      <c r="F73" s="36"/>
      <c r="G73" s="36"/>
    </row>
    <row r="74" spans="4:7" x14ac:dyDescent="0.4">
      <c r="D74" s="53" t="s">
        <v>742</v>
      </c>
      <c r="E74" s="36"/>
      <c r="F74" s="36"/>
      <c r="G74" s="36"/>
    </row>
    <row r="75" spans="4:7" x14ac:dyDescent="0.4">
      <c r="D75" s="53" t="s">
        <v>743</v>
      </c>
      <c r="E75" s="36"/>
      <c r="F75" s="36"/>
      <c r="G75" s="36"/>
    </row>
    <row r="76" spans="4:7" x14ac:dyDescent="0.4">
      <c r="D76" s="53" t="s">
        <v>744</v>
      </c>
      <c r="E76" s="36"/>
      <c r="F76" s="36"/>
      <c r="G76" s="36"/>
    </row>
    <row r="77" spans="4:7" x14ac:dyDescent="0.4">
      <c r="D77" s="53" t="s">
        <v>745</v>
      </c>
      <c r="E77" s="36"/>
      <c r="F77" s="36"/>
      <c r="G77" s="36"/>
    </row>
    <row r="78" spans="4:7" x14ac:dyDescent="0.4">
      <c r="D78" s="53" t="s">
        <v>746</v>
      </c>
      <c r="E78" s="36"/>
      <c r="F78" s="36"/>
      <c r="G78" s="36"/>
    </row>
    <row r="79" spans="4:7" x14ac:dyDescent="0.4">
      <c r="D79" s="53" t="s">
        <v>747</v>
      </c>
      <c r="E79" s="36"/>
      <c r="F79" s="36"/>
      <c r="G79" s="36"/>
    </row>
    <row r="80" spans="4:7" x14ac:dyDescent="0.4">
      <c r="D80" s="53" t="s">
        <v>748</v>
      </c>
      <c r="E80" s="36"/>
      <c r="F80" s="36"/>
      <c r="G80" s="36"/>
    </row>
  </sheetData>
  <phoneticPr fontId="6" type="noConversion"/>
  <dataValidations count="2">
    <dataValidation type="list" allowBlank="1" showInputMessage="1" showErrorMessage="1" sqref="D6:D80" xr:uid="{386A9F4E-D664-4995-9525-2018EC457585}">
      <formula1>productid</formula1>
    </dataValidation>
    <dataValidation type="list" allowBlank="1" showInputMessage="1" showErrorMessage="1" sqref="G6:G80" xr:uid="{66B0934E-9D59-478F-9EA0-7F1D0CFC3993}">
      <formula1>vendid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0EE56-2F64-4BB9-9E5F-7EEE213B80E7}">
  <sheetPr codeName="Sheet5"/>
  <dimension ref="B1:BI78"/>
  <sheetViews>
    <sheetView topLeftCell="E1" zoomScale="73" zoomScaleNormal="73" workbookViewId="0">
      <selection activeCell="J51" sqref="J51"/>
    </sheetView>
  </sheetViews>
  <sheetFormatPr defaultColWidth="8.78515625" defaultRowHeight="26.25" x14ac:dyDescent="0.4"/>
  <cols>
    <col min="1" max="1" width="1.640625" style="1" customWidth="1"/>
    <col min="2" max="2" width="14.5" customWidth="1"/>
    <col min="3" max="3" width="1.7109375" style="1" customWidth="1"/>
    <col min="4" max="4" width="16.5" style="1" customWidth="1"/>
    <col min="5" max="5" width="15.42578125" style="1" customWidth="1"/>
    <col min="6" max="6" width="18.7109375" style="1" bestFit="1" customWidth="1"/>
    <col min="7" max="7" width="35.2109375" style="1" bestFit="1" customWidth="1"/>
    <col min="8" max="8" width="10.78515625" style="1" bestFit="1" customWidth="1"/>
    <col min="9" max="9" width="11.78515625" style="1" bestFit="1" customWidth="1"/>
    <col min="10" max="10" width="24.5703125" style="1" bestFit="1" customWidth="1"/>
    <col min="11" max="11" width="7.2109375" style="1" bestFit="1" customWidth="1"/>
    <col min="12" max="12" width="16.35546875" style="1" bestFit="1" customWidth="1"/>
    <col min="13" max="13" width="11.2109375" style="1" bestFit="1" customWidth="1"/>
    <col min="14" max="14" width="12.28515625" style="1" bestFit="1" customWidth="1"/>
    <col min="15" max="15" width="13.5" style="1" bestFit="1" customWidth="1"/>
    <col min="16" max="16" width="17" style="1" bestFit="1" customWidth="1"/>
    <col min="17" max="17" width="12.2109375" style="1" bestFit="1" customWidth="1"/>
    <col min="18" max="18" width="16.2109375" style="1" bestFit="1" customWidth="1"/>
    <col min="19" max="19" width="12.35546875" style="1" bestFit="1" customWidth="1"/>
    <col min="20" max="20" width="11.2109375" style="1" customWidth="1"/>
    <col min="21" max="21" width="12" style="1" bestFit="1" customWidth="1"/>
    <col min="22" max="23" width="13.140625" style="1" bestFit="1" customWidth="1"/>
    <col min="24" max="24" width="9.28515625" style="1" bestFit="1" customWidth="1"/>
    <col min="25" max="25" width="17.5703125" style="1" customWidth="1"/>
    <col min="26" max="26" width="22.640625" style="1" customWidth="1"/>
    <col min="27" max="27" width="18.5" style="1" customWidth="1"/>
    <col min="28" max="28" width="8.78515625" style="1" bestFit="1" customWidth="1"/>
    <col min="29" max="29" width="11.78515625" style="1" bestFit="1" customWidth="1"/>
    <col min="30" max="30" width="14.7109375" style="1" bestFit="1" customWidth="1"/>
    <col min="31" max="31" width="16.42578125" style="1" bestFit="1" customWidth="1"/>
    <col min="32" max="32" width="14.28515625" style="1" customWidth="1"/>
    <col min="33" max="33" width="13.85546875" style="1" bestFit="1" customWidth="1"/>
    <col min="34" max="34" width="12.28515625" style="1" bestFit="1" customWidth="1"/>
    <col min="35" max="35" width="10.640625" style="1" bestFit="1" customWidth="1"/>
    <col min="36" max="36" width="11.92578125" style="1" bestFit="1" customWidth="1"/>
    <col min="37" max="37" width="12.28515625" style="1" bestFit="1" customWidth="1"/>
    <col min="38" max="38" width="14" style="1" bestFit="1" customWidth="1"/>
    <col min="39" max="39" width="10.28515625" style="1" bestFit="1" customWidth="1"/>
    <col min="40" max="40" width="9.92578125" style="1" bestFit="1" customWidth="1"/>
    <col min="41" max="41" width="8.0703125" style="1" bestFit="1" customWidth="1"/>
    <col min="42" max="42" width="11.7109375" style="1" bestFit="1" customWidth="1"/>
    <col min="43" max="43" width="10" style="1" bestFit="1" customWidth="1"/>
    <col min="44" max="44" width="11.7109375" style="1" bestFit="1" customWidth="1"/>
    <col min="45" max="45" width="20.78515625" style="1" bestFit="1" customWidth="1"/>
    <col min="46" max="46" width="17.85546875" style="1" bestFit="1" customWidth="1"/>
    <col min="47" max="47" width="13.85546875" style="1" bestFit="1" customWidth="1"/>
    <col min="48" max="48" width="16.78515625" style="1" bestFit="1" customWidth="1"/>
    <col min="49" max="49" width="10.140625" style="1" bestFit="1" customWidth="1"/>
    <col min="50" max="50" width="11.42578125" style="1" bestFit="1" customWidth="1"/>
    <col min="51" max="51" width="11.92578125" style="1" bestFit="1" customWidth="1"/>
    <col min="52" max="52" width="15.42578125" style="1" bestFit="1" customWidth="1"/>
    <col min="53" max="53" width="16.78515625" style="1" bestFit="1" customWidth="1"/>
    <col min="54" max="54" width="15.0703125" style="1" bestFit="1" customWidth="1"/>
    <col min="55" max="55" width="16.5" style="1" bestFit="1" customWidth="1"/>
    <col min="56" max="16384" width="8.78515625" style="1"/>
  </cols>
  <sheetData>
    <row r="1" spans="2:61" x14ac:dyDescent="0.4">
      <c r="B1" s="1"/>
    </row>
    <row r="2" spans="2:61" x14ac:dyDescent="0.4">
      <c r="B2" s="13"/>
      <c r="Q2" s="2"/>
    </row>
    <row r="3" spans="2:61" x14ac:dyDescent="0.4">
      <c r="B3" s="14"/>
    </row>
    <row r="4" spans="2:61" x14ac:dyDescent="0.4">
      <c r="B4" s="14"/>
      <c r="C4" s="21"/>
      <c r="D4" s="67" t="s">
        <v>142</v>
      </c>
      <c r="E4" s="68"/>
      <c r="F4" s="68"/>
      <c r="G4" s="68"/>
      <c r="H4" s="68"/>
      <c r="I4" s="68"/>
      <c r="J4" s="68"/>
      <c r="K4" s="68"/>
      <c r="L4" s="68"/>
      <c r="N4" s="71" t="s">
        <v>147</v>
      </c>
      <c r="O4" s="71"/>
      <c r="P4" s="71"/>
      <c r="Q4" s="72"/>
      <c r="R4" s="67" t="s">
        <v>151</v>
      </c>
      <c r="S4" s="68"/>
      <c r="T4" s="68"/>
      <c r="U4" s="68"/>
      <c r="V4" s="68"/>
      <c r="W4" s="69"/>
      <c r="X4" s="67" t="s">
        <v>154</v>
      </c>
      <c r="Y4" s="69"/>
      <c r="Z4" s="67" t="s">
        <v>160</v>
      </c>
      <c r="AA4" s="68"/>
      <c r="AB4" s="68"/>
      <c r="AC4" s="68"/>
      <c r="AD4" s="69"/>
      <c r="AE4" s="67" t="s">
        <v>165</v>
      </c>
      <c r="AF4" s="68"/>
      <c r="AG4" s="68"/>
      <c r="AH4" s="69"/>
      <c r="AI4" s="67" t="s">
        <v>171</v>
      </c>
      <c r="AJ4" s="68"/>
      <c r="AK4" s="68"/>
      <c r="AL4" s="68"/>
      <c r="AM4" s="69"/>
      <c r="AN4" s="67" t="s">
        <v>176</v>
      </c>
      <c r="AO4" s="68"/>
      <c r="AP4" s="68"/>
      <c r="AQ4" s="68"/>
      <c r="AR4" s="68"/>
      <c r="BB4" s="46"/>
    </row>
    <row r="5" spans="2:61" x14ac:dyDescent="0.4">
      <c r="B5" s="14"/>
      <c r="D5" s="53" t="s">
        <v>183</v>
      </c>
      <c r="E5" s="53" t="s">
        <v>3</v>
      </c>
      <c r="F5" s="53" t="s">
        <v>4</v>
      </c>
      <c r="G5" s="53" t="s">
        <v>138</v>
      </c>
      <c r="H5" s="36" t="s">
        <v>457</v>
      </c>
      <c r="I5" s="53" t="s">
        <v>139</v>
      </c>
      <c r="J5" s="53" t="s">
        <v>140</v>
      </c>
      <c r="K5" s="53" t="s">
        <v>141</v>
      </c>
      <c r="L5" s="53" t="s">
        <v>752</v>
      </c>
      <c r="M5" s="53" t="s">
        <v>753</v>
      </c>
      <c r="N5" s="53" t="s">
        <v>143</v>
      </c>
      <c r="O5" s="53" t="s">
        <v>144</v>
      </c>
      <c r="P5" s="53" t="s">
        <v>294</v>
      </c>
      <c r="Q5" s="53" t="s">
        <v>295</v>
      </c>
      <c r="R5" s="53" t="s">
        <v>145</v>
      </c>
      <c r="S5" s="53" t="s">
        <v>47</v>
      </c>
      <c r="T5" s="53" t="s">
        <v>146</v>
      </c>
      <c r="U5" s="53" t="s">
        <v>148</v>
      </c>
      <c r="V5" s="53" t="s">
        <v>548</v>
      </c>
      <c r="W5" s="53" t="s">
        <v>717</v>
      </c>
      <c r="X5" s="53" t="s">
        <v>149</v>
      </c>
      <c r="Y5" s="53" t="s">
        <v>150</v>
      </c>
      <c r="Z5" s="53" t="s">
        <v>718</v>
      </c>
      <c r="AA5" s="53" t="s">
        <v>758</v>
      </c>
      <c r="AB5" s="53" t="s">
        <v>756</v>
      </c>
      <c r="AC5" s="53" t="s">
        <v>757</v>
      </c>
      <c r="AD5" s="53" t="s">
        <v>6</v>
      </c>
      <c r="AE5" s="53" t="s">
        <v>152</v>
      </c>
      <c r="AF5" s="53" t="s">
        <v>153</v>
      </c>
      <c r="AG5" s="53" t="s">
        <v>155</v>
      </c>
      <c r="AH5" s="53" t="s">
        <v>156</v>
      </c>
      <c r="AI5" s="53" t="s">
        <v>157</v>
      </c>
      <c r="AJ5" s="53" t="s">
        <v>158</v>
      </c>
      <c r="AK5" s="53" t="s">
        <v>159</v>
      </c>
      <c r="AL5" s="53" t="s">
        <v>161</v>
      </c>
      <c r="AM5" s="53" t="s">
        <v>162</v>
      </c>
      <c r="AN5" s="53" t="s">
        <v>163</v>
      </c>
      <c r="AO5" s="53" t="s">
        <v>164</v>
      </c>
      <c r="AP5" s="53" t="s">
        <v>166</v>
      </c>
      <c r="AQ5" s="53" t="s">
        <v>167</v>
      </c>
      <c r="AR5" s="53" t="s">
        <v>168</v>
      </c>
      <c r="AS5" s="53" t="s">
        <v>169</v>
      </c>
      <c r="AT5" s="53" t="s">
        <v>170</v>
      </c>
      <c r="AU5" s="53" t="s">
        <v>172</v>
      </c>
      <c r="AV5" s="53" t="s">
        <v>182</v>
      </c>
      <c r="AW5" s="53" t="s">
        <v>173</v>
      </c>
      <c r="AX5" s="53" t="s">
        <v>174</v>
      </c>
      <c r="AY5" s="53" t="s">
        <v>175</v>
      </c>
      <c r="AZ5" s="53" t="s">
        <v>616</v>
      </c>
      <c r="BA5" s="53" t="s">
        <v>617</v>
      </c>
      <c r="BB5" s="53" t="s">
        <v>618</v>
      </c>
      <c r="BC5" s="53" t="s">
        <v>619</v>
      </c>
      <c r="BD5" s="53" t="s">
        <v>620</v>
      </c>
      <c r="BE5" s="53" t="s">
        <v>621</v>
      </c>
      <c r="BF5" s="53" t="s">
        <v>627</v>
      </c>
      <c r="BG5" s="53" t="s">
        <v>628</v>
      </c>
      <c r="BH5" s="53" t="s">
        <v>629</v>
      </c>
      <c r="BI5" s="53" t="s">
        <v>630</v>
      </c>
    </row>
    <row r="6" spans="2:61" x14ac:dyDescent="0.4">
      <c r="B6" s="14"/>
      <c r="D6" s="53" t="str">
        <f t="shared" ref="D6:D15" si="0">"PROD" &amp; TEXT(ROW()-5, "0000")</f>
        <v>PROD0001</v>
      </c>
      <c r="E6" s="53">
        <v>96032100</v>
      </c>
      <c r="F6" s="53" t="s">
        <v>53</v>
      </c>
      <c r="G6" s="53"/>
      <c r="H6" s="53" t="str">
        <f>IFERROR(VLOOKUP(Table4[[#This Row],[Product_ID]],Table410[#All],2,0),"")</f>
        <v>PRODCAT0001</v>
      </c>
      <c r="I6" s="53" t="str">
        <f>IFERROR(VLOOKUP(Table4[[#This Row],[Product_ID]],Table41011[#All],2,0),"")</f>
        <v>PRODBRAND0001</v>
      </c>
      <c r="J6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PRODCAT0001PROD0001IHC0001SKU</v>
      </c>
      <c r="K6" s="53"/>
      <c r="L6" s="53" t="str">
        <f>IF(COUNTIF($L$1:L1, TEXT(ROW()-1,"0000000000"))=0, TEXT(ROW()-1,"0000000000"), "Duplicate Found")</f>
        <v>0000000005</v>
      </c>
      <c r="M6" s="53" t="str">
        <f t="shared" ref="M6:M37" si="1">"BTBA4" &amp; TEXT(ROW()-1,"00000")</f>
        <v>BTBA400005</v>
      </c>
      <c r="N6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6" s="54" t="str">
        <f ca="1">IFERROR(Table4[[#This Row],[Expected_Demand_During_Lead_Time]]+Table4[[#This Row],[Safety_Stock]],"")</f>
        <v/>
      </c>
      <c r="P6" s="54" t="str">
        <f ca="1">IFERROR(Table4[[#This Row],[Reorder Level]]-Table4[[#This Row],[Stock Quantity]],"")</f>
        <v/>
      </c>
      <c r="Q6" s="54" t="str">
        <f ca="1">IFERROR(Table4[[#This Row],[Reorder Level]]+Table4[[#This Row],[Safety_Stock]]+Table4[[#This Row],[Expected_Demand_During_Lead_Time]],"")</f>
        <v/>
      </c>
      <c r="R6" s="53" t="s">
        <v>122</v>
      </c>
      <c r="S6" s="53"/>
      <c r="T6" s="53"/>
      <c r="U6" s="53"/>
      <c r="V6" s="54" t="e">
        <f>(Table4[[#This Row],[MRP]]-Table4[[#This Row],[Selling Price]]/Table4[[#This Row],[MRP]]*100)</f>
        <v>#DIV/0!</v>
      </c>
      <c r="W6" s="57"/>
      <c r="X6" s="57" t="s">
        <v>547</v>
      </c>
      <c r="Y6" s="54">
        <v>18</v>
      </c>
      <c r="Z6" s="54">
        <f>(Table4[[#This Row],[Cost Before Tax]]*Table4[[#This Row],[Tax Rate (%)]])/100+Table4[[#This Row],[Cost Before Tax]]</f>
        <v>0</v>
      </c>
      <c r="AA6" s="54">
        <f>4*Table4[[#This Row],[Cost After Tax]]</f>
        <v>0</v>
      </c>
      <c r="AB6" s="54" t="str">
        <f>IFERROR((Table4[[#This Row],[Selling Price]]-Table4[[#This Row],[Cost After Tax]])/Table4[[#This Row],[Selling Price]]*100,"")</f>
        <v/>
      </c>
      <c r="AC6" s="54">
        <f>Table4[[#This Row],[Selling Price]]-Table4[[#This Row],[Cost After Tax]]</f>
        <v>0</v>
      </c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62">
        <f>IFERROR(MAX(IF((sales[Product_ID]=Table4[[#This Row],[Product_ID]])*(sales[Sales Status]="Confirmed"),sales[Invoice Date])),"")</f>
        <v>0</v>
      </c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4">
        <f ca="1">SUMIFS(sales[Quantity Sold],sales[Product_ID],Table4[[#This Row],[Product_ID]],sales[Invoice Date],"&gt;="&amp;TODAY()-30)</f>
        <v>0</v>
      </c>
      <c r="BA6" s="49" t="str">
        <f>IFERROR(AVERAGEIFS(purchase[Lead Time (Days)],purchase[Product_ID],Table4[[#This Row],[Product_ID]]),"")</f>
        <v/>
      </c>
      <c r="BB6" s="54">
        <f ca="1">IF(Table4[[#This Row],[Demand_Last_30_Days]]=0,0,Table4[[#This Row],[Demand_Last_30_Days]]/30)</f>
        <v>0</v>
      </c>
      <c r="BC6" s="57"/>
      <c r="BD6" s="54">
        <f ca="1">Table4[[#This Row],[Average_Daily_Usage]]*Table4[[#This Row],[Buffer_Days]]</f>
        <v>0</v>
      </c>
      <c r="BE6" s="54" t="str">
        <f ca="1">IFERROR(Table4[[#This Row],[Average_Daily_Usage]]*Table4[[#This Row],[Lead_Time_Days]],"")</f>
        <v/>
      </c>
      <c r="BF6" s="58">
        <f>IFERROR(MAX(IF(sales[Product_ID]=Table4[Product_ID],sales[Quantity Sold])),"")</f>
        <v>0</v>
      </c>
      <c r="BG6" s="58">
        <f>IFERROR(MAX(IF(purchase[Received Date]-purchase[Purchase Date],purchase[Product_ID],Table4[Product_ID])),"")</f>
        <v>0</v>
      </c>
      <c r="BH6" s="58" t="str">
        <f>IFERROR(AVERAGEIFS(sales[Quantity Sold],sales[Product_ID],Table4[Product_ID]),"")</f>
        <v/>
      </c>
      <c r="BI6" s="58" t="str">
        <f>IFERROR(AVERAGEIFS(purchase[Lead Time (Days)],purchase[Product_ID],Table4[Product_ID]),"")</f>
        <v/>
      </c>
    </row>
    <row r="7" spans="2:61" x14ac:dyDescent="0.4">
      <c r="B7" s="14"/>
      <c r="D7" s="53" t="str">
        <f t="shared" si="0"/>
        <v>PROD0002</v>
      </c>
      <c r="E7" s="53">
        <v>96031000</v>
      </c>
      <c r="F7" s="53" t="s">
        <v>459</v>
      </c>
      <c r="G7" s="53"/>
      <c r="H7" s="53" t="str">
        <f>IFERROR(VLOOKUP(Table4[[#This Row],[Product_ID]],Table410[#All],2,0),"")</f>
        <v>PRODCAT0002</v>
      </c>
      <c r="I7" s="53" t="str">
        <f>IFERROR(VLOOKUP(Table4[[#This Row],[Product_ID]],Table41011[#All],2,0),"")</f>
        <v>PRODBRAND0001</v>
      </c>
      <c r="J7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PRODCAT0002PROD0002IHC0001SKU</v>
      </c>
      <c r="K7" s="53"/>
      <c r="L7" s="53" t="str">
        <f>IF(COUNTIF($L$1:L2, TEXT(ROW()-1,"0000000000"))=0, TEXT(ROW()-1,"0000000000"), "Duplicate Found")</f>
        <v>0000000006</v>
      </c>
      <c r="M7" s="53" t="str">
        <f t="shared" si="1"/>
        <v>BTBA400006</v>
      </c>
      <c r="N7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7" s="54" t="str">
        <f ca="1">IFERROR(Table4[[#This Row],[Expected_Demand_During_Lead_Time]]+Table4[[#This Row],[Safety_Stock]],"")</f>
        <v/>
      </c>
      <c r="P7" s="54" t="str">
        <f ca="1">IFERROR(Table4[[#This Row],[Reorder Level]]-Table4[[#This Row],[Stock Quantity]],"")</f>
        <v/>
      </c>
      <c r="Q7" s="54" t="str">
        <f ca="1">IFERROR(Table4[[#This Row],[Reorder Level]]+Table4[[#This Row],[Safety_Stock]]+Table4[[#This Row],[Expected_Demand_During_Lead_Time]],"")</f>
        <v/>
      </c>
      <c r="R7" s="53" t="s">
        <v>122</v>
      </c>
      <c r="S7" s="53"/>
      <c r="T7" s="53"/>
      <c r="U7" s="53"/>
      <c r="V7" s="54" t="e">
        <f>(Table4[[#This Row],[MRP]]-Table4[[#This Row],[Selling Price]])/Table4[[#This Row],[MRP]]*100</f>
        <v>#DIV/0!</v>
      </c>
      <c r="W7" s="57"/>
      <c r="X7" s="57" t="s">
        <v>547</v>
      </c>
      <c r="Y7" s="54">
        <v>5</v>
      </c>
      <c r="Z7" s="54">
        <f>(Table4[[#This Row],[Cost Before Tax]]*Table4[[#This Row],[Tax Rate (%)]])/100+Table4[[#This Row],[Cost Before Tax]]</f>
        <v>0</v>
      </c>
      <c r="AA7" s="54">
        <f>4*Table4[[#This Row],[Cost After Tax]]</f>
        <v>0</v>
      </c>
      <c r="AB7" s="54" t="str">
        <f>IFERROR((Table4[[#This Row],[Selling Price]]-Table4[[#This Row],[Cost After Tax]])/Table4[[#This Row],[Selling Price]]*100,"")</f>
        <v/>
      </c>
      <c r="AC7" s="54">
        <f>Table4[[#This Row],[Selling Price]]-Table4[[#This Row],[Cost After Tax]]</f>
        <v>0</v>
      </c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62">
        <f>IFERROR(MAX(IF((sales[Product_ID]=Table4[[#This Row],[Product_ID]])*(sales[Sales Status]="Confirmed"),sales[Invoice Date])),"")</f>
        <v>0</v>
      </c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4">
        <f ca="1">SUMIFS(sales[Quantity Sold],sales[Product_ID],Table4[[#This Row],[Product_ID]],sales[Invoice Date],"&gt;="&amp;TODAY()-30)</f>
        <v>0</v>
      </c>
      <c r="BA7" s="49" t="str">
        <f>IFERROR(AVERAGEIFS(purchase[Lead Time (Days)],purchase[Product_ID],Table4[[#This Row],[Product_ID]]),"")</f>
        <v/>
      </c>
      <c r="BB7" s="54">
        <f ca="1">IF(Table4[[#This Row],[Demand_Last_30_Days]]=0,0,Table4[[#This Row],[Demand_Last_30_Days]]/30)</f>
        <v>0</v>
      </c>
      <c r="BC7" s="57"/>
      <c r="BD7" s="54">
        <f ca="1">Table4[[#This Row],[Average_Daily_Usage]]*Table4[[#This Row],[Buffer_Days]]</f>
        <v>0</v>
      </c>
      <c r="BE7" s="54" t="str">
        <f ca="1">IFERROR(Table4[[#This Row],[Average_Daily_Usage]]*Table4[[#This Row],[Lead_Time_Days]],"")</f>
        <v/>
      </c>
      <c r="BF7" s="58">
        <f>IFERROR(MAX(IF(sales[Product_ID]=Table4[Product_ID],sales[Quantity Sold])),"")</f>
        <v>0</v>
      </c>
      <c r="BG7" s="58">
        <f>IFERROR(MAX(IF(purchase[Received Date]-purchase[Purchase Date],purchase[Product_ID],Table4[Product_ID])),"")</f>
        <v>0</v>
      </c>
      <c r="BH7" s="58" t="str">
        <f>IFERROR(AVERAGEIFS(sales[Quantity Sold],sales[Product_ID],Table4[Product_ID]),"")</f>
        <v/>
      </c>
      <c r="BI7" s="58" t="str">
        <f>IFERROR(AVERAGEIFS(purchase[Lead Time (Days)],purchase[Product_ID],Table4[Product_ID]),"")</f>
        <v/>
      </c>
    </row>
    <row r="8" spans="2:61" x14ac:dyDescent="0.4">
      <c r="B8" s="14"/>
      <c r="D8" s="53" t="str">
        <f t="shared" si="0"/>
        <v>PROD0003</v>
      </c>
      <c r="E8" s="53">
        <v>96032900</v>
      </c>
      <c r="F8" s="53" t="s">
        <v>460</v>
      </c>
      <c r="G8" s="53"/>
      <c r="H8" s="53" t="str">
        <f>IFERROR(VLOOKUP(Table4[[#This Row],[Product_ID]],Table410[#All],2,0),"")</f>
        <v>PRODCAT0003</v>
      </c>
      <c r="I8" s="53" t="str">
        <f>IFERROR(VLOOKUP(Table4[[#This Row],[Product_ID]],Table41011[#All],2,0),"")</f>
        <v>PRODBRAND0001</v>
      </c>
      <c r="J8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PRODCAT0003PROD0003IHC0001SKU</v>
      </c>
      <c r="K8" s="53"/>
      <c r="L8" s="53" t="str">
        <f>IF(COUNTIF($L$1:L3, TEXT(ROW()-1,"0000000000"))=0, TEXT(ROW()-1,"0000000000"), "Duplicate Found")</f>
        <v>0000000007</v>
      </c>
      <c r="M8" s="53" t="str">
        <f t="shared" si="1"/>
        <v>BTBA400007</v>
      </c>
      <c r="N8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8" s="54" t="str">
        <f ca="1">IFERROR(Table4[[#This Row],[Expected_Demand_During_Lead_Time]]+Table4[[#This Row],[Safety_Stock]],"")</f>
        <v/>
      </c>
      <c r="P8" s="54" t="str">
        <f ca="1">IFERROR(Table4[[#This Row],[Reorder Level]]-Table4[[#This Row],[Stock Quantity]],"")</f>
        <v/>
      </c>
      <c r="Q8" s="54" t="str">
        <f ca="1">IFERROR(Table4[[#This Row],[Reorder Level]]+Table4[[#This Row],[Safety_Stock]]+Table4[[#This Row],[Expected_Demand_During_Lead_Time]],"")</f>
        <v/>
      </c>
      <c r="R8" s="53" t="s">
        <v>122</v>
      </c>
      <c r="S8" s="53"/>
      <c r="T8" s="53"/>
      <c r="U8" s="53"/>
      <c r="V8" s="54" t="e">
        <f>(Table4[[#This Row],[MRP]]-Table4[[#This Row],[Selling Price]])/Table4[[#This Row],[MRP]]*100</f>
        <v>#DIV/0!</v>
      </c>
      <c r="W8" s="57"/>
      <c r="X8" s="57" t="s">
        <v>547</v>
      </c>
      <c r="Y8" s="54">
        <v>18</v>
      </c>
      <c r="Z8" s="54">
        <f>(Table4[[#This Row],[Cost Before Tax]]*Table4[[#This Row],[Tax Rate (%)]])/100+Table4[[#This Row],[Cost Before Tax]]</f>
        <v>0</v>
      </c>
      <c r="AA8" s="54">
        <f>4*Table4[[#This Row],[Cost After Tax]]</f>
        <v>0</v>
      </c>
      <c r="AB8" s="54" t="str">
        <f>IFERROR((Table4[[#This Row],[Selling Price]]-Table4[[#This Row],[Cost After Tax]])/Table4[[#This Row],[Selling Price]]*100,"")</f>
        <v/>
      </c>
      <c r="AC8" s="54">
        <f>Table4[[#This Row],[Selling Price]]-Table4[[#This Row],[Cost After Tax]]</f>
        <v>0</v>
      </c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62">
        <f>IFERROR(MAX(IF((sales[Product_ID]=Table4[[#This Row],[Product_ID]])*(sales[Sales Status]="Confirmed"),sales[Invoice Date])),"")</f>
        <v>0</v>
      </c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4">
        <f ca="1">SUMIFS(sales[Quantity Sold],sales[Product_ID],Table4[[#This Row],[Product_ID]],sales[Invoice Date],"&gt;="&amp;TODAY()-30)</f>
        <v>0</v>
      </c>
      <c r="BA8" s="49" t="str">
        <f>IFERROR(AVERAGEIFS(purchase[Lead Time (Days)],purchase[Product_ID],Table4[[#This Row],[Product_ID]]),"")</f>
        <v/>
      </c>
      <c r="BB8" s="54">
        <f ca="1">IF(Table4[[#This Row],[Demand_Last_30_Days]]=0,0,Table4[[#This Row],[Demand_Last_30_Days]]/30)</f>
        <v>0</v>
      </c>
      <c r="BC8" s="57"/>
      <c r="BD8" s="54">
        <f ca="1">Table4[[#This Row],[Average_Daily_Usage]]*Table4[[#This Row],[Buffer_Days]]</f>
        <v>0</v>
      </c>
      <c r="BE8" s="54" t="str">
        <f ca="1">IFERROR(Table4[[#This Row],[Average_Daily_Usage]]*Table4[[#This Row],[Lead_Time_Days]],"")</f>
        <v/>
      </c>
      <c r="BF8" s="58">
        <f>IFERROR(MAX(IF(sales[Product_ID]=Table4[Product_ID],sales[Quantity Sold])),"")</f>
        <v>0</v>
      </c>
      <c r="BG8" s="58">
        <f>IFERROR(MAX(IF(purchase[Received Date]-purchase[Purchase Date],purchase[Product_ID],Table4[Product_ID])),"")</f>
        <v>0</v>
      </c>
      <c r="BH8" s="58" t="str">
        <f>IFERROR(AVERAGEIFS(sales[Quantity Sold],sales[Product_ID],Table4[Product_ID]),"")</f>
        <v/>
      </c>
      <c r="BI8" s="58" t="str">
        <f>IFERROR(AVERAGEIFS(purchase[Lead Time (Days)],purchase[Product_ID],Table4[Product_ID]),"")</f>
        <v/>
      </c>
    </row>
    <row r="9" spans="2:61" x14ac:dyDescent="0.4">
      <c r="B9" s="14"/>
      <c r="D9" s="53" t="str">
        <f t="shared" si="0"/>
        <v>PROD0004</v>
      </c>
      <c r="E9" s="53"/>
      <c r="F9" s="53" t="s">
        <v>461</v>
      </c>
      <c r="G9" s="53"/>
      <c r="H9" s="53" t="str">
        <f>IFERROR(VLOOKUP(Table4[[#This Row],[Product_ID]],Table410[#All],2,0),"")</f>
        <v>PRODCAT0004</v>
      </c>
      <c r="I9" s="53" t="str">
        <f>IFERROR(VLOOKUP(Table4[[#This Row],[Product_ID]],Table41011[#All],2,0),"")</f>
        <v>PRODBRAND0001</v>
      </c>
      <c r="J9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PRODCAT0004PROD0004IHC0001SKU</v>
      </c>
      <c r="K9" s="53"/>
      <c r="L9" s="53" t="str">
        <f>IF(COUNTIF($L$1:L4, TEXT(ROW()-1,"0000000000"))=0, TEXT(ROW()-1,"0000000000"), "Duplicate Found")</f>
        <v>0000000008</v>
      </c>
      <c r="M9" s="53" t="str">
        <f t="shared" si="1"/>
        <v>BTBA400008</v>
      </c>
      <c r="N9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9" s="54" t="str">
        <f ca="1">IFERROR(Table4[[#This Row],[Expected_Demand_During_Lead_Time]]+Table4[[#This Row],[Safety_Stock]],"")</f>
        <v/>
      </c>
      <c r="P9" s="54" t="str">
        <f ca="1">IFERROR(Table4[[#This Row],[Reorder Level]]-Table4[[#This Row],[Stock Quantity]],"")</f>
        <v/>
      </c>
      <c r="Q9" s="54" t="str">
        <f ca="1">IFERROR(Table4[[#This Row],[Reorder Level]]+Table4[[#This Row],[Safety_Stock]]+Table4[[#This Row],[Expected_Demand_During_Lead_Time]],"")</f>
        <v/>
      </c>
      <c r="R9" s="53" t="s">
        <v>122</v>
      </c>
      <c r="S9" s="53"/>
      <c r="T9" s="53"/>
      <c r="U9" s="53"/>
      <c r="V9" s="54" t="e">
        <f>(Table4[[#This Row],[MRP]]-Table4[[#This Row],[Selling Price]])/Table4[[#This Row],[MRP]]*100</f>
        <v>#DIV/0!</v>
      </c>
      <c r="W9" s="57"/>
      <c r="X9" s="57" t="s">
        <v>547</v>
      </c>
      <c r="Y9" s="54"/>
      <c r="Z9" s="54">
        <f>(Table4[[#This Row],[Cost Before Tax]]*Table4[[#This Row],[Tax Rate (%)]])/100+Table4[[#This Row],[Cost Before Tax]]</f>
        <v>0</v>
      </c>
      <c r="AA9" s="54">
        <f>4*Table4[[#This Row],[Cost After Tax]]</f>
        <v>0</v>
      </c>
      <c r="AB9" s="54" t="str">
        <f>IFERROR((Table4[[#This Row],[Selling Price]]-Table4[[#This Row],[Cost After Tax]])/Table4[[#This Row],[Selling Price]]*100,"")</f>
        <v/>
      </c>
      <c r="AC9" s="54">
        <f>Table4[[#This Row],[Selling Price]]-Table4[[#This Row],[Cost After Tax]]</f>
        <v>0</v>
      </c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62">
        <f>IFERROR(MAX(IF((sales[Product_ID]=Table4[[#This Row],[Product_ID]])*(sales[Sales Status]="Confirmed"),sales[Invoice Date])),"")</f>
        <v>0</v>
      </c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4">
        <f ca="1">SUMIFS(sales[Quantity Sold],sales[Product_ID],Table4[[#This Row],[Product_ID]],sales[Invoice Date],"&gt;="&amp;TODAY()-30)</f>
        <v>0</v>
      </c>
      <c r="BA9" s="49" t="str">
        <f>IFERROR(AVERAGEIFS(purchase[Lead Time (Days)],purchase[Product_ID],Table4[[#This Row],[Product_ID]]),"")</f>
        <v/>
      </c>
      <c r="BB9" s="54">
        <f ca="1">IF(Table4[[#This Row],[Demand_Last_30_Days]]=0,0,Table4[[#This Row],[Demand_Last_30_Days]]/30)</f>
        <v>0</v>
      </c>
      <c r="BC9" s="57"/>
      <c r="BD9" s="54">
        <f ca="1">Table4[[#This Row],[Average_Daily_Usage]]*Table4[[#This Row],[Buffer_Days]]</f>
        <v>0</v>
      </c>
      <c r="BE9" s="54" t="str">
        <f ca="1">IFERROR(Table4[[#This Row],[Average_Daily_Usage]]*Table4[[#This Row],[Lead_Time_Days]],"")</f>
        <v/>
      </c>
      <c r="BF9" s="58">
        <f>IFERROR(MAX(IF(sales[Product_ID]=Table4[Product_ID],sales[Quantity Sold])),"")</f>
        <v>0</v>
      </c>
      <c r="BG9" s="58">
        <f>IFERROR(MAX(IF(purchase[Received Date]-purchase[Purchase Date],purchase[Product_ID],Table4[Product_ID])),"")</f>
        <v>0</v>
      </c>
      <c r="BH9" s="58" t="str">
        <f>IFERROR(AVERAGEIFS(sales[Quantity Sold],sales[Product_ID],Table4[Product_ID]),"")</f>
        <v/>
      </c>
      <c r="BI9" s="58" t="str">
        <f>IFERROR(AVERAGEIFS(purchase[Lead Time (Days)],purchase[Product_ID],Table4[Product_ID]),"")</f>
        <v/>
      </c>
    </row>
    <row r="10" spans="2:61" x14ac:dyDescent="0.4">
      <c r="B10" s="14" t="s">
        <v>0</v>
      </c>
      <c r="D10" s="53" t="str">
        <f t="shared" si="0"/>
        <v>PROD0005</v>
      </c>
      <c r="E10" s="53"/>
      <c r="F10" s="53" t="s">
        <v>462</v>
      </c>
      <c r="G10" s="53"/>
      <c r="H10" s="53" t="str">
        <f>IFERROR(VLOOKUP(Table4[[#This Row],[Product_ID]],Table410[#All],2,0),"")</f>
        <v>PRODCAT0005</v>
      </c>
      <c r="I10" s="53" t="str">
        <f>IFERROR(VLOOKUP(Table4[[#This Row],[Product_ID]],Table41011[#All],2,0),"")</f>
        <v>PRODBRAND0001</v>
      </c>
      <c r="J10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PRODCAT0005PROD0005IHC0001SKU</v>
      </c>
      <c r="K10" s="53"/>
      <c r="L10" s="53" t="str">
        <f>IF(COUNTIF($L$1:L5, TEXT(ROW()-1,"0000000000"))=0, TEXT(ROW()-1,"0000000000"), "Duplicate Found")</f>
        <v>0000000009</v>
      </c>
      <c r="M10" s="53" t="str">
        <f t="shared" si="1"/>
        <v>BTBA400009</v>
      </c>
      <c r="N10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10" s="54" t="str">
        <f ca="1">IFERROR(Table4[[#This Row],[Expected_Demand_During_Lead_Time]]+Table4[[#This Row],[Safety_Stock]],"")</f>
        <v/>
      </c>
      <c r="P10" s="54" t="str">
        <f ca="1">IFERROR(Table4[[#This Row],[Reorder Level]]-Table4[[#This Row],[Stock Quantity]],"")</f>
        <v/>
      </c>
      <c r="Q10" s="54" t="str">
        <f ca="1">IFERROR(Table4[[#This Row],[Reorder Level]]+Table4[[#This Row],[Safety_Stock]]+Table4[[#This Row],[Expected_Demand_During_Lead_Time]],"")</f>
        <v/>
      </c>
      <c r="R10" s="53" t="s">
        <v>122</v>
      </c>
      <c r="S10" s="53"/>
      <c r="T10" s="53"/>
      <c r="U10" s="53"/>
      <c r="V10" s="54" t="e">
        <f>(Table4[[#This Row],[MRP]]-Table4[[#This Row],[Selling Price]])/Table4[[#This Row],[MRP]]*100</f>
        <v>#DIV/0!</v>
      </c>
      <c r="W10" s="57"/>
      <c r="X10" s="57" t="s">
        <v>547</v>
      </c>
      <c r="Y10" s="54"/>
      <c r="Z10" s="54">
        <f>(Table4[[#This Row],[Cost Before Tax]]*Table4[[#This Row],[Tax Rate (%)]])/100+Table4[[#This Row],[Cost Before Tax]]</f>
        <v>0</v>
      </c>
      <c r="AA10" s="54">
        <f>4*Table4[[#This Row],[Cost After Tax]]</f>
        <v>0</v>
      </c>
      <c r="AB10" s="54" t="str">
        <f>IFERROR((Table4[[#This Row],[Selling Price]]-Table4[[#This Row],[Cost After Tax]])/Table4[[#This Row],[Selling Price]]*100,"")</f>
        <v/>
      </c>
      <c r="AC10" s="54">
        <f>Table4[[#This Row],[Selling Price]]-Table4[[#This Row],[Cost After Tax]]</f>
        <v>0</v>
      </c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62">
        <f>IFERROR(MAX(IF((sales[Product_ID]=Table4[[#This Row],[Product_ID]])*(sales[Sales Status]="Confirmed"),sales[Invoice Date])),"")</f>
        <v>0</v>
      </c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4">
        <f ca="1">SUMIFS(sales[Quantity Sold],sales[Product_ID],Table4[[#This Row],[Product_ID]],sales[Invoice Date],"&gt;="&amp;TODAY()-30)</f>
        <v>0</v>
      </c>
      <c r="BA10" s="49" t="str">
        <f>IFERROR(AVERAGEIFS(purchase[Lead Time (Days)],purchase[Product_ID],Table4[[#This Row],[Product_ID]]),"")</f>
        <v/>
      </c>
      <c r="BB10" s="54">
        <f ca="1">IF(Table4[[#This Row],[Demand_Last_30_Days]]=0,0,Table4[[#This Row],[Demand_Last_30_Days]]/30)</f>
        <v>0</v>
      </c>
      <c r="BC10" s="57"/>
      <c r="BD10" s="54">
        <f ca="1">Table4[[#This Row],[Average_Daily_Usage]]*Table4[[#This Row],[Buffer_Days]]</f>
        <v>0</v>
      </c>
      <c r="BE10" s="54" t="str">
        <f ca="1">IFERROR(Table4[[#This Row],[Average_Daily_Usage]]*Table4[[#This Row],[Lead_Time_Days]],"")</f>
        <v/>
      </c>
      <c r="BF10" s="58">
        <f>IFERROR(MAX(IF(sales[Product_ID]=Table4[Product_ID],sales[Quantity Sold])),"")</f>
        <v>0</v>
      </c>
      <c r="BG10" s="58">
        <f>IFERROR(MAX(IF(purchase[Received Date]-purchase[Purchase Date],purchase[Product_ID],Table4[Product_ID])),"")</f>
        <v>0</v>
      </c>
      <c r="BH10" s="58" t="str">
        <f>IFERROR(AVERAGEIFS(sales[Quantity Sold],sales[Product_ID],Table4[Product_ID]),"")</f>
        <v/>
      </c>
      <c r="BI10" s="58" t="str">
        <f>IFERROR(AVERAGEIFS(purchase[Lead Time (Days)],purchase[Product_ID],Table4[Product_ID]),"")</f>
        <v/>
      </c>
    </row>
    <row r="11" spans="2:61" x14ac:dyDescent="0.4">
      <c r="B11" s="14"/>
      <c r="D11" s="53" t="str">
        <f t="shared" si="0"/>
        <v>PROD0006</v>
      </c>
      <c r="E11" s="53"/>
      <c r="F11" s="53" t="s">
        <v>463</v>
      </c>
      <c r="G11" s="53"/>
      <c r="H11" s="53" t="str">
        <f>IFERROR(VLOOKUP(Table4[[#This Row],[Product_ID]],Table410[#All],2,0),"")</f>
        <v>PRODCAT0006</v>
      </c>
      <c r="I11" s="53" t="str">
        <f>IFERROR(VLOOKUP(Table4[[#This Row],[Product_ID]],Table41011[#All],2,0),"")</f>
        <v>PRODBRAND0001</v>
      </c>
      <c r="J11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PRODCAT0006PROD0006IHC0001SKU</v>
      </c>
      <c r="K11" s="53"/>
      <c r="L11" s="53" t="str">
        <f>IF(COUNTIF($L$1:L6, TEXT(ROW()-1,"0000000000"))=0, TEXT(ROW()-1,"0000000000"), "Duplicate Found")</f>
        <v>0000000010</v>
      </c>
      <c r="M11" s="53" t="str">
        <f t="shared" si="1"/>
        <v>BTBA400010</v>
      </c>
      <c r="N11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11" s="54" t="str">
        <f ca="1">IFERROR(Table4[[#This Row],[Expected_Demand_During_Lead_Time]]+Table4[[#This Row],[Safety_Stock]],"")</f>
        <v/>
      </c>
      <c r="P11" s="54" t="str">
        <f ca="1">IFERROR(Table4[[#This Row],[Reorder Level]]-Table4[[#This Row],[Stock Quantity]],"")</f>
        <v/>
      </c>
      <c r="Q11" s="54" t="str">
        <f ca="1">IFERROR(Table4[[#This Row],[Reorder Level]]+Table4[[#This Row],[Safety_Stock]]+Table4[[#This Row],[Expected_Demand_During_Lead_Time]],"")</f>
        <v/>
      </c>
      <c r="R11" s="53" t="s">
        <v>122</v>
      </c>
      <c r="S11" s="53"/>
      <c r="T11" s="53"/>
      <c r="U11" s="53"/>
      <c r="V11" s="54" t="e">
        <f>(Table4[[#This Row],[MRP]]-Table4[[#This Row],[Selling Price]])/Table4[[#This Row],[MRP]]*100</f>
        <v>#DIV/0!</v>
      </c>
      <c r="W11" s="57"/>
      <c r="X11" s="57" t="s">
        <v>547</v>
      </c>
      <c r="Y11" s="54"/>
      <c r="Z11" s="54">
        <f>(Table4[[#This Row],[Cost Before Tax]]*Table4[[#This Row],[Tax Rate (%)]])/100+Table4[[#This Row],[Cost Before Tax]]</f>
        <v>0</v>
      </c>
      <c r="AA11" s="54">
        <f>4*Table4[[#This Row],[Cost After Tax]]</f>
        <v>0</v>
      </c>
      <c r="AB11" s="54" t="str">
        <f>IFERROR((Table4[[#This Row],[Selling Price]]-Table4[[#This Row],[Cost After Tax]])/Table4[[#This Row],[Selling Price]]*100,"")</f>
        <v/>
      </c>
      <c r="AC11" s="54">
        <f>Table4[[#This Row],[Selling Price]]-Table4[[#This Row],[Cost After Tax]]</f>
        <v>0</v>
      </c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62">
        <f>IFERROR(MAX(IF((sales[Product_ID]=Table4[[#This Row],[Product_ID]])*(sales[Sales Status]="Confirmed"),sales[Invoice Date])),"")</f>
        <v>0</v>
      </c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4">
        <f ca="1">SUMIFS(sales[Quantity Sold],sales[Product_ID],Table4[[#This Row],[Product_ID]],sales[Invoice Date],"&gt;="&amp;TODAY()-30)</f>
        <v>0</v>
      </c>
      <c r="BA11" s="49" t="str">
        <f>IFERROR(AVERAGEIFS(purchase[Lead Time (Days)],purchase[Product_ID],Table4[[#This Row],[Product_ID]]),"")</f>
        <v/>
      </c>
      <c r="BB11" s="54">
        <f ca="1">IF(Table4[[#This Row],[Demand_Last_30_Days]]=0,0,Table4[[#This Row],[Demand_Last_30_Days]]/30)</f>
        <v>0</v>
      </c>
      <c r="BC11" s="57"/>
      <c r="BD11" s="54">
        <f ca="1">Table4[[#This Row],[Average_Daily_Usage]]*Table4[[#This Row],[Buffer_Days]]</f>
        <v>0</v>
      </c>
      <c r="BE11" s="54" t="str">
        <f ca="1">IFERROR(Table4[[#This Row],[Average_Daily_Usage]]*Table4[[#This Row],[Lead_Time_Days]],"")</f>
        <v/>
      </c>
      <c r="BF11" s="58">
        <f>IFERROR(MAX(IF(sales[Product_ID]=Table4[Product_ID],sales[Quantity Sold])),"")</f>
        <v>0</v>
      </c>
      <c r="BG11" s="58">
        <f>IFERROR(MAX(IF(purchase[Received Date]-purchase[Purchase Date],purchase[Product_ID],Table4[Product_ID])),"")</f>
        <v>0</v>
      </c>
      <c r="BH11" s="58" t="str">
        <f>IFERROR(AVERAGEIFS(sales[Quantity Sold],sales[Product_ID],Table4[Product_ID]),"")</f>
        <v/>
      </c>
      <c r="BI11" s="58" t="str">
        <f>IFERROR(AVERAGEIFS(purchase[Lead Time (Days)],purchase[Product_ID],Table4[Product_ID]),"")</f>
        <v/>
      </c>
    </row>
    <row r="12" spans="2:61" x14ac:dyDescent="0.4">
      <c r="B12" s="14"/>
      <c r="D12" s="53" t="str">
        <f t="shared" si="0"/>
        <v>PROD0007</v>
      </c>
      <c r="E12" s="53"/>
      <c r="F12" s="53" t="s">
        <v>464</v>
      </c>
      <c r="G12" s="53"/>
      <c r="H12" s="53" t="str">
        <f>IFERROR(VLOOKUP(Table4[[#This Row],[Product_ID]],Table410[#All],2,0),"")</f>
        <v>PRODCAT0007</v>
      </c>
      <c r="I12" s="53" t="str">
        <f>IFERROR(VLOOKUP(Table4[[#This Row],[Product_ID]],Table41011[#All],2,0),"")</f>
        <v>PRODBRAND0001</v>
      </c>
      <c r="J12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PRODCAT0007PROD0007IHC0001SKU</v>
      </c>
      <c r="K12" s="53"/>
      <c r="L12" s="53" t="str">
        <f>IF(COUNTIF($L$1:L7, TEXT(ROW()-1,"0000000000"))=0, TEXT(ROW()-1,"0000000000"), "Duplicate Found")</f>
        <v>0000000011</v>
      </c>
      <c r="M12" s="53" t="str">
        <f t="shared" si="1"/>
        <v>BTBA400011</v>
      </c>
      <c r="N12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12" s="54" t="str">
        <f ca="1">IFERROR(Table4[[#This Row],[Expected_Demand_During_Lead_Time]]+Table4[[#This Row],[Safety_Stock]],"")</f>
        <v/>
      </c>
      <c r="P12" s="54" t="str">
        <f ca="1">IFERROR(Table4[[#This Row],[Reorder Level]]-Table4[[#This Row],[Stock Quantity]],"")</f>
        <v/>
      </c>
      <c r="Q12" s="54" t="str">
        <f ca="1">IFERROR(Table4[[#This Row],[Reorder Level]]+Table4[[#This Row],[Safety_Stock]]+Table4[[#This Row],[Expected_Demand_During_Lead_Time]],"")</f>
        <v/>
      </c>
      <c r="R12" s="53" t="s">
        <v>122</v>
      </c>
      <c r="S12" s="53"/>
      <c r="T12" s="53"/>
      <c r="U12" s="53"/>
      <c r="V12" s="54" t="e">
        <f>(Table4[[#This Row],[MRP]]-Table4[[#This Row],[Selling Price]])/Table4[[#This Row],[MRP]]*100</f>
        <v>#DIV/0!</v>
      </c>
      <c r="W12" s="57"/>
      <c r="X12" s="57" t="s">
        <v>547</v>
      </c>
      <c r="Y12" s="54"/>
      <c r="Z12" s="54">
        <f>(Table4[[#This Row],[Cost Before Tax]]*Table4[[#This Row],[Tax Rate (%)]])/100+Table4[[#This Row],[Cost Before Tax]]</f>
        <v>0</v>
      </c>
      <c r="AA12" s="54">
        <f>4*Table4[[#This Row],[Cost After Tax]]</f>
        <v>0</v>
      </c>
      <c r="AB12" s="54" t="str">
        <f>IFERROR((Table4[[#This Row],[Selling Price]]-Table4[[#This Row],[Cost After Tax]])/Table4[[#This Row],[Selling Price]]*100,"")</f>
        <v/>
      </c>
      <c r="AC12" s="54">
        <f>Table4[[#This Row],[Selling Price]]-Table4[[#This Row],[Cost After Tax]]</f>
        <v>0</v>
      </c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62">
        <f>IFERROR(MAX(IF((sales[Product_ID]=Table4[[#This Row],[Product_ID]])*(sales[Sales Status]="Confirmed"),sales[Invoice Date])),"")</f>
        <v>0</v>
      </c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4">
        <f ca="1">SUMIFS(sales[Quantity Sold],sales[Product_ID],Table4[[#This Row],[Product_ID]],sales[Invoice Date],"&gt;="&amp;TODAY()-30)</f>
        <v>0</v>
      </c>
      <c r="BA12" s="49" t="str">
        <f>IFERROR(AVERAGEIFS(purchase[Lead Time (Days)],purchase[Product_ID],Table4[[#This Row],[Product_ID]]),"")</f>
        <v/>
      </c>
      <c r="BB12" s="54">
        <f ca="1">IF(Table4[[#This Row],[Demand_Last_30_Days]]=0,0,Table4[[#This Row],[Demand_Last_30_Days]]/30)</f>
        <v>0</v>
      </c>
      <c r="BC12" s="57"/>
      <c r="BD12" s="54">
        <f ca="1">Table4[[#This Row],[Average_Daily_Usage]]*Table4[[#This Row],[Buffer_Days]]</f>
        <v>0</v>
      </c>
      <c r="BE12" s="54" t="str">
        <f ca="1">IFERROR(Table4[[#This Row],[Average_Daily_Usage]]*Table4[[#This Row],[Lead_Time_Days]],"")</f>
        <v/>
      </c>
      <c r="BF12" s="58">
        <f>IFERROR(MAX(IF(sales[Product_ID]=Table4[Product_ID],sales[Quantity Sold])),"")</f>
        <v>0</v>
      </c>
      <c r="BG12" s="58">
        <f>IFERROR(MAX(IF(purchase[Received Date]-purchase[Purchase Date],purchase[Product_ID],Table4[Product_ID])),"")</f>
        <v>0</v>
      </c>
      <c r="BH12" s="58" t="str">
        <f>IFERROR(AVERAGEIFS(sales[Quantity Sold],sales[Product_ID],Table4[Product_ID]),"")</f>
        <v/>
      </c>
      <c r="BI12" s="58" t="str">
        <f>IFERROR(AVERAGEIFS(purchase[Lead Time (Days)],purchase[Product_ID],Table4[Product_ID]),"")</f>
        <v/>
      </c>
    </row>
    <row r="13" spans="2:61" x14ac:dyDescent="0.4">
      <c r="B13" s="14"/>
      <c r="D13" s="53" t="str">
        <f t="shared" si="0"/>
        <v>PROD0008</v>
      </c>
      <c r="E13" s="53"/>
      <c r="F13" s="53" t="s">
        <v>465</v>
      </c>
      <c r="G13" s="53"/>
      <c r="H13" s="53" t="str">
        <f>IFERROR(VLOOKUP(Table4[[#This Row],[Product_ID]],Table410[#All],2,0),"")</f>
        <v>PRODCAT0008</v>
      </c>
      <c r="I13" s="53" t="str">
        <f>IFERROR(VLOOKUP(Table4[[#This Row],[Product_ID]],Table41011[#All],2,0),"")</f>
        <v>PRODBRAND0001</v>
      </c>
      <c r="J13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PRODCAT0008PROD0008IHC0001SKU</v>
      </c>
      <c r="K13" s="53"/>
      <c r="L13" s="53" t="str">
        <f>IF(COUNTIF($L$1:L8, TEXT(ROW()-1,"0000000000"))=0, TEXT(ROW()-1,"0000000000"), "Duplicate Found")</f>
        <v>0000000012</v>
      </c>
      <c r="M13" s="53" t="str">
        <f t="shared" si="1"/>
        <v>BTBA400012</v>
      </c>
      <c r="N13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13" s="54" t="str">
        <f ca="1">IFERROR(Table4[[#This Row],[Expected_Demand_During_Lead_Time]]+Table4[[#This Row],[Safety_Stock]],"")</f>
        <v/>
      </c>
      <c r="P13" s="54" t="str">
        <f ca="1">IFERROR(Table4[[#This Row],[Reorder Level]]-Table4[[#This Row],[Stock Quantity]],"")</f>
        <v/>
      </c>
      <c r="Q13" s="54" t="str">
        <f ca="1">IFERROR(Table4[[#This Row],[Reorder Level]]+Table4[[#This Row],[Safety_Stock]]+Table4[[#This Row],[Expected_Demand_During_Lead_Time]],"")</f>
        <v/>
      </c>
      <c r="R13" s="53" t="s">
        <v>122</v>
      </c>
      <c r="S13" s="53"/>
      <c r="T13" s="53"/>
      <c r="U13" s="53"/>
      <c r="V13" s="54" t="e">
        <f>(Table4[[#This Row],[MRP]]-Table4[[#This Row],[Selling Price]])/Table4[[#This Row],[MRP]]*100</f>
        <v>#DIV/0!</v>
      </c>
      <c r="W13" s="57"/>
      <c r="X13" s="57" t="s">
        <v>547</v>
      </c>
      <c r="Y13" s="54"/>
      <c r="Z13" s="54">
        <f>(Table4[[#This Row],[Cost Before Tax]]*Table4[[#This Row],[Tax Rate (%)]])/100+Table4[[#This Row],[Cost Before Tax]]</f>
        <v>0</v>
      </c>
      <c r="AA13" s="54">
        <f>4*Table4[[#This Row],[Cost After Tax]]</f>
        <v>0</v>
      </c>
      <c r="AB13" s="54" t="str">
        <f>IFERROR((Table4[[#This Row],[Selling Price]]-Table4[[#This Row],[Cost After Tax]])/Table4[[#This Row],[Selling Price]]*100,"")</f>
        <v/>
      </c>
      <c r="AC13" s="54">
        <f>Table4[[#This Row],[Selling Price]]-Table4[[#This Row],[Cost After Tax]]</f>
        <v>0</v>
      </c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62">
        <f>IFERROR(MAX(IF((sales[Product_ID]=Table4[[#This Row],[Product_ID]])*(sales[Sales Status]="Confirmed"),sales[Invoice Date])),"")</f>
        <v>0</v>
      </c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4">
        <f ca="1">SUMIFS(sales[Quantity Sold],sales[Product_ID],Table4[[#This Row],[Product_ID]],sales[Invoice Date],"&gt;="&amp;TODAY()-30)</f>
        <v>0</v>
      </c>
      <c r="BA13" s="49" t="str">
        <f>IFERROR(AVERAGEIFS(purchase[Lead Time (Days)],purchase[Product_ID],Table4[[#This Row],[Product_ID]]),"")</f>
        <v/>
      </c>
      <c r="BB13" s="54">
        <f ca="1">IF(Table4[[#This Row],[Demand_Last_30_Days]]=0,0,Table4[[#This Row],[Demand_Last_30_Days]]/30)</f>
        <v>0</v>
      </c>
      <c r="BC13" s="57"/>
      <c r="BD13" s="54">
        <f ca="1">Table4[[#This Row],[Average_Daily_Usage]]*Table4[[#This Row],[Buffer_Days]]</f>
        <v>0</v>
      </c>
      <c r="BE13" s="54" t="str">
        <f ca="1">IFERROR(Table4[[#This Row],[Average_Daily_Usage]]*Table4[[#This Row],[Lead_Time_Days]],"")</f>
        <v/>
      </c>
      <c r="BF13" s="58">
        <f>IFERROR(MAX(IF(sales[Product_ID]=Table4[Product_ID],sales[Quantity Sold])),"")</f>
        <v>0</v>
      </c>
      <c r="BG13" s="58">
        <f>IFERROR(MAX(IF(purchase[Received Date]-purchase[Purchase Date],purchase[Product_ID],Table4[Product_ID])),"")</f>
        <v>0</v>
      </c>
      <c r="BH13" s="58" t="str">
        <f>IFERROR(AVERAGEIFS(sales[Quantity Sold],sales[Product_ID],Table4[Product_ID]),"")</f>
        <v/>
      </c>
      <c r="BI13" s="58" t="str">
        <f>IFERROR(AVERAGEIFS(purchase[Lead Time (Days)],purchase[Product_ID],Table4[Product_ID]),"")</f>
        <v/>
      </c>
    </row>
    <row r="14" spans="2:61" x14ac:dyDescent="0.4">
      <c r="B14" s="14"/>
      <c r="D14" s="53" t="str">
        <f t="shared" si="0"/>
        <v>PROD0009</v>
      </c>
      <c r="E14" s="53"/>
      <c r="F14" s="53" t="s">
        <v>466</v>
      </c>
      <c r="G14" s="53"/>
      <c r="H14" s="53" t="str">
        <f>IFERROR(VLOOKUP(Table4[[#This Row],[Product_ID]],Table410[#All],2,0),"")</f>
        <v>PRODCAT0009</v>
      </c>
      <c r="I14" s="53" t="str">
        <f>IFERROR(VLOOKUP(Table4[[#This Row],[Product_ID]],Table41011[#All],2,0),"")</f>
        <v>PRODBRAND0001</v>
      </c>
      <c r="J14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PRODCAT0009PROD0009IHC0001SKU</v>
      </c>
      <c r="K14" s="53"/>
      <c r="L14" s="53" t="str">
        <f>IF(COUNTIF($L$1:L9, TEXT(ROW()-1,"0000000000"))=0, TEXT(ROW()-1,"0000000000"), "Duplicate Found")</f>
        <v>0000000013</v>
      </c>
      <c r="M14" s="53" t="str">
        <f t="shared" si="1"/>
        <v>BTBA400013</v>
      </c>
      <c r="N14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14" s="54" t="str">
        <f ca="1">IFERROR(Table4[[#This Row],[Expected_Demand_During_Lead_Time]]+Table4[[#This Row],[Safety_Stock]],"")</f>
        <v/>
      </c>
      <c r="P14" s="54" t="str">
        <f ca="1">IFERROR(Table4[[#This Row],[Reorder Level]]-Table4[[#This Row],[Stock Quantity]],"")</f>
        <v/>
      </c>
      <c r="Q14" s="54" t="str">
        <f ca="1">IFERROR(Table4[[#This Row],[Reorder Level]]+Table4[[#This Row],[Safety_Stock]]+Table4[[#This Row],[Expected_Demand_During_Lead_Time]],"")</f>
        <v/>
      </c>
      <c r="R14" s="53" t="s">
        <v>122</v>
      </c>
      <c r="S14" s="53"/>
      <c r="T14" s="53"/>
      <c r="U14" s="53"/>
      <c r="V14" s="54" t="e">
        <f>(Table4[[#This Row],[MRP]]-Table4[[#This Row],[Selling Price]])/Table4[[#This Row],[MRP]]*100</f>
        <v>#DIV/0!</v>
      </c>
      <c r="W14" s="57"/>
      <c r="X14" s="57" t="s">
        <v>547</v>
      </c>
      <c r="Y14" s="54"/>
      <c r="Z14" s="54">
        <f>(Table4[[#This Row],[Cost Before Tax]]*Table4[[#This Row],[Tax Rate (%)]])/100+Table4[[#This Row],[Cost Before Tax]]</f>
        <v>0</v>
      </c>
      <c r="AA14" s="54">
        <f>4*Table4[[#This Row],[Cost After Tax]]</f>
        <v>0</v>
      </c>
      <c r="AB14" s="54" t="str">
        <f>IFERROR((Table4[[#This Row],[Selling Price]]-Table4[[#This Row],[Cost After Tax]])/Table4[[#This Row],[Selling Price]]*100,"")</f>
        <v/>
      </c>
      <c r="AC14" s="54">
        <f>Table4[[#This Row],[Selling Price]]-Table4[[#This Row],[Cost After Tax]]</f>
        <v>0</v>
      </c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62">
        <f>IFERROR(MAX(IF((sales[Product_ID]=Table4[[#This Row],[Product_ID]])*(sales[Sales Status]="Confirmed"),sales[Invoice Date])),"")</f>
        <v>0</v>
      </c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4">
        <f ca="1">SUMIFS(sales[Quantity Sold],sales[Product_ID],Table4[[#This Row],[Product_ID]],sales[Invoice Date],"&gt;="&amp;TODAY()-30)</f>
        <v>0</v>
      </c>
      <c r="BA14" s="49" t="str">
        <f>IFERROR(AVERAGEIFS(purchase[Lead Time (Days)],purchase[Product_ID],Table4[[#This Row],[Product_ID]]),"")</f>
        <v/>
      </c>
      <c r="BB14" s="54">
        <f ca="1">IF(Table4[[#This Row],[Demand_Last_30_Days]]=0,0,Table4[[#This Row],[Demand_Last_30_Days]]/30)</f>
        <v>0</v>
      </c>
      <c r="BC14" s="57"/>
      <c r="BD14" s="54">
        <f ca="1">Table4[[#This Row],[Average_Daily_Usage]]*Table4[[#This Row],[Buffer_Days]]</f>
        <v>0</v>
      </c>
      <c r="BE14" s="54" t="str">
        <f ca="1">IFERROR(Table4[[#This Row],[Average_Daily_Usage]]*Table4[[#This Row],[Lead_Time_Days]],"")</f>
        <v/>
      </c>
      <c r="BF14" s="58">
        <f>IFERROR(MAX(IF(sales[Product_ID]=Table4[Product_ID],sales[Quantity Sold])),"")</f>
        <v>0</v>
      </c>
      <c r="BG14" s="58">
        <f>IFERROR(MAX(IF(purchase[Received Date]-purchase[Purchase Date],purchase[Product_ID],Table4[Product_ID])),"")</f>
        <v>0</v>
      </c>
      <c r="BH14" s="58" t="str">
        <f>IFERROR(AVERAGEIFS(sales[Quantity Sold],sales[Product_ID],Table4[Product_ID]),"")</f>
        <v/>
      </c>
      <c r="BI14" s="58" t="str">
        <f>IFERROR(AVERAGEIFS(purchase[Lead Time (Days)],purchase[Product_ID],Table4[Product_ID]),"")</f>
        <v/>
      </c>
    </row>
    <row r="15" spans="2:61" x14ac:dyDescent="0.4">
      <c r="B15" s="14"/>
      <c r="D15" s="53" t="str">
        <f t="shared" si="0"/>
        <v>PROD0010</v>
      </c>
      <c r="E15" s="53"/>
      <c r="F15" s="53" t="s">
        <v>467</v>
      </c>
      <c r="G15" s="53"/>
      <c r="H15" s="53" t="str">
        <f>IFERROR(VLOOKUP(Table4[[#This Row],[Product_ID]],Table410[#All],2,0),"")</f>
        <v>PRODCAT0010</v>
      </c>
      <c r="I15" s="53" t="str">
        <f>IFERROR(VLOOKUP(Table4[[#This Row],[Product_ID]],Table41011[#All],2,0),"")</f>
        <v>PRODBRAND0001</v>
      </c>
      <c r="J15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PRODCAT0010PROD0010IHC0001SKU</v>
      </c>
      <c r="K15" s="53"/>
      <c r="L15" s="53" t="str">
        <f>IF(COUNTIF($L$1:L10, TEXT(ROW()-1,"0000000000"))=0, TEXT(ROW()-1,"0000000000"), "Duplicate Found")</f>
        <v>0000000014</v>
      </c>
      <c r="M15" s="53" t="str">
        <f t="shared" si="1"/>
        <v>BTBA400014</v>
      </c>
      <c r="N15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15" s="54" t="str">
        <f ca="1">IFERROR(Table4[[#This Row],[Expected_Demand_During_Lead_Time]]+Table4[[#This Row],[Safety_Stock]],"")</f>
        <v/>
      </c>
      <c r="P15" s="54" t="str">
        <f ca="1">IFERROR(Table4[[#This Row],[Reorder Level]]-Table4[[#This Row],[Stock Quantity]],"")</f>
        <v/>
      </c>
      <c r="Q15" s="54" t="str">
        <f ca="1">IFERROR(Table4[[#This Row],[Reorder Level]]+Table4[[#This Row],[Safety_Stock]]+Table4[[#This Row],[Expected_Demand_During_Lead_Time]],"")</f>
        <v/>
      </c>
      <c r="R15" s="53" t="s">
        <v>122</v>
      </c>
      <c r="S15" s="53"/>
      <c r="T15" s="53"/>
      <c r="U15" s="53"/>
      <c r="V15" s="54" t="e">
        <f>(Table4[[#This Row],[MRP]]-Table4[[#This Row],[Selling Price]])/Table4[[#This Row],[MRP]]*100</f>
        <v>#DIV/0!</v>
      </c>
      <c r="W15" s="57"/>
      <c r="X15" s="57" t="s">
        <v>547</v>
      </c>
      <c r="Y15" s="54"/>
      <c r="Z15" s="54">
        <f>(Table4[[#This Row],[Cost Before Tax]]*Table4[[#This Row],[Tax Rate (%)]])/100+Table4[[#This Row],[Cost Before Tax]]</f>
        <v>0</v>
      </c>
      <c r="AA15" s="54">
        <f>4*Table4[[#This Row],[Cost After Tax]]</f>
        <v>0</v>
      </c>
      <c r="AB15" s="54" t="str">
        <f>IFERROR((Table4[[#This Row],[Selling Price]]-Table4[[#This Row],[Cost After Tax]])/Table4[[#This Row],[Selling Price]]*100,"")</f>
        <v/>
      </c>
      <c r="AC15" s="54">
        <f>Table4[[#This Row],[Selling Price]]-Table4[[#This Row],[Cost After Tax]]</f>
        <v>0</v>
      </c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62">
        <f>IFERROR(MAX(IF((sales[Product_ID]=Table4[[#This Row],[Product_ID]])*(sales[Sales Status]="Confirmed"),sales[Invoice Date])),"")</f>
        <v>0</v>
      </c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4">
        <f ca="1">SUMIFS(sales[Quantity Sold],sales[Product_ID],Table4[[#This Row],[Product_ID]],sales[Invoice Date],"&gt;="&amp;TODAY()-30)</f>
        <v>0</v>
      </c>
      <c r="BA15" s="49" t="str">
        <f>IFERROR(AVERAGEIFS(purchase[Lead Time (Days)],purchase[Product_ID],Table4[[#This Row],[Product_ID]]),"")</f>
        <v/>
      </c>
      <c r="BB15" s="54">
        <f ca="1">IF(Table4[[#This Row],[Demand_Last_30_Days]]=0,0,Table4[[#This Row],[Demand_Last_30_Days]]/30)</f>
        <v>0</v>
      </c>
      <c r="BC15" s="57"/>
      <c r="BD15" s="54">
        <f ca="1">Table4[[#This Row],[Average_Daily_Usage]]*Table4[[#This Row],[Buffer_Days]]</f>
        <v>0</v>
      </c>
      <c r="BE15" s="54" t="str">
        <f ca="1">IFERROR(Table4[[#This Row],[Average_Daily_Usage]]*Table4[[#This Row],[Lead_Time_Days]],"")</f>
        <v/>
      </c>
      <c r="BF15" s="58">
        <f>IFERROR(MAX(IF(sales[Product_ID]=Table4[Product_ID],sales[Quantity Sold])),"")</f>
        <v>0</v>
      </c>
      <c r="BG15" s="58">
        <f>IFERROR(MAX(IF(purchase[Received Date]-purchase[Purchase Date],purchase[Product_ID],Table4[Product_ID])),"")</f>
        <v>0</v>
      </c>
      <c r="BH15" s="58" t="str">
        <f>IFERROR(AVERAGEIFS(sales[Quantity Sold],sales[Product_ID],Table4[Product_ID]),"")</f>
        <v/>
      </c>
      <c r="BI15" s="58" t="str">
        <f>IFERROR(AVERAGEIFS(purchase[Lead Time (Days)],purchase[Product_ID],Table4[Product_ID]),"")</f>
        <v/>
      </c>
    </row>
    <row r="16" spans="2:61" x14ac:dyDescent="0.4">
      <c r="B16" s="14"/>
      <c r="D16" s="53" t="str">
        <f t="shared" ref="D16:D52" si="2">"PROD" &amp; TEXT(ROW()-5, "0000")</f>
        <v>PROD0011</v>
      </c>
      <c r="E16" s="53"/>
      <c r="F16" s="53" t="s">
        <v>468</v>
      </c>
      <c r="G16" s="53"/>
      <c r="H16" s="53" t="str">
        <f>IFERROR(VLOOKUP(Table4[[#This Row],[Product_ID]],Table410[#All],2,0),"")</f>
        <v>PRODCAT0011</v>
      </c>
      <c r="I16" s="53" t="str">
        <f>IFERROR(VLOOKUP(Table4[[#This Row],[Product_ID]],Table41011[#All],2,0),"")</f>
        <v>PRODBRAND0001</v>
      </c>
      <c r="J16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PRODCAT0011PROD0011IHC0001SKU</v>
      </c>
      <c r="K16" s="53"/>
      <c r="L16" s="53" t="str">
        <f>IF(COUNTIF($L$1:L11, TEXT(ROW()-1,"0000000000"))=0, TEXT(ROW()-1,"0000000000"), "Duplicate Found")</f>
        <v>0000000015</v>
      </c>
      <c r="M16" s="53" t="str">
        <f t="shared" si="1"/>
        <v>BTBA400015</v>
      </c>
      <c r="N16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16" s="54" t="str">
        <f ca="1">IFERROR(Table4[[#This Row],[Expected_Demand_During_Lead_Time]]+Table4[[#This Row],[Safety_Stock]],"")</f>
        <v/>
      </c>
      <c r="P16" s="54" t="str">
        <f ca="1">IFERROR(Table4[[#This Row],[Reorder Level]]-Table4[[#This Row],[Stock Quantity]],"")</f>
        <v/>
      </c>
      <c r="Q16" s="54" t="str">
        <f ca="1">IFERROR(Table4[[#This Row],[Reorder Level]]+Table4[[#This Row],[Safety_Stock]]+Table4[[#This Row],[Expected_Demand_During_Lead_Time]],"")</f>
        <v/>
      </c>
      <c r="R16" s="53" t="s">
        <v>122</v>
      </c>
      <c r="S16" s="53"/>
      <c r="T16" s="53"/>
      <c r="U16" s="53"/>
      <c r="V16" s="54" t="e">
        <f>(Table4[[#This Row],[MRP]]-Table4[[#This Row],[Selling Price]])/Table4[[#This Row],[MRP]]*100</f>
        <v>#DIV/0!</v>
      </c>
      <c r="W16" s="57"/>
      <c r="X16" s="57" t="s">
        <v>547</v>
      </c>
      <c r="Y16" s="54"/>
      <c r="Z16" s="54">
        <f>(Table4[[#This Row],[Cost Before Tax]]*Table4[[#This Row],[Tax Rate (%)]])/100+Table4[[#This Row],[Cost Before Tax]]</f>
        <v>0</v>
      </c>
      <c r="AA16" s="54">
        <f>4*Table4[[#This Row],[Cost After Tax]]</f>
        <v>0</v>
      </c>
      <c r="AB16" s="54" t="str">
        <f>IFERROR((Table4[[#This Row],[Selling Price]]-Table4[[#This Row],[Cost After Tax]])/Table4[[#This Row],[Selling Price]]*100,"")</f>
        <v/>
      </c>
      <c r="AC16" s="54">
        <f>Table4[[#This Row],[Selling Price]]-Table4[[#This Row],[Cost After Tax]]</f>
        <v>0</v>
      </c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62">
        <f>IFERROR(MAX(IF((sales[Product_ID]=Table4[[#This Row],[Product_ID]])*(sales[Sales Status]="Confirmed"),sales[Invoice Date])),"")</f>
        <v>0</v>
      </c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4">
        <f ca="1">SUMIFS(sales[Quantity Sold],sales[Product_ID],Table4[[#This Row],[Product_ID]],sales[Invoice Date],"&gt;="&amp;TODAY()-30)</f>
        <v>0</v>
      </c>
      <c r="BA16" s="49" t="str">
        <f>IFERROR(AVERAGEIFS(purchase[Lead Time (Days)],purchase[Product_ID],Table4[[#This Row],[Product_ID]]),"")</f>
        <v/>
      </c>
      <c r="BB16" s="54">
        <f ca="1">IF(Table4[[#This Row],[Demand_Last_30_Days]]=0,0,Table4[[#This Row],[Demand_Last_30_Days]]/30)</f>
        <v>0</v>
      </c>
      <c r="BC16" s="57"/>
      <c r="BD16" s="54">
        <f ca="1">Table4[[#This Row],[Average_Daily_Usage]]*Table4[[#This Row],[Buffer_Days]]</f>
        <v>0</v>
      </c>
      <c r="BE16" s="54" t="str">
        <f ca="1">IFERROR(Table4[[#This Row],[Average_Daily_Usage]]*Table4[[#This Row],[Lead_Time_Days]],"")</f>
        <v/>
      </c>
      <c r="BF16" s="58">
        <f>IFERROR(MAX(IF(sales[Product_ID]=Table4[Product_ID],sales[Quantity Sold])),"")</f>
        <v>0</v>
      </c>
      <c r="BG16" s="58">
        <f>IFERROR(MAX(IF(purchase[Received Date]-purchase[Purchase Date],purchase[Product_ID],Table4[Product_ID])),"")</f>
        <v>0</v>
      </c>
      <c r="BH16" s="58" t="str">
        <f>IFERROR(AVERAGEIFS(sales[Quantity Sold],sales[Product_ID],Table4[Product_ID]),"")</f>
        <v/>
      </c>
      <c r="BI16" s="58" t="str">
        <f>IFERROR(AVERAGEIFS(purchase[Lead Time (Days)],purchase[Product_ID],Table4[Product_ID]),"")</f>
        <v/>
      </c>
    </row>
    <row r="17" spans="2:61" x14ac:dyDescent="0.4">
      <c r="B17" s="14"/>
      <c r="D17" s="53" t="str">
        <f t="shared" si="2"/>
        <v>PROD0012</v>
      </c>
      <c r="E17" s="53"/>
      <c r="F17" s="53" t="s">
        <v>469</v>
      </c>
      <c r="G17" s="53"/>
      <c r="H17" s="53" t="str">
        <f>IFERROR(VLOOKUP(Table4[[#This Row],[Product_ID]],Table410[#All],2,0),"")</f>
        <v>PRODCAT0012</v>
      </c>
      <c r="I17" s="53" t="str">
        <f>IFERROR(VLOOKUP(Table4[[#This Row],[Product_ID]],Table41011[#All],2,0),"")</f>
        <v>PRODBRAND0001</v>
      </c>
      <c r="J17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PRODCAT0012PROD0012IHC0001SKU</v>
      </c>
      <c r="K17" s="53"/>
      <c r="L17" s="53" t="str">
        <f>IF(COUNTIF($L$1:L12, TEXT(ROW()-1,"0000000000"))=0, TEXT(ROW()-1,"0000000000"), "Duplicate Found")</f>
        <v>0000000016</v>
      </c>
      <c r="M17" s="53" t="str">
        <f t="shared" si="1"/>
        <v>BTBA400016</v>
      </c>
      <c r="N17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17" s="54" t="str">
        <f ca="1">IFERROR(Table4[[#This Row],[Expected_Demand_During_Lead_Time]]+Table4[[#This Row],[Safety_Stock]],"")</f>
        <v/>
      </c>
      <c r="P17" s="54" t="str">
        <f ca="1">IFERROR(Table4[[#This Row],[Reorder Level]]-Table4[[#This Row],[Stock Quantity]],"")</f>
        <v/>
      </c>
      <c r="Q17" s="54" t="str">
        <f ca="1">IFERROR(Table4[[#This Row],[Reorder Level]]+Table4[[#This Row],[Safety_Stock]]+Table4[[#This Row],[Expected_Demand_During_Lead_Time]],"")</f>
        <v/>
      </c>
      <c r="R17" s="53" t="s">
        <v>122</v>
      </c>
      <c r="S17" s="53"/>
      <c r="T17" s="53"/>
      <c r="U17" s="53"/>
      <c r="V17" s="54" t="e">
        <f>(Table4[[#This Row],[MRP]]-Table4[[#This Row],[Selling Price]])/Table4[[#This Row],[MRP]]*100</f>
        <v>#DIV/0!</v>
      </c>
      <c r="W17" s="57"/>
      <c r="X17" s="57" t="s">
        <v>547</v>
      </c>
      <c r="Y17" s="54"/>
      <c r="Z17" s="54">
        <f>(Table4[[#This Row],[Cost Before Tax]]*Table4[[#This Row],[Tax Rate (%)]])/100+Table4[[#This Row],[Cost Before Tax]]</f>
        <v>0</v>
      </c>
      <c r="AA17" s="54">
        <f>4*Table4[[#This Row],[Cost After Tax]]</f>
        <v>0</v>
      </c>
      <c r="AB17" s="54" t="str">
        <f>IFERROR((Table4[[#This Row],[Selling Price]]-Table4[[#This Row],[Cost After Tax]])/Table4[[#This Row],[Selling Price]]*100,"")</f>
        <v/>
      </c>
      <c r="AC17" s="54">
        <f>Table4[[#This Row],[Selling Price]]-Table4[[#This Row],[Cost After Tax]]</f>
        <v>0</v>
      </c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62">
        <f>IFERROR(MAX(IF((sales[Product_ID]=Table4[[#This Row],[Product_ID]])*(sales[Sales Status]="Confirmed"),sales[Invoice Date])),"")</f>
        <v>0</v>
      </c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4">
        <f ca="1">SUMIFS(sales[Quantity Sold],sales[Product_ID],Table4[[#This Row],[Product_ID]],sales[Invoice Date],"&gt;="&amp;TODAY()-30)</f>
        <v>0</v>
      </c>
      <c r="BA17" s="49" t="str">
        <f>IFERROR(AVERAGEIFS(purchase[Lead Time (Days)],purchase[Product_ID],Table4[[#This Row],[Product_ID]]),"")</f>
        <v/>
      </c>
      <c r="BB17" s="54">
        <f ca="1">IF(Table4[[#This Row],[Demand_Last_30_Days]]=0,0,Table4[[#This Row],[Demand_Last_30_Days]]/30)</f>
        <v>0</v>
      </c>
      <c r="BC17" s="57"/>
      <c r="BD17" s="54">
        <f ca="1">Table4[[#This Row],[Average_Daily_Usage]]*Table4[[#This Row],[Buffer_Days]]</f>
        <v>0</v>
      </c>
      <c r="BE17" s="54" t="str">
        <f ca="1">IFERROR(Table4[[#This Row],[Average_Daily_Usage]]*Table4[[#This Row],[Lead_Time_Days]],"")</f>
        <v/>
      </c>
      <c r="BF17" s="58">
        <f>IFERROR(MAX(IF(sales[Product_ID]=Table4[Product_ID],sales[Quantity Sold])),"")</f>
        <v>0</v>
      </c>
      <c r="BG17" s="58">
        <f>IFERROR(MAX(IF(purchase[Received Date]-purchase[Purchase Date],purchase[Product_ID],Table4[Product_ID])),"")</f>
        <v>0</v>
      </c>
      <c r="BH17" s="58" t="str">
        <f>IFERROR(AVERAGEIFS(sales[Quantity Sold],sales[Product_ID],Table4[Product_ID]),"")</f>
        <v/>
      </c>
      <c r="BI17" s="58" t="str">
        <f>IFERROR(AVERAGEIFS(purchase[Lead Time (Days)],purchase[Product_ID],Table4[Product_ID]),"")</f>
        <v/>
      </c>
    </row>
    <row r="18" spans="2:61" x14ac:dyDescent="0.4">
      <c r="B18" s="14"/>
      <c r="D18" s="53" t="str">
        <f t="shared" si="2"/>
        <v>PROD0013</v>
      </c>
      <c r="E18" s="53"/>
      <c r="F18" s="53" t="s">
        <v>470</v>
      </c>
      <c r="G18" s="53"/>
      <c r="H18" s="53" t="str">
        <f>IFERROR(VLOOKUP(Table4[[#This Row],[Product_ID]],Table410[#All],2,0),"")</f>
        <v>PRODCAT0013</v>
      </c>
      <c r="I18" s="53" t="str">
        <f>IFERROR(VLOOKUP(Table4[[#This Row],[Product_ID]],Table41011[#All],2,0),"")</f>
        <v>PRODBRAND0001</v>
      </c>
      <c r="J18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PRODCAT0013PROD0013IHC0001SKU</v>
      </c>
      <c r="K18" s="53"/>
      <c r="L18" s="53" t="str">
        <f>IF(COUNTIF($L$1:L13, TEXT(ROW()-1,"0000000000"))=0, TEXT(ROW()-1,"0000000000"), "Duplicate Found")</f>
        <v>0000000017</v>
      </c>
      <c r="M18" s="53" t="str">
        <f t="shared" si="1"/>
        <v>BTBA400017</v>
      </c>
      <c r="N18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18" s="54" t="str">
        <f ca="1">IFERROR(Table4[[#This Row],[Expected_Demand_During_Lead_Time]]+Table4[[#This Row],[Safety_Stock]],"")</f>
        <v/>
      </c>
      <c r="P18" s="54" t="str">
        <f ca="1">IFERROR(Table4[[#This Row],[Reorder Level]]-Table4[[#This Row],[Stock Quantity]],"")</f>
        <v/>
      </c>
      <c r="Q18" s="54" t="str">
        <f ca="1">IFERROR(Table4[[#This Row],[Reorder Level]]+Table4[[#This Row],[Safety_Stock]]+Table4[[#This Row],[Expected_Demand_During_Lead_Time]],"")</f>
        <v/>
      </c>
      <c r="R18" s="53" t="s">
        <v>122</v>
      </c>
      <c r="S18" s="53"/>
      <c r="T18" s="53"/>
      <c r="U18" s="53"/>
      <c r="V18" s="54" t="e">
        <f>(Table4[[#This Row],[MRP]]-Table4[[#This Row],[Selling Price]])/Table4[[#This Row],[MRP]]*100</f>
        <v>#DIV/0!</v>
      </c>
      <c r="W18" s="57"/>
      <c r="X18" s="57" t="s">
        <v>547</v>
      </c>
      <c r="Y18" s="54"/>
      <c r="Z18" s="54">
        <f>(Table4[[#This Row],[Cost Before Tax]]*Table4[[#This Row],[Tax Rate (%)]])/100+Table4[[#This Row],[Cost Before Tax]]</f>
        <v>0</v>
      </c>
      <c r="AA18" s="54">
        <f>4*Table4[[#This Row],[Cost After Tax]]</f>
        <v>0</v>
      </c>
      <c r="AB18" s="54" t="str">
        <f>IFERROR((Table4[[#This Row],[Selling Price]]-Table4[[#This Row],[Cost After Tax]])/Table4[[#This Row],[Selling Price]]*100,"")</f>
        <v/>
      </c>
      <c r="AC18" s="54">
        <f>Table4[[#This Row],[Selling Price]]-Table4[[#This Row],[Cost After Tax]]</f>
        <v>0</v>
      </c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62">
        <f>IFERROR(MAX(IF((sales[Product_ID]=Table4[[#This Row],[Product_ID]])*(sales[Sales Status]="Confirmed"),sales[Invoice Date])),"")</f>
        <v>0</v>
      </c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4">
        <f ca="1">SUMIFS(sales[Quantity Sold],sales[Product_ID],Table4[[#This Row],[Product_ID]],sales[Invoice Date],"&gt;="&amp;TODAY()-30)</f>
        <v>0</v>
      </c>
      <c r="BA18" s="49" t="str">
        <f>IFERROR(AVERAGEIFS(purchase[Lead Time (Days)],purchase[Product_ID],Table4[[#This Row],[Product_ID]]),"")</f>
        <v/>
      </c>
      <c r="BB18" s="54">
        <f ca="1">IF(Table4[[#This Row],[Demand_Last_30_Days]]=0,0,Table4[[#This Row],[Demand_Last_30_Days]]/30)</f>
        <v>0</v>
      </c>
      <c r="BC18" s="57"/>
      <c r="BD18" s="54">
        <f ca="1">Table4[[#This Row],[Average_Daily_Usage]]*Table4[[#This Row],[Buffer_Days]]</f>
        <v>0</v>
      </c>
      <c r="BE18" s="54" t="str">
        <f ca="1">IFERROR(Table4[[#This Row],[Average_Daily_Usage]]*Table4[[#This Row],[Lead_Time_Days]],"")</f>
        <v/>
      </c>
      <c r="BF18" s="58">
        <f>IFERROR(MAX(IF(sales[Product_ID]=Table4[Product_ID],sales[Quantity Sold])),"")</f>
        <v>0</v>
      </c>
      <c r="BG18" s="58">
        <f>IFERROR(MAX(IF(purchase[Received Date]-purchase[Purchase Date],purchase[Product_ID],Table4[Product_ID])),"")</f>
        <v>0</v>
      </c>
      <c r="BH18" s="58" t="str">
        <f>IFERROR(AVERAGEIFS(sales[Quantity Sold],sales[Product_ID],Table4[Product_ID]),"")</f>
        <v/>
      </c>
      <c r="BI18" s="58" t="str">
        <f>IFERROR(AVERAGEIFS(purchase[Lead Time (Days)],purchase[Product_ID],Table4[Product_ID]),"")</f>
        <v/>
      </c>
    </row>
    <row r="19" spans="2:61" x14ac:dyDescent="0.4">
      <c r="B19" s="15"/>
      <c r="D19" s="53" t="str">
        <f t="shared" si="2"/>
        <v>PROD0014</v>
      </c>
      <c r="E19" s="53"/>
      <c r="F19" s="53" t="s">
        <v>471</v>
      </c>
      <c r="G19" s="53"/>
      <c r="H19" s="53" t="str">
        <f>IFERROR(VLOOKUP(Table4[[#This Row],[Product_ID]],Table410[#All],2,0),"")</f>
        <v>PRODCAT0014</v>
      </c>
      <c r="I19" s="53" t="str">
        <f>IFERROR(VLOOKUP(Table4[[#This Row],[Product_ID]],Table41011[#All],2,0),"")</f>
        <v>PRODBRAND0001</v>
      </c>
      <c r="J19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PRODCAT0014PROD0014IHC0001SKU</v>
      </c>
      <c r="K19" s="53"/>
      <c r="L19" s="53" t="str">
        <f>IF(COUNTIF($L$1:L14, TEXT(ROW()-1,"0000000000"))=0, TEXT(ROW()-1,"0000000000"), "Duplicate Found")</f>
        <v>0000000018</v>
      </c>
      <c r="M19" s="53" t="str">
        <f t="shared" si="1"/>
        <v>BTBA400018</v>
      </c>
      <c r="N19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19" s="54" t="str">
        <f ca="1">IFERROR(Table4[[#This Row],[Expected_Demand_During_Lead_Time]]+Table4[[#This Row],[Safety_Stock]],"")</f>
        <v/>
      </c>
      <c r="P19" s="54" t="str">
        <f ca="1">IFERROR(Table4[[#This Row],[Reorder Level]]-Table4[[#This Row],[Stock Quantity]],"")</f>
        <v/>
      </c>
      <c r="Q19" s="54" t="str">
        <f ca="1">IFERROR(Table4[[#This Row],[Reorder Level]]+Table4[[#This Row],[Safety_Stock]]+Table4[[#This Row],[Expected_Demand_During_Lead_Time]],"")</f>
        <v/>
      </c>
      <c r="R19" s="53" t="s">
        <v>122</v>
      </c>
      <c r="S19" s="53"/>
      <c r="T19" s="53"/>
      <c r="U19" s="53"/>
      <c r="V19" s="54" t="e">
        <f>(Table4[[#This Row],[MRP]]-Table4[[#This Row],[Selling Price]])/Table4[[#This Row],[MRP]]*100</f>
        <v>#DIV/0!</v>
      </c>
      <c r="W19" s="57"/>
      <c r="X19" s="57" t="s">
        <v>547</v>
      </c>
      <c r="Y19" s="54"/>
      <c r="Z19" s="54">
        <f>(Table4[[#This Row],[Cost Before Tax]]*Table4[[#This Row],[Tax Rate (%)]])/100+Table4[[#This Row],[Cost Before Tax]]</f>
        <v>0</v>
      </c>
      <c r="AA19" s="54">
        <f>4*Table4[[#This Row],[Cost After Tax]]</f>
        <v>0</v>
      </c>
      <c r="AB19" s="54" t="str">
        <f>IFERROR((Table4[[#This Row],[Selling Price]]-Table4[[#This Row],[Cost After Tax]])/Table4[[#This Row],[Selling Price]]*100,"")</f>
        <v/>
      </c>
      <c r="AC19" s="54">
        <f>Table4[[#This Row],[Selling Price]]-Table4[[#This Row],[Cost After Tax]]</f>
        <v>0</v>
      </c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62">
        <f>IFERROR(MAX(IF((sales[Product_ID]=Table4[[#This Row],[Product_ID]])*(sales[Sales Status]="Confirmed"),sales[Invoice Date])),"")</f>
        <v>0</v>
      </c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4">
        <f ca="1">SUMIFS(sales[Quantity Sold],sales[Product_ID],Table4[[#This Row],[Product_ID]],sales[Invoice Date],"&gt;="&amp;TODAY()-30)</f>
        <v>0</v>
      </c>
      <c r="BA19" s="49" t="str">
        <f>IFERROR(AVERAGEIFS(purchase[Lead Time (Days)],purchase[Product_ID],Table4[[#This Row],[Product_ID]]),"")</f>
        <v/>
      </c>
      <c r="BB19" s="54">
        <f ca="1">IF(Table4[[#This Row],[Demand_Last_30_Days]]=0,0,Table4[[#This Row],[Demand_Last_30_Days]]/30)</f>
        <v>0</v>
      </c>
      <c r="BC19" s="57"/>
      <c r="BD19" s="54">
        <f ca="1">Table4[[#This Row],[Average_Daily_Usage]]*Table4[[#This Row],[Buffer_Days]]</f>
        <v>0</v>
      </c>
      <c r="BE19" s="54" t="str">
        <f ca="1">IFERROR(Table4[[#This Row],[Average_Daily_Usage]]*Table4[[#This Row],[Lead_Time_Days]],"")</f>
        <v/>
      </c>
      <c r="BF19" s="58">
        <f>IFERROR(MAX(IF(sales[Product_ID]=Table4[Product_ID],sales[Quantity Sold])),"")</f>
        <v>0</v>
      </c>
      <c r="BG19" s="58">
        <f>IFERROR(MAX(IF(purchase[Received Date]-purchase[Purchase Date],purchase[Product_ID],Table4[Product_ID])),"")</f>
        <v>0</v>
      </c>
      <c r="BH19" s="58" t="str">
        <f>IFERROR(AVERAGEIFS(sales[Quantity Sold],sales[Product_ID],Table4[Product_ID]),"")</f>
        <v/>
      </c>
      <c r="BI19" s="58" t="str">
        <f>IFERROR(AVERAGEIFS(purchase[Lead Time (Days)],purchase[Product_ID],Table4[Product_ID]),"")</f>
        <v/>
      </c>
    </row>
    <row r="20" spans="2:61" x14ac:dyDescent="0.4">
      <c r="B20" s="8"/>
      <c r="D20" s="53" t="str">
        <f t="shared" si="2"/>
        <v>PROD0015</v>
      </c>
      <c r="E20" s="53"/>
      <c r="F20" s="53" t="s">
        <v>472</v>
      </c>
      <c r="G20" s="53"/>
      <c r="H20" s="53" t="str">
        <f>IFERROR(VLOOKUP(Table4[[#This Row],[Product_ID]],Table410[#All],2,0),"")</f>
        <v>PRODCAT0015</v>
      </c>
      <c r="I20" s="53" t="str">
        <f>IFERROR(VLOOKUP(Table4[[#This Row],[Product_ID]],Table41011[#All],2,0),"")</f>
        <v>PRODBRAND0001</v>
      </c>
      <c r="J20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PRODCAT0015PROD0015IHC0001SKU</v>
      </c>
      <c r="K20" s="53"/>
      <c r="L20" s="53" t="str">
        <f>IF(COUNTIF($L$1:L15, TEXT(ROW()-1,"0000000000"))=0, TEXT(ROW()-1,"0000000000"), "Duplicate Found")</f>
        <v>0000000019</v>
      </c>
      <c r="M20" s="53" t="str">
        <f t="shared" si="1"/>
        <v>BTBA400019</v>
      </c>
      <c r="N20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20" s="54" t="str">
        <f ca="1">IFERROR(Table4[[#This Row],[Expected_Demand_During_Lead_Time]]+Table4[[#This Row],[Safety_Stock]],"")</f>
        <v/>
      </c>
      <c r="P20" s="54" t="str">
        <f ca="1">IFERROR(Table4[[#This Row],[Reorder Level]]-Table4[[#This Row],[Stock Quantity]],"")</f>
        <v/>
      </c>
      <c r="Q20" s="54" t="str">
        <f ca="1">IFERROR(Table4[[#This Row],[Reorder Level]]+Table4[[#This Row],[Safety_Stock]]+Table4[[#This Row],[Expected_Demand_During_Lead_Time]],"")</f>
        <v/>
      </c>
      <c r="R20" s="53" t="s">
        <v>122</v>
      </c>
      <c r="S20" s="53"/>
      <c r="T20" s="53"/>
      <c r="U20" s="53"/>
      <c r="V20" s="54" t="e">
        <f>(Table4[[#This Row],[MRP]]-Table4[[#This Row],[Selling Price]])/Table4[[#This Row],[MRP]]*100</f>
        <v>#DIV/0!</v>
      </c>
      <c r="W20" s="57"/>
      <c r="X20" s="57" t="s">
        <v>547</v>
      </c>
      <c r="Y20" s="54"/>
      <c r="Z20" s="54">
        <f>(Table4[[#This Row],[Cost Before Tax]]*Table4[[#This Row],[Tax Rate (%)]])/100+Table4[[#This Row],[Cost Before Tax]]</f>
        <v>0</v>
      </c>
      <c r="AA20" s="54">
        <f>4*Table4[[#This Row],[Cost After Tax]]</f>
        <v>0</v>
      </c>
      <c r="AB20" s="54" t="str">
        <f>IFERROR((Table4[[#This Row],[Selling Price]]-Table4[[#This Row],[Cost After Tax]])/Table4[[#This Row],[Selling Price]]*100,"")</f>
        <v/>
      </c>
      <c r="AC20" s="54">
        <f>Table4[[#This Row],[Selling Price]]-Table4[[#This Row],[Cost After Tax]]</f>
        <v>0</v>
      </c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62">
        <f>IFERROR(MAX(IF((sales[Product_ID]=Table4[[#This Row],[Product_ID]])*(sales[Sales Status]="Confirmed"),sales[Invoice Date])),"")</f>
        <v>0</v>
      </c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4">
        <f ca="1">SUMIFS(sales[Quantity Sold],sales[Product_ID],Table4[[#This Row],[Product_ID]],sales[Invoice Date],"&gt;="&amp;TODAY()-30)</f>
        <v>0</v>
      </c>
      <c r="BA20" s="49" t="str">
        <f>IFERROR(AVERAGEIFS(purchase[Lead Time (Days)],purchase[Product_ID],Table4[[#This Row],[Product_ID]]),"")</f>
        <v/>
      </c>
      <c r="BB20" s="54">
        <f ca="1">IF(Table4[[#This Row],[Demand_Last_30_Days]]=0,0,Table4[[#This Row],[Demand_Last_30_Days]]/30)</f>
        <v>0</v>
      </c>
      <c r="BC20" s="57"/>
      <c r="BD20" s="54">
        <f ca="1">Table4[[#This Row],[Average_Daily_Usage]]*Table4[[#This Row],[Buffer_Days]]</f>
        <v>0</v>
      </c>
      <c r="BE20" s="54" t="str">
        <f ca="1">IFERROR(Table4[[#This Row],[Average_Daily_Usage]]*Table4[[#This Row],[Lead_Time_Days]],"")</f>
        <v/>
      </c>
      <c r="BF20" s="58">
        <f>IFERROR(MAX(IF(sales[Product_ID]=Table4[Product_ID],sales[Quantity Sold])),"")</f>
        <v>0</v>
      </c>
      <c r="BG20" s="58">
        <f>IFERROR(MAX(IF(purchase[Received Date]-purchase[Purchase Date],purchase[Product_ID],Table4[Product_ID])),"")</f>
        <v>0</v>
      </c>
      <c r="BH20" s="58" t="str">
        <f>IFERROR(AVERAGEIFS(sales[Quantity Sold],sales[Product_ID],Table4[Product_ID]),"")</f>
        <v/>
      </c>
      <c r="BI20" s="58" t="str">
        <f>IFERROR(AVERAGEIFS(purchase[Lead Time (Days)],purchase[Product_ID],Table4[Product_ID]),"")</f>
        <v/>
      </c>
    </row>
    <row r="21" spans="2:61" x14ac:dyDescent="0.4">
      <c r="B21" s="8"/>
      <c r="D21" s="53" t="str">
        <f t="shared" si="2"/>
        <v>PROD0016</v>
      </c>
      <c r="E21" s="53"/>
      <c r="F21" s="53" t="s">
        <v>473</v>
      </c>
      <c r="G21" s="53"/>
      <c r="H21" s="53" t="str">
        <f>IFERROR(VLOOKUP(Table4[[#This Row],[Product_ID]],Table410[#All],2,0),"")</f>
        <v>PRODCAT0016</v>
      </c>
      <c r="I21" s="53" t="str">
        <f>IFERROR(VLOOKUP(Table4[[#This Row],[Product_ID]],Table41011[#All],2,0),"")</f>
        <v>PRODBRAND0001</v>
      </c>
      <c r="J21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PRODCAT0016PROD0016IHC0001SKU</v>
      </c>
      <c r="K21" s="53"/>
      <c r="L21" s="53" t="str">
        <f>IF(COUNTIF($L$1:L16, TEXT(ROW()-1,"0000000000"))=0, TEXT(ROW()-1,"0000000000"), "Duplicate Found")</f>
        <v>0000000020</v>
      </c>
      <c r="M21" s="53" t="str">
        <f t="shared" si="1"/>
        <v>BTBA400020</v>
      </c>
      <c r="N21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21" s="54" t="str">
        <f ca="1">IFERROR(Table4[[#This Row],[Expected_Demand_During_Lead_Time]]+Table4[[#This Row],[Safety_Stock]],"")</f>
        <v/>
      </c>
      <c r="P21" s="54" t="str">
        <f ca="1">IFERROR(Table4[[#This Row],[Reorder Level]]-Table4[[#This Row],[Stock Quantity]],"")</f>
        <v/>
      </c>
      <c r="Q21" s="54" t="str">
        <f ca="1">IFERROR(Table4[[#This Row],[Reorder Level]]+Table4[[#This Row],[Safety_Stock]]+Table4[[#This Row],[Expected_Demand_During_Lead_Time]],"")</f>
        <v/>
      </c>
      <c r="R21" s="53" t="s">
        <v>122</v>
      </c>
      <c r="S21" s="53"/>
      <c r="T21" s="53"/>
      <c r="U21" s="53"/>
      <c r="V21" s="54" t="e">
        <f>(Table4[[#This Row],[MRP]]-Table4[[#This Row],[Selling Price]])/Table4[[#This Row],[MRP]]*100</f>
        <v>#DIV/0!</v>
      </c>
      <c r="W21" s="57"/>
      <c r="X21" s="57" t="s">
        <v>547</v>
      </c>
      <c r="Y21" s="54"/>
      <c r="Z21" s="54">
        <f>(Table4[[#This Row],[Cost Before Tax]]*Table4[[#This Row],[Tax Rate (%)]])/100+Table4[[#This Row],[Cost Before Tax]]</f>
        <v>0</v>
      </c>
      <c r="AA21" s="54">
        <f>4*Table4[[#This Row],[Cost After Tax]]</f>
        <v>0</v>
      </c>
      <c r="AB21" s="54" t="str">
        <f>IFERROR((Table4[[#This Row],[Selling Price]]-Table4[[#This Row],[Cost After Tax]])/Table4[[#This Row],[Selling Price]]*100,"")</f>
        <v/>
      </c>
      <c r="AC21" s="54">
        <f>Table4[[#This Row],[Selling Price]]-Table4[[#This Row],[Cost After Tax]]</f>
        <v>0</v>
      </c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62">
        <f>IFERROR(MAX(IF((sales[Product_ID]=Table4[[#This Row],[Product_ID]])*(sales[Sales Status]="Confirmed"),sales[Invoice Date])),"")</f>
        <v>0</v>
      </c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4">
        <f ca="1">SUMIFS(sales[Quantity Sold],sales[Product_ID],Table4[[#This Row],[Product_ID]],sales[Invoice Date],"&gt;="&amp;TODAY()-30)</f>
        <v>0</v>
      </c>
      <c r="BA21" s="49" t="str">
        <f>IFERROR(AVERAGEIFS(purchase[Lead Time (Days)],purchase[Product_ID],Table4[[#This Row],[Product_ID]]),"")</f>
        <v/>
      </c>
      <c r="BB21" s="54">
        <f ca="1">IF(Table4[[#This Row],[Demand_Last_30_Days]]=0,0,Table4[[#This Row],[Demand_Last_30_Days]]/30)</f>
        <v>0</v>
      </c>
      <c r="BC21" s="57"/>
      <c r="BD21" s="54">
        <f ca="1">Table4[[#This Row],[Average_Daily_Usage]]*Table4[[#This Row],[Buffer_Days]]</f>
        <v>0</v>
      </c>
      <c r="BE21" s="54" t="str">
        <f ca="1">IFERROR(Table4[[#This Row],[Average_Daily_Usage]]*Table4[[#This Row],[Lead_Time_Days]],"")</f>
        <v/>
      </c>
      <c r="BF21" s="58">
        <f>IFERROR(MAX(IF(sales[Product_ID]=Table4[Product_ID],sales[Quantity Sold])),"")</f>
        <v>0</v>
      </c>
      <c r="BG21" s="58">
        <f>IFERROR(MAX(IF(purchase[Received Date]-purchase[Purchase Date],purchase[Product_ID],Table4[Product_ID])),"")</f>
        <v>0</v>
      </c>
      <c r="BH21" s="58" t="str">
        <f>IFERROR(AVERAGEIFS(sales[Quantity Sold],sales[Product_ID],Table4[Product_ID]),"")</f>
        <v/>
      </c>
      <c r="BI21" s="58" t="str">
        <f>IFERROR(AVERAGEIFS(purchase[Lead Time (Days)],purchase[Product_ID],Table4[Product_ID]),"")</f>
        <v/>
      </c>
    </row>
    <row r="22" spans="2:61" x14ac:dyDescent="0.4">
      <c r="D22" s="53" t="str">
        <f t="shared" si="2"/>
        <v>PROD0017</v>
      </c>
      <c r="E22" s="53"/>
      <c r="F22" s="53" t="s">
        <v>474</v>
      </c>
      <c r="G22" s="53"/>
      <c r="H22" s="53" t="str">
        <f>IFERROR(VLOOKUP(Table4[[#This Row],[Product_ID]],Table410[#All],2,0),"")</f>
        <v>PRODCAT0017</v>
      </c>
      <c r="I22" s="53" t="str">
        <f>IFERROR(VLOOKUP(Table4[[#This Row],[Product_ID]],Table41011[#All],2,0),"")</f>
        <v>PRODBRAND0001</v>
      </c>
      <c r="J22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PRODCAT0017PROD0017IHC0001SKU</v>
      </c>
      <c r="K22" s="53"/>
      <c r="L22" s="53" t="str">
        <f>IF(COUNTIF($L$1:L17, TEXT(ROW()-1,"0000000000"))=0, TEXT(ROW()-1,"0000000000"), "Duplicate Found")</f>
        <v>0000000021</v>
      </c>
      <c r="M22" s="53" t="str">
        <f t="shared" si="1"/>
        <v>BTBA400021</v>
      </c>
      <c r="N22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22" s="54" t="str">
        <f ca="1">IFERROR(Table4[[#This Row],[Expected_Demand_During_Lead_Time]]+Table4[[#This Row],[Safety_Stock]],"")</f>
        <v/>
      </c>
      <c r="P22" s="54" t="str">
        <f ca="1">IFERROR(Table4[[#This Row],[Reorder Level]]-Table4[[#This Row],[Stock Quantity]],"")</f>
        <v/>
      </c>
      <c r="Q22" s="54" t="str">
        <f ca="1">IFERROR(Table4[[#This Row],[Reorder Level]]+Table4[[#This Row],[Safety_Stock]]+Table4[[#This Row],[Expected_Demand_During_Lead_Time]],"")</f>
        <v/>
      </c>
      <c r="R22" s="53" t="s">
        <v>122</v>
      </c>
      <c r="S22" s="53"/>
      <c r="T22" s="53"/>
      <c r="U22" s="53"/>
      <c r="V22" s="54" t="e">
        <f>(Table4[[#This Row],[MRP]]-Table4[[#This Row],[Selling Price]])/Table4[[#This Row],[MRP]]*100</f>
        <v>#DIV/0!</v>
      </c>
      <c r="W22" s="57"/>
      <c r="X22" s="57" t="s">
        <v>547</v>
      </c>
      <c r="Y22" s="54"/>
      <c r="Z22" s="54">
        <f>(Table4[[#This Row],[Cost Before Tax]]*Table4[[#This Row],[Tax Rate (%)]])/100+Table4[[#This Row],[Cost Before Tax]]</f>
        <v>0</v>
      </c>
      <c r="AA22" s="54">
        <f>4*Table4[[#This Row],[Cost After Tax]]</f>
        <v>0</v>
      </c>
      <c r="AB22" s="54" t="str">
        <f>IFERROR((Table4[[#This Row],[Selling Price]]-Table4[[#This Row],[Cost After Tax]])/Table4[[#This Row],[Selling Price]]*100,"")</f>
        <v/>
      </c>
      <c r="AC22" s="54">
        <f>Table4[[#This Row],[Selling Price]]-Table4[[#This Row],[Cost After Tax]]</f>
        <v>0</v>
      </c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62" t="str">
        <f>IFERROR(MAX(IF((sales[Product_ID]=Table4[[#This Row],[Product_ID]])*(sales[Sales Status]="Confirmed"),sales[Invoice Date])),"")</f>
        <v/>
      </c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4">
        <f ca="1">SUMIFS(sales[Quantity Sold],sales[Product_ID],Table4[[#This Row],[Product_ID]],sales[Invoice Date],"&gt;="&amp;TODAY()-30)</f>
        <v>0</v>
      </c>
      <c r="BA22" s="49" t="str">
        <f>IFERROR(AVERAGEIFS(purchase[Lead Time (Days)],purchase[Product_ID],Table4[[#This Row],[Product_ID]]),"")</f>
        <v/>
      </c>
      <c r="BB22" s="54">
        <f ca="1">IF(Table4[[#This Row],[Demand_Last_30_Days]]=0,0,Table4[[#This Row],[Demand_Last_30_Days]]/30)</f>
        <v>0</v>
      </c>
      <c r="BC22" s="57"/>
      <c r="BD22" s="54">
        <f ca="1">Table4[[#This Row],[Average_Daily_Usage]]*Table4[[#This Row],[Buffer_Days]]</f>
        <v>0</v>
      </c>
      <c r="BE22" s="54" t="str">
        <f ca="1">IFERROR(Table4[[#This Row],[Average_Daily_Usage]]*Table4[[#This Row],[Lead_Time_Days]],"")</f>
        <v/>
      </c>
      <c r="BF22" s="58" t="str">
        <f>IFERROR(MAX(IF(sales[Product_ID]=Table4[Product_ID],sales[Quantity Sold])),"")</f>
        <v/>
      </c>
      <c r="BG22" s="58">
        <f>IFERROR(MAX(IF(purchase[Received Date]-purchase[Purchase Date],purchase[Product_ID],Table4[Product_ID])),"")</f>
        <v>0</v>
      </c>
      <c r="BH22" s="58" t="str">
        <f>IFERROR(AVERAGEIFS(sales[Quantity Sold],sales[Product_ID],Table4[Product_ID]),"")</f>
        <v/>
      </c>
      <c r="BI22" s="58" t="str">
        <f>IFERROR(AVERAGEIFS(purchase[Lead Time (Days)],purchase[Product_ID],Table4[Product_ID]),"")</f>
        <v/>
      </c>
    </row>
    <row r="23" spans="2:61" x14ac:dyDescent="0.4">
      <c r="D23" s="53" t="str">
        <f t="shared" si="2"/>
        <v>PROD0018</v>
      </c>
      <c r="E23" s="53"/>
      <c r="F23" s="53" t="s">
        <v>475</v>
      </c>
      <c r="G23" s="53"/>
      <c r="H23" s="53" t="str">
        <f>IFERROR(VLOOKUP(Table4[[#This Row],[Product_ID]],Table410[#All],2,0),"")</f>
        <v>PRODCAT0018</v>
      </c>
      <c r="I23" s="53" t="str">
        <f>IFERROR(VLOOKUP(Table4[[#This Row],[Product_ID]],Table41011[#All],2,0),"")</f>
        <v>PRODBRAND0001</v>
      </c>
      <c r="J23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PRODCAT0018PROD0018IHC0001SKU</v>
      </c>
      <c r="K23" s="53"/>
      <c r="L23" s="53" t="str">
        <f>IF(COUNTIF($L$1:L18, TEXT(ROW()-1,"0000000000"))=0, TEXT(ROW()-1,"0000000000"), "Duplicate Found")</f>
        <v>0000000022</v>
      </c>
      <c r="M23" s="53" t="str">
        <f t="shared" si="1"/>
        <v>BTBA400022</v>
      </c>
      <c r="N23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23" s="54" t="str">
        <f ca="1">IFERROR(Table4[[#This Row],[Expected_Demand_During_Lead_Time]]+Table4[[#This Row],[Safety_Stock]],"")</f>
        <v/>
      </c>
      <c r="P23" s="54" t="str">
        <f ca="1">IFERROR(Table4[[#This Row],[Reorder Level]]-Table4[[#This Row],[Stock Quantity]],"")</f>
        <v/>
      </c>
      <c r="Q23" s="54" t="str">
        <f ca="1">IFERROR(Table4[[#This Row],[Reorder Level]]+Table4[[#This Row],[Safety_Stock]]+Table4[[#This Row],[Expected_Demand_During_Lead_Time]],"")</f>
        <v/>
      </c>
      <c r="R23" s="53" t="s">
        <v>122</v>
      </c>
      <c r="S23" s="53"/>
      <c r="T23" s="53"/>
      <c r="U23" s="53"/>
      <c r="V23" s="54" t="e">
        <f>(Table4[[#This Row],[MRP]]-Table4[[#This Row],[Selling Price]])/Table4[[#This Row],[MRP]]*100</f>
        <v>#DIV/0!</v>
      </c>
      <c r="W23" s="57"/>
      <c r="X23" s="57" t="s">
        <v>547</v>
      </c>
      <c r="Y23" s="54"/>
      <c r="Z23" s="54">
        <f>(Table4[[#This Row],[Cost Before Tax]]*Table4[[#This Row],[Tax Rate (%)]])/100+Table4[[#This Row],[Cost Before Tax]]</f>
        <v>0</v>
      </c>
      <c r="AA23" s="54">
        <f>4*Table4[[#This Row],[Cost After Tax]]</f>
        <v>0</v>
      </c>
      <c r="AB23" s="54" t="str">
        <f>IFERROR((Table4[[#This Row],[Selling Price]]-Table4[[#This Row],[Cost After Tax]])/Table4[[#This Row],[Selling Price]]*100,"")</f>
        <v/>
      </c>
      <c r="AC23" s="54">
        <f>Table4[[#This Row],[Selling Price]]-Table4[[#This Row],[Cost After Tax]]</f>
        <v>0</v>
      </c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62" t="str">
        <f>IFERROR(MAX(IF((sales[Product_ID]=Table4[[#This Row],[Product_ID]])*(sales[Sales Status]="Confirmed"),sales[Invoice Date])),"")</f>
        <v/>
      </c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4">
        <f ca="1">SUMIFS(sales[Quantity Sold],sales[Product_ID],Table4[[#This Row],[Product_ID]],sales[Invoice Date],"&gt;="&amp;TODAY()-30)</f>
        <v>0</v>
      </c>
      <c r="BA23" s="49" t="str">
        <f>IFERROR(AVERAGEIFS(purchase[Lead Time (Days)],purchase[Product_ID],Table4[[#This Row],[Product_ID]]),"")</f>
        <v/>
      </c>
      <c r="BB23" s="54">
        <f ca="1">IF(Table4[[#This Row],[Demand_Last_30_Days]]=0,0,Table4[[#This Row],[Demand_Last_30_Days]]/30)</f>
        <v>0</v>
      </c>
      <c r="BC23" s="57"/>
      <c r="BD23" s="54">
        <f ca="1">Table4[[#This Row],[Average_Daily_Usage]]*Table4[[#This Row],[Buffer_Days]]</f>
        <v>0</v>
      </c>
      <c r="BE23" s="54" t="str">
        <f ca="1">IFERROR(Table4[[#This Row],[Average_Daily_Usage]]*Table4[[#This Row],[Lead_Time_Days]],"")</f>
        <v/>
      </c>
      <c r="BF23" s="58" t="str">
        <f>IFERROR(MAX(IF(sales[Product_ID]=Table4[Product_ID],sales[Quantity Sold])),"")</f>
        <v/>
      </c>
      <c r="BG23" s="58" t="str">
        <f>IFERROR(MAX(IF(purchase[Received Date]-purchase[Purchase Date],purchase[Product_ID],Table4[Product_ID])),"")</f>
        <v/>
      </c>
      <c r="BH23" s="58" t="str">
        <f>IFERROR(AVERAGEIFS(sales[Quantity Sold],sales[Product_ID],Table4[Product_ID]),"")</f>
        <v/>
      </c>
      <c r="BI23" s="58" t="str">
        <f>IFERROR(AVERAGEIFS(purchase[Lead Time (Days)],purchase[Product_ID],Table4[Product_ID]),"")</f>
        <v/>
      </c>
    </row>
    <row r="24" spans="2:61" x14ac:dyDescent="0.4">
      <c r="D24" s="53" t="str">
        <f t="shared" si="2"/>
        <v>PROD0019</v>
      </c>
      <c r="E24" s="53"/>
      <c r="F24" s="53" t="s">
        <v>476</v>
      </c>
      <c r="G24" s="53"/>
      <c r="H24" s="53" t="str">
        <f>IFERROR(VLOOKUP(Table4[[#This Row],[Product_ID]],Table410[#All],2,0),"")</f>
        <v>PRODCAT0019</v>
      </c>
      <c r="I24" s="53" t="str">
        <f>IFERROR(VLOOKUP(Table4[[#This Row],[Product_ID]],Table41011[#All],2,0),"")</f>
        <v>PRODBRAND0001</v>
      </c>
      <c r="J24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PRODCAT0019PROD0019IHC0001SKU</v>
      </c>
      <c r="K24" s="53"/>
      <c r="L24" s="53" t="str">
        <f>IF(COUNTIF($L$1:L19, TEXT(ROW()-1,"0000000000"))=0, TEXT(ROW()-1,"0000000000"), "Duplicate Found")</f>
        <v>0000000023</v>
      </c>
      <c r="M24" s="53" t="str">
        <f t="shared" si="1"/>
        <v>BTBA400023</v>
      </c>
      <c r="N24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24" s="54" t="str">
        <f ca="1">IFERROR(Table4[[#This Row],[Expected_Demand_During_Lead_Time]]+Table4[[#This Row],[Safety_Stock]],"")</f>
        <v/>
      </c>
      <c r="P24" s="54" t="str">
        <f ca="1">IFERROR(Table4[[#This Row],[Reorder Level]]-Table4[[#This Row],[Stock Quantity]],"")</f>
        <v/>
      </c>
      <c r="Q24" s="54" t="str">
        <f ca="1">IFERROR(Table4[[#This Row],[Reorder Level]]+Table4[[#This Row],[Safety_Stock]]+Table4[[#This Row],[Expected_Demand_During_Lead_Time]],"")</f>
        <v/>
      </c>
      <c r="R24" s="53" t="s">
        <v>122</v>
      </c>
      <c r="S24" s="53"/>
      <c r="T24" s="53"/>
      <c r="U24" s="53"/>
      <c r="V24" s="54" t="e">
        <f>(Table4[[#This Row],[MRP]]-Table4[[#This Row],[Selling Price]])/Table4[[#This Row],[MRP]]*100</f>
        <v>#DIV/0!</v>
      </c>
      <c r="W24" s="57"/>
      <c r="X24" s="57" t="s">
        <v>547</v>
      </c>
      <c r="Y24" s="54"/>
      <c r="Z24" s="54">
        <f>(Table4[[#This Row],[Cost Before Tax]]*Table4[[#This Row],[Tax Rate (%)]])/100+Table4[[#This Row],[Cost Before Tax]]</f>
        <v>0</v>
      </c>
      <c r="AA24" s="54">
        <f>4*Table4[[#This Row],[Cost After Tax]]</f>
        <v>0</v>
      </c>
      <c r="AB24" s="54" t="str">
        <f>IFERROR((Table4[[#This Row],[Selling Price]]-Table4[[#This Row],[Cost After Tax]])/Table4[[#This Row],[Selling Price]]*100,"")</f>
        <v/>
      </c>
      <c r="AC24" s="54">
        <f>Table4[[#This Row],[Selling Price]]-Table4[[#This Row],[Cost After Tax]]</f>
        <v>0</v>
      </c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62" t="str">
        <f>IFERROR(MAX(IF((sales[Product_ID]=Table4[[#This Row],[Product_ID]])*(sales[Sales Status]="Confirmed"),sales[Invoice Date])),"")</f>
        <v/>
      </c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4">
        <f ca="1">SUMIFS(sales[Quantity Sold],sales[Product_ID],Table4[[#This Row],[Product_ID]],sales[Invoice Date],"&gt;="&amp;TODAY()-30)</f>
        <v>0</v>
      </c>
      <c r="BA24" s="49" t="str">
        <f>IFERROR(AVERAGEIFS(purchase[Lead Time (Days)],purchase[Product_ID],Table4[[#This Row],[Product_ID]]),"")</f>
        <v/>
      </c>
      <c r="BB24" s="54">
        <f ca="1">IF(Table4[[#This Row],[Demand_Last_30_Days]]=0,0,Table4[[#This Row],[Demand_Last_30_Days]]/30)</f>
        <v>0</v>
      </c>
      <c r="BC24" s="57"/>
      <c r="BD24" s="54">
        <f ca="1">Table4[[#This Row],[Average_Daily_Usage]]*Table4[[#This Row],[Buffer_Days]]</f>
        <v>0</v>
      </c>
      <c r="BE24" s="54" t="str">
        <f ca="1">IFERROR(Table4[[#This Row],[Average_Daily_Usage]]*Table4[[#This Row],[Lead_Time_Days]],"")</f>
        <v/>
      </c>
      <c r="BF24" s="58" t="str">
        <f>IFERROR(MAX(IF(sales[Product_ID]=Table4[Product_ID],sales[Quantity Sold])),"")</f>
        <v/>
      </c>
      <c r="BG24" s="58" t="str">
        <f>IFERROR(MAX(IF(purchase[Received Date]-purchase[Purchase Date],purchase[Product_ID],Table4[Product_ID])),"")</f>
        <v/>
      </c>
      <c r="BH24" s="58" t="str">
        <f>IFERROR(AVERAGEIFS(sales[Quantity Sold],sales[Product_ID],Table4[Product_ID]),"")</f>
        <v/>
      </c>
      <c r="BI24" s="58" t="str">
        <f>IFERROR(AVERAGEIFS(purchase[Lead Time (Days)],purchase[Product_ID],Table4[Product_ID]),"")</f>
        <v/>
      </c>
    </row>
    <row r="25" spans="2:61" x14ac:dyDescent="0.4">
      <c r="D25" s="53" t="str">
        <f t="shared" si="2"/>
        <v>PROD0020</v>
      </c>
      <c r="E25" s="53"/>
      <c r="F25" s="53" t="s">
        <v>477</v>
      </c>
      <c r="G25" s="53"/>
      <c r="H25" s="53" t="str">
        <f>IFERROR(VLOOKUP(Table4[[#This Row],[Product_ID]],Table410[#All],2,0),"")</f>
        <v>PRODCAT0020</v>
      </c>
      <c r="I25" s="53" t="str">
        <f>IFERROR(VLOOKUP(Table4[[#This Row],[Product_ID]],Table41011[#All],2,0),"")</f>
        <v>PRODBRAND0001</v>
      </c>
      <c r="J25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PRODCAT0020PROD0020IHC0001SKU</v>
      </c>
      <c r="K25" s="53"/>
      <c r="L25" s="53" t="str">
        <f>IF(COUNTIF($L$1:L20, TEXT(ROW()-1,"0000000000"))=0, TEXT(ROW()-1,"0000000000"), "Duplicate Found")</f>
        <v>0000000024</v>
      </c>
      <c r="M25" s="53" t="str">
        <f t="shared" si="1"/>
        <v>BTBA400024</v>
      </c>
      <c r="N25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25" s="54" t="str">
        <f ca="1">IFERROR(Table4[[#This Row],[Expected_Demand_During_Lead_Time]]+Table4[[#This Row],[Safety_Stock]],"")</f>
        <v/>
      </c>
      <c r="P25" s="54" t="str">
        <f ca="1">IFERROR(Table4[[#This Row],[Reorder Level]]-Table4[[#This Row],[Stock Quantity]],"")</f>
        <v/>
      </c>
      <c r="Q25" s="54" t="str">
        <f ca="1">IFERROR(Table4[[#This Row],[Reorder Level]]+Table4[[#This Row],[Safety_Stock]]+Table4[[#This Row],[Expected_Demand_During_Lead_Time]],"")</f>
        <v/>
      </c>
      <c r="R25" s="53" t="s">
        <v>122</v>
      </c>
      <c r="S25" s="53"/>
      <c r="T25" s="53"/>
      <c r="U25" s="53"/>
      <c r="V25" s="54" t="e">
        <f>(Table4[[#This Row],[MRP]]-Table4[[#This Row],[Selling Price]])/Table4[[#This Row],[MRP]]*100</f>
        <v>#DIV/0!</v>
      </c>
      <c r="W25" s="57"/>
      <c r="X25" s="57" t="s">
        <v>547</v>
      </c>
      <c r="Y25" s="54"/>
      <c r="Z25" s="54">
        <f>(Table4[[#This Row],[Cost Before Tax]]*Table4[[#This Row],[Tax Rate (%)]])/100+Table4[[#This Row],[Cost Before Tax]]</f>
        <v>0</v>
      </c>
      <c r="AA25" s="54">
        <f>4*Table4[[#This Row],[Cost After Tax]]</f>
        <v>0</v>
      </c>
      <c r="AB25" s="54" t="str">
        <f>IFERROR((Table4[[#This Row],[Selling Price]]-Table4[[#This Row],[Cost After Tax]])/Table4[[#This Row],[Selling Price]]*100,"")</f>
        <v/>
      </c>
      <c r="AC25" s="54">
        <f>Table4[[#This Row],[Selling Price]]-Table4[[#This Row],[Cost After Tax]]</f>
        <v>0</v>
      </c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62" t="str">
        <f>IFERROR(MAX(IF((sales[Product_ID]=Table4[[#This Row],[Product_ID]])*(sales[Sales Status]="Confirmed"),sales[Invoice Date])),"")</f>
        <v/>
      </c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4">
        <f ca="1">SUMIFS(sales[Quantity Sold],sales[Product_ID],Table4[[#This Row],[Product_ID]],sales[Invoice Date],"&gt;="&amp;TODAY()-30)</f>
        <v>0</v>
      </c>
      <c r="BA25" s="49" t="str">
        <f>IFERROR(AVERAGEIFS(purchase[Lead Time (Days)],purchase[Product_ID],Table4[[#This Row],[Product_ID]]),"")</f>
        <v/>
      </c>
      <c r="BB25" s="54">
        <f ca="1">IF(Table4[[#This Row],[Demand_Last_30_Days]]=0,0,Table4[[#This Row],[Demand_Last_30_Days]]/30)</f>
        <v>0</v>
      </c>
      <c r="BC25" s="57"/>
      <c r="BD25" s="54">
        <f ca="1">Table4[[#This Row],[Average_Daily_Usage]]*Table4[[#This Row],[Buffer_Days]]</f>
        <v>0</v>
      </c>
      <c r="BE25" s="54" t="str">
        <f ca="1">IFERROR(Table4[[#This Row],[Average_Daily_Usage]]*Table4[[#This Row],[Lead_Time_Days]],"")</f>
        <v/>
      </c>
      <c r="BF25" s="58" t="str">
        <f>IFERROR(MAX(IF(sales[Product_ID]=Table4[Product_ID],sales[Quantity Sold])),"")</f>
        <v/>
      </c>
      <c r="BG25" s="58" t="str">
        <f>IFERROR(MAX(IF(purchase[Received Date]-purchase[Purchase Date],purchase[Product_ID],Table4[Product_ID])),"")</f>
        <v/>
      </c>
      <c r="BH25" s="58" t="str">
        <f>IFERROR(AVERAGEIFS(sales[Quantity Sold],sales[Product_ID],Table4[Product_ID]),"")</f>
        <v/>
      </c>
      <c r="BI25" s="58" t="str">
        <f>IFERROR(AVERAGEIFS(purchase[Lead Time (Days)],purchase[Product_ID],Table4[Product_ID]),"")</f>
        <v/>
      </c>
    </row>
    <row r="26" spans="2:61" x14ac:dyDescent="0.4">
      <c r="D26" s="53" t="str">
        <f t="shared" si="2"/>
        <v>PROD0021</v>
      </c>
      <c r="E26" s="53"/>
      <c r="F26" s="53" t="s">
        <v>478</v>
      </c>
      <c r="G26" s="53"/>
      <c r="H26" s="53" t="str">
        <f>IFERROR(VLOOKUP(Table4[[#This Row],[Product_ID]],Table410[#All],2,0),"")</f>
        <v>PRODCAT0021</v>
      </c>
      <c r="I26" s="53" t="str">
        <f>IFERROR(VLOOKUP(Table4[[#This Row],[Product_ID]],Table41011[#All],2,0),"")</f>
        <v>PRODBRAND0001</v>
      </c>
      <c r="J26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PRODCAT0021PROD0021IHC0001SKU</v>
      </c>
      <c r="K26" s="53"/>
      <c r="L26" s="53" t="str">
        <f>IF(COUNTIF($L$1:L21, TEXT(ROW()-1,"0000000000"))=0, TEXT(ROW()-1,"0000000000"), "Duplicate Found")</f>
        <v>0000000025</v>
      </c>
      <c r="M26" s="53" t="str">
        <f t="shared" si="1"/>
        <v>BTBA400025</v>
      </c>
      <c r="N26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26" s="54" t="str">
        <f ca="1">IFERROR(Table4[[#This Row],[Expected_Demand_During_Lead_Time]]+Table4[[#This Row],[Safety_Stock]],"")</f>
        <v/>
      </c>
      <c r="P26" s="54" t="str">
        <f ca="1">IFERROR(Table4[[#This Row],[Reorder Level]]-Table4[[#This Row],[Stock Quantity]],"")</f>
        <v/>
      </c>
      <c r="Q26" s="54" t="str">
        <f ca="1">IFERROR(Table4[[#This Row],[Reorder Level]]+Table4[[#This Row],[Safety_Stock]]+Table4[[#This Row],[Expected_Demand_During_Lead_Time]],"")</f>
        <v/>
      </c>
      <c r="R26" s="53" t="s">
        <v>122</v>
      </c>
      <c r="S26" s="53"/>
      <c r="T26" s="53"/>
      <c r="U26" s="53"/>
      <c r="V26" s="54" t="e">
        <f>(Table4[[#This Row],[MRP]]-Table4[[#This Row],[Selling Price]])/Table4[[#This Row],[MRP]]*100</f>
        <v>#DIV/0!</v>
      </c>
      <c r="W26" s="57"/>
      <c r="X26" s="57" t="s">
        <v>547</v>
      </c>
      <c r="Y26" s="54"/>
      <c r="Z26" s="54">
        <f>(Table4[[#This Row],[Cost Before Tax]]*Table4[[#This Row],[Tax Rate (%)]])/100+Table4[[#This Row],[Cost Before Tax]]</f>
        <v>0</v>
      </c>
      <c r="AA26" s="54">
        <f>4*Table4[[#This Row],[Cost After Tax]]</f>
        <v>0</v>
      </c>
      <c r="AB26" s="54" t="str">
        <f>IFERROR((Table4[[#This Row],[Selling Price]]-Table4[[#This Row],[Cost After Tax]])/Table4[[#This Row],[Selling Price]]*100,"")</f>
        <v/>
      </c>
      <c r="AC26" s="54">
        <f>Table4[[#This Row],[Selling Price]]-Table4[[#This Row],[Cost After Tax]]</f>
        <v>0</v>
      </c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62" t="str">
        <f>IFERROR(MAX(IF((sales[Product_ID]=Table4[[#This Row],[Product_ID]])*(sales[Sales Status]="Confirmed"),sales[Invoice Date])),"")</f>
        <v/>
      </c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4">
        <f ca="1">SUMIFS(sales[Quantity Sold],sales[Product_ID],Table4[[#This Row],[Product_ID]],sales[Invoice Date],"&gt;="&amp;TODAY()-30)</f>
        <v>0</v>
      </c>
      <c r="BA26" s="49" t="str">
        <f>IFERROR(AVERAGEIFS(purchase[Lead Time (Days)],purchase[Product_ID],Table4[[#This Row],[Product_ID]]),"")</f>
        <v/>
      </c>
      <c r="BB26" s="54">
        <f ca="1">IF(Table4[[#This Row],[Demand_Last_30_Days]]=0,0,Table4[[#This Row],[Demand_Last_30_Days]]/30)</f>
        <v>0</v>
      </c>
      <c r="BC26" s="57"/>
      <c r="BD26" s="54">
        <f ca="1">Table4[[#This Row],[Average_Daily_Usage]]*Table4[[#This Row],[Buffer_Days]]</f>
        <v>0</v>
      </c>
      <c r="BE26" s="54" t="str">
        <f ca="1">IFERROR(Table4[[#This Row],[Average_Daily_Usage]]*Table4[[#This Row],[Lead_Time_Days]],"")</f>
        <v/>
      </c>
      <c r="BF26" s="58" t="str">
        <f>IFERROR(MAX(IF(sales[Product_ID]=Table4[Product_ID],sales[Quantity Sold])),"")</f>
        <v/>
      </c>
      <c r="BG26" s="58" t="str">
        <f>IFERROR(MAX(IF(purchase[Received Date]-purchase[Purchase Date],purchase[Product_ID],Table4[Product_ID])),"")</f>
        <v/>
      </c>
      <c r="BH26" s="58" t="str">
        <f>IFERROR(AVERAGEIFS(sales[Quantity Sold],sales[Product_ID],Table4[Product_ID]),"")</f>
        <v/>
      </c>
      <c r="BI26" s="58" t="str">
        <f>IFERROR(AVERAGEIFS(purchase[Lead Time (Days)],purchase[Product_ID],Table4[Product_ID]),"")</f>
        <v/>
      </c>
    </row>
    <row r="27" spans="2:61" x14ac:dyDescent="0.4">
      <c r="D27" s="53" t="str">
        <f t="shared" si="2"/>
        <v>PROD0022</v>
      </c>
      <c r="E27" s="53"/>
      <c r="F27" s="53" t="s">
        <v>479</v>
      </c>
      <c r="G27" s="53"/>
      <c r="H27" s="53" t="str">
        <f>IFERROR(VLOOKUP(Table4[[#This Row],[Product_ID]],Table410[#All],2,0),"")</f>
        <v>PRODCAT0022</v>
      </c>
      <c r="I27" s="53" t="str">
        <f>IFERROR(VLOOKUP(Table4[[#This Row],[Product_ID]],Table41011[#All],2,0),"")</f>
        <v>PRODBRAND0001</v>
      </c>
      <c r="J27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PRODCAT0022PROD0022IHC0001SKU</v>
      </c>
      <c r="K27" s="53"/>
      <c r="L27" s="53" t="str">
        <f>IF(COUNTIF($L$1:L22, TEXT(ROW()-1,"0000000000"))=0, TEXT(ROW()-1,"0000000000"), "Duplicate Found")</f>
        <v>0000000026</v>
      </c>
      <c r="M27" s="53" t="str">
        <f t="shared" si="1"/>
        <v>BTBA400026</v>
      </c>
      <c r="N27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27" s="54" t="str">
        <f ca="1">IFERROR(Table4[[#This Row],[Expected_Demand_During_Lead_Time]]+Table4[[#This Row],[Safety_Stock]],"")</f>
        <v/>
      </c>
      <c r="P27" s="54" t="str">
        <f ca="1">IFERROR(Table4[[#This Row],[Reorder Level]]-Table4[[#This Row],[Stock Quantity]],"")</f>
        <v/>
      </c>
      <c r="Q27" s="54" t="str">
        <f ca="1">IFERROR(Table4[[#This Row],[Reorder Level]]+Table4[[#This Row],[Safety_Stock]]+Table4[[#This Row],[Expected_Demand_During_Lead_Time]],"")</f>
        <v/>
      </c>
      <c r="R27" s="53" t="s">
        <v>122</v>
      </c>
      <c r="S27" s="53"/>
      <c r="T27" s="53"/>
      <c r="U27" s="53"/>
      <c r="V27" s="54" t="e">
        <f>(Table4[[#This Row],[MRP]]-Table4[[#This Row],[Selling Price]])/Table4[[#This Row],[MRP]]*100</f>
        <v>#DIV/0!</v>
      </c>
      <c r="W27" s="57"/>
      <c r="X27" s="57" t="s">
        <v>547</v>
      </c>
      <c r="Y27" s="54"/>
      <c r="Z27" s="54">
        <f>(Table4[[#This Row],[Cost Before Tax]]*Table4[[#This Row],[Tax Rate (%)]])/100+Table4[[#This Row],[Cost Before Tax]]</f>
        <v>0</v>
      </c>
      <c r="AA27" s="54">
        <f>4*Table4[[#This Row],[Cost After Tax]]</f>
        <v>0</v>
      </c>
      <c r="AB27" s="54" t="str">
        <f>IFERROR((Table4[[#This Row],[Selling Price]]-Table4[[#This Row],[Cost After Tax]])/Table4[[#This Row],[Selling Price]]*100,"")</f>
        <v/>
      </c>
      <c r="AC27" s="54">
        <f>Table4[[#This Row],[Selling Price]]-Table4[[#This Row],[Cost After Tax]]</f>
        <v>0</v>
      </c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62" t="str">
        <f>IFERROR(MAX(IF((sales[Product_ID]=Table4[[#This Row],[Product_ID]])*(sales[Sales Status]="Confirmed"),sales[Invoice Date])),"")</f>
        <v/>
      </c>
      <c r="AP27" s="57"/>
      <c r="AQ27" s="57"/>
      <c r="AR27" s="57"/>
      <c r="AS27" s="57"/>
      <c r="AT27" s="57"/>
      <c r="AU27" s="57"/>
      <c r="AV27" s="57"/>
      <c r="AW27" s="57"/>
      <c r="AX27" s="57"/>
      <c r="AY27" s="57"/>
      <c r="AZ27" s="54">
        <f ca="1">SUMIFS(sales[Quantity Sold],sales[Product_ID],Table4[[#This Row],[Product_ID]],sales[Invoice Date],"&gt;="&amp;TODAY()-30)</f>
        <v>0</v>
      </c>
      <c r="BA27" s="49" t="str">
        <f>IFERROR(AVERAGEIFS(purchase[Lead Time (Days)],purchase[Product_ID],Table4[[#This Row],[Product_ID]]),"")</f>
        <v/>
      </c>
      <c r="BB27" s="54">
        <f ca="1">IF(Table4[[#This Row],[Demand_Last_30_Days]]=0,0,Table4[[#This Row],[Demand_Last_30_Days]]/30)</f>
        <v>0</v>
      </c>
      <c r="BC27" s="57"/>
      <c r="BD27" s="54">
        <f ca="1">Table4[[#This Row],[Average_Daily_Usage]]*Table4[[#This Row],[Buffer_Days]]</f>
        <v>0</v>
      </c>
      <c r="BE27" s="54" t="str">
        <f ca="1">IFERROR(Table4[[#This Row],[Average_Daily_Usage]]*Table4[[#This Row],[Lead_Time_Days]],"")</f>
        <v/>
      </c>
      <c r="BF27" s="58" t="str">
        <f>IFERROR(MAX(IF(sales[Product_ID]=Table4[Product_ID],sales[Quantity Sold])),"")</f>
        <v/>
      </c>
      <c r="BG27" s="58" t="str">
        <f>IFERROR(MAX(IF(purchase[Received Date]-purchase[Purchase Date],purchase[Product_ID],Table4[Product_ID])),"")</f>
        <v/>
      </c>
      <c r="BH27" s="58" t="str">
        <f>IFERROR(AVERAGEIFS(sales[Quantity Sold],sales[Product_ID],Table4[Product_ID]),"")</f>
        <v/>
      </c>
      <c r="BI27" s="58" t="str">
        <f>IFERROR(AVERAGEIFS(purchase[Lead Time (Days)],purchase[Product_ID],Table4[Product_ID]),"")</f>
        <v/>
      </c>
    </row>
    <row r="28" spans="2:61" x14ac:dyDescent="0.4">
      <c r="D28" s="53" t="str">
        <f t="shared" si="2"/>
        <v>PROD0023</v>
      </c>
      <c r="E28" s="53"/>
      <c r="F28" s="53" t="s">
        <v>480</v>
      </c>
      <c r="G28" s="53"/>
      <c r="H28" s="53" t="str">
        <f>IFERROR(VLOOKUP(Table4[[#This Row],[Product_ID]],Table410[#All],2,0),"")</f>
        <v>PRODCAT0023</v>
      </c>
      <c r="I28" s="53" t="str">
        <f>IFERROR(VLOOKUP(Table4[[#This Row],[Product_ID]],Table41011[#All],2,0),"")</f>
        <v>PRODBRAND0001</v>
      </c>
      <c r="J28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PRODCAT0023PROD0023IHC0001SKU</v>
      </c>
      <c r="K28" s="53"/>
      <c r="L28" s="53" t="str">
        <f>IF(COUNTIF($L$1:L23, TEXT(ROW()-1,"0000000000"))=0, TEXT(ROW()-1,"0000000000"), "Duplicate Found")</f>
        <v>0000000027</v>
      </c>
      <c r="M28" s="53" t="str">
        <f t="shared" si="1"/>
        <v>BTBA400027</v>
      </c>
      <c r="N28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28" s="54" t="str">
        <f ca="1">IFERROR(Table4[[#This Row],[Expected_Demand_During_Lead_Time]]+Table4[[#This Row],[Safety_Stock]],"")</f>
        <v/>
      </c>
      <c r="P28" s="54" t="str">
        <f ca="1">IFERROR(Table4[[#This Row],[Reorder Level]]-Table4[[#This Row],[Stock Quantity]],"")</f>
        <v/>
      </c>
      <c r="Q28" s="54" t="str">
        <f ca="1">IFERROR(Table4[[#This Row],[Reorder Level]]+Table4[[#This Row],[Safety_Stock]]+Table4[[#This Row],[Expected_Demand_During_Lead_Time]],"")</f>
        <v/>
      </c>
      <c r="R28" s="53" t="s">
        <v>122</v>
      </c>
      <c r="S28" s="53"/>
      <c r="T28" s="53"/>
      <c r="U28" s="53"/>
      <c r="V28" s="54" t="e">
        <f>(Table4[[#This Row],[MRP]]-Table4[[#This Row],[Selling Price]])/Table4[[#This Row],[MRP]]*100</f>
        <v>#DIV/0!</v>
      </c>
      <c r="W28" s="57"/>
      <c r="X28" s="57" t="s">
        <v>547</v>
      </c>
      <c r="Y28" s="54"/>
      <c r="Z28" s="54">
        <f>(Table4[[#This Row],[Cost Before Tax]]*Table4[[#This Row],[Tax Rate (%)]])/100+Table4[[#This Row],[Cost Before Tax]]</f>
        <v>0</v>
      </c>
      <c r="AA28" s="54">
        <f>4*Table4[[#This Row],[Cost After Tax]]</f>
        <v>0</v>
      </c>
      <c r="AB28" s="54" t="str">
        <f>IFERROR((Table4[[#This Row],[Selling Price]]-Table4[[#This Row],[Cost After Tax]])/Table4[[#This Row],[Selling Price]]*100,"")</f>
        <v/>
      </c>
      <c r="AC28" s="54">
        <f>Table4[[#This Row],[Selling Price]]-Table4[[#This Row],[Cost After Tax]]</f>
        <v>0</v>
      </c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62" t="str">
        <f>IFERROR(MAX(IF((sales[Product_ID]=Table4[[#This Row],[Product_ID]])*(sales[Sales Status]="Confirmed"),sales[Invoice Date])),"")</f>
        <v/>
      </c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4">
        <f ca="1">SUMIFS(sales[Quantity Sold],sales[Product_ID],Table4[[#This Row],[Product_ID]],sales[Invoice Date],"&gt;="&amp;TODAY()-30)</f>
        <v>0</v>
      </c>
      <c r="BA28" s="49" t="str">
        <f>IFERROR(AVERAGEIFS(purchase[Lead Time (Days)],purchase[Product_ID],Table4[[#This Row],[Product_ID]]),"")</f>
        <v/>
      </c>
      <c r="BB28" s="54">
        <f ca="1">IF(Table4[[#This Row],[Demand_Last_30_Days]]=0,0,Table4[[#This Row],[Demand_Last_30_Days]]/30)</f>
        <v>0</v>
      </c>
      <c r="BC28" s="57"/>
      <c r="BD28" s="54">
        <f ca="1">Table4[[#This Row],[Average_Daily_Usage]]*Table4[[#This Row],[Buffer_Days]]</f>
        <v>0</v>
      </c>
      <c r="BE28" s="54" t="str">
        <f ca="1">IFERROR(Table4[[#This Row],[Average_Daily_Usage]]*Table4[[#This Row],[Lead_Time_Days]],"")</f>
        <v/>
      </c>
      <c r="BF28" s="58" t="str">
        <f>IFERROR(MAX(IF(sales[Product_ID]=Table4[Product_ID],sales[Quantity Sold])),"")</f>
        <v/>
      </c>
      <c r="BG28" s="58" t="str">
        <f>IFERROR(MAX(IF(purchase[Received Date]-purchase[Purchase Date],purchase[Product_ID],Table4[Product_ID])),"")</f>
        <v/>
      </c>
      <c r="BH28" s="58" t="str">
        <f>IFERROR(AVERAGEIFS(sales[Quantity Sold],sales[Product_ID],Table4[Product_ID]),"")</f>
        <v/>
      </c>
      <c r="BI28" s="58" t="str">
        <f>IFERROR(AVERAGEIFS(purchase[Lead Time (Days)],purchase[Product_ID],Table4[Product_ID]),"")</f>
        <v/>
      </c>
    </row>
    <row r="29" spans="2:61" x14ac:dyDescent="0.4">
      <c r="D29" s="53" t="str">
        <f t="shared" si="2"/>
        <v>PROD0024</v>
      </c>
      <c r="E29" s="53"/>
      <c r="F29" s="53" t="s">
        <v>481</v>
      </c>
      <c r="G29" s="53"/>
      <c r="H29" s="53" t="str">
        <f>IFERROR(VLOOKUP(Table4[[#This Row],[Product_ID]],Table410[#All],2,0),"")</f>
        <v>PRODCAT0024</v>
      </c>
      <c r="I29" s="53" t="str">
        <f>IFERROR(VLOOKUP(Table4[[#This Row],[Product_ID]],Table41011[#All],2,0),"")</f>
        <v>PRODBRAND0001</v>
      </c>
      <c r="J29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PRODCAT0024PROD0024IHC0001SKU</v>
      </c>
      <c r="K29" s="53"/>
      <c r="L29" s="53" t="str">
        <f>IF(COUNTIF($L$1:L24, TEXT(ROW()-1,"0000000000"))=0, TEXT(ROW()-1,"0000000000"), "Duplicate Found")</f>
        <v>0000000028</v>
      </c>
      <c r="M29" s="53" t="str">
        <f t="shared" si="1"/>
        <v>BTBA400028</v>
      </c>
      <c r="N29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29" s="54" t="str">
        <f ca="1">IFERROR(Table4[[#This Row],[Expected_Demand_During_Lead_Time]]+Table4[[#This Row],[Safety_Stock]],"")</f>
        <v/>
      </c>
      <c r="P29" s="54" t="str">
        <f ca="1">IFERROR(Table4[[#This Row],[Reorder Level]]-Table4[[#This Row],[Stock Quantity]],"")</f>
        <v/>
      </c>
      <c r="Q29" s="54" t="str">
        <f ca="1">IFERROR(Table4[[#This Row],[Reorder Level]]+Table4[[#This Row],[Safety_Stock]]+Table4[[#This Row],[Expected_Demand_During_Lead_Time]],"")</f>
        <v/>
      </c>
      <c r="R29" s="53" t="s">
        <v>122</v>
      </c>
      <c r="S29" s="53"/>
      <c r="T29" s="53"/>
      <c r="U29" s="53"/>
      <c r="V29" s="54" t="e">
        <f>(Table4[[#This Row],[MRP]]-Table4[[#This Row],[Selling Price]])/Table4[[#This Row],[MRP]]*100</f>
        <v>#DIV/0!</v>
      </c>
      <c r="W29" s="57"/>
      <c r="X29" s="57" t="s">
        <v>547</v>
      </c>
      <c r="Y29" s="54"/>
      <c r="Z29" s="54">
        <f>(Table4[[#This Row],[Cost Before Tax]]*Table4[[#This Row],[Tax Rate (%)]])/100+Table4[[#This Row],[Cost Before Tax]]</f>
        <v>0</v>
      </c>
      <c r="AA29" s="54">
        <f>4*Table4[[#This Row],[Cost After Tax]]</f>
        <v>0</v>
      </c>
      <c r="AB29" s="54" t="str">
        <f>IFERROR((Table4[[#This Row],[Selling Price]]-Table4[[#This Row],[Cost After Tax]])/Table4[[#This Row],[Selling Price]]*100,"")</f>
        <v/>
      </c>
      <c r="AC29" s="54">
        <f>Table4[[#This Row],[Selling Price]]-Table4[[#This Row],[Cost After Tax]]</f>
        <v>0</v>
      </c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62" t="str">
        <f>IFERROR(MAX(IF((sales[Product_ID]=Table4[[#This Row],[Product_ID]])*(sales[Sales Status]="Confirmed"),sales[Invoice Date])),"")</f>
        <v/>
      </c>
      <c r="AP29" s="57"/>
      <c r="AQ29" s="57"/>
      <c r="AR29" s="57"/>
      <c r="AS29" s="57"/>
      <c r="AT29" s="57"/>
      <c r="AU29" s="57"/>
      <c r="AV29" s="57"/>
      <c r="AW29" s="57"/>
      <c r="AX29" s="57"/>
      <c r="AY29" s="57"/>
      <c r="AZ29" s="54">
        <f ca="1">SUMIFS(sales[Quantity Sold],sales[Product_ID],Table4[[#This Row],[Product_ID]],sales[Invoice Date],"&gt;="&amp;TODAY()-30)</f>
        <v>0</v>
      </c>
      <c r="BA29" s="49" t="str">
        <f>IFERROR(AVERAGEIFS(purchase[Lead Time (Days)],purchase[Product_ID],Table4[[#This Row],[Product_ID]]),"")</f>
        <v/>
      </c>
      <c r="BB29" s="54">
        <f ca="1">IF(Table4[[#This Row],[Demand_Last_30_Days]]=0,0,Table4[[#This Row],[Demand_Last_30_Days]]/30)</f>
        <v>0</v>
      </c>
      <c r="BC29" s="57"/>
      <c r="BD29" s="54">
        <f ca="1">Table4[[#This Row],[Average_Daily_Usage]]*Table4[[#This Row],[Buffer_Days]]</f>
        <v>0</v>
      </c>
      <c r="BE29" s="54" t="str">
        <f ca="1">IFERROR(Table4[[#This Row],[Average_Daily_Usage]]*Table4[[#This Row],[Lead_Time_Days]],"")</f>
        <v/>
      </c>
      <c r="BF29" s="58" t="str">
        <f>IFERROR(MAX(IF(sales[Product_ID]=Table4[Product_ID],sales[Quantity Sold])),"")</f>
        <v/>
      </c>
      <c r="BG29" s="58" t="str">
        <f>IFERROR(MAX(IF(purchase[Received Date]-purchase[Purchase Date],purchase[Product_ID],Table4[Product_ID])),"")</f>
        <v/>
      </c>
      <c r="BH29" s="58" t="str">
        <f>IFERROR(AVERAGEIFS(sales[Quantity Sold],sales[Product_ID],Table4[Product_ID]),"")</f>
        <v/>
      </c>
      <c r="BI29" s="58" t="str">
        <f>IFERROR(AVERAGEIFS(purchase[Lead Time (Days)],purchase[Product_ID],Table4[Product_ID]),"")</f>
        <v/>
      </c>
    </row>
    <row r="30" spans="2:61" x14ac:dyDescent="0.4">
      <c r="D30" s="53" t="str">
        <f t="shared" si="2"/>
        <v>PROD0025</v>
      </c>
      <c r="E30" s="53"/>
      <c r="F30" s="53" t="s">
        <v>482</v>
      </c>
      <c r="G30" s="53"/>
      <c r="H30" s="53" t="str">
        <f>IFERROR(VLOOKUP(Table4[[#This Row],[Product_ID]],Table410[#All],2,0),"")</f>
        <v>PRODCAT0025</v>
      </c>
      <c r="I30" s="53" t="str">
        <f>IFERROR(VLOOKUP(Table4[[#This Row],[Product_ID]],Table41011[#All],2,0),"")</f>
        <v>PRODBRAND0001</v>
      </c>
      <c r="J30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PRODCAT0025PROD0025IHC0001SKU</v>
      </c>
      <c r="K30" s="53"/>
      <c r="L30" s="53" t="str">
        <f>IF(COUNTIF($L$1:L25, TEXT(ROW()-1,"0000000000"))=0, TEXT(ROW()-1,"0000000000"), "Duplicate Found")</f>
        <v>0000000029</v>
      </c>
      <c r="M30" s="53" t="str">
        <f t="shared" si="1"/>
        <v>BTBA400029</v>
      </c>
      <c r="N30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30" s="54" t="str">
        <f ca="1">IFERROR(Table4[[#This Row],[Expected_Demand_During_Lead_Time]]+Table4[[#This Row],[Safety_Stock]],"")</f>
        <v/>
      </c>
      <c r="P30" s="54" t="str">
        <f ca="1">IFERROR(Table4[[#This Row],[Reorder Level]]-Table4[[#This Row],[Stock Quantity]],"")</f>
        <v/>
      </c>
      <c r="Q30" s="54" t="str">
        <f ca="1">IFERROR(Table4[[#This Row],[Reorder Level]]+Table4[[#This Row],[Safety_Stock]]+Table4[[#This Row],[Expected_Demand_During_Lead_Time]],"")</f>
        <v/>
      </c>
      <c r="R30" s="53" t="s">
        <v>122</v>
      </c>
      <c r="S30" s="53"/>
      <c r="T30" s="53"/>
      <c r="U30" s="53"/>
      <c r="V30" s="54" t="e">
        <f>(Table4[[#This Row],[MRP]]-Table4[[#This Row],[Selling Price]])/Table4[[#This Row],[MRP]]*100</f>
        <v>#DIV/0!</v>
      </c>
      <c r="W30" s="57"/>
      <c r="X30" s="57" t="s">
        <v>547</v>
      </c>
      <c r="Y30" s="54"/>
      <c r="Z30" s="54">
        <f>(Table4[[#This Row],[Cost Before Tax]]*Table4[[#This Row],[Tax Rate (%)]])/100+Table4[[#This Row],[Cost Before Tax]]</f>
        <v>0</v>
      </c>
      <c r="AA30" s="54">
        <f>4*Table4[[#This Row],[Cost After Tax]]</f>
        <v>0</v>
      </c>
      <c r="AB30" s="54" t="str">
        <f>IFERROR((Table4[[#This Row],[Selling Price]]-Table4[[#This Row],[Cost After Tax]])/Table4[[#This Row],[Selling Price]]*100,"")</f>
        <v/>
      </c>
      <c r="AC30" s="54">
        <f>Table4[[#This Row],[Selling Price]]-Table4[[#This Row],[Cost After Tax]]</f>
        <v>0</v>
      </c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62" t="str">
        <f>IFERROR(MAX(IF((sales[Product_ID]=Table4[[#This Row],[Product_ID]])*(sales[Sales Status]="Confirmed"),sales[Invoice Date])),"")</f>
        <v/>
      </c>
      <c r="AP30" s="57"/>
      <c r="AQ30" s="57"/>
      <c r="AR30" s="57"/>
      <c r="AS30" s="57"/>
      <c r="AT30" s="57"/>
      <c r="AU30" s="57"/>
      <c r="AV30" s="57"/>
      <c r="AW30" s="57"/>
      <c r="AX30" s="57"/>
      <c r="AY30" s="57"/>
      <c r="AZ30" s="54">
        <f ca="1">SUMIFS(sales[Quantity Sold],sales[Product_ID],Table4[[#This Row],[Product_ID]],sales[Invoice Date],"&gt;="&amp;TODAY()-30)</f>
        <v>0</v>
      </c>
      <c r="BA30" s="49" t="str">
        <f>IFERROR(AVERAGEIFS(purchase[Lead Time (Days)],purchase[Product_ID],Table4[[#This Row],[Product_ID]]),"")</f>
        <v/>
      </c>
      <c r="BB30" s="54">
        <f ca="1">IF(Table4[[#This Row],[Demand_Last_30_Days]]=0,0,Table4[[#This Row],[Demand_Last_30_Days]]/30)</f>
        <v>0</v>
      </c>
      <c r="BC30" s="57"/>
      <c r="BD30" s="54">
        <f ca="1">Table4[[#This Row],[Average_Daily_Usage]]*Table4[[#This Row],[Buffer_Days]]</f>
        <v>0</v>
      </c>
      <c r="BE30" s="54" t="str">
        <f ca="1">IFERROR(Table4[[#This Row],[Average_Daily_Usage]]*Table4[[#This Row],[Lead_Time_Days]],"")</f>
        <v/>
      </c>
      <c r="BF30" s="58" t="str">
        <f>IFERROR(MAX(IF(sales[Product_ID]=Table4[Product_ID],sales[Quantity Sold])),"")</f>
        <v/>
      </c>
      <c r="BG30" s="58" t="str">
        <f>IFERROR(MAX(IF(purchase[Received Date]-purchase[Purchase Date],purchase[Product_ID],Table4[Product_ID])),"")</f>
        <v/>
      </c>
      <c r="BH30" s="58" t="str">
        <f>IFERROR(AVERAGEIFS(sales[Quantity Sold],sales[Product_ID],Table4[Product_ID]),"")</f>
        <v/>
      </c>
      <c r="BI30" s="58" t="str">
        <f>IFERROR(AVERAGEIFS(purchase[Lead Time (Days)],purchase[Product_ID],Table4[Product_ID]),"")</f>
        <v/>
      </c>
    </row>
    <row r="31" spans="2:61" x14ac:dyDescent="0.4">
      <c r="D31" s="53" t="str">
        <f t="shared" si="2"/>
        <v>PROD0026</v>
      </c>
      <c r="E31" s="53">
        <v>69120090</v>
      </c>
      <c r="F31" s="53" t="s">
        <v>483</v>
      </c>
      <c r="G31" s="53"/>
      <c r="H31" s="53" t="str">
        <f>IFERROR(VLOOKUP(Table4[[#This Row],[Product_ID]],Table410[#All],2,0),"")</f>
        <v>PRODCAT0026</v>
      </c>
      <c r="I31" s="53" t="str">
        <f>IFERROR(VLOOKUP(Table4[[#This Row],[Product_ID]],Table41011[#All],2,0),"")</f>
        <v>PRODBRAND0001</v>
      </c>
      <c r="J31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PRODCAT0026PROD0026IHC0001SKU</v>
      </c>
      <c r="K31" s="53"/>
      <c r="L31" s="53" t="str">
        <f>IF(COUNTIF($L$1:L26, TEXT(ROW()-1,"0000000000"))=0, TEXT(ROW()-1,"0000000000"), "Duplicate Found")</f>
        <v>0000000030</v>
      </c>
      <c r="M31" s="53" t="str">
        <f t="shared" si="1"/>
        <v>BTBA400030</v>
      </c>
      <c r="N31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31" s="54" t="str">
        <f ca="1">IFERROR(Table4[[#This Row],[Expected_Demand_During_Lead_Time]]+Table4[[#This Row],[Safety_Stock]],"")</f>
        <v/>
      </c>
      <c r="P31" s="54" t="str">
        <f ca="1">IFERROR(Table4[[#This Row],[Reorder Level]]-Table4[[#This Row],[Stock Quantity]],"")</f>
        <v/>
      </c>
      <c r="Q31" s="54" t="str">
        <f ca="1">IFERROR(Table4[[#This Row],[Reorder Level]]+Table4[[#This Row],[Safety_Stock]]+Table4[[#This Row],[Expected_Demand_During_Lead_Time]],"")</f>
        <v/>
      </c>
      <c r="R31" s="53" t="s">
        <v>122</v>
      </c>
      <c r="S31" s="53"/>
      <c r="T31" s="53"/>
      <c r="U31" s="53"/>
      <c r="V31" s="54" t="e">
        <f>(Table4[[#This Row],[MRP]]-Table4[[#This Row],[Selling Price]])/Table4[[#This Row],[MRP]]*100</f>
        <v>#DIV/0!</v>
      </c>
      <c r="W31" s="57"/>
      <c r="X31" s="57" t="s">
        <v>547</v>
      </c>
      <c r="Y31" s="54">
        <v>12</v>
      </c>
      <c r="Z31" s="54">
        <f>(Table4[[#This Row],[Cost Before Tax]]*Table4[[#This Row],[Tax Rate (%)]])/100+Table4[[#This Row],[Cost Before Tax]]</f>
        <v>0</v>
      </c>
      <c r="AA31" s="54">
        <f>4*Table4[[#This Row],[Cost After Tax]]</f>
        <v>0</v>
      </c>
      <c r="AB31" s="54" t="str">
        <f>IFERROR((Table4[[#This Row],[Selling Price]]-Table4[[#This Row],[Cost After Tax]])/Table4[[#This Row],[Selling Price]]*100,"")</f>
        <v/>
      </c>
      <c r="AC31" s="54">
        <f>Table4[[#This Row],[Selling Price]]-Table4[[#This Row],[Cost After Tax]]</f>
        <v>0</v>
      </c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62" t="str">
        <f>IFERROR(MAX(IF((sales[Product_ID]=Table4[[#This Row],[Product_ID]])*(sales[Sales Status]="Confirmed"),sales[Invoice Date])),"")</f>
        <v/>
      </c>
      <c r="AP31" s="57"/>
      <c r="AQ31" s="57"/>
      <c r="AR31" s="57"/>
      <c r="AS31" s="57"/>
      <c r="AT31" s="57"/>
      <c r="AU31" s="57"/>
      <c r="AV31" s="57"/>
      <c r="AW31" s="57"/>
      <c r="AX31" s="57"/>
      <c r="AY31" s="57"/>
      <c r="AZ31" s="54">
        <f ca="1">SUMIFS(sales[Quantity Sold],sales[Product_ID],Table4[[#This Row],[Product_ID]],sales[Invoice Date],"&gt;="&amp;TODAY()-30)</f>
        <v>0</v>
      </c>
      <c r="BA31" s="49" t="str">
        <f>IFERROR(AVERAGEIFS(purchase[Lead Time (Days)],purchase[Product_ID],Table4[[#This Row],[Product_ID]]),"")</f>
        <v/>
      </c>
      <c r="BB31" s="54">
        <f ca="1">IF(Table4[[#This Row],[Demand_Last_30_Days]]=0,0,Table4[[#This Row],[Demand_Last_30_Days]]/30)</f>
        <v>0</v>
      </c>
      <c r="BC31" s="57"/>
      <c r="BD31" s="54">
        <f ca="1">Table4[[#This Row],[Average_Daily_Usage]]*Table4[[#This Row],[Buffer_Days]]</f>
        <v>0</v>
      </c>
      <c r="BE31" s="54" t="str">
        <f ca="1">IFERROR(Table4[[#This Row],[Average_Daily_Usage]]*Table4[[#This Row],[Lead_Time_Days]],"")</f>
        <v/>
      </c>
      <c r="BF31" s="58" t="str">
        <f>IFERROR(MAX(IF(sales[Product_ID]=Table4[Product_ID],sales[Quantity Sold])),"")</f>
        <v/>
      </c>
      <c r="BG31" s="58" t="str">
        <f>IFERROR(MAX(IF(purchase[Received Date]-purchase[Purchase Date],purchase[Product_ID],Table4[Product_ID])),"")</f>
        <v/>
      </c>
      <c r="BH31" s="58" t="str">
        <f>IFERROR(AVERAGEIFS(sales[Quantity Sold],sales[Product_ID],Table4[Product_ID]),"")</f>
        <v/>
      </c>
      <c r="BI31" s="58" t="str">
        <f>IFERROR(AVERAGEIFS(purchase[Lead Time (Days)],purchase[Product_ID],Table4[Product_ID]),"")</f>
        <v/>
      </c>
    </row>
    <row r="32" spans="2:61" x14ac:dyDescent="0.4">
      <c r="D32" s="53" t="str">
        <f t="shared" si="2"/>
        <v>PROD0027</v>
      </c>
      <c r="E32" s="53">
        <v>69120090</v>
      </c>
      <c r="F32" s="53" t="s">
        <v>484</v>
      </c>
      <c r="G32" s="53"/>
      <c r="H32" s="53" t="str">
        <f>IFERROR(VLOOKUP(Table4[[#This Row],[Product_ID]],Table410[#All],2,0),"")</f>
        <v>PRODCAT0027</v>
      </c>
      <c r="I32" s="53" t="str">
        <f>IFERROR(VLOOKUP(Table4[[#This Row],[Product_ID]],Table41011[#All],2,0),"")</f>
        <v>PRODBRAND0001</v>
      </c>
      <c r="J32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PRODCAT0027PROD0027IHC0001SKU</v>
      </c>
      <c r="K32" s="53"/>
      <c r="L32" s="53" t="str">
        <f>IF(COUNTIF($L$1:L27, TEXT(ROW()-1,"0000000000"))=0, TEXT(ROW()-1,"0000000000"), "Duplicate Found")</f>
        <v>0000000031</v>
      </c>
      <c r="M32" s="53" t="str">
        <f t="shared" si="1"/>
        <v>BTBA400031</v>
      </c>
      <c r="N32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32" s="54" t="str">
        <f ca="1">IFERROR(Table4[[#This Row],[Expected_Demand_During_Lead_Time]]+Table4[[#This Row],[Safety_Stock]],"")</f>
        <v/>
      </c>
      <c r="P32" s="54" t="str">
        <f ca="1">IFERROR(Table4[[#This Row],[Reorder Level]]-Table4[[#This Row],[Stock Quantity]],"")</f>
        <v/>
      </c>
      <c r="Q32" s="54" t="str">
        <f ca="1">IFERROR(Table4[[#This Row],[Reorder Level]]+Table4[[#This Row],[Safety_Stock]]+Table4[[#This Row],[Expected_Demand_During_Lead_Time]],"")</f>
        <v/>
      </c>
      <c r="R32" s="53" t="s">
        <v>122</v>
      </c>
      <c r="S32" s="53"/>
      <c r="T32" s="53"/>
      <c r="U32" s="53"/>
      <c r="V32" s="54" t="e">
        <f>(Table4[[#This Row],[MRP]]-Table4[[#This Row],[Selling Price]])/Table4[[#This Row],[MRP]]*100</f>
        <v>#DIV/0!</v>
      </c>
      <c r="W32" s="57"/>
      <c r="X32" s="57" t="s">
        <v>547</v>
      </c>
      <c r="Y32" s="54">
        <v>12</v>
      </c>
      <c r="Z32" s="54">
        <f>(Table4[[#This Row],[Cost Before Tax]]*Table4[[#This Row],[Tax Rate (%)]])/100+Table4[[#This Row],[Cost Before Tax]]</f>
        <v>0</v>
      </c>
      <c r="AA32" s="54">
        <f>4*Table4[[#This Row],[Cost After Tax]]</f>
        <v>0</v>
      </c>
      <c r="AB32" s="54" t="str">
        <f>IFERROR((Table4[[#This Row],[Selling Price]]-Table4[[#This Row],[Cost After Tax]])/Table4[[#This Row],[Selling Price]]*100,"")</f>
        <v/>
      </c>
      <c r="AC32" s="54">
        <f>Table4[[#This Row],[Selling Price]]-Table4[[#This Row],[Cost After Tax]]</f>
        <v>0</v>
      </c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62" t="str">
        <f>IFERROR(MAX(IF((sales[Product_ID]=Table4[[#This Row],[Product_ID]])*(sales[Sales Status]="Confirmed"),sales[Invoice Date])),"")</f>
        <v/>
      </c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4">
        <f ca="1">SUMIFS(sales[Quantity Sold],sales[Product_ID],Table4[[#This Row],[Product_ID]],sales[Invoice Date],"&gt;="&amp;TODAY()-30)</f>
        <v>0</v>
      </c>
      <c r="BA32" s="49" t="str">
        <f>IFERROR(AVERAGEIFS(purchase[Lead Time (Days)],purchase[Product_ID],Table4[[#This Row],[Product_ID]]),"")</f>
        <v/>
      </c>
      <c r="BB32" s="54">
        <f ca="1">IF(Table4[[#This Row],[Demand_Last_30_Days]]=0,0,Table4[[#This Row],[Demand_Last_30_Days]]/30)</f>
        <v>0</v>
      </c>
      <c r="BC32" s="57"/>
      <c r="BD32" s="54">
        <f ca="1">Table4[[#This Row],[Average_Daily_Usage]]*Table4[[#This Row],[Buffer_Days]]</f>
        <v>0</v>
      </c>
      <c r="BE32" s="54" t="str">
        <f ca="1">IFERROR(Table4[[#This Row],[Average_Daily_Usage]]*Table4[[#This Row],[Lead_Time_Days]],"")</f>
        <v/>
      </c>
      <c r="BF32" s="58" t="str">
        <f>IFERROR(MAX(IF(sales[Product_ID]=Table4[Product_ID],sales[Quantity Sold])),"")</f>
        <v/>
      </c>
      <c r="BG32" s="58" t="str">
        <f>IFERROR(MAX(IF(purchase[Received Date]-purchase[Purchase Date],purchase[Product_ID],Table4[Product_ID])),"")</f>
        <v/>
      </c>
      <c r="BH32" s="58" t="str">
        <f>IFERROR(AVERAGEIFS(sales[Quantity Sold],sales[Product_ID],Table4[Product_ID]),"")</f>
        <v/>
      </c>
      <c r="BI32" s="58" t="str">
        <f>IFERROR(AVERAGEIFS(purchase[Lead Time (Days)],purchase[Product_ID],Table4[Product_ID]),"")</f>
        <v/>
      </c>
    </row>
    <row r="33" spans="4:61" x14ac:dyDescent="0.4">
      <c r="D33" s="53" t="str">
        <f t="shared" si="2"/>
        <v>PROD0028</v>
      </c>
      <c r="E33" s="53">
        <v>69120090</v>
      </c>
      <c r="F33" s="53" t="s">
        <v>485</v>
      </c>
      <c r="G33" s="53"/>
      <c r="H33" s="53" t="str">
        <f>IFERROR(VLOOKUP(Table4[[#This Row],[Product_ID]],Table410[#All],2,0),"")</f>
        <v>PRODCAT0028</v>
      </c>
      <c r="I33" s="53" t="str">
        <f>IFERROR(VLOOKUP(Table4[[#This Row],[Product_ID]],Table41011[#All],2,0),"")</f>
        <v>PRODBRAND0001</v>
      </c>
      <c r="J33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PRODCAT0028PROD0028IHC0001SKU</v>
      </c>
      <c r="K33" s="53"/>
      <c r="L33" s="53" t="str">
        <f>IF(COUNTIF($L$1:L28, TEXT(ROW()-1,"0000000000"))=0, TEXT(ROW()-1,"0000000000"), "Duplicate Found")</f>
        <v>0000000032</v>
      </c>
      <c r="M33" s="53" t="str">
        <f t="shared" si="1"/>
        <v>BTBA400032</v>
      </c>
      <c r="N33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33" s="54" t="str">
        <f ca="1">IFERROR(Table4[[#This Row],[Expected_Demand_During_Lead_Time]]+Table4[[#This Row],[Safety_Stock]],"")</f>
        <v/>
      </c>
      <c r="P33" s="54" t="str">
        <f ca="1">IFERROR(Table4[[#This Row],[Reorder Level]]-Table4[[#This Row],[Stock Quantity]],"")</f>
        <v/>
      </c>
      <c r="Q33" s="54" t="str">
        <f ca="1">IFERROR(Table4[[#This Row],[Reorder Level]]+Table4[[#This Row],[Safety_Stock]]+Table4[[#This Row],[Expected_Demand_During_Lead_Time]],"")</f>
        <v/>
      </c>
      <c r="R33" s="53" t="s">
        <v>122</v>
      </c>
      <c r="S33" s="53"/>
      <c r="T33" s="53"/>
      <c r="U33" s="53"/>
      <c r="V33" s="54" t="e">
        <f>(Table4[[#This Row],[MRP]]-Table4[[#This Row],[Selling Price]])/Table4[[#This Row],[MRP]]*100</f>
        <v>#DIV/0!</v>
      </c>
      <c r="W33" s="57"/>
      <c r="X33" s="57" t="s">
        <v>547</v>
      </c>
      <c r="Y33" s="54">
        <v>12</v>
      </c>
      <c r="Z33" s="54">
        <f>(Table4[[#This Row],[Cost Before Tax]]*Table4[[#This Row],[Tax Rate (%)]])/100+Table4[[#This Row],[Cost Before Tax]]</f>
        <v>0</v>
      </c>
      <c r="AA33" s="54">
        <f>4*Table4[[#This Row],[Cost After Tax]]</f>
        <v>0</v>
      </c>
      <c r="AB33" s="54" t="str">
        <f>IFERROR((Table4[[#This Row],[Selling Price]]-Table4[[#This Row],[Cost After Tax]])/Table4[[#This Row],[Selling Price]]*100,"")</f>
        <v/>
      </c>
      <c r="AC33" s="54">
        <f>Table4[[#This Row],[Selling Price]]-Table4[[#This Row],[Cost After Tax]]</f>
        <v>0</v>
      </c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62" t="str">
        <f>IFERROR(MAX(IF((sales[Product_ID]=Table4[[#This Row],[Product_ID]])*(sales[Sales Status]="Confirmed"),sales[Invoice Date])),"")</f>
        <v/>
      </c>
      <c r="AP33" s="57"/>
      <c r="AQ33" s="57"/>
      <c r="AR33" s="57"/>
      <c r="AS33" s="57"/>
      <c r="AT33" s="57"/>
      <c r="AU33" s="57"/>
      <c r="AV33" s="57"/>
      <c r="AW33" s="57"/>
      <c r="AX33" s="57"/>
      <c r="AY33" s="57"/>
      <c r="AZ33" s="54">
        <f ca="1">SUMIFS(sales[Quantity Sold],sales[Product_ID],Table4[[#This Row],[Product_ID]],sales[Invoice Date],"&gt;="&amp;TODAY()-30)</f>
        <v>0</v>
      </c>
      <c r="BA33" s="49" t="str">
        <f>IFERROR(AVERAGEIFS(purchase[Lead Time (Days)],purchase[Product_ID],Table4[[#This Row],[Product_ID]]),"")</f>
        <v/>
      </c>
      <c r="BB33" s="54">
        <f ca="1">IF(Table4[[#This Row],[Demand_Last_30_Days]]=0,0,Table4[[#This Row],[Demand_Last_30_Days]]/30)</f>
        <v>0</v>
      </c>
      <c r="BC33" s="57"/>
      <c r="BD33" s="54">
        <f ca="1">Table4[[#This Row],[Average_Daily_Usage]]*Table4[[#This Row],[Buffer_Days]]</f>
        <v>0</v>
      </c>
      <c r="BE33" s="54" t="str">
        <f ca="1">IFERROR(Table4[[#This Row],[Average_Daily_Usage]]*Table4[[#This Row],[Lead_Time_Days]],"")</f>
        <v/>
      </c>
      <c r="BF33" s="58" t="str">
        <f>IFERROR(MAX(IF(sales[Product_ID]=Table4[Product_ID],sales[Quantity Sold])),"")</f>
        <v/>
      </c>
      <c r="BG33" s="58" t="str">
        <f>IFERROR(MAX(IF(purchase[Received Date]-purchase[Purchase Date],purchase[Product_ID],Table4[Product_ID])),"")</f>
        <v/>
      </c>
      <c r="BH33" s="58" t="str">
        <f>IFERROR(AVERAGEIFS(sales[Quantity Sold],sales[Product_ID],Table4[Product_ID]),"")</f>
        <v/>
      </c>
      <c r="BI33" s="58" t="str">
        <f>IFERROR(AVERAGEIFS(purchase[Lead Time (Days)],purchase[Product_ID],Table4[Product_ID]),"")</f>
        <v/>
      </c>
    </row>
    <row r="34" spans="4:61" x14ac:dyDescent="0.4">
      <c r="D34" s="53" t="str">
        <f t="shared" si="2"/>
        <v>PROD0029</v>
      </c>
      <c r="E34" s="53">
        <v>69120090</v>
      </c>
      <c r="F34" s="53" t="s">
        <v>486</v>
      </c>
      <c r="G34" s="53"/>
      <c r="H34" s="53" t="str">
        <f>IFERROR(VLOOKUP(Table4[[#This Row],[Product_ID]],Table410[#All],2,0),"")</f>
        <v>PRODCAT0029</v>
      </c>
      <c r="I34" s="53" t="str">
        <f>IFERROR(VLOOKUP(Table4[[#This Row],[Product_ID]],Table41011[#All],2,0),"")</f>
        <v>PRODBRAND0001</v>
      </c>
      <c r="J34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PRODCAT0029PROD0029IHC0001SKU</v>
      </c>
      <c r="K34" s="53"/>
      <c r="L34" s="53" t="str">
        <f>IF(COUNTIF($L$1:L29, TEXT(ROW()-1,"0000000000"))=0, TEXT(ROW()-1,"0000000000"), "Duplicate Found")</f>
        <v>0000000033</v>
      </c>
      <c r="M34" s="53" t="str">
        <f t="shared" si="1"/>
        <v>BTBA400033</v>
      </c>
      <c r="N34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34" s="54" t="str">
        <f ca="1">IFERROR(Table4[[#This Row],[Expected_Demand_During_Lead_Time]]+Table4[[#This Row],[Safety_Stock]],"")</f>
        <v/>
      </c>
      <c r="P34" s="54" t="str">
        <f ca="1">IFERROR(Table4[[#This Row],[Reorder Level]]-Table4[[#This Row],[Stock Quantity]],"")</f>
        <v/>
      </c>
      <c r="Q34" s="54" t="str">
        <f ca="1">IFERROR(Table4[[#This Row],[Reorder Level]]+Table4[[#This Row],[Safety_Stock]]+Table4[[#This Row],[Expected_Demand_During_Lead_Time]],"")</f>
        <v/>
      </c>
      <c r="R34" s="53" t="s">
        <v>122</v>
      </c>
      <c r="S34" s="53"/>
      <c r="T34" s="53"/>
      <c r="U34" s="53"/>
      <c r="V34" s="54" t="e">
        <f>(Table4[[#This Row],[MRP]]-Table4[[#This Row],[Selling Price]])/Table4[[#This Row],[MRP]]*100</f>
        <v>#DIV/0!</v>
      </c>
      <c r="W34" s="57"/>
      <c r="X34" s="57" t="s">
        <v>547</v>
      </c>
      <c r="Y34" s="54">
        <v>12</v>
      </c>
      <c r="Z34" s="54">
        <f>(Table4[[#This Row],[Cost Before Tax]]*Table4[[#This Row],[Tax Rate (%)]])/100+Table4[[#This Row],[Cost Before Tax]]</f>
        <v>0</v>
      </c>
      <c r="AA34" s="54">
        <f>4*Table4[[#This Row],[Cost After Tax]]</f>
        <v>0</v>
      </c>
      <c r="AB34" s="54" t="str">
        <f>IFERROR((Table4[[#This Row],[Selling Price]]-Table4[[#This Row],[Cost After Tax]])/Table4[[#This Row],[Selling Price]]*100,"")</f>
        <v/>
      </c>
      <c r="AC34" s="54">
        <f>Table4[[#This Row],[Selling Price]]-Table4[[#This Row],[Cost After Tax]]</f>
        <v>0</v>
      </c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62" t="str">
        <f>IFERROR(MAX(IF((sales[Product_ID]=Table4[[#This Row],[Product_ID]])*(sales[Sales Status]="Confirmed"),sales[Invoice Date])),"")</f>
        <v/>
      </c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4">
        <f ca="1">SUMIFS(sales[Quantity Sold],sales[Product_ID],Table4[[#This Row],[Product_ID]],sales[Invoice Date],"&gt;="&amp;TODAY()-30)</f>
        <v>0</v>
      </c>
      <c r="BA34" s="49" t="str">
        <f>IFERROR(AVERAGEIFS(purchase[Lead Time (Days)],purchase[Product_ID],Table4[[#This Row],[Product_ID]]),"")</f>
        <v/>
      </c>
      <c r="BB34" s="54">
        <f ca="1">IF(Table4[[#This Row],[Demand_Last_30_Days]]=0,0,Table4[[#This Row],[Demand_Last_30_Days]]/30)</f>
        <v>0</v>
      </c>
      <c r="BC34" s="57"/>
      <c r="BD34" s="54">
        <f ca="1">Table4[[#This Row],[Average_Daily_Usage]]*Table4[[#This Row],[Buffer_Days]]</f>
        <v>0</v>
      </c>
      <c r="BE34" s="54" t="str">
        <f ca="1">IFERROR(Table4[[#This Row],[Average_Daily_Usage]]*Table4[[#This Row],[Lead_Time_Days]],"")</f>
        <v/>
      </c>
      <c r="BF34" s="58" t="str">
        <f>IFERROR(MAX(IF(sales[Product_ID]=Table4[Product_ID],sales[Quantity Sold])),"")</f>
        <v/>
      </c>
      <c r="BG34" s="58" t="str">
        <f>IFERROR(MAX(IF(purchase[Received Date]-purchase[Purchase Date],purchase[Product_ID],Table4[Product_ID])),"")</f>
        <v/>
      </c>
      <c r="BH34" s="58" t="str">
        <f>IFERROR(AVERAGEIFS(sales[Quantity Sold],sales[Product_ID],Table4[Product_ID]),"")</f>
        <v/>
      </c>
      <c r="BI34" s="58" t="str">
        <f>IFERROR(AVERAGEIFS(purchase[Lead Time (Days)],purchase[Product_ID],Table4[Product_ID]),"")</f>
        <v/>
      </c>
    </row>
    <row r="35" spans="4:61" x14ac:dyDescent="0.4">
      <c r="D35" s="53" t="str">
        <f t="shared" si="2"/>
        <v>PROD0030</v>
      </c>
      <c r="E35" s="53">
        <v>69120090</v>
      </c>
      <c r="F35" s="53" t="s">
        <v>487</v>
      </c>
      <c r="G35" s="53"/>
      <c r="H35" s="53" t="str">
        <f>IFERROR(VLOOKUP(Table4[[#This Row],[Product_ID]],Table410[#All],2,0),"")</f>
        <v>PRODCAT0030</v>
      </c>
      <c r="I35" s="53" t="str">
        <f>IFERROR(VLOOKUP(Table4[[#This Row],[Product_ID]],Table41011[#All],2,0),"")</f>
        <v>PRODBRAND0001</v>
      </c>
      <c r="J35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PRODCAT0030PROD0030IHC0001SKU</v>
      </c>
      <c r="K35" s="53"/>
      <c r="L35" s="53" t="str">
        <f>IF(COUNTIF($L$1:L30, TEXT(ROW()-1,"0000000000"))=0, TEXT(ROW()-1,"0000000000"), "Duplicate Found")</f>
        <v>0000000034</v>
      </c>
      <c r="M35" s="53" t="str">
        <f t="shared" si="1"/>
        <v>BTBA400034</v>
      </c>
      <c r="N35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35" s="54" t="str">
        <f ca="1">IFERROR(Table4[[#This Row],[Expected_Demand_During_Lead_Time]]+Table4[[#This Row],[Safety_Stock]],"")</f>
        <v/>
      </c>
      <c r="P35" s="54" t="str">
        <f ca="1">IFERROR(Table4[[#This Row],[Reorder Level]]-Table4[[#This Row],[Stock Quantity]],"")</f>
        <v/>
      </c>
      <c r="Q35" s="54" t="str">
        <f ca="1">IFERROR(Table4[[#This Row],[Reorder Level]]+Table4[[#This Row],[Safety_Stock]]+Table4[[#This Row],[Expected_Demand_During_Lead_Time]],"")</f>
        <v/>
      </c>
      <c r="R35" s="53" t="s">
        <v>122</v>
      </c>
      <c r="S35" s="53"/>
      <c r="T35" s="53"/>
      <c r="U35" s="53"/>
      <c r="V35" s="54" t="e">
        <f>(Table4[[#This Row],[MRP]]-Table4[[#This Row],[Selling Price]])/Table4[[#This Row],[MRP]]*100</f>
        <v>#DIV/0!</v>
      </c>
      <c r="W35" s="57"/>
      <c r="X35" s="57" t="s">
        <v>547</v>
      </c>
      <c r="Y35" s="54">
        <v>12</v>
      </c>
      <c r="Z35" s="54">
        <f>(Table4[[#This Row],[Cost Before Tax]]*Table4[[#This Row],[Tax Rate (%)]])/100+Table4[[#This Row],[Cost Before Tax]]</f>
        <v>0</v>
      </c>
      <c r="AA35" s="54">
        <f>4*Table4[[#This Row],[Cost After Tax]]</f>
        <v>0</v>
      </c>
      <c r="AB35" s="54" t="str">
        <f>IFERROR((Table4[[#This Row],[Selling Price]]-Table4[[#This Row],[Cost After Tax]])/Table4[[#This Row],[Selling Price]]*100,"")</f>
        <v/>
      </c>
      <c r="AC35" s="54">
        <f>Table4[[#This Row],[Selling Price]]-Table4[[#This Row],[Cost After Tax]]</f>
        <v>0</v>
      </c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62" t="str">
        <f>IFERROR(MAX(IF((sales[Product_ID]=Table4[[#This Row],[Product_ID]])*(sales[Sales Status]="Confirmed"),sales[Invoice Date])),"")</f>
        <v/>
      </c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4">
        <f ca="1">SUMIFS(sales[Quantity Sold],sales[Product_ID],Table4[[#This Row],[Product_ID]],sales[Invoice Date],"&gt;="&amp;TODAY()-30)</f>
        <v>0</v>
      </c>
      <c r="BA35" s="49" t="str">
        <f>IFERROR(AVERAGEIFS(purchase[Lead Time (Days)],purchase[Product_ID],Table4[[#This Row],[Product_ID]]),"")</f>
        <v/>
      </c>
      <c r="BB35" s="54">
        <f ca="1">IF(Table4[[#This Row],[Demand_Last_30_Days]]=0,0,Table4[[#This Row],[Demand_Last_30_Days]]/30)</f>
        <v>0</v>
      </c>
      <c r="BC35" s="57"/>
      <c r="BD35" s="54">
        <f ca="1">Table4[[#This Row],[Average_Daily_Usage]]*Table4[[#This Row],[Buffer_Days]]</f>
        <v>0</v>
      </c>
      <c r="BE35" s="54" t="str">
        <f ca="1">IFERROR(Table4[[#This Row],[Average_Daily_Usage]]*Table4[[#This Row],[Lead_Time_Days]],"")</f>
        <v/>
      </c>
      <c r="BF35" s="58" t="str">
        <f>IFERROR(MAX(IF(sales[Product_ID]=Table4[Product_ID],sales[Quantity Sold])),"")</f>
        <v/>
      </c>
      <c r="BG35" s="58" t="str">
        <f>IFERROR(MAX(IF(purchase[Received Date]-purchase[Purchase Date],purchase[Product_ID],Table4[Product_ID])),"")</f>
        <v/>
      </c>
      <c r="BH35" s="58" t="str">
        <f>IFERROR(AVERAGEIFS(sales[Quantity Sold],sales[Product_ID],Table4[Product_ID]),"")</f>
        <v/>
      </c>
      <c r="BI35" s="58" t="str">
        <f>IFERROR(AVERAGEIFS(purchase[Lead Time (Days)],purchase[Product_ID],Table4[Product_ID]),"")</f>
        <v/>
      </c>
    </row>
    <row r="36" spans="4:61" x14ac:dyDescent="0.4">
      <c r="D36" s="53" t="str">
        <f t="shared" si="2"/>
        <v>PROD0031</v>
      </c>
      <c r="E36" s="53">
        <v>69120090</v>
      </c>
      <c r="F36" s="53" t="s">
        <v>488</v>
      </c>
      <c r="G36" s="53"/>
      <c r="H36" s="53" t="str">
        <f>IFERROR(VLOOKUP(Table4[[#This Row],[Product_ID]],Table410[#All],2,0),"")</f>
        <v>PRODCAT0031</v>
      </c>
      <c r="I36" s="53" t="str">
        <f>IFERROR(VLOOKUP(Table4[[#This Row],[Product_ID]],Table41011[#All],2,0),"")</f>
        <v>PRODBRAND0001</v>
      </c>
      <c r="J36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PRODCAT0031PROD0031IHC0001SKU</v>
      </c>
      <c r="K36" s="53"/>
      <c r="L36" s="53" t="str">
        <f>IF(COUNTIF($L$1:L31, TEXT(ROW()-1,"0000000000"))=0, TEXT(ROW()-1,"0000000000"), "Duplicate Found")</f>
        <v>0000000035</v>
      </c>
      <c r="M36" s="53" t="str">
        <f t="shared" si="1"/>
        <v>BTBA400035</v>
      </c>
      <c r="N36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36" s="54" t="str">
        <f ca="1">IFERROR(Table4[[#This Row],[Expected_Demand_During_Lead_Time]]+Table4[[#This Row],[Safety_Stock]],"")</f>
        <v/>
      </c>
      <c r="P36" s="54" t="str">
        <f ca="1">IFERROR(Table4[[#This Row],[Reorder Level]]-Table4[[#This Row],[Stock Quantity]],"")</f>
        <v/>
      </c>
      <c r="Q36" s="54" t="str">
        <f ca="1">IFERROR(Table4[[#This Row],[Reorder Level]]+Table4[[#This Row],[Safety_Stock]]+Table4[[#This Row],[Expected_Demand_During_Lead_Time]],"")</f>
        <v/>
      </c>
      <c r="R36" s="53" t="s">
        <v>122</v>
      </c>
      <c r="S36" s="53"/>
      <c r="T36" s="53"/>
      <c r="U36" s="53"/>
      <c r="V36" s="54" t="e">
        <f>(Table4[[#This Row],[MRP]]-Table4[[#This Row],[Selling Price]])/Table4[[#This Row],[MRP]]*100</f>
        <v>#DIV/0!</v>
      </c>
      <c r="W36" s="57"/>
      <c r="X36" s="57" t="s">
        <v>547</v>
      </c>
      <c r="Y36" s="54">
        <v>12</v>
      </c>
      <c r="Z36" s="54">
        <f>(Table4[[#This Row],[Cost Before Tax]]*Table4[[#This Row],[Tax Rate (%)]])/100+Table4[[#This Row],[Cost Before Tax]]</f>
        <v>0</v>
      </c>
      <c r="AA36" s="54">
        <f>4*Table4[[#This Row],[Cost After Tax]]</f>
        <v>0</v>
      </c>
      <c r="AB36" s="54" t="str">
        <f>IFERROR((Table4[[#This Row],[Selling Price]]-Table4[[#This Row],[Cost After Tax]])/Table4[[#This Row],[Selling Price]]*100,"")</f>
        <v/>
      </c>
      <c r="AC36" s="54">
        <f>Table4[[#This Row],[Selling Price]]-Table4[[#This Row],[Cost After Tax]]</f>
        <v>0</v>
      </c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62" t="str">
        <f>IFERROR(MAX(IF((sales[Product_ID]=Table4[[#This Row],[Product_ID]])*(sales[Sales Status]="Confirmed"),sales[Invoice Date])),"")</f>
        <v/>
      </c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4">
        <f ca="1">SUMIFS(sales[Quantity Sold],sales[Product_ID],Table4[[#This Row],[Product_ID]],sales[Invoice Date],"&gt;="&amp;TODAY()-30)</f>
        <v>0</v>
      </c>
      <c r="BA36" s="49" t="str">
        <f>IFERROR(AVERAGEIFS(purchase[Lead Time (Days)],purchase[Product_ID],Table4[[#This Row],[Product_ID]]),"")</f>
        <v/>
      </c>
      <c r="BB36" s="54">
        <f ca="1">IF(Table4[[#This Row],[Demand_Last_30_Days]]=0,0,Table4[[#This Row],[Demand_Last_30_Days]]/30)</f>
        <v>0</v>
      </c>
      <c r="BC36" s="57"/>
      <c r="BD36" s="54">
        <f ca="1">Table4[[#This Row],[Average_Daily_Usage]]*Table4[[#This Row],[Buffer_Days]]</f>
        <v>0</v>
      </c>
      <c r="BE36" s="54" t="str">
        <f ca="1">IFERROR(Table4[[#This Row],[Average_Daily_Usage]]*Table4[[#This Row],[Lead_Time_Days]],"")</f>
        <v/>
      </c>
      <c r="BF36" s="58" t="str">
        <f>IFERROR(MAX(IF(sales[Product_ID]=Table4[Product_ID],sales[Quantity Sold])),"")</f>
        <v/>
      </c>
      <c r="BG36" s="58" t="str">
        <f>IFERROR(MAX(IF(purchase[Received Date]-purchase[Purchase Date],purchase[Product_ID],Table4[Product_ID])),"")</f>
        <v/>
      </c>
      <c r="BH36" s="58" t="str">
        <f>IFERROR(AVERAGEIFS(sales[Quantity Sold],sales[Product_ID],Table4[Product_ID]),"")</f>
        <v/>
      </c>
      <c r="BI36" s="58" t="str">
        <f>IFERROR(AVERAGEIFS(purchase[Lead Time (Days)],purchase[Product_ID],Table4[Product_ID]),"")</f>
        <v/>
      </c>
    </row>
    <row r="37" spans="4:61" x14ac:dyDescent="0.4">
      <c r="D37" s="53" t="str">
        <f t="shared" si="2"/>
        <v>PROD0032</v>
      </c>
      <c r="E37" s="53">
        <v>69120090</v>
      </c>
      <c r="F37" s="53" t="s">
        <v>489</v>
      </c>
      <c r="G37" s="53"/>
      <c r="H37" s="53" t="str">
        <f>IFERROR(VLOOKUP(Table4[[#This Row],[Product_ID]],Table410[#All],2,0),"")</f>
        <v>PRODCAT0032</v>
      </c>
      <c r="I37" s="53" t="str">
        <f>IFERROR(VLOOKUP(Table4[[#This Row],[Product_ID]],Table41011[#All],2,0),"")</f>
        <v>PRODBRAND0001</v>
      </c>
      <c r="J37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PRODCAT0032PROD0032IHC0001SKU</v>
      </c>
      <c r="K37" s="53"/>
      <c r="L37" s="53" t="str">
        <f>IF(COUNTIF($L$1:L32, TEXT(ROW()-1,"0000000000"))=0, TEXT(ROW()-1,"0000000000"), "Duplicate Found")</f>
        <v>0000000036</v>
      </c>
      <c r="M37" s="53" t="str">
        <f t="shared" si="1"/>
        <v>BTBA400036</v>
      </c>
      <c r="N37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37" s="54" t="str">
        <f ca="1">IFERROR(Table4[[#This Row],[Expected_Demand_During_Lead_Time]]+Table4[[#This Row],[Safety_Stock]],"")</f>
        <v/>
      </c>
      <c r="P37" s="54" t="str">
        <f ca="1">IFERROR(Table4[[#This Row],[Reorder Level]]-Table4[[#This Row],[Stock Quantity]],"")</f>
        <v/>
      </c>
      <c r="Q37" s="54" t="str">
        <f ca="1">IFERROR(Table4[[#This Row],[Reorder Level]]+Table4[[#This Row],[Safety_Stock]]+Table4[[#This Row],[Expected_Demand_During_Lead_Time]],"")</f>
        <v/>
      </c>
      <c r="R37" s="53" t="s">
        <v>122</v>
      </c>
      <c r="S37" s="53"/>
      <c r="T37" s="53"/>
      <c r="U37" s="53"/>
      <c r="V37" s="54" t="e">
        <f>(Table4[[#This Row],[MRP]]-Table4[[#This Row],[Selling Price]])/Table4[[#This Row],[MRP]]*100</f>
        <v>#DIV/0!</v>
      </c>
      <c r="W37" s="57"/>
      <c r="X37" s="57" t="s">
        <v>547</v>
      </c>
      <c r="Y37" s="54">
        <v>12</v>
      </c>
      <c r="Z37" s="54">
        <f>(Table4[[#This Row],[Cost Before Tax]]*Table4[[#This Row],[Tax Rate (%)]])/100+Table4[[#This Row],[Cost Before Tax]]</f>
        <v>0</v>
      </c>
      <c r="AA37" s="54">
        <f>4*Table4[[#This Row],[Cost After Tax]]</f>
        <v>0</v>
      </c>
      <c r="AB37" s="54" t="str">
        <f>IFERROR((Table4[[#This Row],[Selling Price]]-Table4[[#This Row],[Cost After Tax]])/Table4[[#This Row],[Selling Price]]*100,"")</f>
        <v/>
      </c>
      <c r="AC37" s="54">
        <f>Table4[[#This Row],[Selling Price]]-Table4[[#This Row],[Cost After Tax]]</f>
        <v>0</v>
      </c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62" t="str">
        <f>IFERROR(MAX(IF((sales[Product_ID]=Table4[[#This Row],[Product_ID]])*(sales[Sales Status]="Confirmed"),sales[Invoice Date])),"")</f>
        <v/>
      </c>
      <c r="AP37" s="57"/>
      <c r="AQ37" s="57"/>
      <c r="AR37" s="57"/>
      <c r="AS37" s="57"/>
      <c r="AT37" s="57"/>
      <c r="AU37" s="57"/>
      <c r="AV37" s="57"/>
      <c r="AW37" s="57"/>
      <c r="AX37" s="57"/>
      <c r="AY37" s="57"/>
      <c r="AZ37" s="54">
        <f ca="1">SUMIFS(sales[Quantity Sold],sales[Product_ID],Table4[[#This Row],[Product_ID]],sales[Invoice Date],"&gt;="&amp;TODAY()-30)</f>
        <v>0</v>
      </c>
      <c r="BA37" s="49" t="str">
        <f>IFERROR(AVERAGEIFS(purchase[Lead Time (Days)],purchase[Product_ID],Table4[[#This Row],[Product_ID]]),"")</f>
        <v/>
      </c>
      <c r="BB37" s="54">
        <f ca="1">IF(Table4[[#This Row],[Demand_Last_30_Days]]=0,0,Table4[[#This Row],[Demand_Last_30_Days]]/30)</f>
        <v>0</v>
      </c>
      <c r="BC37" s="57"/>
      <c r="BD37" s="54">
        <f ca="1">Table4[[#This Row],[Average_Daily_Usage]]*Table4[[#This Row],[Buffer_Days]]</f>
        <v>0</v>
      </c>
      <c r="BE37" s="54" t="str">
        <f ca="1">IFERROR(Table4[[#This Row],[Average_Daily_Usage]]*Table4[[#This Row],[Lead_Time_Days]],"")</f>
        <v/>
      </c>
      <c r="BF37" s="58" t="str">
        <f>IFERROR(MAX(IF(sales[Product_ID]=Table4[Product_ID],sales[Quantity Sold])),"")</f>
        <v/>
      </c>
      <c r="BG37" s="58" t="str">
        <f>IFERROR(MAX(IF(purchase[Received Date]-purchase[Purchase Date],purchase[Product_ID],Table4[Product_ID])),"")</f>
        <v/>
      </c>
      <c r="BH37" s="58" t="str">
        <f>IFERROR(AVERAGEIFS(sales[Quantity Sold],sales[Product_ID],Table4[Product_ID]),"")</f>
        <v/>
      </c>
      <c r="BI37" s="58" t="str">
        <f>IFERROR(AVERAGEIFS(purchase[Lead Time (Days)],purchase[Product_ID],Table4[Product_ID]),"")</f>
        <v/>
      </c>
    </row>
    <row r="38" spans="4:61" x14ac:dyDescent="0.4">
      <c r="D38" s="53" t="str">
        <f t="shared" si="2"/>
        <v>PROD0033</v>
      </c>
      <c r="E38" s="53">
        <v>69120090</v>
      </c>
      <c r="F38" s="53" t="s">
        <v>490</v>
      </c>
      <c r="G38" s="53"/>
      <c r="H38" s="53" t="str">
        <f>IFERROR(VLOOKUP(Table4[[#This Row],[Product_ID]],Table410[#All],2,0),"")</f>
        <v>PRODCAT0033</v>
      </c>
      <c r="I38" s="53" t="str">
        <f>IFERROR(VLOOKUP(Table4[[#This Row],[Product_ID]],Table41011[#All],2,0),"")</f>
        <v>PRODBRAND0001</v>
      </c>
      <c r="J38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PRODCAT0033PROD0033IHC0001SKU</v>
      </c>
      <c r="K38" s="53"/>
      <c r="L38" s="53" t="str">
        <f>IF(COUNTIF($L$1:L33, TEXT(ROW()-1,"0000000000"))=0, TEXT(ROW()-1,"0000000000"), "Duplicate Found")</f>
        <v>0000000037</v>
      </c>
      <c r="M38" s="53" t="str">
        <f t="shared" ref="M38:M56" si="3">"BTBA4" &amp; TEXT(ROW()-1,"00000")</f>
        <v>BTBA400037</v>
      </c>
      <c r="N38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38" s="54" t="str">
        <f ca="1">IFERROR(Table4[[#This Row],[Expected_Demand_During_Lead_Time]]+Table4[[#This Row],[Safety_Stock]],"")</f>
        <v/>
      </c>
      <c r="P38" s="54" t="str">
        <f ca="1">IFERROR(Table4[[#This Row],[Reorder Level]]-Table4[[#This Row],[Stock Quantity]],"")</f>
        <v/>
      </c>
      <c r="Q38" s="54" t="str">
        <f ca="1">IFERROR(Table4[[#This Row],[Reorder Level]]+Table4[[#This Row],[Safety_Stock]]+Table4[[#This Row],[Expected_Demand_During_Lead_Time]],"")</f>
        <v/>
      </c>
      <c r="R38" s="53" t="s">
        <v>122</v>
      </c>
      <c r="S38" s="53"/>
      <c r="T38" s="53"/>
      <c r="U38" s="53"/>
      <c r="V38" s="54" t="e">
        <f>(Table4[[#This Row],[MRP]]-Table4[[#This Row],[Selling Price]])/Table4[[#This Row],[MRP]]*100</f>
        <v>#DIV/0!</v>
      </c>
      <c r="W38" s="57"/>
      <c r="X38" s="57" t="s">
        <v>547</v>
      </c>
      <c r="Y38" s="54">
        <v>12</v>
      </c>
      <c r="Z38" s="54">
        <f>(Table4[[#This Row],[Cost Before Tax]]*Table4[[#This Row],[Tax Rate (%)]])/100+Table4[[#This Row],[Cost Before Tax]]</f>
        <v>0</v>
      </c>
      <c r="AA38" s="54">
        <f>4*Table4[[#This Row],[Cost After Tax]]</f>
        <v>0</v>
      </c>
      <c r="AB38" s="54" t="str">
        <f>IFERROR((Table4[[#This Row],[Selling Price]]-Table4[[#This Row],[Cost After Tax]])/Table4[[#This Row],[Selling Price]]*100,"")</f>
        <v/>
      </c>
      <c r="AC38" s="54">
        <f>Table4[[#This Row],[Selling Price]]-Table4[[#This Row],[Cost After Tax]]</f>
        <v>0</v>
      </c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62" t="str">
        <f>IFERROR(MAX(IF((sales[Product_ID]=Table4[[#This Row],[Product_ID]])*(sales[Sales Status]="Confirmed"),sales[Invoice Date])),"")</f>
        <v/>
      </c>
      <c r="AP38" s="57"/>
      <c r="AQ38" s="57"/>
      <c r="AR38" s="57"/>
      <c r="AS38" s="57"/>
      <c r="AT38" s="57"/>
      <c r="AU38" s="57"/>
      <c r="AV38" s="57"/>
      <c r="AW38" s="57"/>
      <c r="AX38" s="57"/>
      <c r="AY38" s="57"/>
      <c r="AZ38" s="54">
        <f ca="1">SUMIFS(sales[Quantity Sold],sales[Product_ID],Table4[[#This Row],[Product_ID]],sales[Invoice Date],"&gt;="&amp;TODAY()-30)</f>
        <v>0</v>
      </c>
      <c r="BA38" s="49" t="str">
        <f>IFERROR(AVERAGEIFS(purchase[Lead Time (Days)],purchase[Product_ID],Table4[[#This Row],[Product_ID]]),"")</f>
        <v/>
      </c>
      <c r="BB38" s="54">
        <f ca="1">IF(Table4[[#This Row],[Demand_Last_30_Days]]=0,0,Table4[[#This Row],[Demand_Last_30_Days]]/30)</f>
        <v>0</v>
      </c>
      <c r="BC38" s="57"/>
      <c r="BD38" s="54">
        <f ca="1">Table4[[#This Row],[Average_Daily_Usage]]*Table4[[#This Row],[Buffer_Days]]</f>
        <v>0</v>
      </c>
      <c r="BE38" s="54" t="str">
        <f ca="1">IFERROR(Table4[[#This Row],[Average_Daily_Usage]]*Table4[[#This Row],[Lead_Time_Days]],"")</f>
        <v/>
      </c>
      <c r="BF38" s="58" t="str">
        <f>IFERROR(MAX(IF(sales[Product_ID]=Table4[Product_ID],sales[Quantity Sold])),"")</f>
        <v/>
      </c>
      <c r="BG38" s="58" t="str">
        <f>IFERROR(MAX(IF(purchase[Received Date]-purchase[Purchase Date],purchase[Product_ID],Table4[Product_ID])),"")</f>
        <v/>
      </c>
      <c r="BH38" s="58" t="str">
        <f>IFERROR(AVERAGEIFS(sales[Quantity Sold],sales[Product_ID],Table4[Product_ID]),"")</f>
        <v/>
      </c>
      <c r="BI38" s="58" t="str">
        <f>IFERROR(AVERAGEIFS(purchase[Lead Time (Days)],purchase[Product_ID],Table4[Product_ID]),"")</f>
        <v/>
      </c>
    </row>
    <row r="39" spans="4:61" x14ac:dyDescent="0.4">
      <c r="D39" s="53" t="str">
        <f t="shared" si="2"/>
        <v>PROD0034</v>
      </c>
      <c r="E39" s="53">
        <v>69120090</v>
      </c>
      <c r="F39" s="53" t="s">
        <v>491</v>
      </c>
      <c r="G39" s="53"/>
      <c r="H39" s="53" t="str">
        <f>IFERROR(VLOOKUP(Table4[[#This Row],[Product_ID]],Table410[#All],2,0),"")</f>
        <v>PRODCAT0034</v>
      </c>
      <c r="I39" s="53" t="str">
        <f>IFERROR(VLOOKUP(Table4[[#This Row],[Product_ID]],Table41011[#All],2,0),"")</f>
        <v>PRODBRAND0001</v>
      </c>
      <c r="J39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PRODCAT0034PROD0034IHC0001SKU</v>
      </c>
      <c r="K39" s="53"/>
      <c r="L39" s="53" t="str">
        <f>IF(COUNTIF($L$1:L34, TEXT(ROW()-1,"0000000000"))=0, TEXT(ROW()-1,"0000000000"), "Duplicate Found")</f>
        <v>0000000038</v>
      </c>
      <c r="M39" s="53" t="str">
        <f t="shared" si="3"/>
        <v>BTBA400038</v>
      </c>
      <c r="N39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39" s="54" t="str">
        <f ca="1">IFERROR(Table4[[#This Row],[Expected_Demand_During_Lead_Time]]+Table4[[#This Row],[Safety_Stock]],"")</f>
        <v/>
      </c>
      <c r="P39" s="54" t="str">
        <f ca="1">IFERROR(Table4[[#This Row],[Reorder Level]]-Table4[[#This Row],[Stock Quantity]],"")</f>
        <v/>
      </c>
      <c r="Q39" s="54" t="str">
        <f ca="1">IFERROR(Table4[[#This Row],[Reorder Level]]+Table4[[#This Row],[Safety_Stock]]+Table4[[#This Row],[Expected_Demand_During_Lead_Time]],"")</f>
        <v/>
      </c>
      <c r="R39" s="53" t="s">
        <v>122</v>
      </c>
      <c r="S39" s="53"/>
      <c r="T39" s="53"/>
      <c r="U39" s="53"/>
      <c r="V39" s="54" t="e">
        <f>(Table4[[#This Row],[MRP]]-Table4[[#This Row],[Selling Price]])/Table4[[#This Row],[MRP]]*100</f>
        <v>#DIV/0!</v>
      </c>
      <c r="W39" s="57"/>
      <c r="X39" s="57" t="s">
        <v>547</v>
      </c>
      <c r="Y39" s="54">
        <v>12</v>
      </c>
      <c r="Z39" s="54">
        <f>(Table4[[#This Row],[Cost Before Tax]]*Table4[[#This Row],[Tax Rate (%)]])/100+Table4[[#This Row],[Cost Before Tax]]</f>
        <v>0</v>
      </c>
      <c r="AA39" s="54">
        <f>4*Table4[[#This Row],[Cost After Tax]]</f>
        <v>0</v>
      </c>
      <c r="AB39" s="54" t="str">
        <f>IFERROR((Table4[[#This Row],[Selling Price]]-Table4[[#This Row],[Cost After Tax]])/Table4[[#This Row],[Selling Price]]*100,"")</f>
        <v/>
      </c>
      <c r="AC39" s="54">
        <f>Table4[[#This Row],[Selling Price]]-Table4[[#This Row],[Cost After Tax]]</f>
        <v>0</v>
      </c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62" t="str">
        <f>IFERROR(MAX(IF((sales[Product_ID]=Table4[[#This Row],[Product_ID]])*(sales[Sales Status]="Confirmed"),sales[Invoice Date])),"")</f>
        <v/>
      </c>
      <c r="AP39" s="57"/>
      <c r="AQ39" s="57"/>
      <c r="AR39" s="57"/>
      <c r="AS39" s="57"/>
      <c r="AT39" s="57"/>
      <c r="AU39" s="57"/>
      <c r="AV39" s="57"/>
      <c r="AW39" s="57"/>
      <c r="AX39" s="57"/>
      <c r="AY39" s="57"/>
      <c r="AZ39" s="54">
        <f ca="1">SUMIFS(sales[Quantity Sold],sales[Product_ID],Table4[[#This Row],[Product_ID]],sales[Invoice Date],"&gt;="&amp;TODAY()-30)</f>
        <v>0</v>
      </c>
      <c r="BA39" s="49" t="str">
        <f>IFERROR(AVERAGEIFS(purchase[Lead Time (Days)],purchase[Product_ID],Table4[[#This Row],[Product_ID]]),"")</f>
        <v/>
      </c>
      <c r="BB39" s="54">
        <f ca="1">IF(Table4[[#This Row],[Demand_Last_30_Days]]=0,0,Table4[[#This Row],[Demand_Last_30_Days]]/30)</f>
        <v>0</v>
      </c>
      <c r="BC39" s="57"/>
      <c r="BD39" s="54">
        <f ca="1">Table4[[#This Row],[Average_Daily_Usage]]*Table4[[#This Row],[Buffer_Days]]</f>
        <v>0</v>
      </c>
      <c r="BE39" s="54" t="str">
        <f ca="1">IFERROR(Table4[[#This Row],[Average_Daily_Usage]]*Table4[[#This Row],[Lead_Time_Days]],"")</f>
        <v/>
      </c>
      <c r="BF39" s="58" t="str">
        <f>IFERROR(MAX(IF(sales[Product_ID]=Table4[Product_ID],sales[Quantity Sold])),"")</f>
        <v/>
      </c>
      <c r="BG39" s="58" t="str">
        <f>IFERROR(MAX(IF(purchase[Received Date]-purchase[Purchase Date],purchase[Product_ID],Table4[Product_ID])),"")</f>
        <v/>
      </c>
      <c r="BH39" s="58" t="str">
        <f>IFERROR(AVERAGEIFS(sales[Quantity Sold],sales[Product_ID],Table4[Product_ID]),"")</f>
        <v/>
      </c>
      <c r="BI39" s="58" t="str">
        <f>IFERROR(AVERAGEIFS(purchase[Lead Time (Days)],purchase[Product_ID],Table4[Product_ID]),"")</f>
        <v/>
      </c>
    </row>
    <row r="40" spans="4:61" x14ac:dyDescent="0.4">
      <c r="D40" s="53" t="str">
        <f t="shared" si="2"/>
        <v>PROD0035</v>
      </c>
      <c r="E40" s="53">
        <v>69120090</v>
      </c>
      <c r="F40" s="53" t="s">
        <v>492</v>
      </c>
      <c r="G40" s="53"/>
      <c r="H40" s="53" t="str">
        <f>IFERROR(VLOOKUP(Table4[[#This Row],[Product_ID]],Table410[#All],2,0),"")</f>
        <v>PRODCAT0035</v>
      </c>
      <c r="I40" s="53" t="str">
        <f>IFERROR(VLOOKUP(Table4[[#This Row],[Product_ID]],Table41011[#All],2,0),"")</f>
        <v>PRODBRAND0001</v>
      </c>
      <c r="J40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PRODCAT0035PROD0035IHC0001SKU</v>
      </c>
      <c r="K40" s="53"/>
      <c r="L40" s="53" t="str">
        <f>IF(COUNTIF($L$1:L35, TEXT(ROW()-1,"0000000000"))=0, TEXT(ROW()-1,"0000000000"), "Duplicate Found")</f>
        <v>0000000039</v>
      </c>
      <c r="M40" s="53" t="str">
        <f t="shared" si="3"/>
        <v>BTBA400039</v>
      </c>
      <c r="N40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40" s="54" t="str">
        <f ca="1">IFERROR(Table4[[#This Row],[Expected_Demand_During_Lead_Time]]+Table4[[#This Row],[Safety_Stock]],"")</f>
        <v/>
      </c>
      <c r="P40" s="54" t="str">
        <f ca="1">IFERROR(Table4[[#This Row],[Reorder Level]]-Table4[[#This Row],[Stock Quantity]],"")</f>
        <v/>
      </c>
      <c r="Q40" s="54" t="str">
        <f ca="1">IFERROR(Table4[[#This Row],[Reorder Level]]+Table4[[#This Row],[Safety_Stock]]+Table4[[#This Row],[Expected_Demand_During_Lead_Time]],"")</f>
        <v/>
      </c>
      <c r="R40" s="53" t="s">
        <v>122</v>
      </c>
      <c r="S40" s="53"/>
      <c r="T40" s="53"/>
      <c r="U40" s="53"/>
      <c r="V40" s="54" t="e">
        <f>(Table4[[#This Row],[MRP]]-Table4[[#This Row],[Selling Price]])/Table4[[#This Row],[MRP]]*100</f>
        <v>#DIV/0!</v>
      </c>
      <c r="W40" s="57"/>
      <c r="X40" s="57" t="s">
        <v>547</v>
      </c>
      <c r="Y40" s="54">
        <v>12</v>
      </c>
      <c r="Z40" s="54">
        <f>(Table4[[#This Row],[Cost Before Tax]]*Table4[[#This Row],[Tax Rate (%)]])/100+Table4[[#This Row],[Cost Before Tax]]</f>
        <v>0</v>
      </c>
      <c r="AA40" s="54">
        <f>4*Table4[[#This Row],[Cost After Tax]]</f>
        <v>0</v>
      </c>
      <c r="AB40" s="54" t="str">
        <f>IFERROR((Table4[[#This Row],[Selling Price]]-Table4[[#This Row],[Cost After Tax]])/Table4[[#This Row],[Selling Price]]*100,"")</f>
        <v/>
      </c>
      <c r="AC40" s="54">
        <f>Table4[[#This Row],[Selling Price]]-Table4[[#This Row],[Cost After Tax]]</f>
        <v>0</v>
      </c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62" t="str">
        <f>IFERROR(MAX(IF((sales[Product_ID]=Table4[[#This Row],[Product_ID]])*(sales[Sales Status]="Confirmed"),sales[Invoice Date])),"")</f>
        <v/>
      </c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4">
        <f ca="1">SUMIFS(sales[Quantity Sold],sales[Product_ID],Table4[[#This Row],[Product_ID]],sales[Invoice Date],"&gt;="&amp;TODAY()-30)</f>
        <v>0</v>
      </c>
      <c r="BA40" s="49" t="str">
        <f>IFERROR(AVERAGEIFS(purchase[Lead Time (Days)],purchase[Product_ID],Table4[[#This Row],[Product_ID]]),"")</f>
        <v/>
      </c>
      <c r="BB40" s="54">
        <f ca="1">IF(Table4[[#This Row],[Demand_Last_30_Days]]=0,0,Table4[[#This Row],[Demand_Last_30_Days]]/30)</f>
        <v>0</v>
      </c>
      <c r="BC40" s="57"/>
      <c r="BD40" s="54">
        <f ca="1">Table4[[#This Row],[Average_Daily_Usage]]*Table4[[#This Row],[Buffer_Days]]</f>
        <v>0</v>
      </c>
      <c r="BE40" s="54" t="str">
        <f ca="1">IFERROR(Table4[[#This Row],[Average_Daily_Usage]]*Table4[[#This Row],[Lead_Time_Days]],"")</f>
        <v/>
      </c>
      <c r="BF40" s="58" t="str">
        <f>IFERROR(MAX(IF(sales[Product_ID]=Table4[Product_ID],sales[Quantity Sold])),"")</f>
        <v/>
      </c>
      <c r="BG40" s="58" t="str">
        <f>IFERROR(MAX(IF(purchase[Received Date]-purchase[Purchase Date],purchase[Product_ID],Table4[Product_ID])),"")</f>
        <v/>
      </c>
      <c r="BH40" s="58" t="str">
        <f>IFERROR(AVERAGEIFS(sales[Quantity Sold],sales[Product_ID],Table4[Product_ID]),"")</f>
        <v/>
      </c>
      <c r="BI40" s="58" t="str">
        <f>IFERROR(AVERAGEIFS(purchase[Lead Time (Days)],purchase[Product_ID],Table4[Product_ID]),"")</f>
        <v/>
      </c>
    </row>
    <row r="41" spans="4:61" x14ac:dyDescent="0.4">
      <c r="D41" s="53" t="str">
        <f t="shared" si="2"/>
        <v>PROD0036</v>
      </c>
      <c r="E41" s="53">
        <v>69120090</v>
      </c>
      <c r="F41" s="53" t="s">
        <v>493</v>
      </c>
      <c r="G41" s="53"/>
      <c r="H41" s="53" t="str">
        <f>IFERROR(VLOOKUP(Table4[[#This Row],[Product_ID]],Table410[#All],2,0),"")</f>
        <v>PRODCAT0036</v>
      </c>
      <c r="I41" s="53" t="str">
        <f>IFERROR(VLOOKUP(Table4[[#This Row],[Product_ID]],Table41011[#All],2,0),"")</f>
        <v>PRODBRAND0001</v>
      </c>
      <c r="J41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PRODCAT0036PROD0036IHC0001SKU</v>
      </c>
      <c r="K41" s="53"/>
      <c r="L41" s="53" t="str">
        <f>IF(COUNTIF($L$1:L36, TEXT(ROW()-1,"0000000000"))=0, TEXT(ROW()-1,"0000000000"), "Duplicate Found")</f>
        <v>0000000040</v>
      </c>
      <c r="M41" s="53" t="str">
        <f t="shared" si="3"/>
        <v>BTBA400040</v>
      </c>
      <c r="N41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41" s="54" t="str">
        <f ca="1">IFERROR(Table4[[#This Row],[Expected_Demand_During_Lead_Time]]+Table4[[#This Row],[Safety_Stock]],"")</f>
        <v/>
      </c>
      <c r="P41" s="54" t="str">
        <f ca="1">IFERROR(Table4[[#This Row],[Reorder Level]]-Table4[[#This Row],[Stock Quantity]],"")</f>
        <v/>
      </c>
      <c r="Q41" s="54" t="str">
        <f ca="1">IFERROR(Table4[[#This Row],[Reorder Level]]+Table4[[#This Row],[Safety_Stock]]+Table4[[#This Row],[Expected_Demand_During_Lead_Time]],"")</f>
        <v/>
      </c>
      <c r="R41" s="53" t="s">
        <v>122</v>
      </c>
      <c r="S41" s="53"/>
      <c r="T41" s="53"/>
      <c r="U41" s="53"/>
      <c r="V41" s="54" t="e">
        <f>(Table4[[#This Row],[MRP]]-Table4[[#This Row],[Selling Price]])/Table4[[#This Row],[MRP]]*100</f>
        <v>#DIV/0!</v>
      </c>
      <c r="W41" s="57"/>
      <c r="X41" s="57" t="s">
        <v>547</v>
      </c>
      <c r="Y41" s="54">
        <v>12</v>
      </c>
      <c r="Z41" s="54">
        <f>(Table4[[#This Row],[Cost Before Tax]]*Table4[[#This Row],[Tax Rate (%)]])/100+Table4[[#This Row],[Cost Before Tax]]</f>
        <v>0</v>
      </c>
      <c r="AA41" s="54">
        <f>4*Table4[[#This Row],[Cost After Tax]]</f>
        <v>0</v>
      </c>
      <c r="AB41" s="54" t="str">
        <f>IFERROR((Table4[[#This Row],[Selling Price]]-Table4[[#This Row],[Cost After Tax]])/Table4[[#This Row],[Selling Price]]*100,"")</f>
        <v/>
      </c>
      <c r="AC41" s="54">
        <f>Table4[[#This Row],[Selling Price]]-Table4[[#This Row],[Cost After Tax]]</f>
        <v>0</v>
      </c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62" t="str">
        <f>IFERROR(MAX(IF((sales[Product_ID]=Table4[[#This Row],[Product_ID]])*(sales[Sales Status]="Confirmed"),sales[Invoice Date])),"")</f>
        <v/>
      </c>
      <c r="AP41" s="57"/>
      <c r="AQ41" s="57"/>
      <c r="AR41" s="57"/>
      <c r="AS41" s="57"/>
      <c r="AT41" s="57"/>
      <c r="AU41" s="57"/>
      <c r="AV41" s="57"/>
      <c r="AW41" s="57"/>
      <c r="AX41" s="57"/>
      <c r="AY41" s="57"/>
      <c r="AZ41" s="54">
        <f ca="1">SUMIFS(sales[Quantity Sold],sales[Product_ID],Table4[[#This Row],[Product_ID]],sales[Invoice Date],"&gt;="&amp;TODAY()-30)</f>
        <v>0</v>
      </c>
      <c r="BA41" s="49" t="str">
        <f>IFERROR(AVERAGEIFS(purchase[Lead Time (Days)],purchase[Product_ID],Table4[[#This Row],[Product_ID]]),"")</f>
        <v/>
      </c>
      <c r="BB41" s="54">
        <f ca="1">IF(Table4[[#This Row],[Demand_Last_30_Days]]=0,0,Table4[[#This Row],[Demand_Last_30_Days]]/30)</f>
        <v>0</v>
      </c>
      <c r="BC41" s="57"/>
      <c r="BD41" s="54">
        <f ca="1">Table4[[#This Row],[Average_Daily_Usage]]*Table4[[#This Row],[Buffer_Days]]</f>
        <v>0</v>
      </c>
      <c r="BE41" s="54" t="str">
        <f ca="1">IFERROR(Table4[[#This Row],[Average_Daily_Usage]]*Table4[[#This Row],[Lead_Time_Days]],"")</f>
        <v/>
      </c>
      <c r="BF41" s="58" t="str">
        <f>IFERROR(MAX(IF(sales[Product_ID]=Table4[Product_ID],sales[Quantity Sold])),"")</f>
        <v/>
      </c>
      <c r="BG41" s="58" t="str">
        <f>IFERROR(MAX(IF(purchase[Received Date]-purchase[Purchase Date],purchase[Product_ID],Table4[Product_ID])),"")</f>
        <v/>
      </c>
      <c r="BH41" s="58" t="str">
        <f>IFERROR(AVERAGEIFS(sales[Quantity Sold],sales[Product_ID],Table4[Product_ID]),"")</f>
        <v/>
      </c>
      <c r="BI41" s="58" t="str">
        <f>IFERROR(AVERAGEIFS(purchase[Lead Time (Days)],purchase[Product_ID],Table4[Product_ID]),"")</f>
        <v/>
      </c>
    </row>
    <row r="42" spans="4:61" x14ac:dyDescent="0.4">
      <c r="D42" s="53" t="str">
        <f t="shared" si="2"/>
        <v>PROD0037</v>
      </c>
      <c r="E42" s="53">
        <v>69120090</v>
      </c>
      <c r="F42" s="53" t="s">
        <v>494</v>
      </c>
      <c r="G42" s="53"/>
      <c r="H42" s="53" t="str">
        <f>IFERROR(VLOOKUP(Table4[[#This Row],[Product_ID]],Table410[#All],2,0),"")</f>
        <v>PRODCAT0037</v>
      </c>
      <c r="I42" s="53" t="str">
        <f>IFERROR(VLOOKUP(Table4[[#This Row],[Product_ID]],Table41011[#All],2,0),"")</f>
        <v>PRODBRAND0001</v>
      </c>
      <c r="J42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PRODCAT0037PROD0037IHC0001SKU</v>
      </c>
      <c r="K42" s="53"/>
      <c r="L42" s="53" t="str">
        <f>IF(COUNTIF($L$1:L37, TEXT(ROW()-1,"0000000000"))=0, TEXT(ROW()-1,"0000000000"), "Duplicate Found")</f>
        <v>0000000041</v>
      </c>
      <c r="M42" s="53" t="str">
        <f t="shared" si="3"/>
        <v>BTBA400041</v>
      </c>
      <c r="N42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42" s="54" t="str">
        <f ca="1">IFERROR(Table4[[#This Row],[Expected_Demand_During_Lead_Time]]+Table4[[#This Row],[Safety_Stock]],"")</f>
        <v/>
      </c>
      <c r="P42" s="54" t="str">
        <f ca="1">IFERROR(Table4[[#This Row],[Reorder Level]]-Table4[[#This Row],[Stock Quantity]],"")</f>
        <v/>
      </c>
      <c r="Q42" s="54" t="str">
        <f ca="1">IFERROR(Table4[[#This Row],[Reorder Level]]+Table4[[#This Row],[Safety_Stock]]+Table4[[#This Row],[Expected_Demand_During_Lead_Time]],"")</f>
        <v/>
      </c>
      <c r="R42" s="53" t="s">
        <v>122</v>
      </c>
      <c r="S42" s="53"/>
      <c r="T42" s="53"/>
      <c r="U42" s="53"/>
      <c r="V42" s="54" t="e">
        <f>(Table4[[#This Row],[MRP]]-Table4[[#This Row],[Selling Price]])/Table4[[#This Row],[MRP]]*100</f>
        <v>#DIV/0!</v>
      </c>
      <c r="W42" s="57"/>
      <c r="X42" s="57" t="s">
        <v>547</v>
      </c>
      <c r="Y42" s="54">
        <v>12</v>
      </c>
      <c r="Z42" s="54">
        <f>(Table4[[#This Row],[Cost Before Tax]]*Table4[[#This Row],[Tax Rate (%)]])/100+Table4[[#This Row],[Cost Before Tax]]</f>
        <v>0</v>
      </c>
      <c r="AA42" s="54">
        <f>4*Table4[[#This Row],[Cost After Tax]]</f>
        <v>0</v>
      </c>
      <c r="AB42" s="54" t="str">
        <f>IFERROR((Table4[[#This Row],[Selling Price]]-Table4[[#This Row],[Cost After Tax]])/Table4[[#This Row],[Selling Price]]*100,"")</f>
        <v/>
      </c>
      <c r="AC42" s="54">
        <f>Table4[[#This Row],[Selling Price]]-Table4[[#This Row],[Cost After Tax]]</f>
        <v>0</v>
      </c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62" t="str">
        <f>IFERROR(MAX(IF((sales[Product_ID]=Table4[[#This Row],[Product_ID]])*(sales[Sales Status]="Confirmed"),sales[Invoice Date])),"")</f>
        <v/>
      </c>
      <c r="AP42" s="57"/>
      <c r="AQ42" s="57"/>
      <c r="AR42" s="57"/>
      <c r="AS42" s="57"/>
      <c r="AT42" s="57"/>
      <c r="AU42" s="57"/>
      <c r="AV42" s="57"/>
      <c r="AW42" s="57"/>
      <c r="AX42" s="57"/>
      <c r="AY42" s="57"/>
      <c r="AZ42" s="54">
        <f ca="1">SUMIFS(sales[Quantity Sold],sales[Product_ID],Table4[[#This Row],[Product_ID]],sales[Invoice Date],"&gt;="&amp;TODAY()-30)</f>
        <v>0</v>
      </c>
      <c r="BA42" s="49" t="str">
        <f>IFERROR(AVERAGEIFS(purchase[Lead Time (Days)],purchase[Product_ID],Table4[[#This Row],[Product_ID]]),"")</f>
        <v/>
      </c>
      <c r="BB42" s="54">
        <f ca="1">IF(Table4[[#This Row],[Demand_Last_30_Days]]=0,0,Table4[[#This Row],[Demand_Last_30_Days]]/30)</f>
        <v>0</v>
      </c>
      <c r="BC42" s="57"/>
      <c r="BD42" s="54">
        <f ca="1">Table4[[#This Row],[Average_Daily_Usage]]*Table4[[#This Row],[Buffer_Days]]</f>
        <v>0</v>
      </c>
      <c r="BE42" s="54" t="str">
        <f ca="1">IFERROR(Table4[[#This Row],[Average_Daily_Usage]]*Table4[[#This Row],[Lead_Time_Days]],"")</f>
        <v/>
      </c>
      <c r="BF42" s="58" t="str">
        <f>IFERROR(MAX(IF(sales[Product_ID]=Table4[Product_ID],sales[Quantity Sold])),"")</f>
        <v/>
      </c>
      <c r="BG42" s="58" t="str">
        <f>IFERROR(MAX(IF(purchase[Received Date]-purchase[Purchase Date],purchase[Product_ID],Table4[Product_ID])),"")</f>
        <v/>
      </c>
      <c r="BH42" s="58" t="str">
        <f>IFERROR(AVERAGEIFS(sales[Quantity Sold],sales[Product_ID],Table4[Product_ID]),"")</f>
        <v/>
      </c>
      <c r="BI42" s="58" t="str">
        <f>IFERROR(AVERAGEIFS(purchase[Lead Time (Days)],purchase[Product_ID],Table4[Product_ID]),"")</f>
        <v/>
      </c>
    </row>
    <row r="43" spans="4:61" x14ac:dyDescent="0.4">
      <c r="D43" s="53" t="str">
        <f t="shared" si="2"/>
        <v>PROD0038</v>
      </c>
      <c r="E43" s="53">
        <v>69120090</v>
      </c>
      <c r="F43" s="53" t="s">
        <v>495</v>
      </c>
      <c r="G43" s="53"/>
      <c r="H43" s="53" t="str">
        <f>IFERROR(VLOOKUP(Table4[[#This Row],[Product_ID]],Table410[#All],2,0),"")</f>
        <v>PRODCAT0038</v>
      </c>
      <c r="I43" s="53" t="str">
        <f>IFERROR(VLOOKUP(Table4[[#This Row],[Product_ID]],Table41011[#All],2,0),"")</f>
        <v>PRODBRAND0001</v>
      </c>
      <c r="J43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PRODCAT0038PROD0038IHC0001SKU</v>
      </c>
      <c r="K43" s="53"/>
      <c r="L43" s="53" t="str">
        <f>IF(COUNTIF($L$1:L38, TEXT(ROW()-1,"0000000000"))=0, TEXT(ROW()-1,"0000000000"), "Duplicate Found")</f>
        <v>0000000042</v>
      </c>
      <c r="M43" s="53" t="str">
        <f t="shared" si="3"/>
        <v>BTBA400042</v>
      </c>
      <c r="N43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43" s="54" t="str">
        <f ca="1">IFERROR(Table4[[#This Row],[Expected_Demand_During_Lead_Time]]+Table4[[#This Row],[Safety_Stock]],"")</f>
        <v/>
      </c>
      <c r="P43" s="54" t="str">
        <f ca="1">IFERROR(Table4[[#This Row],[Reorder Level]]-Table4[[#This Row],[Stock Quantity]],"")</f>
        <v/>
      </c>
      <c r="Q43" s="54" t="str">
        <f ca="1">IFERROR(Table4[[#This Row],[Reorder Level]]+Table4[[#This Row],[Safety_Stock]]+Table4[[#This Row],[Expected_Demand_During_Lead_Time]],"")</f>
        <v/>
      </c>
      <c r="R43" s="53" t="s">
        <v>122</v>
      </c>
      <c r="S43" s="53"/>
      <c r="T43" s="53"/>
      <c r="U43" s="53"/>
      <c r="V43" s="54" t="e">
        <f>(Table4[[#This Row],[MRP]]-Table4[[#This Row],[Selling Price]])/Table4[[#This Row],[MRP]]*100</f>
        <v>#DIV/0!</v>
      </c>
      <c r="W43" s="57"/>
      <c r="X43" s="57" t="s">
        <v>547</v>
      </c>
      <c r="Y43" s="54">
        <v>12</v>
      </c>
      <c r="Z43" s="54">
        <f>(Table4[[#This Row],[Cost Before Tax]]*Table4[[#This Row],[Tax Rate (%)]])/100+Table4[[#This Row],[Cost Before Tax]]</f>
        <v>0</v>
      </c>
      <c r="AA43" s="54">
        <f>4*Table4[[#This Row],[Cost After Tax]]</f>
        <v>0</v>
      </c>
      <c r="AB43" s="54" t="str">
        <f>IFERROR((Table4[[#This Row],[Selling Price]]-Table4[[#This Row],[Cost After Tax]])/Table4[[#This Row],[Selling Price]]*100,"")</f>
        <v/>
      </c>
      <c r="AC43" s="54">
        <f>Table4[[#This Row],[Selling Price]]-Table4[[#This Row],[Cost After Tax]]</f>
        <v>0</v>
      </c>
      <c r="AD43" s="57"/>
      <c r="AE43" s="57"/>
      <c r="AF43" s="57"/>
      <c r="AG43" s="57"/>
      <c r="AH43" s="57"/>
      <c r="AI43" s="57"/>
      <c r="AJ43" s="57"/>
      <c r="AK43" s="57"/>
      <c r="AL43" s="57"/>
      <c r="AM43" s="57"/>
      <c r="AN43" s="57"/>
      <c r="AO43" s="62" t="str">
        <f>IFERROR(MAX(IF((sales[Product_ID]=Table4[[#This Row],[Product_ID]])*(sales[Sales Status]="Confirmed"),sales[Invoice Date])),"")</f>
        <v/>
      </c>
      <c r="AP43" s="57"/>
      <c r="AQ43" s="57"/>
      <c r="AR43" s="57"/>
      <c r="AS43" s="57"/>
      <c r="AT43" s="57"/>
      <c r="AU43" s="57"/>
      <c r="AV43" s="57"/>
      <c r="AW43" s="57"/>
      <c r="AX43" s="57"/>
      <c r="AY43" s="57"/>
      <c r="AZ43" s="54">
        <f ca="1">SUMIFS(sales[Quantity Sold],sales[Product_ID],Table4[[#This Row],[Product_ID]],sales[Invoice Date],"&gt;="&amp;TODAY()-30)</f>
        <v>0</v>
      </c>
      <c r="BA43" s="49" t="str">
        <f>IFERROR(AVERAGEIFS(purchase[Lead Time (Days)],purchase[Product_ID],Table4[[#This Row],[Product_ID]]),"")</f>
        <v/>
      </c>
      <c r="BB43" s="54">
        <f ca="1">IF(Table4[[#This Row],[Demand_Last_30_Days]]=0,0,Table4[[#This Row],[Demand_Last_30_Days]]/30)</f>
        <v>0</v>
      </c>
      <c r="BC43" s="57"/>
      <c r="BD43" s="54">
        <f ca="1">Table4[[#This Row],[Average_Daily_Usage]]*Table4[[#This Row],[Buffer_Days]]</f>
        <v>0</v>
      </c>
      <c r="BE43" s="54" t="str">
        <f ca="1">IFERROR(Table4[[#This Row],[Average_Daily_Usage]]*Table4[[#This Row],[Lead_Time_Days]],"")</f>
        <v/>
      </c>
      <c r="BF43" s="58" t="str">
        <f>IFERROR(MAX(IF(sales[Product_ID]=Table4[Product_ID],sales[Quantity Sold])),"")</f>
        <v/>
      </c>
      <c r="BG43" s="58" t="str">
        <f>IFERROR(MAX(IF(purchase[Received Date]-purchase[Purchase Date],purchase[Product_ID],Table4[Product_ID])),"")</f>
        <v/>
      </c>
      <c r="BH43" s="58" t="str">
        <f>IFERROR(AVERAGEIFS(sales[Quantity Sold],sales[Product_ID],Table4[Product_ID]),"")</f>
        <v/>
      </c>
      <c r="BI43" s="58" t="str">
        <f>IFERROR(AVERAGEIFS(purchase[Lead Time (Days)],purchase[Product_ID],Table4[Product_ID]),"")</f>
        <v/>
      </c>
    </row>
    <row r="44" spans="4:61" x14ac:dyDescent="0.4">
      <c r="D44" s="53" t="str">
        <f t="shared" si="2"/>
        <v>PROD0039</v>
      </c>
      <c r="E44" s="53">
        <v>69120090</v>
      </c>
      <c r="F44" s="53" t="s">
        <v>496</v>
      </c>
      <c r="G44" s="53"/>
      <c r="H44" s="53" t="str">
        <f>IFERROR(VLOOKUP(Table4[[#This Row],[Product_ID]],Table410[#All],2,0),"")</f>
        <v>PRODCAT0039</v>
      </c>
      <c r="I44" s="53" t="str">
        <f>IFERROR(VLOOKUP(Table4[[#This Row],[Product_ID]],Table41011[#All],2,0),"")</f>
        <v>PRODBRAND0001</v>
      </c>
      <c r="J44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PRODCAT0039PROD0039IHC0001SKU</v>
      </c>
      <c r="K44" s="53"/>
      <c r="L44" s="53" t="str">
        <f>IF(COUNTIF($L$1:L39, TEXT(ROW()-1,"0000000000"))=0, TEXT(ROW()-1,"0000000000"), "Duplicate Found")</f>
        <v>0000000043</v>
      </c>
      <c r="M44" s="53" t="str">
        <f t="shared" si="3"/>
        <v>BTBA400043</v>
      </c>
      <c r="N44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44" s="54" t="str">
        <f ca="1">IFERROR(Table4[[#This Row],[Expected_Demand_During_Lead_Time]]+Table4[[#This Row],[Safety_Stock]],"")</f>
        <v/>
      </c>
      <c r="P44" s="54" t="str">
        <f ca="1">IFERROR(Table4[[#This Row],[Reorder Level]]-Table4[[#This Row],[Stock Quantity]],"")</f>
        <v/>
      </c>
      <c r="Q44" s="54" t="str">
        <f ca="1">IFERROR(Table4[[#This Row],[Reorder Level]]+Table4[[#This Row],[Safety_Stock]]+Table4[[#This Row],[Expected_Demand_During_Lead_Time]],"")</f>
        <v/>
      </c>
      <c r="R44" s="53" t="s">
        <v>122</v>
      </c>
      <c r="S44" s="53"/>
      <c r="T44" s="53"/>
      <c r="U44" s="53"/>
      <c r="V44" s="54" t="e">
        <f>(Table4[[#This Row],[MRP]]-Table4[[#This Row],[Selling Price]])/Table4[[#This Row],[MRP]]*100</f>
        <v>#DIV/0!</v>
      </c>
      <c r="W44" s="57"/>
      <c r="X44" s="57" t="s">
        <v>547</v>
      </c>
      <c r="Y44" s="54">
        <v>12</v>
      </c>
      <c r="Z44" s="54">
        <f>(Table4[[#This Row],[Cost Before Tax]]*Table4[[#This Row],[Tax Rate (%)]])/100+Table4[[#This Row],[Cost Before Tax]]</f>
        <v>0</v>
      </c>
      <c r="AA44" s="54">
        <f>4*Table4[[#This Row],[Cost After Tax]]</f>
        <v>0</v>
      </c>
      <c r="AB44" s="54" t="str">
        <f>IFERROR((Table4[[#This Row],[Selling Price]]-Table4[[#This Row],[Cost After Tax]])/Table4[[#This Row],[Selling Price]]*100,"")</f>
        <v/>
      </c>
      <c r="AC44" s="54">
        <f>Table4[[#This Row],[Selling Price]]-Table4[[#This Row],[Cost After Tax]]</f>
        <v>0</v>
      </c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62" t="str">
        <f>IFERROR(MAX(IF((sales[Product_ID]=Table4[[#This Row],[Product_ID]])*(sales[Sales Status]="Confirmed"),sales[Invoice Date])),"")</f>
        <v/>
      </c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4">
        <f ca="1">SUMIFS(sales[Quantity Sold],sales[Product_ID],Table4[[#This Row],[Product_ID]],sales[Invoice Date],"&gt;="&amp;TODAY()-30)</f>
        <v>0</v>
      </c>
      <c r="BA44" s="49" t="str">
        <f>IFERROR(AVERAGEIFS(purchase[Lead Time (Days)],purchase[Product_ID],Table4[[#This Row],[Product_ID]]),"")</f>
        <v/>
      </c>
      <c r="BB44" s="54">
        <f ca="1">IF(Table4[[#This Row],[Demand_Last_30_Days]]=0,0,Table4[[#This Row],[Demand_Last_30_Days]]/30)</f>
        <v>0</v>
      </c>
      <c r="BC44" s="57"/>
      <c r="BD44" s="54">
        <f ca="1">Table4[[#This Row],[Average_Daily_Usage]]*Table4[[#This Row],[Buffer_Days]]</f>
        <v>0</v>
      </c>
      <c r="BE44" s="54" t="str">
        <f ca="1">IFERROR(Table4[[#This Row],[Average_Daily_Usage]]*Table4[[#This Row],[Lead_Time_Days]],"")</f>
        <v/>
      </c>
      <c r="BF44" s="58" t="str">
        <f>IFERROR(MAX(IF(sales[Product_ID]=Table4[Product_ID],sales[Quantity Sold])),"")</f>
        <v/>
      </c>
      <c r="BG44" s="58" t="str">
        <f>IFERROR(MAX(IF(purchase[Received Date]-purchase[Purchase Date],purchase[Product_ID],Table4[Product_ID])),"")</f>
        <v/>
      </c>
      <c r="BH44" s="58" t="str">
        <f>IFERROR(AVERAGEIFS(sales[Quantity Sold],sales[Product_ID],Table4[Product_ID]),"")</f>
        <v/>
      </c>
      <c r="BI44" s="58" t="str">
        <f>IFERROR(AVERAGEIFS(purchase[Lead Time (Days)],purchase[Product_ID],Table4[Product_ID]),"")</f>
        <v/>
      </c>
    </row>
    <row r="45" spans="4:61" x14ac:dyDescent="0.4">
      <c r="D45" s="53" t="str">
        <f t="shared" si="2"/>
        <v>PROD0040</v>
      </c>
      <c r="E45" s="53">
        <v>69120090</v>
      </c>
      <c r="F45" s="53" t="s">
        <v>497</v>
      </c>
      <c r="G45" s="53"/>
      <c r="H45" s="53" t="str">
        <f>IFERROR(VLOOKUP(Table4[[#This Row],[Product_ID]],Table410[#All],2,0),"")</f>
        <v>PRODCAT0040</v>
      </c>
      <c r="I45" s="53" t="str">
        <f>IFERROR(VLOOKUP(Table4[[#This Row],[Product_ID]],Table41011[#All],2,0),"")</f>
        <v>PRODBRAND0001</v>
      </c>
      <c r="J45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PRODCAT0040PROD0040IHC0001SKU</v>
      </c>
      <c r="K45" s="53"/>
      <c r="L45" s="53" t="str">
        <f>IF(COUNTIF($L$1:L40, TEXT(ROW()-1,"0000000000"))=0, TEXT(ROW()-1,"0000000000"), "Duplicate Found")</f>
        <v>0000000044</v>
      </c>
      <c r="M45" s="53" t="str">
        <f t="shared" si="3"/>
        <v>BTBA400044</v>
      </c>
      <c r="N45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45" s="54" t="str">
        <f ca="1">IFERROR(Table4[[#This Row],[Expected_Demand_During_Lead_Time]]+Table4[[#This Row],[Safety_Stock]],"")</f>
        <v/>
      </c>
      <c r="P45" s="54" t="str">
        <f ca="1">IFERROR(Table4[[#This Row],[Reorder Level]]-Table4[[#This Row],[Stock Quantity]],"")</f>
        <v/>
      </c>
      <c r="Q45" s="54" t="str">
        <f ca="1">IFERROR(Table4[[#This Row],[Reorder Level]]+Table4[[#This Row],[Safety_Stock]]+Table4[[#This Row],[Expected_Demand_During_Lead_Time]],"")</f>
        <v/>
      </c>
      <c r="R45" s="53" t="s">
        <v>122</v>
      </c>
      <c r="S45" s="53"/>
      <c r="T45" s="53"/>
      <c r="U45" s="53"/>
      <c r="V45" s="54" t="e">
        <f>(Table4[[#This Row],[MRP]]-Table4[[#This Row],[Selling Price]])/Table4[[#This Row],[MRP]]*100</f>
        <v>#DIV/0!</v>
      </c>
      <c r="W45" s="57"/>
      <c r="X45" s="57" t="s">
        <v>547</v>
      </c>
      <c r="Y45" s="54">
        <v>12</v>
      </c>
      <c r="Z45" s="54">
        <f>(Table4[[#This Row],[Cost Before Tax]]*Table4[[#This Row],[Tax Rate (%)]])/100+Table4[[#This Row],[Cost Before Tax]]</f>
        <v>0</v>
      </c>
      <c r="AA45" s="54">
        <f>4*Table4[[#This Row],[Cost After Tax]]</f>
        <v>0</v>
      </c>
      <c r="AB45" s="54" t="str">
        <f>IFERROR((Table4[[#This Row],[Selling Price]]-Table4[[#This Row],[Cost After Tax]])/Table4[[#This Row],[Selling Price]]*100,"")</f>
        <v/>
      </c>
      <c r="AC45" s="54">
        <f>Table4[[#This Row],[Selling Price]]-Table4[[#This Row],[Cost After Tax]]</f>
        <v>0</v>
      </c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62" t="str">
        <f>IFERROR(MAX(IF((sales[Product_ID]=Table4[[#This Row],[Product_ID]])*(sales[Sales Status]="Confirmed"),sales[Invoice Date])),"")</f>
        <v/>
      </c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4">
        <f ca="1">SUMIFS(sales[Quantity Sold],sales[Product_ID],Table4[[#This Row],[Product_ID]],sales[Invoice Date],"&gt;="&amp;TODAY()-30)</f>
        <v>0</v>
      </c>
      <c r="BA45" s="49" t="str">
        <f>IFERROR(AVERAGEIFS(purchase[Lead Time (Days)],purchase[Product_ID],Table4[[#This Row],[Product_ID]]),"")</f>
        <v/>
      </c>
      <c r="BB45" s="54">
        <f ca="1">IF(Table4[[#This Row],[Demand_Last_30_Days]]=0,0,Table4[[#This Row],[Demand_Last_30_Days]]/30)</f>
        <v>0</v>
      </c>
      <c r="BC45" s="57"/>
      <c r="BD45" s="54">
        <f ca="1">Table4[[#This Row],[Average_Daily_Usage]]*Table4[[#This Row],[Buffer_Days]]</f>
        <v>0</v>
      </c>
      <c r="BE45" s="54" t="str">
        <f ca="1">IFERROR(Table4[[#This Row],[Average_Daily_Usage]]*Table4[[#This Row],[Lead_Time_Days]],"")</f>
        <v/>
      </c>
      <c r="BF45" s="58" t="str">
        <f>IFERROR(MAX(IF(sales[Product_ID]=Table4[Product_ID],sales[Quantity Sold])),"")</f>
        <v/>
      </c>
      <c r="BG45" s="58" t="str">
        <f>IFERROR(MAX(IF(purchase[Received Date]-purchase[Purchase Date],purchase[Product_ID],Table4[Product_ID])),"")</f>
        <v/>
      </c>
      <c r="BH45" s="58" t="str">
        <f>IFERROR(AVERAGEIFS(sales[Quantity Sold],sales[Product_ID],Table4[Product_ID]),"")</f>
        <v/>
      </c>
      <c r="BI45" s="58" t="str">
        <f>IFERROR(AVERAGEIFS(purchase[Lead Time (Days)],purchase[Product_ID],Table4[Product_ID]),"")</f>
        <v/>
      </c>
    </row>
    <row r="46" spans="4:61" x14ac:dyDescent="0.4">
      <c r="D46" s="53" t="str">
        <f t="shared" si="2"/>
        <v>PROD0041</v>
      </c>
      <c r="E46" s="53">
        <v>69120090</v>
      </c>
      <c r="F46" s="53" t="s">
        <v>498</v>
      </c>
      <c r="G46" s="53"/>
      <c r="H46" s="53" t="str">
        <f>IFERROR(VLOOKUP(Table4[[#This Row],[Product_ID]],Table410[#All],2,0),"")</f>
        <v>PRODCAT0041</v>
      </c>
      <c r="I46" s="53" t="str">
        <f>IFERROR(VLOOKUP(Table4[[#This Row],[Product_ID]],Table41011[#All],2,0),"")</f>
        <v>PRODBRAND0001</v>
      </c>
      <c r="J46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PRODCAT0041PROD0041IHC0001SKU</v>
      </c>
      <c r="K46" s="53"/>
      <c r="L46" s="53" t="str">
        <f>IF(COUNTIF($L$1:L41, TEXT(ROW()-1,"0000000000"))=0, TEXT(ROW()-1,"0000000000"), "Duplicate Found")</f>
        <v>0000000045</v>
      </c>
      <c r="M46" s="53" t="str">
        <f t="shared" si="3"/>
        <v>BTBA400045</v>
      </c>
      <c r="N46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46" s="54" t="str">
        <f ca="1">IFERROR(Table4[[#This Row],[Expected_Demand_During_Lead_Time]]+Table4[[#This Row],[Safety_Stock]],"")</f>
        <v/>
      </c>
      <c r="P46" s="54" t="str">
        <f ca="1">IFERROR(Table4[[#This Row],[Reorder Level]]-Table4[[#This Row],[Stock Quantity]],"")</f>
        <v/>
      </c>
      <c r="Q46" s="54" t="str">
        <f ca="1">IFERROR(Table4[[#This Row],[Reorder Level]]+Table4[[#This Row],[Safety_Stock]]+Table4[[#This Row],[Expected_Demand_During_Lead_Time]],"")</f>
        <v/>
      </c>
      <c r="R46" s="53" t="s">
        <v>122</v>
      </c>
      <c r="S46" s="53"/>
      <c r="T46" s="53"/>
      <c r="U46" s="53"/>
      <c r="V46" s="54" t="e">
        <f>(Table4[[#This Row],[MRP]]-Table4[[#This Row],[Selling Price]])/Table4[[#This Row],[MRP]]*100</f>
        <v>#DIV/0!</v>
      </c>
      <c r="W46" s="57"/>
      <c r="X46" s="57" t="s">
        <v>547</v>
      </c>
      <c r="Y46" s="54">
        <v>12</v>
      </c>
      <c r="Z46" s="54">
        <f>(Table4[[#This Row],[Cost Before Tax]]*Table4[[#This Row],[Tax Rate (%)]])/100+Table4[[#This Row],[Cost Before Tax]]</f>
        <v>0</v>
      </c>
      <c r="AA46" s="54">
        <f>4*Table4[[#This Row],[Cost After Tax]]</f>
        <v>0</v>
      </c>
      <c r="AB46" s="54" t="str">
        <f>IFERROR((Table4[[#This Row],[Selling Price]]-Table4[[#This Row],[Cost After Tax]])/Table4[[#This Row],[Selling Price]]*100,"")</f>
        <v/>
      </c>
      <c r="AC46" s="54">
        <f>Table4[[#This Row],[Selling Price]]-Table4[[#This Row],[Cost After Tax]]</f>
        <v>0</v>
      </c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62" t="str">
        <f>IFERROR(MAX(IF((sales[Product_ID]=Table4[[#This Row],[Product_ID]])*(sales[Sales Status]="Confirmed"),sales[Invoice Date])),"")</f>
        <v/>
      </c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4">
        <f ca="1">SUMIFS(sales[Quantity Sold],sales[Product_ID],Table4[[#This Row],[Product_ID]],sales[Invoice Date],"&gt;="&amp;TODAY()-30)</f>
        <v>0</v>
      </c>
      <c r="BA46" s="49" t="str">
        <f>IFERROR(AVERAGEIFS(purchase[Lead Time (Days)],purchase[Product_ID],Table4[[#This Row],[Product_ID]]),"")</f>
        <v/>
      </c>
      <c r="BB46" s="54">
        <f ca="1">IF(Table4[[#This Row],[Demand_Last_30_Days]]=0,0,Table4[[#This Row],[Demand_Last_30_Days]]/30)</f>
        <v>0</v>
      </c>
      <c r="BC46" s="57"/>
      <c r="BD46" s="54">
        <f ca="1">Table4[[#This Row],[Average_Daily_Usage]]*Table4[[#This Row],[Buffer_Days]]</f>
        <v>0</v>
      </c>
      <c r="BE46" s="54" t="str">
        <f ca="1">IFERROR(Table4[[#This Row],[Average_Daily_Usage]]*Table4[[#This Row],[Lead_Time_Days]],"")</f>
        <v/>
      </c>
      <c r="BF46" s="58" t="str">
        <f>IFERROR(MAX(IF(sales[Product_ID]=Table4[Product_ID],sales[Quantity Sold])),"")</f>
        <v/>
      </c>
      <c r="BG46" s="58" t="str">
        <f>IFERROR(MAX(IF(purchase[Received Date]-purchase[Purchase Date],purchase[Product_ID],Table4[Product_ID])),"")</f>
        <v/>
      </c>
      <c r="BH46" s="58" t="str">
        <f>IFERROR(AVERAGEIFS(sales[Quantity Sold],sales[Product_ID],Table4[Product_ID]),"")</f>
        <v/>
      </c>
      <c r="BI46" s="58" t="str">
        <f>IFERROR(AVERAGEIFS(purchase[Lead Time (Days)],purchase[Product_ID],Table4[Product_ID]),"")</f>
        <v/>
      </c>
    </row>
    <row r="47" spans="4:61" x14ac:dyDescent="0.4">
      <c r="D47" s="53" t="str">
        <f t="shared" si="2"/>
        <v>PROD0042</v>
      </c>
      <c r="E47" s="53">
        <v>69120090</v>
      </c>
      <c r="F47" s="53" t="s">
        <v>499</v>
      </c>
      <c r="G47" s="53"/>
      <c r="H47" s="53" t="str">
        <f>IFERROR(VLOOKUP(Table4[[#This Row],[Product_ID]],Table410[#All],2,0),"")</f>
        <v>PRODCAT0042</v>
      </c>
      <c r="I47" s="53" t="str">
        <f>IFERROR(VLOOKUP(Table4[[#This Row],[Product_ID]],Table41011[#All],2,0),"")</f>
        <v>PRODBRAND0001</v>
      </c>
      <c r="J47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PRODCAT0042PROD0042IHC0001SKU</v>
      </c>
      <c r="K47" s="53"/>
      <c r="L47" s="53" t="str">
        <f>IF(COUNTIF($L$1:L42, TEXT(ROW()-1,"0000000000"))=0, TEXT(ROW()-1,"0000000000"), "Duplicate Found")</f>
        <v>0000000046</v>
      </c>
      <c r="M47" s="53" t="str">
        <f t="shared" si="3"/>
        <v>BTBA400046</v>
      </c>
      <c r="N47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47" s="54" t="str">
        <f ca="1">IFERROR(Table4[[#This Row],[Expected_Demand_During_Lead_Time]]+Table4[[#This Row],[Safety_Stock]],"")</f>
        <v/>
      </c>
      <c r="P47" s="54" t="str">
        <f ca="1">IFERROR(Table4[[#This Row],[Reorder Level]]-Table4[[#This Row],[Stock Quantity]],"")</f>
        <v/>
      </c>
      <c r="Q47" s="54" t="str">
        <f ca="1">IFERROR(Table4[[#This Row],[Reorder Level]]+Table4[[#This Row],[Safety_Stock]]+Table4[[#This Row],[Expected_Demand_During_Lead_Time]],"")</f>
        <v/>
      </c>
      <c r="R47" s="53" t="s">
        <v>122</v>
      </c>
      <c r="S47" s="53"/>
      <c r="T47" s="53"/>
      <c r="U47" s="53"/>
      <c r="V47" s="54" t="e">
        <f>(Table4[[#This Row],[MRP]]-Table4[[#This Row],[Selling Price]])/Table4[[#This Row],[MRP]]*100</f>
        <v>#DIV/0!</v>
      </c>
      <c r="W47" s="57"/>
      <c r="X47" s="57" t="s">
        <v>547</v>
      </c>
      <c r="Y47" s="54">
        <v>12</v>
      </c>
      <c r="Z47" s="54">
        <f>(Table4[[#This Row],[Cost Before Tax]]*Table4[[#This Row],[Tax Rate (%)]])/100+Table4[[#This Row],[Cost Before Tax]]</f>
        <v>0</v>
      </c>
      <c r="AA47" s="54">
        <f>4*Table4[[#This Row],[Cost After Tax]]</f>
        <v>0</v>
      </c>
      <c r="AB47" s="54" t="str">
        <f>IFERROR((Table4[[#This Row],[Selling Price]]-Table4[[#This Row],[Cost After Tax]])/Table4[[#This Row],[Selling Price]]*100,"")</f>
        <v/>
      </c>
      <c r="AC47" s="54">
        <f>Table4[[#This Row],[Selling Price]]-Table4[[#This Row],[Cost After Tax]]</f>
        <v>0</v>
      </c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62" t="str">
        <f>IFERROR(MAX(IF((sales[Product_ID]=Table4[[#This Row],[Product_ID]])*(sales[Sales Status]="Confirmed"),sales[Invoice Date])),"")</f>
        <v/>
      </c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4">
        <f ca="1">SUMIFS(sales[Quantity Sold],sales[Product_ID],Table4[[#This Row],[Product_ID]],sales[Invoice Date],"&gt;="&amp;TODAY()-30)</f>
        <v>0</v>
      </c>
      <c r="BA47" s="49" t="str">
        <f>IFERROR(AVERAGEIFS(purchase[Lead Time (Days)],purchase[Product_ID],Table4[[#This Row],[Product_ID]]),"")</f>
        <v/>
      </c>
      <c r="BB47" s="54">
        <f ca="1">IF(Table4[[#This Row],[Demand_Last_30_Days]]=0,0,Table4[[#This Row],[Demand_Last_30_Days]]/30)</f>
        <v>0</v>
      </c>
      <c r="BC47" s="57"/>
      <c r="BD47" s="54">
        <f ca="1">Table4[[#This Row],[Average_Daily_Usage]]*Table4[[#This Row],[Buffer_Days]]</f>
        <v>0</v>
      </c>
      <c r="BE47" s="54" t="str">
        <f ca="1">IFERROR(Table4[[#This Row],[Average_Daily_Usage]]*Table4[[#This Row],[Lead_Time_Days]],"")</f>
        <v/>
      </c>
      <c r="BF47" s="58" t="str">
        <f>IFERROR(MAX(IF(sales[Product_ID]=Table4[Product_ID],sales[Quantity Sold])),"")</f>
        <v/>
      </c>
      <c r="BG47" s="58" t="str">
        <f>IFERROR(MAX(IF(purchase[Received Date]-purchase[Purchase Date],purchase[Product_ID],Table4[Product_ID])),"")</f>
        <v/>
      </c>
      <c r="BH47" s="58" t="str">
        <f>IFERROR(AVERAGEIFS(sales[Quantity Sold],sales[Product_ID],Table4[Product_ID]),"")</f>
        <v/>
      </c>
      <c r="BI47" s="58" t="str">
        <f>IFERROR(AVERAGEIFS(purchase[Lead Time (Days)],purchase[Product_ID],Table4[Product_ID]),"")</f>
        <v/>
      </c>
    </row>
    <row r="48" spans="4:61" x14ac:dyDescent="0.4">
      <c r="D48" s="53" t="str">
        <f t="shared" si="2"/>
        <v>PROD0043</v>
      </c>
      <c r="E48" s="53">
        <v>69120090</v>
      </c>
      <c r="F48" s="53" t="s">
        <v>500</v>
      </c>
      <c r="G48" s="53"/>
      <c r="H48" s="53" t="str">
        <f>IFERROR(VLOOKUP(Table4[[#This Row],[Product_ID]],Table410[#All],2,0),"")</f>
        <v>PRODCAT0043</v>
      </c>
      <c r="I48" s="53" t="str">
        <f>IFERROR(VLOOKUP(Table4[[#This Row],[Product_ID]],Table41011[#All],2,0),"")</f>
        <v>PRODBRAND0001</v>
      </c>
      <c r="J48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PRODCAT0043PROD0043IHC0001SKU</v>
      </c>
      <c r="K48" s="53"/>
      <c r="L48" s="53" t="str">
        <f>IF(COUNTIF($L$1:L43, TEXT(ROW()-1,"0000000000"))=0, TEXT(ROW()-1,"0000000000"), "Duplicate Found")</f>
        <v>0000000047</v>
      </c>
      <c r="M48" s="53" t="str">
        <f t="shared" si="3"/>
        <v>BTBA400047</v>
      </c>
      <c r="N48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48" s="54" t="str">
        <f ca="1">IFERROR(Table4[[#This Row],[Expected_Demand_During_Lead_Time]]+Table4[[#This Row],[Safety_Stock]],"")</f>
        <v/>
      </c>
      <c r="P48" s="54" t="str">
        <f ca="1">IFERROR(Table4[[#This Row],[Reorder Level]]-Table4[[#This Row],[Stock Quantity]],"")</f>
        <v/>
      </c>
      <c r="Q48" s="54" t="str">
        <f ca="1">IFERROR(Table4[[#This Row],[Reorder Level]]+Table4[[#This Row],[Safety_Stock]]+Table4[[#This Row],[Expected_Demand_During_Lead_Time]],"")</f>
        <v/>
      </c>
      <c r="R48" s="53" t="s">
        <v>122</v>
      </c>
      <c r="S48" s="53"/>
      <c r="T48" s="53"/>
      <c r="U48" s="53"/>
      <c r="V48" s="54" t="e">
        <f>(Table4[[#This Row],[MRP]]-Table4[[#This Row],[Selling Price]])/Table4[[#This Row],[MRP]]*100</f>
        <v>#DIV/0!</v>
      </c>
      <c r="W48" s="57"/>
      <c r="X48" s="57" t="s">
        <v>547</v>
      </c>
      <c r="Y48" s="54">
        <v>12</v>
      </c>
      <c r="Z48" s="54">
        <f>(Table4[[#This Row],[Cost Before Tax]]*Table4[[#This Row],[Tax Rate (%)]])/100+Table4[[#This Row],[Cost Before Tax]]</f>
        <v>0</v>
      </c>
      <c r="AA48" s="54">
        <f>4*Table4[[#This Row],[Cost After Tax]]</f>
        <v>0</v>
      </c>
      <c r="AB48" s="54" t="str">
        <f>IFERROR((Table4[[#This Row],[Selling Price]]-Table4[[#This Row],[Cost After Tax]])/Table4[[#This Row],[Selling Price]]*100,"")</f>
        <v/>
      </c>
      <c r="AC48" s="54">
        <f>Table4[[#This Row],[Selling Price]]-Table4[[#This Row],[Cost After Tax]]</f>
        <v>0</v>
      </c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62" t="str">
        <f>IFERROR(MAX(IF((sales[Product_ID]=Table4[[#This Row],[Product_ID]])*(sales[Sales Status]="Confirmed"),sales[Invoice Date])),"")</f>
        <v/>
      </c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4">
        <f ca="1">SUMIFS(sales[Quantity Sold],sales[Product_ID],Table4[[#This Row],[Product_ID]],sales[Invoice Date],"&gt;="&amp;TODAY()-30)</f>
        <v>0</v>
      </c>
      <c r="BA48" s="49" t="str">
        <f>IFERROR(AVERAGEIFS(purchase[Lead Time (Days)],purchase[Product_ID],Table4[[#This Row],[Product_ID]]),"")</f>
        <v/>
      </c>
      <c r="BB48" s="54">
        <f ca="1">IF(Table4[[#This Row],[Demand_Last_30_Days]]=0,0,Table4[[#This Row],[Demand_Last_30_Days]]/30)</f>
        <v>0</v>
      </c>
      <c r="BC48" s="57"/>
      <c r="BD48" s="54">
        <f ca="1">Table4[[#This Row],[Average_Daily_Usage]]*Table4[[#This Row],[Buffer_Days]]</f>
        <v>0</v>
      </c>
      <c r="BE48" s="54" t="str">
        <f ca="1">IFERROR(Table4[[#This Row],[Average_Daily_Usage]]*Table4[[#This Row],[Lead_Time_Days]],"")</f>
        <v/>
      </c>
      <c r="BF48" s="58" t="str">
        <f>IFERROR(MAX(IF(sales[Product_ID]=Table4[Product_ID],sales[Quantity Sold])),"")</f>
        <v/>
      </c>
      <c r="BG48" s="58" t="str">
        <f>IFERROR(MAX(IF(purchase[Received Date]-purchase[Purchase Date],purchase[Product_ID],Table4[Product_ID])),"")</f>
        <v/>
      </c>
      <c r="BH48" s="58" t="str">
        <f>IFERROR(AVERAGEIFS(sales[Quantity Sold],sales[Product_ID],Table4[Product_ID]),"")</f>
        <v/>
      </c>
      <c r="BI48" s="58" t="str">
        <f>IFERROR(AVERAGEIFS(purchase[Lead Time (Days)],purchase[Product_ID],Table4[Product_ID]),"")</f>
        <v/>
      </c>
    </row>
    <row r="49" spans="4:61" x14ac:dyDescent="0.4">
      <c r="D49" s="53" t="str">
        <f t="shared" si="2"/>
        <v>PROD0044</v>
      </c>
      <c r="E49" s="53">
        <v>69120090</v>
      </c>
      <c r="F49" s="53" t="s">
        <v>501</v>
      </c>
      <c r="G49" s="53"/>
      <c r="H49" s="53" t="str">
        <f>IFERROR(VLOOKUP(Table4[[#This Row],[Product_ID]],Table410[#All],2,0),"")</f>
        <v>PRODCAT0044</v>
      </c>
      <c r="I49" s="53" t="str">
        <f>IFERROR(VLOOKUP(Table4[[#This Row],[Product_ID]],Table41011[#All],2,0),"")</f>
        <v>PRODBRAND0001</v>
      </c>
      <c r="J49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PRODCAT0044PROD0044IHC0001SKU</v>
      </c>
      <c r="K49" s="53"/>
      <c r="L49" s="53" t="str">
        <f>IF(COUNTIF($L$1:L44, TEXT(ROW()-1,"0000000000"))=0, TEXT(ROW()-1,"0000000000"), "Duplicate Found")</f>
        <v>0000000048</v>
      </c>
      <c r="M49" s="53" t="str">
        <f t="shared" si="3"/>
        <v>BTBA400048</v>
      </c>
      <c r="N49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49" s="54" t="str">
        <f ca="1">IFERROR(Table4[[#This Row],[Expected_Demand_During_Lead_Time]]+Table4[[#This Row],[Safety_Stock]],"")</f>
        <v/>
      </c>
      <c r="P49" s="54" t="str">
        <f ca="1">IFERROR(Table4[[#This Row],[Reorder Level]]-Table4[[#This Row],[Stock Quantity]],"")</f>
        <v/>
      </c>
      <c r="Q49" s="54" t="str">
        <f ca="1">IFERROR(Table4[[#This Row],[Reorder Level]]+Table4[[#This Row],[Safety_Stock]]+Table4[[#This Row],[Expected_Demand_During_Lead_Time]],"")</f>
        <v/>
      </c>
      <c r="R49" s="53" t="s">
        <v>122</v>
      </c>
      <c r="S49" s="53"/>
      <c r="T49" s="53"/>
      <c r="U49" s="53"/>
      <c r="V49" s="54" t="e">
        <f>(Table4[[#This Row],[MRP]]-Table4[[#This Row],[Selling Price]])/Table4[[#This Row],[MRP]]*100</f>
        <v>#DIV/0!</v>
      </c>
      <c r="W49" s="57"/>
      <c r="X49" s="57" t="s">
        <v>547</v>
      </c>
      <c r="Y49" s="54">
        <v>12</v>
      </c>
      <c r="Z49" s="54">
        <f>(Table4[[#This Row],[Cost Before Tax]]*Table4[[#This Row],[Tax Rate (%)]])/100+Table4[[#This Row],[Cost Before Tax]]</f>
        <v>0</v>
      </c>
      <c r="AA49" s="54">
        <f>4*Table4[[#This Row],[Cost After Tax]]</f>
        <v>0</v>
      </c>
      <c r="AB49" s="54" t="str">
        <f>IFERROR((Table4[[#This Row],[Selling Price]]-Table4[[#This Row],[Cost After Tax]])/Table4[[#This Row],[Selling Price]]*100,"")</f>
        <v/>
      </c>
      <c r="AC49" s="54">
        <f>Table4[[#This Row],[Selling Price]]-Table4[[#This Row],[Cost After Tax]]</f>
        <v>0</v>
      </c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62" t="str">
        <f>IFERROR(MAX(IF((sales[Product_ID]=Table4[[#This Row],[Product_ID]])*(sales[Sales Status]="Confirmed"),sales[Invoice Date])),"")</f>
        <v/>
      </c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4">
        <f ca="1">SUMIFS(sales[Quantity Sold],sales[Product_ID],Table4[[#This Row],[Product_ID]],sales[Invoice Date],"&gt;="&amp;TODAY()-30)</f>
        <v>0</v>
      </c>
      <c r="BA49" s="49" t="str">
        <f>IFERROR(AVERAGEIFS(purchase[Lead Time (Days)],purchase[Product_ID],Table4[[#This Row],[Product_ID]]),"")</f>
        <v/>
      </c>
      <c r="BB49" s="54">
        <f ca="1">IF(Table4[[#This Row],[Demand_Last_30_Days]]=0,0,Table4[[#This Row],[Demand_Last_30_Days]]/30)</f>
        <v>0</v>
      </c>
      <c r="BC49" s="57"/>
      <c r="BD49" s="54">
        <f ca="1">Table4[[#This Row],[Average_Daily_Usage]]*Table4[[#This Row],[Buffer_Days]]</f>
        <v>0</v>
      </c>
      <c r="BE49" s="54" t="str">
        <f ca="1">IFERROR(Table4[[#This Row],[Average_Daily_Usage]]*Table4[[#This Row],[Lead_Time_Days]],"")</f>
        <v/>
      </c>
      <c r="BF49" s="58" t="str">
        <f>IFERROR(MAX(IF(sales[Product_ID]=Table4[Product_ID],sales[Quantity Sold])),"")</f>
        <v/>
      </c>
      <c r="BG49" s="58" t="str">
        <f>IFERROR(MAX(IF(purchase[Received Date]-purchase[Purchase Date],purchase[Product_ID],Table4[Product_ID])),"")</f>
        <v/>
      </c>
      <c r="BH49" s="58" t="str">
        <f>IFERROR(AVERAGEIFS(sales[Quantity Sold],sales[Product_ID],Table4[Product_ID]),"")</f>
        <v/>
      </c>
      <c r="BI49" s="58" t="str">
        <f>IFERROR(AVERAGEIFS(purchase[Lead Time (Days)],purchase[Product_ID],Table4[Product_ID]),"")</f>
        <v/>
      </c>
    </row>
    <row r="50" spans="4:61" x14ac:dyDescent="0.4">
      <c r="D50" s="53" t="str">
        <f t="shared" si="2"/>
        <v>PROD0045</v>
      </c>
      <c r="E50" s="53">
        <v>69120090</v>
      </c>
      <c r="F50" s="53" t="s">
        <v>502</v>
      </c>
      <c r="G50" s="53"/>
      <c r="H50" s="53" t="str">
        <f>IFERROR(VLOOKUP(Table4[[#This Row],[Product_ID]],Table410[#All],2,0),"")</f>
        <v>PRODCAT0045</v>
      </c>
      <c r="I50" s="53" t="str">
        <f>IFERROR(VLOOKUP(Table4[[#This Row],[Product_ID]],Table41011[#All],2,0),"")</f>
        <v>PRODBRAND0001</v>
      </c>
      <c r="J50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PRODCAT0045PROD0045IHC0001SKU</v>
      </c>
      <c r="K50" s="53"/>
      <c r="L50" s="53" t="str">
        <f>IF(COUNTIF($L$1:L45, TEXT(ROW()-1,"0000000000"))=0, TEXT(ROW()-1,"0000000000"), "Duplicate Found")</f>
        <v>0000000049</v>
      </c>
      <c r="M50" s="53" t="str">
        <f t="shared" si="3"/>
        <v>BTBA400049</v>
      </c>
      <c r="N50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50" s="54" t="str">
        <f ca="1">IFERROR(Table4[[#This Row],[Expected_Demand_During_Lead_Time]]+Table4[[#This Row],[Safety_Stock]],"")</f>
        <v/>
      </c>
      <c r="P50" s="54" t="str">
        <f ca="1">IFERROR(Table4[[#This Row],[Reorder Level]]-Table4[[#This Row],[Stock Quantity]],"")</f>
        <v/>
      </c>
      <c r="Q50" s="54" t="str">
        <f ca="1">IFERROR(Table4[[#This Row],[Reorder Level]]+Table4[[#This Row],[Safety_Stock]]+Table4[[#This Row],[Expected_Demand_During_Lead_Time]],"")</f>
        <v/>
      </c>
      <c r="R50" s="53" t="s">
        <v>122</v>
      </c>
      <c r="S50" s="53"/>
      <c r="T50" s="53"/>
      <c r="U50" s="53"/>
      <c r="V50" s="54" t="e">
        <f>(Table4[[#This Row],[MRP]]-Table4[[#This Row],[Selling Price]])/Table4[[#This Row],[MRP]]*100</f>
        <v>#DIV/0!</v>
      </c>
      <c r="W50" s="57"/>
      <c r="X50" s="57" t="s">
        <v>547</v>
      </c>
      <c r="Y50" s="54">
        <v>12</v>
      </c>
      <c r="Z50" s="54">
        <f>(Table4[[#This Row],[Cost Before Tax]]*Table4[[#This Row],[Tax Rate (%)]])/100+Table4[[#This Row],[Cost Before Tax]]</f>
        <v>0</v>
      </c>
      <c r="AA50" s="54">
        <f>4*Table4[[#This Row],[Cost After Tax]]</f>
        <v>0</v>
      </c>
      <c r="AB50" s="54" t="str">
        <f>IFERROR((Table4[[#This Row],[Selling Price]]-Table4[[#This Row],[Cost After Tax]])/Table4[[#This Row],[Selling Price]]*100,"")</f>
        <v/>
      </c>
      <c r="AC50" s="54">
        <f>Table4[[#This Row],[Selling Price]]-Table4[[#This Row],[Cost After Tax]]</f>
        <v>0</v>
      </c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62" t="str">
        <f>IFERROR(MAX(IF((sales[Product_ID]=Table4[[#This Row],[Product_ID]])*(sales[Sales Status]="Confirmed"),sales[Invoice Date])),"")</f>
        <v/>
      </c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4">
        <f ca="1">SUMIFS(sales[Quantity Sold],sales[Product_ID],Table4[[#This Row],[Product_ID]],sales[Invoice Date],"&gt;="&amp;TODAY()-30)</f>
        <v>0</v>
      </c>
      <c r="BA50" s="49" t="str">
        <f>IFERROR(AVERAGEIFS(purchase[Lead Time (Days)],purchase[Product_ID],Table4[[#This Row],[Product_ID]]),"")</f>
        <v/>
      </c>
      <c r="BB50" s="54">
        <f ca="1">IF(Table4[[#This Row],[Demand_Last_30_Days]]=0,0,Table4[[#This Row],[Demand_Last_30_Days]]/30)</f>
        <v>0</v>
      </c>
      <c r="BC50" s="57"/>
      <c r="BD50" s="54">
        <f ca="1">Table4[[#This Row],[Average_Daily_Usage]]*Table4[[#This Row],[Buffer_Days]]</f>
        <v>0</v>
      </c>
      <c r="BE50" s="54" t="str">
        <f ca="1">IFERROR(Table4[[#This Row],[Average_Daily_Usage]]*Table4[[#This Row],[Lead_Time_Days]],"")</f>
        <v/>
      </c>
      <c r="BF50" s="58" t="str">
        <f>IFERROR(MAX(IF(sales[Product_ID]=Table4[Product_ID],sales[Quantity Sold])),"")</f>
        <v/>
      </c>
      <c r="BG50" s="58" t="str">
        <f>IFERROR(MAX(IF(purchase[Received Date]-purchase[Purchase Date],purchase[Product_ID],Table4[Product_ID])),"")</f>
        <v/>
      </c>
      <c r="BH50" s="58" t="str">
        <f>IFERROR(AVERAGEIFS(sales[Quantity Sold],sales[Product_ID],Table4[Product_ID]),"")</f>
        <v/>
      </c>
      <c r="BI50" s="58" t="str">
        <f>IFERROR(AVERAGEIFS(purchase[Lead Time (Days)],purchase[Product_ID],Table4[Product_ID]),"")</f>
        <v/>
      </c>
    </row>
    <row r="51" spans="4:61" x14ac:dyDescent="0.4">
      <c r="D51" s="53" t="str">
        <f t="shared" si="2"/>
        <v>PROD0046</v>
      </c>
      <c r="E51" s="53">
        <v>96032100</v>
      </c>
      <c r="F51" s="53" t="s">
        <v>52</v>
      </c>
      <c r="G51" s="53" t="s">
        <v>759</v>
      </c>
      <c r="H51" s="53" t="str">
        <f>IFERROR(VLOOKUP(Table4[[#This Row],[Product_ID]],Table410[#All],2,0),"")</f>
        <v>PRODCAT0046</v>
      </c>
      <c r="I51" s="53" t="s">
        <v>512</v>
      </c>
      <c r="J51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PRODCAT0046PROD0046IHC0001SKU</v>
      </c>
      <c r="K51" s="55" t="s">
        <v>513</v>
      </c>
      <c r="L51" s="53" t="str">
        <f>IF(COUNTIF($L$1:L46, TEXT(ROW()-1,"0000000000"))=0, TEXT(ROW()-1,"0000000000"), "Duplicate Found")</f>
        <v>0000000050</v>
      </c>
      <c r="M51" s="53" t="str">
        <f t="shared" si="3"/>
        <v>BTBA400050</v>
      </c>
      <c r="N51" s="54">
        <f>SUMIFS(purchase[Received Quantity],purchase[Product_ID],Table4[[#This Row],[Product_ID]],purchase[Delivery Status],"Completed")-SUMIFS(sales[Quantity Sold],sales[Product_ID],Table4[[#This Row],[Product_ID]],sales[Delivery Status],"Completed")</f>
        <v>500</v>
      </c>
      <c r="O51" s="54">
        <f ca="1">IFERROR(Table4[[#This Row],[Expected_Demand_During_Lead_Time]]+Table4[[#This Row],[Safety_Stock]],"")</f>
        <v>0</v>
      </c>
      <c r="P51" s="54">
        <f ca="1">IFERROR(Table4[[#This Row],[Reorder Level]]-Table4[[#This Row],[Stock Quantity]],"")</f>
        <v>-500</v>
      </c>
      <c r="Q51" s="54">
        <f ca="1">IFERROR(Table4[[#This Row],[Reorder Level]]+Table4[[#This Row],[Safety_Stock]]+Table4[[#This Row],[Expected_Demand_During_Lead_Time]],"")</f>
        <v>0</v>
      </c>
      <c r="R51" s="53" t="s">
        <v>122</v>
      </c>
      <c r="S51" s="53" t="s">
        <v>515</v>
      </c>
      <c r="T51" s="53">
        <v>15</v>
      </c>
      <c r="U51" s="53">
        <v>645</v>
      </c>
      <c r="V51" s="54">
        <f>(Table4[[#This Row],[MRP]]-Table4[[#This Row],[Selling Price]])/Table4[[#This Row],[MRP]]*100</f>
        <v>69.147286821705421</v>
      </c>
      <c r="W51" s="59">
        <v>6.5</v>
      </c>
      <c r="X51" s="57" t="s">
        <v>547</v>
      </c>
      <c r="Y51" s="54">
        <v>18</v>
      </c>
      <c r="Z51" s="54">
        <f>(Table4[[#This Row],[Cost Before Tax]]*Table4[[#This Row],[Tax Rate (%)]])/100+Table4[[#This Row],[Cost Before Tax]]</f>
        <v>7.67</v>
      </c>
      <c r="AA51" s="54">
        <f>4*Table4[[#This Row],[Cost After Tax]]</f>
        <v>30.68</v>
      </c>
      <c r="AB51" s="54">
        <f>IFERROR((Table4[[#This Row],[Selling Price]]-Table4[[#This Row],[Cost After Tax]])/Table4[[#This Row],[Selling Price]]*100,"")</f>
        <v>96.145728643216088</v>
      </c>
      <c r="AC51" s="54">
        <f>Table4[[#This Row],[Selling Price]]-Table4[[#This Row],[Cost After Tax]]</f>
        <v>191.33</v>
      </c>
      <c r="AD51" s="57">
        <v>199</v>
      </c>
      <c r="AE51" s="60" t="s">
        <v>572</v>
      </c>
      <c r="AF51" s="60" t="s">
        <v>573</v>
      </c>
      <c r="AG51" s="57" t="s">
        <v>574</v>
      </c>
      <c r="AH51" s="57" t="s">
        <v>575</v>
      </c>
      <c r="AI51" s="57" t="s">
        <v>576</v>
      </c>
      <c r="AJ51" s="57" t="s">
        <v>577</v>
      </c>
      <c r="AK51" s="57" t="s">
        <v>578</v>
      </c>
      <c r="AL51" s="57"/>
      <c r="AM51" s="57"/>
      <c r="AN51" s="57"/>
      <c r="AO51" s="62" t="str">
        <f>IFERROR(MAX(IF((sales[Product_ID]=Table4[[#This Row],[Product_ID]])*(sales[Sales Status]="Confirmed"),sales[Invoice Date])),"")</f>
        <v/>
      </c>
      <c r="AP51" s="57"/>
      <c r="AQ51" s="57"/>
      <c r="AR51" s="57"/>
      <c r="AS51" s="57"/>
      <c r="AT51" s="57"/>
      <c r="AU51" s="57"/>
      <c r="AV51" s="57" t="s">
        <v>404</v>
      </c>
      <c r="AW51" s="57" t="s">
        <v>122</v>
      </c>
      <c r="AX51" s="57" t="s">
        <v>57</v>
      </c>
      <c r="AY51" s="57"/>
      <c r="AZ51" s="54">
        <f ca="1">SUMIFS(sales[Quantity Sold],sales[Product_ID],Table4[[#This Row],[Product_ID]],sales[Invoice Date],"&gt;="&amp;TODAY()-30)</f>
        <v>0</v>
      </c>
      <c r="BA51" s="49">
        <f>IFERROR(AVERAGEIFS(purchase[Lead Time (Days)],purchase[Product_ID],Table4[[#This Row],[Product_ID]]),"")</f>
        <v>16</v>
      </c>
      <c r="BB51" s="54">
        <f ca="1">IF(Table4[[#This Row],[Demand_Last_30_Days]]=0,0,Table4[[#This Row],[Demand_Last_30_Days]]/30)</f>
        <v>0</v>
      </c>
      <c r="BC51" s="57"/>
      <c r="BD51" s="54">
        <f ca="1">Table4[[#This Row],[Average_Daily_Usage]]*Table4[[#This Row],[Buffer_Days]]</f>
        <v>0</v>
      </c>
      <c r="BE51" s="54">
        <f ca="1">IFERROR(Table4[[#This Row],[Average_Daily_Usage]]*Table4[[#This Row],[Lead_Time_Days]],"")</f>
        <v>0</v>
      </c>
      <c r="BF51" s="58" t="str">
        <f>IFERROR(MAX(IF(sales[Product_ID]=Table4[Product_ID],sales[Quantity Sold])),"")</f>
        <v/>
      </c>
      <c r="BG51" s="58" t="str">
        <f>IFERROR(MAX(IF(purchase[Received Date]-purchase[Purchase Date],purchase[Product_ID],Table4[Product_ID])),"")</f>
        <v/>
      </c>
      <c r="BH51" s="58" t="str">
        <f>IFERROR(AVERAGEIFS(sales[Quantity Sold],sales[Product_ID],Table4[Product_ID]),"")</f>
        <v/>
      </c>
      <c r="BI51" s="58">
        <f>IFERROR(AVERAGEIFS(purchase[Lead Time (Days)],purchase[Product_ID],Table4[Product_ID]),"")</f>
        <v>16</v>
      </c>
    </row>
    <row r="52" spans="4:61" x14ac:dyDescent="0.4">
      <c r="D52" s="53" t="str">
        <f t="shared" si="2"/>
        <v>PROD0047</v>
      </c>
      <c r="E52" s="53">
        <v>4819</v>
      </c>
      <c r="F52" s="53" t="s">
        <v>86</v>
      </c>
      <c r="G52" s="53" t="s">
        <v>511</v>
      </c>
      <c r="H52" s="53" t="str">
        <f>IFERROR(VLOOKUP(Table4[[#This Row],[Product_ID]],Table410[#All],2,0),"")</f>
        <v>PRODCAT0047</v>
      </c>
      <c r="I52" s="53" t="s">
        <v>512</v>
      </c>
      <c r="J52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PRODCAT0047PROD0047IHC0001SKU</v>
      </c>
      <c r="K52" s="55" t="s">
        <v>513</v>
      </c>
      <c r="L52" s="53" t="str">
        <f>IF(COUNTIF($L$1:L47, TEXT(ROW()-1,"0000000000"))=0, TEXT(ROW()-1,"0000000000"), "Duplicate Found")</f>
        <v>0000000051</v>
      </c>
      <c r="M52" s="53" t="str">
        <f t="shared" si="3"/>
        <v>BTBA400051</v>
      </c>
      <c r="N52" s="54">
        <f>SUMIFS(purchase[Received Quantity],purchase[Product_ID],Table4[[#This Row],[Product_ID]],purchase[Delivery Status],"Completed")-SUMIFS(sales[Quantity Sold],sales[Product_ID],Table4[[#This Row],[Product_ID]],sales[Delivery Status],"Completed")</f>
        <v>4200</v>
      </c>
      <c r="O52" s="54">
        <f ca="1">IFERROR(Table4[[#This Row],[Expected_Demand_During_Lead_Time]]+Table4[[#This Row],[Safety_Stock]],"")</f>
        <v>0</v>
      </c>
      <c r="P52" s="54">
        <f ca="1">IFERROR(Table4[[#This Row],[Reorder Level]]-Table4[[#This Row],[Stock Quantity]],"")</f>
        <v>-4200</v>
      </c>
      <c r="Q52" s="54">
        <f ca="1">IFERROR(Table4[[#This Row],[Reorder Level]]+Table4[[#This Row],[Safety_Stock]]+Table4[[#This Row],[Expected_Demand_During_Lead_Time]],"")</f>
        <v>0</v>
      </c>
      <c r="R52" s="53" t="s">
        <v>122</v>
      </c>
      <c r="S52" s="53" t="s">
        <v>515</v>
      </c>
      <c r="T52" s="53">
        <v>15</v>
      </c>
      <c r="U52" s="53">
        <v>4.2</v>
      </c>
      <c r="V52" s="54">
        <f>(Table4[[#This Row],[MRP]]-Table4[[#This Row],[Selling Price]])/Table4[[#This Row],[MRP]]*100</f>
        <v>0</v>
      </c>
      <c r="W52" s="59">
        <v>4.2</v>
      </c>
      <c r="X52" s="57" t="s">
        <v>547</v>
      </c>
      <c r="Y52" s="54">
        <v>0</v>
      </c>
      <c r="Z52" s="54">
        <f>(Table4[[#This Row],[Cost Before Tax]]*Table4[[#This Row],[Tax Rate (%)]])/100+Table4[[#This Row],[Cost Before Tax]]</f>
        <v>4.2</v>
      </c>
      <c r="AA52" s="54">
        <f>4*Table4[[#This Row],[Cost After Tax]]</f>
        <v>16.8</v>
      </c>
      <c r="AB52" s="54">
        <f>IFERROR((Table4[[#This Row],[Selling Price]]-Table4[[#This Row],[Cost After Tax]])/Table4[[#This Row],[Selling Price]]*100,"")</f>
        <v>0</v>
      </c>
      <c r="AC52" s="54">
        <f>Table4[[#This Row],[Selling Price]]-Table4[[#This Row],[Cost After Tax]]</f>
        <v>0</v>
      </c>
      <c r="AD52" s="59">
        <v>4.2</v>
      </c>
      <c r="AE52" s="60" t="s">
        <v>572</v>
      </c>
      <c r="AF52" s="57"/>
      <c r="AG52" s="57" t="s">
        <v>86</v>
      </c>
      <c r="AH52" s="57" t="s">
        <v>575</v>
      </c>
      <c r="AI52" s="57" t="s">
        <v>579</v>
      </c>
      <c r="AJ52" s="57" t="s">
        <v>577</v>
      </c>
      <c r="AK52" s="57" t="s">
        <v>578</v>
      </c>
      <c r="AL52" s="57"/>
      <c r="AM52" s="57"/>
      <c r="AN52" s="57"/>
      <c r="AO52" s="62" t="str">
        <f>IFERROR(MAX(IF((sales[Product_ID]=Table4[[#This Row],[Product_ID]])*(sales[Sales Status]="Confirmed"),sales[Invoice Date])),"")</f>
        <v/>
      </c>
      <c r="AP52" s="57"/>
      <c r="AQ52" s="57"/>
      <c r="AR52" s="57"/>
      <c r="AS52" s="57"/>
      <c r="AT52" s="57"/>
      <c r="AU52" s="57"/>
      <c r="AV52" s="57" t="s">
        <v>404</v>
      </c>
      <c r="AW52" s="57" t="s">
        <v>122</v>
      </c>
      <c r="AX52" s="57" t="s">
        <v>57</v>
      </c>
      <c r="AY52" s="57"/>
      <c r="AZ52" s="54">
        <f ca="1">SUMIFS(sales[Quantity Sold],sales[Product_ID],Table4[[#This Row],[Product_ID]],sales[Invoice Date],"&gt;="&amp;TODAY()-30)</f>
        <v>0</v>
      </c>
      <c r="BA52" s="49">
        <f>IFERROR(AVERAGEIFS(purchase[Lead Time (Days)],purchase[Product_ID],Table4[[#This Row],[Product_ID]]),"")</f>
        <v>16</v>
      </c>
      <c r="BB52" s="54">
        <f ca="1">IF(Table4[[#This Row],[Demand_Last_30_Days]]=0,0,Table4[[#This Row],[Demand_Last_30_Days]]/30)</f>
        <v>0</v>
      </c>
      <c r="BC52" s="57"/>
      <c r="BD52" s="54">
        <f ca="1">Table4[[#This Row],[Average_Daily_Usage]]*Table4[[#This Row],[Buffer_Days]]</f>
        <v>0</v>
      </c>
      <c r="BE52" s="54">
        <f ca="1">IFERROR(Table4[[#This Row],[Average_Daily_Usage]]*Table4[[#This Row],[Lead_Time_Days]],"")</f>
        <v>0</v>
      </c>
      <c r="BF52" s="58" t="str">
        <f>IFERROR(MAX(IF(sales[Product_ID]=Table4[Product_ID],sales[Quantity Sold])),"")</f>
        <v/>
      </c>
      <c r="BG52" s="58" t="str">
        <f>IFERROR(MAX(IF(purchase[Received Date]-purchase[Purchase Date],purchase[Product_ID],Table4[Product_ID])),"")</f>
        <v/>
      </c>
      <c r="BH52" s="58" t="str">
        <f>IFERROR(AVERAGEIFS(sales[Quantity Sold],sales[Product_ID],Table4[Product_ID]),"")</f>
        <v/>
      </c>
      <c r="BI52" s="58">
        <f>IFERROR(AVERAGEIFS(purchase[Lead Time (Days)],purchase[Product_ID],Table4[Product_ID]),"")</f>
        <v>16</v>
      </c>
    </row>
    <row r="53" spans="4:61" x14ac:dyDescent="0.4">
      <c r="D53" s="53" t="str">
        <f>"PROD" &amp; TEXT(ROW()-5, "0000")</f>
        <v>PROD0048</v>
      </c>
      <c r="E53" s="53"/>
      <c r="F53" s="53"/>
      <c r="G53" s="53"/>
      <c r="H53" s="53" t="str">
        <f>IFERROR(VLOOKUP(Table4[[#This Row],[Product_ID]],Table410[#All],2,0),"")</f>
        <v/>
      </c>
      <c r="I53" s="53" t="s">
        <v>719</v>
      </c>
      <c r="J53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PROD0048IHC0001SKU</v>
      </c>
      <c r="K53" s="53"/>
      <c r="L53" s="53" t="str">
        <f>IF(COUNTIF($L$1:L48, TEXT(ROW()-1,"0000000000"))=0, TEXT(ROW()-1,"0000000000"), "Duplicate Found")</f>
        <v>0000000052</v>
      </c>
      <c r="M53" s="53" t="str">
        <f t="shared" si="3"/>
        <v>BTBA400052</v>
      </c>
      <c r="N53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53" s="54" t="str">
        <f ca="1">IFERROR(Table4[[#This Row],[Expected_Demand_During_Lead_Time]]+Table4[[#This Row],[Safety_Stock]],"")</f>
        <v/>
      </c>
      <c r="P53" s="54" t="str">
        <f ca="1">IFERROR(Table4[[#This Row],[Reorder Level]]-Table4[[#This Row],[Stock Quantity]],"")</f>
        <v/>
      </c>
      <c r="Q53" s="54" t="str">
        <f ca="1">IFERROR(Table4[[#This Row],[Reorder Level]]+Table4[[#This Row],[Safety_Stock]]+Table4[[#This Row],[Expected_Demand_During_Lead_Time]],"")</f>
        <v/>
      </c>
      <c r="R53" s="53"/>
      <c r="S53" s="53"/>
      <c r="T53" s="53"/>
      <c r="U53" s="53"/>
      <c r="V53" s="54" t="e">
        <f>(Table4[[#This Row],[MRP]]-Table4[[#This Row],[Selling Price]])/Table4[[#This Row],[MRP]]*100</f>
        <v>#DIV/0!</v>
      </c>
      <c r="W53" s="57"/>
      <c r="X53" s="57" t="s">
        <v>547</v>
      </c>
      <c r="Y53" s="54"/>
      <c r="Z53" s="54">
        <f>(Table4[[#This Row],[Cost Before Tax]]*Table4[[#This Row],[Tax Rate (%)]])/100+Table4[[#This Row],[Cost Before Tax]]</f>
        <v>0</v>
      </c>
      <c r="AA53" s="54">
        <f>4*Table4[[#This Row],[Cost After Tax]]</f>
        <v>0</v>
      </c>
      <c r="AB53" s="54" t="str">
        <f>IFERROR((Table4[[#This Row],[Selling Price]]-Table4[[#This Row],[Cost After Tax]])/Table4[[#This Row],[Selling Price]]*100,"")</f>
        <v/>
      </c>
      <c r="AC53" s="54">
        <f>Table4[[#This Row],[Selling Price]]-Table4[[#This Row],[Cost After Tax]]</f>
        <v>0</v>
      </c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62" t="str">
        <f>IFERROR(MAX(IF((sales[Product_ID]=Table4[[#This Row],[Product_ID]])*(sales[Sales Status]="Confirmed"),sales[Invoice Date])),"")</f>
        <v/>
      </c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4">
        <f ca="1">SUMIFS(sales[Quantity Sold],sales[Product_ID],Table4[[#This Row],[Product_ID]],sales[Invoice Date],"&gt;="&amp;TODAY()-30)</f>
        <v>0</v>
      </c>
      <c r="BA53" s="49" t="str">
        <f>IFERROR(AVERAGEIFS(purchase[Lead Time (Days)],purchase[Product_ID],Table4[[#This Row],[Product_ID]]),"")</f>
        <v/>
      </c>
      <c r="BB53" s="54">
        <f ca="1">IF(Table4[[#This Row],[Demand_Last_30_Days]]=0,0,Table4[[#This Row],[Demand_Last_30_Days]]/30)</f>
        <v>0</v>
      </c>
      <c r="BC53" s="57"/>
      <c r="BD53" s="54">
        <f ca="1">Table4[[#This Row],[Average_Daily_Usage]]*Table4[[#This Row],[Buffer_Days]]</f>
        <v>0</v>
      </c>
      <c r="BE53" s="54" t="str">
        <f ca="1">IFERROR(Table4[[#This Row],[Average_Daily_Usage]]*Table4[[#This Row],[Lead_Time_Days]],"")</f>
        <v/>
      </c>
      <c r="BF53" s="58" t="str">
        <f>IFERROR(MAX(IF(sales[Product_ID]=Table4[Product_ID],sales[Quantity Sold])),"")</f>
        <v/>
      </c>
      <c r="BG53" s="58" t="str">
        <f>IFERROR(MAX(IF(purchase[Received Date]-purchase[Purchase Date],purchase[Product_ID],Table4[Product_ID])),"")</f>
        <v/>
      </c>
      <c r="BH53" s="58" t="str">
        <f>IFERROR(AVERAGEIFS(sales[Quantity Sold],sales[Product_ID],Table4[Product_ID]),"")</f>
        <v/>
      </c>
      <c r="BI53" s="58" t="str">
        <f>IFERROR(AVERAGEIFS(purchase[Lead Time (Days)],purchase[Product_ID],Table4[Product_ID]),"")</f>
        <v/>
      </c>
    </row>
    <row r="54" spans="4:61" x14ac:dyDescent="0.4">
      <c r="D54" s="53" t="str">
        <f t="shared" ref="D54:D55" si="4">"PROD" &amp; TEXT(ROW()-5, "0000")</f>
        <v>PROD0049</v>
      </c>
      <c r="E54" s="53"/>
      <c r="F54" s="53"/>
      <c r="G54" s="53"/>
      <c r="H54" s="53" t="str">
        <f>IFERROR(VLOOKUP(Table4[[#This Row],[Product_ID]],Table410[#All],2,0),"")</f>
        <v/>
      </c>
      <c r="I54" s="53" t="s">
        <v>720</v>
      </c>
      <c r="J54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PROD0049IHC0001SKU</v>
      </c>
      <c r="K54" s="53"/>
      <c r="L54" s="53" t="str">
        <f>IF(COUNTIF($L$1:L49, TEXT(ROW()-1,"0000000000"))=0, TEXT(ROW()-1,"0000000000"), "Duplicate Found")</f>
        <v>0000000053</v>
      </c>
      <c r="M54" s="53" t="str">
        <f t="shared" si="3"/>
        <v>BTBA400053</v>
      </c>
      <c r="N54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54" s="54" t="str">
        <f ca="1">IFERROR(Table4[[#This Row],[Expected_Demand_During_Lead_Time]]+Table4[[#This Row],[Safety_Stock]],"")</f>
        <v/>
      </c>
      <c r="P54" s="54" t="str">
        <f ca="1">IFERROR(Table4[[#This Row],[Reorder Level]]-Table4[[#This Row],[Stock Quantity]],"")</f>
        <v/>
      </c>
      <c r="Q54" s="54" t="str">
        <f ca="1">IFERROR(Table4[[#This Row],[Reorder Level]]+Table4[[#This Row],[Safety_Stock]]+Table4[[#This Row],[Expected_Demand_During_Lead_Time]],"")</f>
        <v/>
      </c>
      <c r="R54" s="53"/>
      <c r="S54" s="53"/>
      <c r="T54" s="53"/>
      <c r="U54" s="53"/>
      <c r="V54" s="54" t="e">
        <f>(Table4[[#This Row],[MRP]]-Table4[[#This Row],[Selling Price]])/Table4[[#This Row],[MRP]]*100</f>
        <v>#DIV/0!</v>
      </c>
      <c r="W54" s="57"/>
      <c r="X54" s="57" t="s">
        <v>547</v>
      </c>
      <c r="Y54" s="54"/>
      <c r="Z54" s="54">
        <f>(Table4[[#This Row],[Cost Before Tax]]*Table4[[#This Row],[Tax Rate (%)]])/100+Table4[[#This Row],[Cost Before Tax]]</f>
        <v>0</v>
      </c>
      <c r="AA54" s="54">
        <f>4*Table4[[#This Row],[Cost After Tax]]</f>
        <v>0</v>
      </c>
      <c r="AB54" s="54" t="str">
        <f>IFERROR((Table4[[#This Row],[Selling Price]]-Table4[[#This Row],[Cost After Tax]])/Table4[[#This Row],[Selling Price]]*100,"")</f>
        <v/>
      </c>
      <c r="AC54" s="54">
        <f>Table4[[#This Row],[Selling Price]]-Table4[[#This Row],[Cost After Tax]]</f>
        <v>0</v>
      </c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62" t="str">
        <f>IFERROR(MAX(IF((sales[Product_ID]=Table4[[#This Row],[Product_ID]])*(sales[Sales Status]="Confirmed"),sales[Invoice Date])),"")</f>
        <v/>
      </c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4">
        <f ca="1">SUMIFS(sales[Quantity Sold],sales[Product_ID],Table4[[#This Row],[Product_ID]],sales[Invoice Date],"&gt;="&amp;TODAY()-30)</f>
        <v>0</v>
      </c>
      <c r="BA54" s="49" t="str">
        <f>IFERROR(AVERAGEIFS(purchase[Lead Time (Days)],purchase[Product_ID],Table4[[#This Row],[Product_ID]]),"")</f>
        <v/>
      </c>
      <c r="BB54" s="54">
        <f ca="1">IF(Table4[[#This Row],[Demand_Last_30_Days]]=0,0,Table4[[#This Row],[Demand_Last_30_Days]]/30)</f>
        <v>0</v>
      </c>
      <c r="BC54" s="57"/>
      <c r="BD54" s="54">
        <f ca="1">Table4[[#This Row],[Average_Daily_Usage]]*Table4[[#This Row],[Buffer_Days]]</f>
        <v>0</v>
      </c>
      <c r="BE54" s="54" t="str">
        <f ca="1">IFERROR(Table4[[#This Row],[Average_Daily_Usage]]*Table4[[#This Row],[Lead_Time_Days]],"")</f>
        <v/>
      </c>
      <c r="BF54" s="58" t="str">
        <f>IFERROR(MAX(IF(sales[Product_ID]=Table4[Product_ID],sales[Quantity Sold])),"")</f>
        <v/>
      </c>
      <c r="BG54" s="58" t="str">
        <f>IFERROR(MAX(IF(purchase[Received Date]-purchase[Purchase Date],purchase[Product_ID],Table4[Product_ID])),"")</f>
        <v/>
      </c>
      <c r="BH54" s="58" t="str">
        <f>IFERROR(AVERAGEIFS(sales[Quantity Sold],sales[Product_ID],Table4[Product_ID]),"")</f>
        <v/>
      </c>
      <c r="BI54" s="61" t="str">
        <f>IFERROR(AVERAGEIFS(purchase[Lead Time (Days)],purchase[Product_ID],Table4[Product_ID]),"")</f>
        <v/>
      </c>
    </row>
    <row r="55" spans="4:61" x14ac:dyDescent="0.4">
      <c r="D55" s="53" t="str">
        <f t="shared" si="4"/>
        <v>PROD0050</v>
      </c>
      <c r="E55" s="53"/>
      <c r="F55" s="53" t="s">
        <v>830</v>
      </c>
      <c r="G55" s="53" t="s">
        <v>754</v>
      </c>
      <c r="H55" s="53" t="str">
        <f>IFERROR(VLOOKUP(Table4[[#This Row],[Product_ID]],Table410[#All],2,0),"")</f>
        <v>PRODCAT0048</v>
      </c>
      <c r="I55" s="53" t="s">
        <v>719</v>
      </c>
      <c r="J55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PRODCAT0048PROD0050IHC0001SKU</v>
      </c>
      <c r="K55" s="53"/>
      <c r="L55" s="53" t="str">
        <f>IF(COUNTIF($L$1:L50, TEXT(ROW()-1,"0000000000"))=0, TEXT(ROW()-1,"0000000000"), "Duplicate Found")</f>
        <v>0000000054</v>
      </c>
      <c r="M55" s="53" t="str">
        <f t="shared" si="3"/>
        <v>BTBA400054</v>
      </c>
      <c r="N55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55" s="54">
        <f ca="1">IFERROR(Table4[[#This Row],[Expected_Demand_During_Lead_Time]]+Table4[[#This Row],[Safety_Stock]],"")</f>
        <v>0</v>
      </c>
      <c r="P55" s="54">
        <f ca="1">IFERROR(Table4[[#This Row],[Reorder Level]]-Table4[[#This Row],[Stock Quantity]],"")</f>
        <v>0</v>
      </c>
      <c r="Q55" s="54">
        <f ca="1">IFERROR(Table4[[#This Row],[Reorder Level]]+Table4[[#This Row],[Safety_Stock]]+Table4[[#This Row],[Expected_Demand_During_Lead_Time]],"")</f>
        <v>0</v>
      </c>
      <c r="R55" s="53"/>
      <c r="S55" s="53" t="s">
        <v>531</v>
      </c>
      <c r="T55" s="53">
        <v>15</v>
      </c>
      <c r="U55" s="53">
        <v>2199</v>
      </c>
      <c r="V55" s="54">
        <f>(Table4[[#This Row],[MRP]]-Table4[[#This Row],[Selling Price]])/Table4[[#This Row],[MRP]]*100</f>
        <v>31.832651205093228</v>
      </c>
      <c r="W55" s="57">
        <v>899</v>
      </c>
      <c r="X55" s="57" t="s">
        <v>547</v>
      </c>
      <c r="Y55" s="54">
        <v>18</v>
      </c>
      <c r="Z55" s="54">
        <f>(Table4[[#This Row],[Cost Before Tax]]*Table4[[#This Row],[Tax Rate (%)]])/100+Table4[[#This Row],[Cost Before Tax]]</f>
        <v>1060.82</v>
      </c>
      <c r="AA55" s="54">
        <f>4*Table4[[#This Row],[Cost After Tax]]</f>
        <v>4243.28</v>
      </c>
      <c r="AB55" s="54">
        <f>IFERROR((Table4[[#This Row],[Selling Price]]-Table4[[#This Row],[Cost After Tax]])/Table4[[#This Row],[Selling Price]]*100,"")</f>
        <v>29.231487658438965</v>
      </c>
      <c r="AC55" s="54">
        <f>Table4[[#This Row],[Selling Price]]-Table4[[#This Row],[Cost After Tax]]</f>
        <v>438.18000000000006</v>
      </c>
      <c r="AD55" s="57">
        <v>1499</v>
      </c>
      <c r="AE55" s="57"/>
      <c r="AF55" s="57"/>
      <c r="AG55" s="57" t="s">
        <v>574</v>
      </c>
      <c r="AH55" s="57" t="s">
        <v>832</v>
      </c>
      <c r="AI55" s="57" t="s">
        <v>833</v>
      </c>
      <c r="AJ55" s="57" t="s">
        <v>577</v>
      </c>
      <c r="AK55" s="57" t="s">
        <v>834</v>
      </c>
      <c r="AL55" s="57"/>
      <c r="AM55" s="57"/>
      <c r="AN55" s="57"/>
      <c r="AO55" s="62" t="str">
        <f>IFERROR(MAX(IF((sales[Product_ID]=Table4[[#This Row],[Product_ID]])*(sales[Sales Status]="Confirmed"),sales[Invoice Date])),"")</f>
        <v/>
      </c>
      <c r="AP55" s="62">
        <v>45786</v>
      </c>
      <c r="AQ55" s="62">
        <v>45786</v>
      </c>
      <c r="AR55" s="57" t="s">
        <v>178</v>
      </c>
      <c r="AS55" s="57" t="s">
        <v>121</v>
      </c>
      <c r="AT55" s="57" t="s">
        <v>121</v>
      </c>
      <c r="AU55" s="57"/>
      <c r="AV55" s="57" t="s">
        <v>542</v>
      </c>
      <c r="AW55" s="57" t="s">
        <v>122</v>
      </c>
      <c r="AX55" s="57" t="s">
        <v>57</v>
      </c>
      <c r="AY55" s="57"/>
      <c r="AZ55" s="54">
        <f ca="1">SUMIFS(sales[Quantity Sold],sales[Product_ID],Table4[[#This Row],[Product_ID]],sales[Invoice Date],"&gt;="&amp;TODAY()-30)</f>
        <v>0</v>
      </c>
      <c r="BA55" s="49">
        <v>7</v>
      </c>
      <c r="BB55" s="54">
        <f ca="1">IF(Table4[[#This Row],[Demand_Last_30_Days]]=0,0,Table4[[#This Row],[Demand_Last_30_Days]]/30)</f>
        <v>0</v>
      </c>
      <c r="BC55" s="57"/>
      <c r="BD55" s="54">
        <f ca="1">Table4[[#This Row],[Average_Daily_Usage]]*Table4[[#This Row],[Buffer_Days]]</f>
        <v>0</v>
      </c>
      <c r="BE55" s="54">
        <f ca="1">IFERROR(Table4[[#This Row],[Average_Daily_Usage]]*Table4[[#This Row],[Lead_Time_Days]],"")</f>
        <v>0</v>
      </c>
      <c r="BF55" s="58" t="str">
        <f>IFERROR(MAX(IF(sales[Product_ID]=Table4[Product_ID],sales[Quantity Sold])),"")</f>
        <v/>
      </c>
      <c r="BG55" s="58" t="str">
        <f>IFERROR(MAX(IF(purchase[Received Date]-purchase[Purchase Date],purchase[Product_ID],Table4[Product_ID])),"")</f>
        <v/>
      </c>
      <c r="BH55" s="58" t="str">
        <f>IFERROR(AVERAGEIFS(sales[Quantity Sold],sales[Product_ID],Table4[Product_ID]),"")</f>
        <v/>
      </c>
      <c r="BI55" s="61" t="str">
        <f>IFERROR(AVERAGEIFS(purchase[Lead Time (Days)],purchase[Product_ID],Table4[Product_ID]),"")</f>
        <v/>
      </c>
    </row>
    <row r="56" spans="4:61" x14ac:dyDescent="0.4">
      <c r="D56" s="53" t="str">
        <f>"PROD" &amp; TEXT(ROW()-5, "0000")</f>
        <v>PROD0051</v>
      </c>
      <c r="E56" s="53"/>
      <c r="F56" s="53" t="s">
        <v>831</v>
      </c>
      <c r="G56" s="53" t="s">
        <v>879</v>
      </c>
      <c r="H56" s="53" t="str">
        <f>IFERROR(VLOOKUP(Table4[[#This Row],[Product_ID]],Table410[#All],2,0),"")</f>
        <v>PRODCAT0048</v>
      </c>
      <c r="I56" s="53" t="s">
        <v>719</v>
      </c>
      <c r="J56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PRODCAT0048PROD0051IHC0001SKU</v>
      </c>
      <c r="K56" s="53"/>
      <c r="L56" s="53" t="str">
        <f>IF(COUNTIF($L$1:L51, TEXT(ROW()-1,"0000000000"))=0, TEXT(ROW()-1,"0000000000"), "Duplicate Found")</f>
        <v>0000000055</v>
      </c>
      <c r="M56" s="53" t="str">
        <f t="shared" si="3"/>
        <v>BTBA400055</v>
      </c>
      <c r="N56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56" s="54">
        <f ca="1">IFERROR(Table4[[#This Row],[Expected_Demand_During_Lead_Time]]+Table4[[#This Row],[Safety_Stock]],"")</f>
        <v>0</v>
      </c>
      <c r="P56" s="54">
        <f ca="1">IFERROR(Table4[[#This Row],[Reorder Level]]-Table4[[#This Row],[Stock Quantity]],"")</f>
        <v>0</v>
      </c>
      <c r="Q56" s="54">
        <f ca="1">IFERROR(Table4[[#This Row],[Reorder Level]]+Table4[[#This Row],[Safety_Stock]]+Table4[[#This Row],[Expected_Demand_During_Lead_Time]],"")</f>
        <v>0</v>
      </c>
      <c r="R56" s="53" t="s">
        <v>122</v>
      </c>
      <c r="S56" s="53" t="s">
        <v>531</v>
      </c>
      <c r="T56" s="53">
        <v>15</v>
      </c>
      <c r="U56" s="53">
        <v>999</v>
      </c>
      <c r="V56" s="54">
        <f>(Table4[[#This Row],[MRP]]-Table4[[#This Row],[Selling Price]])/Table4[[#This Row],[MRP]]*100</f>
        <v>50.050050050050054</v>
      </c>
      <c r="W56" s="57">
        <v>330</v>
      </c>
      <c r="X56" s="57" t="s">
        <v>547</v>
      </c>
      <c r="Y56" s="54">
        <v>18</v>
      </c>
      <c r="Z56" s="54">
        <f>(Table4[[#This Row],[Cost Before Tax]]*Table4[[#This Row],[Tax Rate (%)]])/100+Table4[[#This Row],[Cost Before Tax]]</f>
        <v>389.4</v>
      </c>
      <c r="AA56" s="54">
        <f>4*Table4[[#This Row],[Cost After Tax]]</f>
        <v>1557.6</v>
      </c>
      <c r="AB56" s="54">
        <f>IFERROR((Table4[[#This Row],[Selling Price]]-Table4[[#This Row],[Cost After Tax]])/Table4[[#This Row],[Selling Price]]*100,"")</f>
        <v>21.963927855711425</v>
      </c>
      <c r="AC56" s="54">
        <f>Table4[[#This Row],[Selling Price]]-Table4[[#This Row],[Cost After Tax]]</f>
        <v>109.60000000000002</v>
      </c>
      <c r="AD56" s="57">
        <v>499</v>
      </c>
      <c r="AE56" s="57"/>
      <c r="AF56" s="57"/>
      <c r="AG56" s="57" t="s">
        <v>574</v>
      </c>
      <c r="AH56" s="57"/>
      <c r="AI56" s="57"/>
      <c r="AJ56" s="57"/>
      <c r="AK56" s="57"/>
      <c r="AL56" s="57"/>
      <c r="AM56" s="57"/>
      <c r="AN56" s="57"/>
      <c r="AO56" s="62" t="str">
        <f>IFERROR(MAX(IF((sales[Product_ID]=Table4[[#This Row],[Product_ID]])*(sales[Sales Status]="Confirmed"),sales[Invoice Date])),"")</f>
        <v/>
      </c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4">
        <f ca="1">SUMIFS(sales[Quantity Sold],sales[Product_ID],Table4[[#This Row],[Product_ID]],sales[Invoice Date],"&gt;="&amp;TODAY()-30)</f>
        <v>0</v>
      </c>
      <c r="BA56" s="49">
        <v>7</v>
      </c>
      <c r="BB56" s="54">
        <f ca="1">IF(Table4[[#This Row],[Demand_Last_30_Days]]=0,0,Table4[[#This Row],[Demand_Last_30_Days]]/30)</f>
        <v>0</v>
      </c>
      <c r="BC56" s="57"/>
      <c r="BD56" s="54">
        <f ca="1">Table4[[#This Row],[Average_Daily_Usage]]*Table4[[#This Row],[Buffer_Days]]</f>
        <v>0</v>
      </c>
      <c r="BE56" s="54">
        <f ca="1">IFERROR(Table4[[#This Row],[Average_Daily_Usage]]*Table4[[#This Row],[Lead_Time_Days]],"")</f>
        <v>0</v>
      </c>
      <c r="BF56" s="58" t="str">
        <f>IFERROR(MAX(IF(sales[Product_ID]=Table4[Product_ID],sales[Quantity Sold])),"")</f>
        <v/>
      </c>
      <c r="BG56" s="58" t="str">
        <f>IFERROR(MAX(IF(purchase[Received Date]-purchase[Purchase Date],purchase[Product_ID],Table4[Product_ID])),"")</f>
        <v/>
      </c>
      <c r="BH56" s="58" t="str">
        <f>IFERROR(AVERAGEIFS(sales[Quantity Sold],sales[Product_ID],Table4[Product_ID]),"")</f>
        <v/>
      </c>
      <c r="BI56" s="61" t="str">
        <f>IFERROR(AVERAGEIFS(purchase[Lead Time (Days)],purchase[Product_ID],Table4[Product_ID]),"")</f>
        <v/>
      </c>
    </row>
    <row r="57" spans="4:61" x14ac:dyDescent="0.4">
      <c r="D57" s="53" t="str">
        <f>"PROD" &amp; TEXT(ROW()-5, "0000")</f>
        <v>PROD0052</v>
      </c>
      <c r="E57" s="53"/>
      <c r="F57" s="53" t="s">
        <v>835</v>
      </c>
      <c r="G57" s="53" t="s">
        <v>836</v>
      </c>
      <c r="H57" s="53" t="str">
        <f>IFERROR(VLOOKUP(Table4[[#This Row],[Product_ID]],Table410[#All],2,0),"")</f>
        <v>PRODCAT0048</v>
      </c>
      <c r="I57" s="53" t="s">
        <v>719</v>
      </c>
      <c r="J57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PRODCAT0048PROD0052IHC0001SKU</v>
      </c>
      <c r="K57" s="53"/>
      <c r="L57" s="53" t="str">
        <f>IF(COUNTIF($L$1:L52, TEXT(ROW()-1,"0000000000"))=0, TEXT(ROW()-1,"0000000000"), "Duplicate Found")</f>
        <v>0000000056</v>
      </c>
      <c r="M57" s="53" t="str">
        <f>"BTBA4" &amp; TEXT(ROW()-1,"00000")</f>
        <v>BTBA400056</v>
      </c>
      <c r="N57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57" s="54">
        <f ca="1">IFERROR(Table4[[#This Row],[Expected_Demand_During_Lead_Time]]+Table4[[#This Row],[Safety_Stock]],"")</f>
        <v>0</v>
      </c>
      <c r="P57" s="54">
        <f ca="1">IFERROR(Table4[[#This Row],[Reorder Level]]-Table4[[#This Row],[Stock Quantity]],"")</f>
        <v>0</v>
      </c>
      <c r="Q57" s="54">
        <f ca="1">IFERROR(Table4[[#This Row],[Reorder Level]]+Table4[[#This Row],[Safety_Stock]]+Table4[[#This Row],[Expected_Demand_During_Lead_Time]],"")</f>
        <v>0</v>
      </c>
      <c r="R57" s="53" t="s">
        <v>122</v>
      </c>
      <c r="S57" s="53" t="s">
        <v>531</v>
      </c>
      <c r="T57" s="53">
        <v>15</v>
      </c>
      <c r="U57" s="53">
        <v>2199</v>
      </c>
      <c r="V57" s="54">
        <f>(Table4[[#This Row],[MRP]]-Table4[[#This Row],[Selling Price]])/Table4[[#This Row],[MRP]]*100</f>
        <v>36.380172805820827</v>
      </c>
      <c r="W57" s="57">
        <v>899</v>
      </c>
      <c r="X57" s="57" t="s">
        <v>547</v>
      </c>
      <c r="Y57" s="54">
        <v>18</v>
      </c>
      <c r="Z57" s="54">
        <f>(Table4[[#This Row],[Cost Before Tax]]*Table4[[#This Row],[Tax Rate (%)]])/100+Table4[[#This Row],[Cost Before Tax]]</f>
        <v>1060.82</v>
      </c>
      <c r="AA57" s="54">
        <f>4*Table4[[#This Row],[Cost After Tax]]</f>
        <v>4243.28</v>
      </c>
      <c r="AB57" s="54">
        <f>IFERROR((Table4[[#This Row],[Selling Price]]-Table4[[#This Row],[Cost After Tax]])/Table4[[#This Row],[Selling Price]]*100,"")</f>
        <v>24.172980700500364</v>
      </c>
      <c r="AC57" s="54">
        <f>Table4[[#This Row],[Selling Price]]-Table4[[#This Row],[Cost After Tax]]</f>
        <v>338.18000000000006</v>
      </c>
      <c r="AD57" s="57">
        <v>1399</v>
      </c>
      <c r="AE57" s="57"/>
      <c r="AF57" s="57"/>
      <c r="AG57" s="57" t="s">
        <v>574</v>
      </c>
      <c r="AH57" s="57" t="s">
        <v>832</v>
      </c>
      <c r="AI57" s="57" t="s">
        <v>833</v>
      </c>
      <c r="AJ57" s="57" t="s">
        <v>577</v>
      </c>
      <c r="AK57" s="57" t="s">
        <v>834</v>
      </c>
      <c r="AL57" s="57"/>
      <c r="AM57" s="57"/>
      <c r="AN57" s="57"/>
      <c r="AO57" s="62" t="str">
        <f>IFERROR(MAX(IF((sales[Product_ID]=Table4[[#This Row],[Product_ID]])*(sales[Sales Status]="Confirmed"),sales[Invoice Date])),"")</f>
        <v/>
      </c>
      <c r="AP57" s="62">
        <v>45786</v>
      </c>
      <c r="AQ57" s="62">
        <v>45786</v>
      </c>
      <c r="AR57" s="57" t="s">
        <v>178</v>
      </c>
      <c r="AS57" s="57" t="s">
        <v>121</v>
      </c>
      <c r="AT57" s="57"/>
      <c r="AU57" s="57"/>
      <c r="AV57" s="57" t="s">
        <v>542</v>
      </c>
      <c r="AW57" s="57" t="s">
        <v>122</v>
      </c>
      <c r="AX57" s="57" t="s">
        <v>57</v>
      </c>
      <c r="AY57" s="57"/>
      <c r="AZ57" s="54">
        <f ca="1">SUMIFS(sales[Quantity Sold],sales[Product_ID],Table4[[#This Row],[Product_ID]],sales[Invoice Date],"&gt;="&amp;TODAY()-30)</f>
        <v>0</v>
      </c>
      <c r="BA57" s="49">
        <v>7</v>
      </c>
      <c r="BB57" s="54">
        <f ca="1">IF(Table4[[#This Row],[Demand_Last_30_Days]]=0,0,Table4[[#This Row],[Demand_Last_30_Days]]/30)</f>
        <v>0</v>
      </c>
      <c r="BC57" s="57"/>
      <c r="BD57" s="54">
        <f ca="1">Table4[[#This Row],[Average_Daily_Usage]]*Table4[[#This Row],[Buffer_Days]]</f>
        <v>0</v>
      </c>
      <c r="BE57" s="54">
        <f ca="1">IFERROR(Table4[[#This Row],[Average_Daily_Usage]]*Table4[[#This Row],[Lead_Time_Days]],"")</f>
        <v>0</v>
      </c>
      <c r="BF57" s="58" t="str">
        <f>IFERROR(MAX(IF(sales[Product_ID]=Table4[Product_ID],sales[Quantity Sold])),"")</f>
        <v/>
      </c>
      <c r="BG57" s="58" t="str">
        <f>IFERROR(MAX(IF(purchase[Received Date]-purchase[Purchase Date],purchase[Product_ID],Table4[Product_ID])),"")</f>
        <v/>
      </c>
      <c r="BH57" s="58" t="str">
        <f>IFERROR(AVERAGEIFS(sales[Quantity Sold],sales[Product_ID],Table4[Product_ID]),"")</f>
        <v/>
      </c>
      <c r="BI57" s="61" t="str">
        <f>IFERROR(AVERAGEIFS(purchase[Lead Time (Days)],purchase[Product_ID],Table4[Product_ID]),"")</f>
        <v/>
      </c>
    </row>
    <row r="58" spans="4:61" x14ac:dyDescent="0.4">
      <c r="D58" s="53" t="str">
        <f t="shared" ref="D58:D72" si="5">"PROD" &amp; TEXT(ROW()-5, "0000")</f>
        <v>PROD0053</v>
      </c>
      <c r="E58" s="53"/>
      <c r="F58" s="53" t="s">
        <v>837</v>
      </c>
      <c r="G58" s="53" t="s">
        <v>858</v>
      </c>
      <c r="H58" s="53" t="str">
        <f>IFERROR(VLOOKUP(Table4[[#This Row],[Product_ID]],Table410[#All],2,0),"")</f>
        <v>PRODCAT0048</v>
      </c>
      <c r="I58" s="53" t="s">
        <v>719</v>
      </c>
      <c r="J58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PRODCAT0048PROD0053IHC0001SKU</v>
      </c>
      <c r="K58" s="53"/>
      <c r="L58" s="53" t="str">
        <f>IF(COUNTIF($L$1:L54, TEXT(ROW()-1,"0000000000"))=0, TEXT(ROW()-1,"0000000000"), "Duplicate Found")</f>
        <v>0000000057</v>
      </c>
      <c r="M58" s="53" t="str">
        <f t="shared" ref="M58:M72" si="6">"BTBA4" &amp; TEXT(ROW()-1,"00000")</f>
        <v>BTBA400057</v>
      </c>
      <c r="N58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58" s="54">
        <f ca="1">IFERROR(Table4[[#This Row],[Expected_Demand_During_Lead_Time]]+Table4[[#This Row],[Safety_Stock]],"")</f>
        <v>0</v>
      </c>
      <c r="P58" s="54">
        <f ca="1">IFERROR(Table4[[#This Row],[Reorder Level]]-Table4[[#This Row],[Stock Quantity]],"")</f>
        <v>0</v>
      </c>
      <c r="Q58" s="54">
        <f ca="1">IFERROR(Table4[[#This Row],[Reorder Level]]+Table4[[#This Row],[Safety_Stock]]+Table4[[#This Row],[Expected_Demand_During_Lead_Time]],"")</f>
        <v>0</v>
      </c>
      <c r="R58" s="53" t="s">
        <v>122</v>
      </c>
      <c r="S58" s="53" t="s">
        <v>531</v>
      </c>
      <c r="T58" s="53">
        <v>15</v>
      </c>
      <c r="U58" s="53">
        <v>899</v>
      </c>
      <c r="V58" s="54">
        <f>(Table4[[#This Row],[MRP]]-Table4[[#This Row],[Selling Price]])/Table4[[#This Row],[MRP]]*100</f>
        <v>33.370411568409338</v>
      </c>
      <c r="W58" s="57">
        <v>330</v>
      </c>
      <c r="X58" s="57" t="s">
        <v>547</v>
      </c>
      <c r="Y58" s="54">
        <v>18</v>
      </c>
      <c r="Z58" s="54">
        <f>(Table4[[#This Row],[Cost Before Tax]]*Table4[[#This Row],[Tax Rate (%)]])/100+Table4[[#This Row],[Cost Before Tax]]</f>
        <v>389.4</v>
      </c>
      <c r="AA58" s="54">
        <f>4*Table4[[#This Row],[Cost After Tax]]</f>
        <v>1557.6</v>
      </c>
      <c r="AB58" s="54">
        <f>IFERROR((Table4[[#This Row],[Selling Price]]-Table4[[#This Row],[Cost After Tax]])/Table4[[#This Row],[Selling Price]]*100,"")</f>
        <v>34.991652754590987</v>
      </c>
      <c r="AC58" s="54">
        <f>Table4[[#This Row],[Selling Price]]-Table4[[#This Row],[Cost After Tax]]</f>
        <v>209.60000000000002</v>
      </c>
      <c r="AD58" s="57">
        <v>599</v>
      </c>
      <c r="AE58" s="57"/>
      <c r="AF58" s="57"/>
      <c r="AG58" s="57" t="s">
        <v>574</v>
      </c>
      <c r="AH58" s="57" t="s">
        <v>832</v>
      </c>
      <c r="AI58" s="57" t="s">
        <v>833</v>
      </c>
      <c r="AJ58" s="57" t="s">
        <v>577</v>
      </c>
      <c r="AK58" s="57" t="s">
        <v>834</v>
      </c>
      <c r="AL58" s="57"/>
      <c r="AM58" s="57"/>
      <c r="AN58" s="57"/>
      <c r="AO58" s="62" t="str">
        <f>IFERROR(MAX(IF((sales[Product_ID]=Table4[[#This Row],[Product_ID]])*(sales[Sales Status]="Confirmed"),sales[Invoice Date])),"")</f>
        <v/>
      </c>
      <c r="AP58" s="62">
        <v>45786</v>
      </c>
      <c r="AQ58" s="62">
        <v>45786</v>
      </c>
      <c r="AR58" s="57" t="s">
        <v>178</v>
      </c>
      <c r="AS58" s="57" t="s">
        <v>121</v>
      </c>
      <c r="AT58" s="57"/>
      <c r="AU58" s="57"/>
      <c r="AV58" s="57" t="s">
        <v>542</v>
      </c>
      <c r="AW58" s="57" t="s">
        <v>122</v>
      </c>
      <c r="AX58" s="57" t="s">
        <v>57</v>
      </c>
      <c r="AY58" s="57"/>
      <c r="AZ58" s="54">
        <f ca="1">SUMIFS(sales[Quantity Sold],sales[Product_ID],Table4[[#This Row],[Product_ID]],sales[Invoice Date],"&gt;="&amp;TODAY()-30)</f>
        <v>0</v>
      </c>
      <c r="BA58" s="49">
        <v>7</v>
      </c>
      <c r="BB58" s="54">
        <f ca="1">IF(Table4[[#This Row],[Demand_Last_30_Days]]=0,0,Table4[[#This Row],[Demand_Last_30_Days]]/30)</f>
        <v>0</v>
      </c>
      <c r="BC58" s="57"/>
      <c r="BD58" s="54">
        <f ca="1">Table4[[#This Row],[Average_Daily_Usage]]*Table4[[#This Row],[Buffer_Days]]</f>
        <v>0</v>
      </c>
      <c r="BE58" s="54">
        <f ca="1">IFERROR(Table4[[#This Row],[Average_Daily_Usage]]*Table4[[#This Row],[Lead_Time_Days]],"")</f>
        <v>0</v>
      </c>
      <c r="BF58" s="58" t="str">
        <f>IFERROR(MAX(IF(sales[Product_ID]=Table4[Product_ID],sales[Quantity Sold])),"")</f>
        <v/>
      </c>
      <c r="BG58" s="58" t="str">
        <f>IFERROR(MAX(IF(purchase[Received Date]-purchase[Purchase Date],purchase[Product_ID],Table4[Product_ID])),"")</f>
        <v/>
      </c>
      <c r="BH58" s="58" t="str">
        <f>IFERROR(AVERAGEIFS(sales[Quantity Sold],sales[Product_ID],Table4[Product_ID]),"")</f>
        <v/>
      </c>
      <c r="BI58" s="61" t="str">
        <f>IFERROR(AVERAGEIFS(purchase[Lead Time (Days)],purchase[Product_ID],Table4[Product_ID]),"")</f>
        <v/>
      </c>
    </row>
    <row r="59" spans="4:61" x14ac:dyDescent="0.4">
      <c r="D59" s="53" t="str">
        <f t="shared" si="5"/>
        <v>PROD0054</v>
      </c>
      <c r="E59" s="53"/>
      <c r="F59" s="53" t="s">
        <v>838</v>
      </c>
      <c r="G59" s="53" t="s">
        <v>859</v>
      </c>
      <c r="H59" s="53" t="str">
        <f>IFERROR(VLOOKUP(Table4[[#This Row],[Product_ID]],Table410[#All],2,0),"")</f>
        <v>PRODCAT0048</v>
      </c>
      <c r="I59" s="53" t="s">
        <v>719</v>
      </c>
      <c r="J59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PRODCAT0048PROD0054IHC0001SKU</v>
      </c>
      <c r="K59" s="53"/>
      <c r="L59" s="53" t="str">
        <f>IF(COUNTIF($L$1:L55, TEXT(ROW()-1,"0000000000"))=0, TEXT(ROW()-1,"0000000000"), "Duplicate Found")</f>
        <v>0000000058</v>
      </c>
      <c r="M59" s="53" t="str">
        <f t="shared" si="6"/>
        <v>BTBA400058</v>
      </c>
      <c r="N59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59" s="54">
        <f ca="1">IFERROR(Table4[[#This Row],[Expected_Demand_During_Lead_Time]]+Table4[[#This Row],[Safety_Stock]],"")</f>
        <v>0</v>
      </c>
      <c r="P59" s="54">
        <f ca="1">IFERROR(Table4[[#This Row],[Reorder Level]]-Table4[[#This Row],[Stock Quantity]],"")</f>
        <v>0</v>
      </c>
      <c r="Q59" s="54">
        <f ca="1">IFERROR(Table4[[#This Row],[Reorder Level]]+Table4[[#This Row],[Safety_Stock]]+Table4[[#This Row],[Expected_Demand_During_Lead_Time]],"")</f>
        <v>0</v>
      </c>
      <c r="R59" s="53" t="s">
        <v>122</v>
      </c>
      <c r="S59" s="53" t="s">
        <v>531</v>
      </c>
      <c r="T59" s="53">
        <v>15</v>
      </c>
      <c r="U59" s="53">
        <v>899</v>
      </c>
      <c r="V59" s="54">
        <f>(Table4[[#This Row],[MRP]]-Table4[[#This Row],[Selling Price]])/Table4[[#This Row],[MRP]]*100</f>
        <v>33.370411568409338</v>
      </c>
      <c r="W59" s="57">
        <v>330</v>
      </c>
      <c r="X59" s="57" t="s">
        <v>547</v>
      </c>
      <c r="Y59" s="54">
        <v>18</v>
      </c>
      <c r="Z59" s="54">
        <f>(Table4[[#This Row],[Cost Before Tax]]*Table4[[#This Row],[Tax Rate (%)]])/100+Table4[[#This Row],[Cost Before Tax]]</f>
        <v>389.4</v>
      </c>
      <c r="AA59" s="54">
        <f>4*Table4[[#This Row],[Cost After Tax]]</f>
        <v>1557.6</v>
      </c>
      <c r="AB59" s="54">
        <f>IFERROR((Table4[[#This Row],[Selling Price]]-Table4[[#This Row],[Cost After Tax]])/Table4[[#This Row],[Selling Price]]*100,"")</f>
        <v>34.991652754590987</v>
      </c>
      <c r="AC59" s="54">
        <f>Table4[[#This Row],[Selling Price]]-Table4[[#This Row],[Cost After Tax]]</f>
        <v>209.60000000000002</v>
      </c>
      <c r="AD59" s="57">
        <v>599</v>
      </c>
      <c r="AE59" s="57"/>
      <c r="AF59" s="57"/>
      <c r="AG59" s="57" t="s">
        <v>574</v>
      </c>
      <c r="AH59" s="57" t="s">
        <v>832</v>
      </c>
      <c r="AI59" s="57" t="s">
        <v>833</v>
      </c>
      <c r="AJ59" s="57" t="s">
        <v>577</v>
      </c>
      <c r="AK59" s="57" t="s">
        <v>834</v>
      </c>
      <c r="AL59" s="57"/>
      <c r="AM59" s="57"/>
      <c r="AN59" s="57"/>
      <c r="AO59" s="62" t="str">
        <f>IFERROR(MAX(IF((sales[Product_ID]=Table4[[#This Row],[Product_ID]])*(sales[Sales Status]="Confirmed"),sales[Invoice Date])),"")</f>
        <v/>
      </c>
      <c r="AP59" s="62">
        <v>45786</v>
      </c>
      <c r="AQ59" s="62">
        <v>45786</v>
      </c>
      <c r="AR59" s="57" t="s">
        <v>178</v>
      </c>
      <c r="AS59" s="57" t="s">
        <v>121</v>
      </c>
      <c r="AT59" s="57"/>
      <c r="AU59" s="57"/>
      <c r="AV59" s="57" t="s">
        <v>542</v>
      </c>
      <c r="AW59" s="57" t="s">
        <v>122</v>
      </c>
      <c r="AX59" s="57" t="s">
        <v>57</v>
      </c>
      <c r="AY59" s="57"/>
      <c r="AZ59" s="54">
        <f ca="1">SUMIFS(sales[Quantity Sold],sales[Product_ID],Table4[[#This Row],[Product_ID]],sales[Invoice Date],"&gt;="&amp;TODAY()-30)</f>
        <v>0</v>
      </c>
      <c r="BA59" s="49">
        <v>7</v>
      </c>
      <c r="BB59" s="54">
        <f ca="1">IF(Table4[[#This Row],[Demand_Last_30_Days]]=0,0,Table4[[#This Row],[Demand_Last_30_Days]]/30)</f>
        <v>0</v>
      </c>
      <c r="BC59" s="57"/>
      <c r="BD59" s="54">
        <f ca="1">Table4[[#This Row],[Average_Daily_Usage]]*Table4[[#This Row],[Buffer_Days]]</f>
        <v>0</v>
      </c>
      <c r="BE59" s="54">
        <f ca="1">IFERROR(Table4[[#This Row],[Average_Daily_Usage]]*Table4[[#This Row],[Lead_Time_Days]],"")</f>
        <v>0</v>
      </c>
      <c r="BF59" s="58" t="str">
        <f>IFERROR(MAX(IF(sales[Product_ID]=Table4[Product_ID],sales[Quantity Sold])),"")</f>
        <v/>
      </c>
      <c r="BG59" s="58" t="str">
        <f>IFERROR(MAX(IF(purchase[Received Date]-purchase[Purchase Date],purchase[Product_ID],Table4[Product_ID])),"")</f>
        <v/>
      </c>
      <c r="BH59" s="58" t="str">
        <f>IFERROR(AVERAGEIFS(sales[Quantity Sold],sales[Product_ID],Table4[Product_ID]),"")</f>
        <v/>
      </c>
      <c r="BI59" s="61" t="str">
        <f>IFERROR(AVERAGEIFS(purchase[Lead Time (Days)],purchase[Product_ID],Table4[Product_ID]),"")</f>
        <v/>
      </c>
    </row>
    <row r="60" spans="4:61" x14ac:dyDescent="0.4">
      <c r="D60" s="53" t="str">
        <f t="shared" si="5"/>
        <v>PROD0055</v>
      </c>
      <c r="E60" s="53"/>
      <c r="F60" s="53" t="s">
        <v>839</v>
      </c>
      <c r="G60" s="53" t="s">
        <v>860</v>
      </c>
      <c r="H60" s="53" t="str">
        <f>IFERROR(VLOOKUP(Table4[[#This Row],[Product_ID]],Table410[#All],2,0),"")</f>
        <v>PRODCAT0048</v>
      </c>
      <c r="I60" s="53" t="s">
        <v>719</v>
      </c>
      <c r="J60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PRODCAT0048PROD0055IHC0001SKU</v>
      </c>
      <c r="K60" s="53"/>
      <c r="L60" s="53" t="str">
        <f>IF(COUNTIF($L$1:L56, TEXT(ROW()-1,"0000000000"))=0, TEXT(ROW()-1,"0000000000"), "Duplicate Found")</f>
        <v>0000000059</v>
      </c>
      <c r="M60" s="53" t="str">
        <f t="shared" si="6"/>
        <v>BTBA400059</v>
      </c>
      <c r="N60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60" s="54">
        <f ca="1">IFERROR(Table4[[#This Row],[Expected_Demand_During_Lead_Time]]+Table4[[#This Row],[Safety_Stock]],"")</f>
        <v>0</v>
      </c>
      <c r="P60" s="54">
        <f ca="1">IFERROR(Table4[[#This Row],[Reorder Level]]-Table4[[#This Row],[Stock Quantity]],"")</f>
        <v>0</v>
      </c>
      <c r="Q60" s="54">
        <f ca="1">IFERROR(Table4[[#This Row],[Reorder Level]]+Table4[[#This Row],[Safety_Stock]]+Table4[[#This Row],[Expected_Demand_During_Lead_Time]],"")</f>
        <v>0</v>
      </c>
      <c r="R60" s="53" t="s">
        <v>122</v>
      </c>
      <c r="S60" s="53" t="s">
        <v>531</v>
      </c>
      <c r="T60" s="53">
        <v>15</v>
      </c>
      <c r="U60" s="53">
        <v>899</v>
      </c>
      <c r="V60" s="54">
        <f>(Table4[[#This Row],[MRP]]-Table4[[#This Row],[Selling Price]])/Table4[[#This Row],[MRP]]*100</f>
        <v>50.055617352614014</v>
      </c>
      <c r="W60" s="57">
        <v>330</v>
      </c>
      <c r="X60" s="57" t="s">
        <v>547</v>
      </c>
      <c r="Y60" s="54">
        <v>18</v>
      </c>
      <c r="Z60" s="54">
        <f>(Table4[[#This Row],[Cost Before Tax]]*Table4[[#This Row],[Tax Rate (%)]])/100+Table4[[#This Row],[Cost Before Tax]]</f>
        <v>389.4</v>
      </c>
      <c r="AA60" s="54">
        <f>4*Table4[[#This Row],[Cost After Tax]]</f>
        <v>1557.6</v>
      </c>
      <c r="AB60" s="54">
        <f>IFERROR((Table4[[#This Row],[Selling Price]]-Table4[[#This Row],[Cost After Tax]])/Table4[[#This Row],[Selling Price]]*100,"")</f>
        <v>13.273942093541208</v>
      </c>
      <c r="AC60" s="54">
        <f>Table4[[#This Row],[Selling Price]]-Table4[[#This Row],[Cost After Tax]]</f>
        <v>59.600000000000023</v>
      </c>
      <c r="AD60" s="57">
        <v>449</v>
      </c>
      <c r="AE60" s="57"/>
      <c r="AF60" s="57"/>
      <c r="AG60" s="57" t="s">
        <v>574</v>
      </c>
      <c r="AH60" s="57" t="s">
        <v>832</v>
      </c>
      <c r="AI60" s="57" t="s">
        <v>833</v>
      </c>
      <c r="AJ60" s="57" t="s">
        <v>577</v>
      </c>
      <c r="AK60" s="57" t="s">
        <v>834</v>
      </c>
      <c r="AL60" s="57"/>
      <c r="AM60" s="57"/>
      <c r="AN60" s="57"/>
      <c r="AO60" s="62" t="str">
        <f>IFERROR(MAX(IF((sales[Product_ID]=Table4[[#This Row],[Product_ID]])*(sales[Sales Status]="Confirmed"),sales[Invoice Date])),"")</f>
        <v/>
      </c>
      <c r="AP60" s="62">
        <v>45786</v>
      </c>
      <c r="AQ60" s="62">
        <v>45786</v>
      </c>
      <c r="AR60" s="57" t="s">
        <v>178</v>
      </c>
      <c r="AS60" s="57" t="s">
        <v>121</v>
      </c>
      <c r="AT60" s="57"/>
      <c r="AU60" s="57"/>
      <c r="AV60" s="57" t="s">
        <v>542</v>
      </c>
      <c r="AW60" s="57" t="s">
        <v>122</v>
      </c>
      <c r="AX60" s="57" t="s">
        <v>57</v>
      </c>
      <c r="AY60" s="57"/>
      <c r="AZ60" s="54">
        <f ca="1">SUMIFS(sales[Quantity Sold],sales[Product_ID],Table4[[#This Row],[Product_ID]],sales[Invoice Date],"&gt;="&amp;TODAY()-30)</f>
        <v>0</v>
      </c>
      <c r="BA60" s="49">
        <v>7</v>
      </c>
      <c r="BB60" s="54">
        <f ca="1">IF(Table4[[#This Row],[Demand_Last_30_Days]]=0,0,Table4[[#This Row],[Demand_Last_30_Days]]/30)</f>
        <v>0</v>
      </c>
      <c r="BC60" s="57"/>
      <c r="BD60" s="54">
        <f ca="1">Table4[[#This Row],[Average_Daily_Usage]]*Table4[[#This Row],[Buffer_Days]]</f>
        <v>0</v>
      </c>
      <c r="BE60" s="54">
        <f ca="1">IFERROR(Table4[[#This Row],[Average_Daily_Usage]]*Table4[[#This Row],[Lead_Time_Days]],"")</f>
        <v>0</v>
      </c>
      <c r="BF60" s="58" t="str">
        <f>IFERROR(MAX(IF(sales[Product_ID]=Table4[Product_ID],sales[Quantity Sold])),"")</f>
        <v/>
      </c>
      <c r="BG60" s="58" t="str">
        <f>IFERROR(MAX(IF(purchase[Received Date]-purchase[Purchase Date],purchase[Product_ID],Table4[Product_ID])),"")</f>
        <v/>
      </c>
      <c r="BH60" s="58" t="str">
        <f>IFERROR(AVERAGEIFS(sales[Quantity Sold],sales[Product_ID],Table4[Product_ID]),"")</f>
        <v/>
      </c>
      <c r="BI60" s="61" t="str">
        <f>IFERROR(AVERAGEIFS(purchase[Lead Time (Days)],purchase[Product_ID],Table4[Product_ID]),"")</f>
        <v/>
      </c>
    </row>
    <row r="61" spans="4:61" x14ac:dyDescent="0.4">
      <c r="D61" s="53" t="str">
        <f t="shared" si="5"/>
        <v>PROD0056</v>
      </c>
      <c r="E61" s="53"/>
      <c r="F61" s="53" t="s">
        <v>840</v>
      </c>
      <c r="G61" s="53" t="s">
        <v>861</v>
      </c>
      <c r="H61" s="53" t="str">
        <f>IFERROR(VLOOKUP(Table4[[#This Row],[Product_ID]],Table410[#All],2,0),"")</f>
        <v>PRODCAT0048</v>
      </c>
      <c r="I61" s="53" t="s">
        <v>719</v>
      </c>
      <c r="J61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PRODCAT0048PROD0056IHC0001SKU</v>
      </c>
      <c r="K61" s="53"/>
      <c r="L61" s="53" t="str">
        <f>IF(COUNTIF($L$1:L57, TEXT(ROW()-1,"0000000000"))=0, TEXT(ROW()-1,"0000000000"), "Duplicate Found")</f>
        <v>0000000060</v>
      </c>
      <c r="M61" s="53" t="str">
        <f t="shared" si="6"/>
        <v>BTBA400060</v>
      </c>
      <c r="N61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61" s="54">
        <f ca="1">IFERROR(Table4[[#This Row],[Expected_Demand_During_Lead_Time]]+Table4[[#This Row],[Safety_Stock]],"")</f>
        <v>0</v>
      </c>
      <c r="P61" s="54">
        <f ca="1">IFERROR(Table4[[#This Row],[Reorder Level]]-Table4[[#This Row],[Stock Quantity]],"")</f>
        <v>0</v>
      </c>
      <c r="Q61" s="54">
        <f ca="1">IFERROR(Table4[[#This Row],[Reorder Level]]+Table4[[#This Row],[Safety_Stock]]+Table4[[#This Row],[Expected_Demand_During_Lead_Time]],"")</f>
        <v>0</v>
      </c>
      <c r="R61" s="53" t="s">
        <v>122</v>
      </c>
      <c r="S61" s="53" t="s">
        <v>531</v>
      </c>
      <c r="T61" s="53">
        <v>15</v>
      </c>
      <c r="U61" s="53">
        <v>899</v>
      </c>
      <c r="V61" s="54">
        <f>(Table4[[#This Row],[MRP]]-Table4[[#This Row],[Selling Price]])/Table4[[#This Row],[MRP]]*100</f>
        <v>50.055617352614014</v>
      </c>
      <c r="W61" s="57">
        <v>400</v>
      </c>
      <c r="X61" s="57" t="s">
        <v>547</v>
      </c>
      <c r="Y61" s="54">
        <v>18</v>
      </c>
      <c r="Z61" s="54">
        <f>(Table4[[#This Row],[Cost Before Tax]]*Table4[[#This Row],[Tax Rate (%)]])/100+Table4[[#This Row],[Cost Before Tax]]</f>
        <v>472</v>
      </c>
      <c r="AA61" s="54">
        <f>4*Table4[[#This Row],[Cost After Tax]]</f>
        <v>1888</v>
      </c>
      <c r="AB61" s="54">
        <f>IFERROR((Table4[[#This Row],[Selling Price]]-Table4[[#This Row],[Cost After Tax]])/Table4[[#This Row],[Selling Price]]*100,"")</f>
        <v>-5.1224944320712691</v>
      </c>
      <c r="AC61" s="54">
        <f>Table4[[#This Row],[Selling Price]]-Table4[[#This Row],[Cost After Tax]]</f>
        <v>-23</v>
      </c>
      <c r="AD61" s="57">
        <v>449</v>
      </c>
      <c r="AE61" s="57"/>
      <c r="AF61" s="57"/>
      <c r="AG61" s="57" t="s">
        <v>574</v>
      </c>
      <c r="AH61" s="57" t="s">
        <v>832</v>
      </c>
      <c r="AI61" s="57" t="s">
        <v>833</v>
      </c>
      <c r="AJ61" s="57" t="s">
        <v>577</v>
      </c>
      <c r="AK61" s="57" t="s">
        <v>834</v>
      </c>
      <c r="AL61" s="57"/>
      <c r="AM61" s="57"/>
      <c r="AN61" s="57"/>
      <c r="AO61" s="62" t="str">
        <f>IFERROR(MAX(IF((sales[Product_ID]=Table4[[#This Row],[Product_ID]])*(sales[Sales Status]="Confirmed"),sales[Invoice Date])),"")</f>
        <v/>
      </c>
      <c r="AP61" s="62">
        <v>45786</v>
      </c>
      <c r="AQ61" s="62">
        <v>45786</v>
      </c>
      <c r="AR61" s="57" t="s">
        <v>178</v>
      </c>
      <c r="AS61" s="57" t="s">
        <v>121</v>
      </c>
      <c r="AT61" s="57"/>
      <c r="AU61" s="57"/>
      <c r="AV61" s="57" t="s">
        <v>542</v>
      </c>
      <c r="AW61" s="57" t="s">
        <v>122</v>
      </c>
      <c r="AX61" s="57" t="s">
        <v>57</v>
      </c>
      <c r="AY61" s="57"/>
      <c r="AZ61" s="54">
        <f ca="1">SUMIFS(sales[Quantity Sold],sales[Product_ID],Table4[[#This Row],[Product_ID]],sales[Invoice Date],"&gt;="&amp;TODAY()-30)</f>
        <v>0</v>
      </c>
      <c r="BA61" s="49">
        <v>7</v>
      </c>
      <c r="BB61" s="54">
        <f ca="1">IF(Table4[[#This Row],[Demand_Last_30_Days]]=0,0,Table4[[#This Row],[Demand_Last_30_Days]]/30)</f>
        <v>0</v>
      </c>
      <c r="BC61" s="57"/>
      <c r="BD61" s="54">
        <f ca="1">Table4[[#This Row],[Average_Daily_Usage]]*Table4[[#This Row],[Buffer_Days]]</f>
        <v>0</v>
      </c>
      <c r="BE61" s="54">
        <f ca="1">IFERROR(Table4[[#This Row],[Average_Daily_Usage]]*Table4[[#This Row],[Lead_Time_Days]],"")</f>
        <v>0</v>
      </c>
      <c r="BF61" s="58" t="str">
        <f>IFERROR(MAX(IF(sales[Product_ID]=Table4[Product_ID],sales[Quantity Sold])),"")</f>
        <v/>
      </c>
      <c r="BG61" s="58" t="str">
        <f>IFERROR(MAX(IF(purchase[Received Date]-purchase[Purchase Date],purchase[Product_ID],Table4[Product_ID])),"")</f>
        <v/>
      </c>
      <c r="BH61" s="58" t="str">
        <f>IFERROR(AVERAGEIFS(sales[Quantity Sold],sales[Product_ID],Table4[Product_ID]),"")</f>
        <v/>
      </c>
      <c r="BI61" s="61" t="str">
        <f>IFERROR(AVERAGEIFS(purchase[Lead Time (Days)],purchase[Product_ID],Table4[Product_ID]),"")</f>
        <v/>
      </c>
    </row>
    <row r="62" spans="4:61" x14ac:dyDescent="0.4">
      <c r="D62" s="53" t="str">
        <f t="shared" si="5"/>
        <v>PROD0057</v>
      </c>
      <c r="E62" s="53"/>
      <c r="F62" s="53" t="s">
        <v>841</v>
      </c>
      <c r="G62" s="53" t="s">
        <v>862</v>
      </c>
      <c r="H62" s="53" t="str">
        <f>IFERROR(VLOOKUP(Table4[[#This Row],[Product_ID]],Table410[#All],2,0),"")</f>
        <v>PRODCAT0048</v>
      </c>
      <c r="I62" s="53" t="s">
        <v>719</v>
      </c>
      <c r="J62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PRODCAT0048PROD0057IHC0001SKU</v>
      </c>
      <c r="K62" s="53"/>
      <c r="L62" s="53" t="str">
        <f>IF(COUNTIF($L$1:L57, TEXT(ROW()-1,"0000000000"))=0, TEXT(ROW()-1,"0000000000"), "Duplicate Found")</f>
        <v>0000000061</v>
      </c>
      <c r="M62" s="53" t="str">
        <f t="shared" si="6"/>
        <v>BTBA400061</v>
      </c>
      <c r="N62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62" s="54">
        <f ca="1">IFERROR(Table4[[#This Row],[Expected_Demand_During_Lead_Time]]+Table4[[#This Row],[Safety_Stock]],"")</f>
        <v>0</v>
      </c>
      <c r="P62" s="54">
        <f ca="1">IFERROR(Table4[[#This Row],[Reorder Level]]-Table4[[#This Row],[Stock Quantity]],"")</f>
        <v>0</v>
      </c>
      <c r="Q62" s="54">
        <f ca="1">IFERROR(Table4[[#This Row],[Reorder Level]]+Table4[[#This Row],[Safety_Stock]]+Table4[[#This Row],[Expected_Demand_During_Lead_Time]],"")</f>
        <v>0</v>
      </c>
      <c r="R62" s="53" t="s">
        <v>122</v>
      </c>
      <c r="S62" s="53" t="s">
        <v>531</v>
      </c>
      <c r="T62" s="53">
        <v>15</v>
      </c>
      <c r="U62" s="53">
        <v>899</v>
      </c>
      <c r="V62" s="54">
        <f>(Table4[[#This Row],[MRP]]-Table4[[#This Row],[Selling Price]])/Table4[[#This Row],[MRP]]*100</f>
        <v>50.055617352614014</v>
      </c>
      <c r="W62" s="57">
        <v>330</v>
      </c>
      <c r="X62" s="57" t="s">
        <v>547</v>
      </c>
      <c r="Y62" s="54">
        <v>18</v>
      </c>
      <c r="Z62" s="54">
        <f>(Table4[[#This Row],[Cost Before Tax]]*Table4[[#This Row],[Tax Rate (%)]])/100+Table4[[#This Row],[Cost Before Tax]]</f>
        <v>389.4</v>
      </c>
      <c r="AA62" s="54">
        <f>4*Table4[[#This Row],[Cost After Tax]]</f>
        <v>1557.6</v>
      </c>
      <c r="AB62" s="54">
        <f>IFERROR((Table4[[#This Row],[Selling Price]]-Table4[[#This Row],[Cost After Tax]])/Table4[[#This Row],[Selling Price]]*100,"")</f>
        <v>13.273942093541208</v>
      </c>
      <c r="AC62" s="54">
        <f>Table4[[#This Row],[Selling Price]]-Table4[[#This Row],[Cost After Tax]]</f>
        <v>59.600000000000023</v>
      </c>
      <c r="AD62" s="57">
        <v>449</v>
      </c>
      <c r="AE62" s="57"/>
      <c r="AF62" s="57"/>
      <c r="AG62" s="57" t="s">
        <v>574</v>
      </c>
      <c r="AH62" s="57" t="s">
        <v>832</v>
      </c>
      <c r="AI62" s="57" t="s">
        <v>833</v>
      </c>
      <c r="AJ62" s="57" t="s">
        <v>577</v>
      </c>
      <c r="AK62" s="57" t="s">
        <v>834</v>
      </c>
      <c r="AL62" s="57"/>
      <c r="AM62" s="57"/>
      <c r="AN62" s="57"/>
      <c r="AO62" s="62" t="str">
        <f>IFERROR(MAX(IF((sales[Product_ID]=Table4[[#This Row],[Product_ID]])*(sales[Sales Status]="Confirmed"),sales[Invoice Date])),"")</f>
        <v/>
      </c>
      <c r="AP62" s="62">
        <v>45786</v>
      </c>
      <c r="AQ62" s="62">
        <v>45786</v>
      </c>
      <c r="AR62" s="57" t="s">
        <v>178</v>
      </c>
      <c r="AS62" s="57" t="s">
        <v>121</v>
      </c>
      <c r="AT62" s="57"/>
      <c r="AU62" s="57"/>
      <c r="AV62" s="57" t="s">
        <v>542</v>
      </c>
      <c r="AW62" s="57" t="s">
        <v>122</v>
      </c>
      <c r="AX62" s="57" t="s">
        <v>57</v>
      </c>
      <c r="AY62" s="57"/>
      <c r="AZ62" s="54">
        <f ca="1">SUMIFS(sales[Quantity Sold],sales[Product_ID],Table4[[#This Row],[Product_ID]],sales[Invoice Date],"&gt;="&amp;TODAY()-30)</f>
        <v>0</v>
      </c>
      <c r="BA62" s="49">
        <v>7</v>
      </c>
      <c r="BB62" s="54">
        <f ca="1">IF(Table4[[#This Row],[Demand_Last_30_Days]]=0,0,Table4[[#This Row],[Demand_Last_30_Days]]/30)</f>
        <v>0</v>
      </c>
      <c r="BC62" s="57"/>
      <c r="BD62" s="54">
        <f ca="1">Table4[[#This Row],[Average_Daily_Usage]]*Table4[[#This Row],[Buffer_Days]]</f>
        <v>0</v>
      </c>
      <c r="BE62" s="54">
        <f ca="1">IFERROR(Table4[[#This Row],[Average_Daily_Usage]]*Table4[[#This Row],[Lead_Time_Days]],"")</f>
        <v>0</v>
      </c>
      <c r="BF62" s="58" t="str">
        <f>IFERROR(MAX(IF(sales[Product_ID]=Table4[Product_ID],sales[Quantity Sold])),"")</f>
        <v/>
      </c>
      <c r="BG62" s="58" t="str">
        <f>IFERROR(MAX(IF(purchase[Received Date]-purchase[Purchase Date],purchase[Product_ID],Table4[Product_ID])),"")</f>
        <v/>
      </c>
      <c r="BH62" s="58" t="str">
        <f>IFERROR(AVERAGEIFS(sales[Quantity Sold],sales[Product_ID],Table4[Product_ID]),"")</f>
        <v/>
      </c>
      <c r="BI62" s="61" t="str">
        <f>IFERROR(AVERAGEIFS(purchase[Lead Time (Days)],purchase[Product_ID],Table4[Product_ID]),"")</f>
        <v/>
      </c>
    </row>
    <row r="63" spans="4:61" x14ac:dyDescent="0.4">
      <c r="D63" s="53" t="str">
        <f t="shared" si="5"/>
        <v>PROD0058</v>
      </c>
      <c r="E63" s="53"/>
      <c r="F63" s="53" t="s">
        <v>842</v>
      </c>
      <c r="G63" s="53" t="s">
        <v>863</v>
      </c>
      <c r="H63" s="53" t="str">
        <f>IFERROR(VLOOKUP(Table4[[#This Row],[Product_ID]],Table410[#All],2,0),"")</f>
        <v>PRODCAT0048</v>
      </c>
      <c r="I63" s="53" t="s">
        <v>719</v>
      </c>
      <c r="J63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PRODCAT0048PROD0058IHC0001SKU</v>
      </c>
      <c r="K63" s="53"/>
      <c r="L63" s="53" t="str">
        <f>IF(COUNTIF($L$1:L58, TEXT(ROW()-1,"0000000000"))=0, TEXT(ROW()-1,"0000000000"), "Duplicate Found")</f>
        <v>0000000062</v>
      </c>
      <c r="M63" s="53" t="str">
        <f t="shared" si="6"/>
        <v>BTBA400062</v>
      </c>
      <c r="N63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63" s="54">
        <f ca="1">IFERROR(Table4[[#This Row],[Expected_Demand_During_Lead_Time]]+Table4[[#This Row],[Safety_Stock]],"")</f>
        <v>0</v>
      </c>
      <c r="P63" s="54">
        <f ca="1">IFERROR(Table4[[#This Row],[Reorder Level]]-Table4[[#This Row],[Stock Quantity]],"")</f>
        <v>0</v>
      </c>
      <c r="Q63" s="54">
        <f ca="1">IFERROR(Table4[[#This Row],[Reorder Level]]+Table4[[#This Row],[Safety_Stock]]+Table4[[#This Row],[Expected_Demand_During_Lead_Time]],"")</f>
        <v>0</v>
      </c>
      <c r="R63" s="53" t="s">
        <v>122</v>
      </c>
      <c r="S63" s="53" t="s">
        <v>531</v>
      </c>
      <c r="T63" s="53">
        <v>15</v>
      </c>
      <c r="U63" s="53">
        <v>899</v>
      </c>
      <c r="V63" s="54">
        <f>(Table4[[#This Row],[MRP]]-Table4[[#This Row],[Selling Price]])/Table4[[#This Row],[MRP]]*100</f>
        <v>50.055617352614014</v>
      </c>
      <c r="W63" s="57">
        <v>330</v>
      </c>
      <c r="X63" s="57" t="s">
        <v>547</v>
      </c>
      <c r="Y63" s="54">
        <v>18</v>
      </c>
      <c r="Z63" s="54">
        <f>(Table4[[#This Row],[Cost Before Tax]]*Table4[[#This Row],[Tax Rate (%)]])/100+Table4[[#This Row],[Cost Before Tax]]</f>
        <v>389.4</v>
      </c>
      <c r="AA63" s="54">
        <f>4*Table4[[#This Row],[Cost After Tax]]</f>
        <v>1557.6</v>
      </c>
      <c r="AB63" s="54">
        <f>IFERROR((Table4[[#This Row],[Selling Price]]-Table4[[#This Row],[Cost After Tax]])/Table4[[#This Row],[Selling Price]]*100,"")</f>
        <v>13.273942093541208</v>
      </c>
      <c r="AC63" s="54">
        <f>Table4[[#This Row],[Selling Price]]-Table4[[#This Row],[Cost After Tax]]</f>
        <v>59.600000000000023</v>
      </c>
      <c r="AD63" s="57">
        <v>449</v>
      </c>
      <c r="AE63" s="57"/>
      <c r="AF63" s="57"/>
      <c r="AG63" s="57" t="s">
        <v>574</v>
      </c>
      <c r="AH63" s="57" t="s">
        <v>832</v>
      </c>
      <c r="AI63" s="57" t="s">
        <v>833</v>
      </c>
      <c r="AJ63" s="57" t="s">
        <v>577</v>
      </c>
      <c r="AK63" s="57" t="s">
        <v>834</v>
      </c>
      <c r="AL63" s="57"/>
      <c r="AM63" s="57"/>
      <c r="AN63" s="57"/>
      <c r="AO63" s="62" t="str">
        <f>IFERROR(MAX(IF((sales[Product_ID]=Table4[[#This Row],[Product_ID]])*(sales[Sales Status]="Confirmed"),sales[Invoice Date])),"")</f>
        <v/>
      </c>
      <c r="AP63" s="62">
        <v>45786</v>
      </c>
      <c r="AQ63" s="62">
        <v>45786</v>
      </c>
      <c r="AR63" s="57" t="s">
        <v>178</v>
      </c>
      <c r="AS63" s="57" t="s">
        <v>121</v>
      </c>
      <c r="AT63" s="57"/>
      <c r="AU63" s="57"/>
      <c r="AV63" s="57" t="s">
        <v>542</v>
      </c>
      <c r="AW63" s="57" t="s">
        <v>122</v>
      </c>
      <c r="AX63" s="57" t="s">
        <v>57</v>
      </c>
      <c r="AY63" s="57"/>
      <c r="AZ63" s="54">
        <f ca="1">SUMIFS(sales[Quantity Sold],sales[Product_ID],Table4[[#This Row],[Product_ID]],sales[Invoice Date],"&gt;="&amp;TODAY()-30)</f>
        <v>0</v>
      </c>
      <c r="BA63" s="49">
        <v>7</v>
      </c>
      <c r="BB63" s="54">
        <f ca="1">IF(Table4[[#This Row],[Demand_Last_30_Days]]=0,0,Table4[[#This Row],[Demand_Last_30_Days]]/30)</f>
        <v>0</v>
      </c>
      <c r="BC63" s="57"/>
      <c r="BD63" s="54">
        <f ca="1">Table4[[#This Row],[Average_Daily_Usage]]*Table4[[#This Row],[Buffer_Days]]</f>
        <v>0</v>
      </c>
      <c r="BE63" s="54">
        <f ca="1">IFERROR(Table4[[#This Row],[Average_Daily_Usage]]*Table4[[#This Row],[Lead_Time_Days]],"")</f>
        <v>0</v>
      </c>
      <c r="BF63" s="58" t="str">
        <f>IFERROR(MAX(IF(sales[Product_ID]=Table4[Product_ID],sales[Quantity Sold])),"")</f>
        <v/>
      </c>
      <c r="BG63" s="58" t="str">
        <f>IFERROR(MAX(IF(purchase[Received Date]-purchase[Purchase Date],purchase[Product_ID],Table4[Product_ID])),"")</f>
        <v/>
      </c>
      <c r="BH63" s="58" t="str">
        <f>IFERROR(AVERAGEIFS(sales[Quantity Sold],sales[Product_ID],Table4[Product_ID]),"")</f>
        <v/>
      </c>
      <c r="BI63" s="61" t="str">
        <f>IFERROR(AVERAGEIFS(purchase[Lead Time (Days)],purchase[Product_ID],Table4[Product_ID]),"")</f>
        <v/>
      </c>
    </row>
    <row r="64" spans="4:61" x14ac:dyDescent="0.4">
      <c r="D64" s="53" t="str">
        <f t="shared" si="5"/>
        <v>PROD0059</v>
      </c>
      <c r="E64" s="53"/>
      <c r="F64" s="53" t="s">
        <v>843</v>
      </c>
      <c r="G64" s="53" t="s">
        <v>864</v>
      </c>
      <c r="H64" s="53" t="str">
        <f>IFERROR(VLOOKUP(Table4[[#This Row],[Product_ID]],Table410[#All],2,0),"")</f>
        <v>PRODCAT0048</v>
      </c>
      <c r="I64" s="53" t="s">
        <v>719</v>
      </c>
      <c r="J64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PRODCAT0048PROD0059IHC0001SKU</v>
      </c>
      <c r="K64" s="53"/>
      <c r="L64" s="53" t="str">
        <f>IF(COUNTIF($L$1:L59, TEXT(ROW()-1,"0000000000"))=0, TEXT(ROW()-1,"0000000000"), "Duplicate Found")</f>
        <v>0000000063</v>
      </c>
      <c r="M64" s="53" t="str">
        <f t="shared" si="6"/>
        <v>BTBA400063</v>
      </c>
      <c r="N64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64" s="54">
        <f ca="1">IFERROR(Table4[[#This Row],[Expected_Demand_During_Lead_Time]]+Table4[[#This Row],[Safety_Stock]],"")</f>
        <v>0</v>
      </c>
      <c r="P64" s="54">
        <f ca="1">IFERROR(Table4[[#This Row],[Reorder Level]]-Table4[[#This Row],[Stock Quantity]],"")</f>
        <v>0</v>
      </c>
      <c r="Q64" s="54">
        <f ca="1">IFERROR(Table4[[#This Row],[Reorder Level]]+Table4[[#This Row],[Safety_Stock]]+Table4[[#This Row],[Expected_Demand_During_Lead_Time]],"")</f>
        <v>0</v>
      </c>
      <c r="R64" s="53" t="s">
        <v>122</v>
      </c>
      <c r="S64" s="53" t="s">
        <v>531</v>
      </c>
      <c r="T64" s="53">
        <v>15</v>
      </c>
      <c r="U64" s="53">
        <v>899</v>
      </c>
      <c r="V64" s="54">
        <f>(Table4[[#This Row],[MRP]]-Table4[[#This Row],[Selling Price]])/Table4[[#This Row],[MRP]]*100</f>
        <v>50.055617352614014</v>
      </c>
      <c r="W64" s="57">
        <v>330</v>
      </c>
      <c r="X64" s="57" t="s">
        <v>547</v>
      </c>
      <c r="Y64" s="54">
        <v>18</v>
      </c>
      <c r="Z64" s="54">
        <f>(Table4[[#This Row],[Cost Before Tax]]*Table4[[#This Row],[Tax Rate (%)]])/100+Table4[[#This Row],[Cost Before Tax]]</f>
        <v>389.4</v>
      </c>
      <c r="AA64" s="54">
        <f>4*Table4[[#This Row],[Cost After Tax]]</f>
        <v>1557.6</v>
      </c>
      <c r="AB64" s="54">
        <f>IFERROR((Table4[[#This Row],[Selling Price]]-Table4[[#This Row],[Cost After Tax]])/Table4[[#This Row],[Selling Price]]*100,"")</f>
        <v>13.273942093541208</v>
      </c>
      <c r="AC64" s="54">
        <f>Table4[[#This Row],[Selling Price]]-Table4[[#This Row],[Cost After Tax]]</f>
        <v>59.600000000000023</v>
      </c>
      <c r="AD64" s="57">
        <v>449</v>
      </c>
      <c r="AE64" s="57"/>
      <c r="AF64" s="57"/>
      <c r="AG64" s="57" t="s">
        <v>574</v>
      </c>
      <c r="AH64" s="57" t="s">
        <v>832</v>
      </c>
      <c r="AI64" s="57" t="s">
        <v>833</v>
      </c>
      <c r="AJ64" s="57" t="s">
        <v>577</v>
      </c>
      <c r="AK64" s="57" t="s">
        <v>834</v>
      </c>
      <c r="AL64" s="57"/>
      <c r="AM64" s="57"/>
      <c r="AN64" s="57"/>
      <c r="AO64" s="62" t="str">
        <f>IFERROR(MAX(IF((sales[Product_ID]=Table4[[#This Row],[Product_ID]])*(sales[Sales Status]="Confirmed"),sales[Invoice Date])),"")</f>
        <v/>
      </c>
      <c r="AP64" s="62">
        <v>45786</v>
      </c>
      <c r="AQ64" s="62">
        <v>45786</v>
      </c>
      <c r="AR64" s="57" t="s">
        <v>178</v>
      </c>
      <c r="AS64" s="57" t="s">
        <v>121</v>
      </c>
      <c r="AT64" s="57"/>
      <c r="AU64" s="57"/>
      <c r="AV64" s="57" t="s">
        <v>542</v>
      </c>
      <c r="AW64" s="57" t="s">
        <v>122</v>
      </c>
      <c r="AX64" s="57" t="s">
        <v>57</v>
      </c>
      <c r="AY64" s="57"/>
      <c r="AZ64" s="54">
        <f ca="1">SUMIFS(sales[Quantity Sold],sales[Product_ID],Table4[[#This Row],[Product_ID]],sales[Invoice Date],"&gt;="&amp;TODAY()-30)</f>
        <v>0</v>
      </c>
      <c r="BA64" s="49">
        <v>7</v>
      </c>
      <c r="BB64" s="54">
        <f ca="1">IF(Table4[[#This Row],[Demand_Last_30_Days]]=0,0,Table4[[#This Row],[Demand_Last_30_Days]]/30)</f>
        <v>0</v>
      </c>
      <c r="BC64" s="57"/>
      <c r="BD64" s="54">
        <f ca="1">Table4[[#This Row],[Average_Daily_Usage]]*Table4[[#This Row],[Buffer_Days]]</f>
        <v>0</v>
      </c>
      <c r="BE64" s="54">
        <f ca="1">IFERROR(Table4[[#This Row],[Average_Daily_Usage]]*Table4[[#This Row],[Lead_Time_Days]],"")</f>
        <v>0</v>
      </c>
      <c r="BF64" s="58" t="str">
        <f>IFERROR(MAX(IF(sales[Product_ID]=Table4[Product_ID],sales[Quantity Sold])),"")</f>
        <v/>
      </c>
      <c r="BG64" s="58" t="str">
        <f>IFERROR(MAX(IF(purchase[Received Date]-purchase[Purchase Date],purchase[Product_ID],Table4[Product_ID])),"")</f>
        <v/>
      </c>
      <c r="BH64" s="58" t="str">
        <f>IFERROR(AVERAGEIFS(sales[Quantity Sold],sales[Product_ID],Table4[Product_ID]),"")</f>
        <v/>
      </c>
      <c r="BI64" s="61" t="str">
        <f>IFERROR(AVERAGEIFS(purchase[Lead Time (Days)],purchase[Product_ID],Table4[Product_ID]),"")</f>
        <v/>
      </c>
    </row>
    <row r="65" spans="4:61" x14ac:dyDescent="0.4">
      <c r="D65" s="53" t="str">
        <f t="shared" si="5"/>
        <v>PROD0060</v>
      </c>
      <c r="E65" s="53"/>
      <c r="F65" s="53" t="s">
        <v>844</v>
      </c>
      <c r="G65" s="53" t="s">
        <v>865</v>
      </c>
      <c r="H65" s="53" t="str">
        <f>IFERROR(VLOOKUP(Table4[[#This Row],[Product_ID]],Table410[#All],2,0),"")</f>
        <v>PRODCAT0048</v>
      </c>
      <c r="I65" s="53" t="s">
        <v>719</v>
      </c>
      <c r="J65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PRODCAT0048PROD0060IHC0001SKU</v>
      </c>
      <c r="K65" s="53"/>
      <c r="L65" s="53" t="str">
        <f>IF(COUNTIF($L$1:L60, TEXT(ROW()-1,"0000000000"))=0, TEXT(ROW()-1,"0000000000"), "Duplicate Found")</f>
        <v>0000000064</v>
      </c>
      <c r="M65" s="53" t="str">
        <f t="shared" si="6"/>
        <v>BTBA400064</v>
      </c>
      <c r="N65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65" s="54">
        <f ca="1">IFERROR(Table4[[#This Row],[Expected_Demand_During_Lead_Time]]+Table4[[#This Row],[Safety_Stock]],"")</f>
        <v>0</v>
      </c>
      <c r="P65" s="54">
        <f ca="1">IFERROR(Table4[[#This Row],[Reorder Level]]-Table4[[#This Row],[Stock Quantity]],"")</f>
        <v>0</v>
      </c>
      <c r="Q65" s="54">
        <f ca="1">IFERROR(Table4[[#This Row],[Reorder Level]]+Table4[[#This Row],[Safety_Stock]]+Table4[[#This Row],[Expected_Demand_During_Lead_Time]],"")</f>
        <v>0</v>
      </c>
      <c r="R65" s="53" t="s">
        <v>122</v>
      </c>
      <c r="S65" s="53" t="s">
        <v>531</v>
      </c>
      <c r="T65" s="53">
        <v>15</v>
      </c>
      <c r="U65" s="53">
        <v>899</v>
      </c>
      <c r="V65" s="54">
        <f>(Table4[[#This Row],[MRP]]-Table4[[#This Row],[Selling Price]])/Table4[[#This Row],[MRP]]*100</f>
        <v>50.055617352614014</v>
      </c>
      <c r="W65" s="57">
        <v>330</v>
      </c>
      <c r="X65" s="57" t="s">
        <v>547</v>
      </c>
      <c r="Y65" s="54">
        <v>18</v>
      </c>
      <c r="Z65" s="54">
        <f>(Table4[[#This Row],[Cost Before Tax]]*Table4[[#This Row],[Tax Rate (%)]])/100+Table4[[#This Row],[Cost Before Tax]]</f>
        <v>389.4</v>
      </c>
      <c r="AA65" s="54">
        <f>4*Table4[[#This Row],[Cost After Tax]]</f>
        <v>1557.6</v>
      </c>
      <c r="AB65" s="54">
        <f>IFERROR((Table4[[#This Row],[Selling Price]]-Table4[[#This Row],[Cost After Tax]])/Table4[[#This Row],[Selling Price]]*100,"")</f>
        <v>13.273942093541208</v>
      </c>
      <c r="AC65" s="54">
        <f>Table4[[#This Row],[Selling Price]]-Table4[[#This Row],[Cost After Tax]]</f>
        <v>59.600000000000023</v>
      </c>
      <c r="AD65" s="57">
        <v>449</v>
      </c>
      <c r="AE65" s="57"/>
      <c r="AF65" s="57"/>
      <c r="AG65" s="57" t="s">
        <v>574</v>
      </c>
      <c r="AH65" s="57" t="s">
        <v>832</v>
      </c>
      <c r="AI65" s="57" t="s">
        <v>833</v>
      </c>
      <c r="AJ65" s="57" t="s">
        <v>577</v>
      </c>
      <c r="AK65" s="57" t="s">
        <v>834</v>
      </c>
      <c r="AL65" s="57"/>
      <c r="AM65" s="57"/>
      <c r="AN65" s="57"/>
      <c r="AO65" s="62" t="str">
        <f>IFERROR(MAX(IF((sales[Product_ID]=Table4[[#This Row],[Product_ID]])*(sales[Sales Status]="Confirmed"),sales[Invoice Date])),"")</f>
        <v/>
      </c>
      <c r="AP65" s="62">
        <v>45786</v>
      </c>
      <c r="AQ65" s="62">
        <v>45786</v>
      </c>
      <c r="AR65" s="57" t="s">
        <v>178</v>
      </c>
      <c r="AS65" s="57" t="s">
        <v>121</v>
      </c>
      <c r="AT65" s="57"/>
      <c r="AU65" s="57"/>
      <c r="AV65" s="57" t="s">
        <v>542</v>
      </c>
      <c r="AW65" s="57" t="s">
        <v>122</v>
      </c>
      <c r="AX65" s="57" t="s">
        <v>57</v>
      </c>
      <c r="AY65" s="57"/>
      <c r="AZ65" s="54">
        <f ca="1">SUMIFS(sales[Quantity Sold],sales[Product_ID],Table4[[#This Row],[Product_ID]],sales[Invoice Date],"&gt;="&amp;TODAY()-30)</f>
        <v>0</v>
      </c>
      <c r="BA65" s="49">
        <v>7</v>
      </c>
      <c r="BB65" s="54">
        <f ca="1">IF(Table4[[#This Row],[Demand_Last_30_Days]]=0,0,Table4[[#This Row],[Demand_Last_30_Days]]/30)</f>
        <v>0</v>
      </c>
      <c r="BC65" s="57"/>
      <c r="BD65" s="54">
        <f ca="1">Table4[[#This Row],[Average_Daily_Usage]]*Table4[[#This Row],[Buffer_Days]]</f>
        <v>0</v>
      </c>
      <c r="BE65" s="54">
        <f ca="1">IFERROR(Table4[[#This Row],[Average_Daily_Usage]]*Table4[[#This Row],[Lead_Time_Days]],"")</f>
        <v>0</v>
      </c>
      <c r="BF65" s="58" t="str">
        <f>IFERROR(MAX(IF(sales[Product_ID]=Table4[Product_ID],sales[Quantity Sold])),"")</f>
        <v/>
      </c>
      <c r="BG65" s="58" t="str">
        <f>IFERROR(MAX(IF(purchase[Received Date]-purchase[Purchase Date],purchase[Product_ID],Table4[Product_ID])),"")</f>
        <v/>
      </c>
      <c r="BH65" s="58" t="str">
        <f>IFERROR(AVERAGEIFS(sales[Quantity Sold],sales[Product_ID],Table4[Product_ID]),"")</f>
        <v/>
      </c>
      <c r="BI65" s="61" t="str">
        <f>IFERROR(AVERAGEIFS(purchase[Lead Time (Days)],purchase[Product_ID],Table4[Product_ID]),"")</f>
        <v/>
      </c>
    </row>
    <row r="66" spans="4:61" x14ac:dyDescent="0.4">
      <c r="D66" s="53" t="str">
        <f t="shared" si="5"/>
        <v>PROD0061</v>
      </c>
      <c r="E66" s="53"/>
      <c r="F66" s="53" t="s">
        <v>845</v>
      </c>
      <c r="G66" s="53" t="s">
        <v>866</v>
      </c>
      <c r="H66" s="53" t="str">
        <f>IFERROR(VLOOKUP(Table4[[#This Row],[Product_ID]],Table410[#All],2,0),"")</f>
        <v>PRODCAT0048</v>
      </c>
      <c r="I66" s="53" t="s">
        <v>719</v>
      </c>
      <c r="J66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PRODCAT0048PROD0061IHC0001SKU</v>
      </c>
      <c r="K66" s="53"/>
      <c r="L66" s="53" t="str">
        <f>IF(COUNTIF($L$1:L61, TEXT(ROW()-1,"0000000000"))=0, TEXT(ROW()-1,"0000000000"), "Duplicate Found")</f>
        <v>0000000065</v>
      </c>
      <c r="M66" s="53" t="str">
        <f t="shared" si="6"/>
        <v>BTBA400065</v>
      </c>
      <c r="N66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66" s="54">
        <f ca="1">IFERROR(Table4[[#This Row],[Expected_Demand_During_Lead_Time]]+Table4[[#This Row],[Safety_Stock]],"")</f>
        <v>0</v>
      </c>
      <c r="P66" s="54">
        <f ca="1">IFERROR(Table4[[#This Row],[Reorder Level]]-Table4[[#This Row],[Stock Quantity]],"")</f>
        <v>0</v>
      </c>
      <c r="Q66" s="54">
        <f ca="1">IFERROR(Table4[[#This Row],[Reorder Level]]+Table4[[#This Row],[Safety_Stock]]+Table4[[#This Row],[Expected_Demand_During_Lead_Time]],"")</f>
        <v>0</v>
      </c>
      <c r="R66" s="53" t="s">
        <v>122</v>
      </c>
      <c r="S66" s="53" t="s">
        <v>531</v>
      </c>
      <c r="T66" s="53">
        <v>15</v>
      </c>
      <c r="U66" s="53">
        <v>899</v>
      </c>
      <c r="V66" s="54">
        <f>(Table4[[#This Row],[MRP]]-Table4[[#This Row],[Selling Price]])/Table4[[#This Row],[MRP]]*100</f>
        <v>50.055617352614014</v>
      </c>
      <c r="W66" s="57">
        <v>330</v>
      </c>
      <c r="X66" s="57" t="s">
        <v>547</v>
      </c>
      <c r="Y66" s="54">
        <v>18</v>
      </c>
      <c r="Z66" s="54">
        <f>(Table4[[#This Row],[Cost Before Tax]]*Table4[[#This Row],[Tax Rate (%)]])/100+Table4[[#This Row],[Cost Before Tax]]</f>
        <v>389.4</v>
      </c>
      <c r="AA66" s="54">
        <f>4*Table4[[#This Row],[Cost After Tax]]</f>
        <v>1557.6</v>
      </c>
      <c r="AB66" s="54">
        <f>IFERROR((Table4[[#This Row],[Selling Price]]-Table4[[#This Row],[Cost After Tax]])/Table4[[#This Row],[Selling Price]]*100,"")</f>
        <v>13.273942093541208</v>
      </c>
      <c r="AC66" s="54">
        <f>Table4[[#This Row],[Selling Price]]-Table4[[#This Row],[Cost After Tax]]</f>
        <v>59.600000000000023</v>
      </c>
      <c r="AD66" s="57">
        <v>449</v>
      </c>
      <c r="AE66" s="57"/>
      <c r="AF66" s="57"/>
      <c r="AG66" s="57" t="s">
        <v>574</v>
      </c>
      <c r="AH66" s="57" t="s">
        <v>832</v>
      </c>
      <c r="AI66" s="57" t="s">
        <v>833</v>
      </c>
      <c r="AJ66" s="57" t="s">
        <v>577</v>
      </c>
      <c r="AK66" s="57" t="s">
        <v>834</v>
      </c>
      <c r="AL66" s="57"/>
      <c r="AM66" s="57"/>
      <c r="AN66" s="57"/>
      <c r="AO66" s="62" t="str">
        <f>IFERROR(MAX(IF((sales[Product_ID]=Table4[[#This Row],[Product_ID]])*(sales[Sales Status]="Confirmed"),sales[Invoice Date])),"")</f>
        <v/>
      </c>
      <c r="AP66" s="62">
        <v>45786</v>
      </c>
      <c r="AQ66" s="62">
        <v>45786</v>
      </c>
      <c r="AR66" s="57" t="s">
        <v>178</v>
      </c>
      <c r="AS66" s="57" t="s">
        <v>121</v>
      </c>
      <c r="AT66" s="57"/>
      <c r="AU66" s="57"/>
      <c r="AV66" s="57" t="s">
        <v>542</v>
      </c>
      <c r="AW66" s="57" t="s">
        <v>122</v>
      </c>
      <c r="AX66" s="57" t="s">
        <v>57</v>
      </c>
      <c r="AY66" s="57"/>
      <c r="AZ66" s="54">
        <f ca="1">SUMIFS(sales[Quantity Sold],sales[Product_ID],Table4[[#This Row],[Product_ID]],sales[Invoice Date],"&gt;="&amp;TODAY()-30)</f>
        <v>0</v>
      </c>
      <c r="BA66" s="49">
        <v>7</v>
      </c>
      <c r="BB66" s="54">
        <f ca="1">IF(Table4[[#This Row],[Demand_Last_30_Days]]=0,0,Table4[[#This Row],[Demand_Last_30_Days]]/30)</f>
        <v>0</v>
      </c>
      <c r="BC66" s="57"/>
      <c r="BD66" s="54">
        <f ca="1">Table4[[#This Row],[Average_Daily_Usage]]*Table4[[#This Row],[Buffer_Days]]</f>
        <v>0</v>
      </c>
      <c r="BE66" s="54">
        <f ca="1">IFERROR(Table4[[#This Row],[Average_Daily_Usage]]*Table4[[#This Row],[Lead_Time_Days]],"")</f>
        <v>0</v>
      </c>
      <c r="BF66" s="58" t="str">
        <f>IFERROR(MAX(IF(sales[Product_ID]=Table4[Product_ID],sales[Quantity Sold])),"")</f>
        <v/>
      </c>
      <c r="BG66" s="58" t="str">
        <f>IFERROR(MAX(IF(purchase[Received Date]-purchase[Purchase Date],purchase[Product_ID],Table4[Product_ID])),"")</f>
        <v/>
      </c>
      <c r="BH66" s="58" t="str">
        <f>IFERROR(AVERAGEIFS(sales[Quantity Sold],sales[Product_ID],Table4[Product_ID]),"")</f>
        <v/>
      </c>
      <c r="BI66" s="61" t="str">
        <f>IFERROR(AVERAGEIFS(purchase[Lead Time (Days)],purchase[Product_ID],Table4[Product_ID]),"")</f>
        <v/>
      </c>
    </row>
    <row r="67" spans="4:61" x14ac:dyDescent="0.4">
      <c r="D67" s="53" t="str">
        <f t="shared" si="5"/>
        <v>PROD0062</v>
      </c>
      <c r="E67" s="53"/>
      <c r="F67" s="53" t="s">
        <v>846</v>
      </c>
      <c r="G67" s="53" t="s">
        <v>867</v>
      </c>
      <c r="H67" s="53" t="str">
        <f>IFERROR(VLOOKUP(Table4[[#This Row],[Product_ID]],Table410[#All],2,0),"")</f>
        <v>PRODCAT0048</v>
      </c>
      <c r="I67" s="53" t="s">
        <v>719</v>
      </c>
      <c r="J67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PRODCAT0048PROD0062IHC0001SKU</v>
      </c>
      <c r="K67" s="53"/>
      <c r="L67" s="53" t="str">
        <f>IF(COUNTIF($L$1:L62, TEXT(ROW()-1,"0000000000"))=0, TEXT(ROW()-1,"0000000000"), "Duplicate Found")</f>
        <v>0000000066</v>
      </c>
      <c r="M67" s="53" t="str">
        <f t="shared" si="6"/>
        <v>BTBA400066</v>
      </c>
      <c r="N67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67" s="54">
        <f ca="1">IFERROR(Table4[[#This Row],[Expected_Demand_During_Lead_Time]]+Table4[[#This Row],[Safety_Stock]],"")</f>
        <v>0</v>
      </c>
      <c r="P67" s="54">
        <f ca="1">IFERROR(Table4[[#This Row],[Reorder Level]]-Table4[[#This Row],[Stock Quantity]],"")</f>
        <v>0</v>
      </c>
      <c r="Q67" s="54">
        <f ca="1">IFERROR(Table4[[#This Row],[Reorder Level]]+Table4[[#This Row],[Safety_Stock]]+Table4[[#This Row],[Expected_Demand_During_Lead_Time]],"")</f>
        <v>0</v>
      </c>
      <c r="R67" s="53" t="s">
        <v>122</v>
      </c>
      <c r="S67" s="53" t="s">
        <v>531</v>
      </c>
      <c r="T67" s="53">
        <v>15</v>
      </c>
      <c r="U67" s="53">
        <v>899</v>
      </c>
      <c r="V67" s="54">
        <f>(Table4[[#This Row],[MRP]]-Table4[[#This Row],[Selling Price]])/Table4[[#This Row],[MRP]]*100</f>
        <v>50.055617352614014</v>
      </c>
      <c r="W67" s="57">
        <v>330</v>
      </c>
      <c r="X67" s="57" t="s">
        <v>547</v>
      </c>
      <c r="Y67" s="54">
        <v>18</v>
      </c>
      <c r="Z67" s="54">
        <f>(Table4[[#This Row],[Cost Before Tax]]*Table4[[#This Row],[Tax Rate (%)]])/100+Table4[[#This Row],[Cost Before Tax]]</f>
        <v>389.4</v>
      </c>
      <c r="AA67" s="54">
        <f>4*Table4[[#This Row],[Cost After Tax]]</f>
        <v>1557.6</v>
      </c>
      <c r="AB67" s="54">
        <f>IFERROR((Table4[[#This Row],[Selling Price]]-Table4[[#This Row],[Cost After Tax]])/Table4[[#This Row],[Selling Price]]*100,"")</f>
        <v>13.273942093541208</v>
      </c>
      <c r="AC67" s="54">
        <f>Table4[[#This Row],[Selling Price]]-Table4[[#This Row],[Cost After Tax]]</f>
        <v>59.600000000000023</v>
      </c>
      <c r="AD67" s="57">
        <v>449</v>
      </c>
      <c r="AE67" s="57"/>
      <c r="AF67" s="57"/>
      <c r="AG67" s="57" t="s">
        <v>574</v>
      </c>
      <c r="AH67" s="57" t="s">
        <v>832</v>
      </c>
      <c r="AI67" s="57" t="s">
        <v>833</v>
      </c>
      <c r="AJ67" s="57" t="s">
        <v>577</v>
      </c>
      <c r="AK67" s="57" t="s">
        <v>834</v>
      </c>
      <c r="AL67" s="57"/>
      <c r="AM67" s="57"/>
      <c r="AN67" s="57"/>
      <c r="AO67" s="62" t="str">
        <f>IFERROR(MAX(IF((sales[Product_ID]=Table4[[#This Row],[Product_ID]])*(sales[Sales Status]="Confirmed"),sales[Invoice Date])),"")</f>
        <v/>
      </c>
      <c r="AP67" s="62">
        <v>45786</v>
      </c>
      <c r="AQ67" s="62">
        <v>45786</v>
      </c>
      <c r="AR67" s="57" t="s">
        <v>178</v>
      </c>
      <c r="AS67" s="57" t="s">
        <v>121</v>
      </c>
      <c r="AT67" s="57"/>
      <c r="AU67" s="57"/>
      <c r="AV67" s="57" t="s">
        <v>542</v>
      </c>
      <c r="AW67" s="57" t="s">
        <v>122</v>
      </c>
      <c r="AX67" s="57" t="s">
        <v>57</v>
      </c>
      <c r="AY67" s="57"/>
      <c r="AZ67" s="54">
        <f ca="1">SUMIFS(sales[Quantity Sold],sales[Product_ID],Table4[[#This Row],[Product_ID]],sales[Invoice Date],"&gt;="&amp;TODAY()-30)</f>
        <v>0</v>
      </c>
      <c r="BA67" s="49">
        <v>7</v>
      </c>
      <c r="BB67" s="54">
        <f ca="1">IF(Table4[[#This Row],[Demand_Last_30_Days]]=0,0,Table4[[#This Row],[Demand_Last_30_Days]]/30)</f>
        <v>0</v>
      </c>
      <c r="BC67" s="57"/>
      <c r="BD67" s="54">
        <f ca="1">Table4[[#This Row],[Average_Daily_Usage]]*Table4[[#This Row],[Buffer_Days]]</f>
        <v>0</v>
      </c>
      <c r="BE67" s="54">
        <f ca="1">IFERROR(Table4[[#This Row],[Average_Daily_Usage]]*Table4[[#This Row],[Lead_Time_Days]],"")</f>
        <v>0</v>
      </c>
      <c r="BF67" s="58" t="str">
        <f>IFERROR(MAX(IF(sales[Product_ID]=Table4[Product_ID],sales[Quantity Sold])),"")</f>
        <v/>
      </c>
      <c r="BG67" s="58" t="str">
        <f>IFERROR(MAX(IF(purchase[Received Date]-purchase[Purchase Date],purchase[Product_ID],Table4[Product_ID])),"")</f>
        <v/>
      </c>
      <c r="BH67" s="58" t="str">
        <f>IFERROR(AVERAGEIFS(sales[Quantity Sold],sales[Product_ID],Table4[Product_ID]),"")</f>
        <v/>
      </c>
      <c r="BI67" s="61" t="str">
        <f>IFERROR(AVERAGEIFS(purchase[Lead Time (Days)],purchase[Product_ID],Table4[Product_ID]),"")</f>
        <v/>
      </c>
    </row>
    <row r="68" spans="4:61" x14ac:dyDescent="0.4">
      <c r="D68" s="53" t="str">
        <f t="shared" si="5"/>
        <v>PROD0063</v>
      </c>
      <c r="E68" s="53"/>
      <c r="F68" s="53" t="s">
        <v>847</v>
      </c>
      <c r="G68" s="53" t="s">
        <v>868</v>
      </c>
      <c r="H68" s="53" t="str">
        <f>IFERROR(VLOOKUP(Table4[[#This Row],[Product_ID]],Table410[#All],2,0),"")</f>
        <v>PRODCAT0048</v>
      </c>
      <c r="I68" s="53" t="s">
        <v>719</v>
      </c>
      <c r="J68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PRODCAT0048PROD0063IHC0001SKU</v>
      </c>
      <c r="K68" s="53"/>
      <c r="L68" s="53" t="str">
        <f>IF(COUNTIF($L$1:L63, TEXT(ROW()-1,"0000000000"))=0, TEXT(ROW()-1,"0000000000"), "Duplicate Found")</f>
        <v>0000000067</v>
      </c>
      <c r="M68" s="53" t="str">
        <f t="shared" si="6"/>
        <v>BTBA400067</v>
      </c>
      <c r="N68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68" s="54">
        <f ca="1">IFERROR(Table4[[#This Row],[Expected_Demand_During_Lead_Time]]+Table4[[#This Row],[Safety_Stock]],"")</f>
        <v>0</v>
      </c>
      <c r="P68" s="54">
        <f ca="1">IFERROR(Table4[[#This Row],[Reorder Level]]-Table4[[#This Row],[Stock Quantity]],"")</f>
        <v>0</v>
      </c>
      <c r="Q68" s="54">
        <f ca="1">IFERROR(Table4[[#This Row],[Reorder Level]]+Table4[[#This Row],[Safety_Stock]]+Table4[[#This Row],[Expected_Demand_During_Lead_Time]],"")</f>
        <v>0</v>
      </c>
      <c r="R68" s="53" t="s">
        <v>122</v>
      </c>
      <c r="S68" s="53" t="s">
        <v>531</v>
      </c>
      <c r="T68" s="53">
        <v>15</v>
      </c>
      <c r="U68" s="53">
        <v>1799</v>
      </c>
      <c r="V68" s="54">
        <f>(Table4[[#This Row],[MRP]]-Table4[[#This Row],[Selling Price]])/Table4[[#This Row],[MRP]]*100</f>
        <v>44.469149527515285</v>
      </c>
      <c r="W68" s="57">
        <v>450</v>
      </c>
      <c r="X68" s="57" t="s">
        <v>547</v>
      </c>
      <c r="Y68" s="54">
        <v>18</v>
      </c>
      <c r="Z68" s="54">
        <f>(Table4[[#This Row],[Cost Before Tax]]*Table4[[#This Row],[Tax Rate (%)]])/100+Table4[[#This Row],[Cost Before Tax]]</f>
        <v>531</v>
      </c>
      <c r="AA68" s="54">
        <f>4*Table4[[#This Row],[Cost After Tax]]</f>
        <v>2124</v>
      </c>
      <c r="AB68" s="54">
        <f>IFERROR((Table4[[#This Row],[Selling Price]]-Table4[[#This Row],[Cost After Tax]])/Table4[[#This Row],[Selling Price]]*100,"")</f>
        <v>46.846846846846844</v>
      </c>
      <c r="AC68" s="54">
        <f>Table4[[#This Row],[Selling Price]]-Table4[[#This Row],[Cost After Tax]]</f>
        <v>468</v>
      </c>
      <c r="AD68" s="57">
        <v>999</v>
      </c>
      <c r="AE68" s="57"/>
      <c r="AF68" s="57"/>
      <c r="AG68" s="57" t="s">
        <v>574</v>
      </c>
      <c r="AH68" s="57" t="s">
        <v>832</v>
      </c>
      <c r="AI68" s="57" t="s">
        <v>833</v>
      </c>
      <c r="AJ68" s="57" t="s">
        <v>577</v>
      </c>
      <c r="AK68" s="57" t="s">
        <v>834</v>
      </c>
      <c r="AL68" s="57"/>
      <c r="AM68" s="57"/>
      <c r="AN68" s="57"/>
      <c r="AO68" s="62" t="str">
        <f>IFERROR(MAX(IF((sales[Product_ID]=Table4[[#This Row],[Product_ID]])*(sales[Sales Status]="Confirmed"),sales[Invoice Date])),"")</f>
        <v/>
      </c>
      <c r="AP68" s="62">
        <v>45786</v>
      </c>
      <c r="AQ68" s="62">
        <v>45786</v>
      </c>
      <c r="AR68" s="57" t="s">
        <v>178</v>
      </c>
      <c r="AS68" s="57" t="s">
        <v>121</v>
      </c>
      <c r="AT68" s="57"/>
      <c r="AU68" s="57"/>
      <c r="AV68" s="57" t="s">
        <v>542</v>
      </c>
      <c r="AW68" s="57" t="s">
        <v>122</v>
      </c>
      <c r="AX68" s="57" t="s">
        <v>57</v>
      </c>
      <c r="AY68" s="57"/>
      <c r="AZ68" s="54">
        <f ca="1">SUMIFS(sales[Quantity Sold],sales[Product_ID],Table4[[#This Row],[Product_ID]],sales[Invoice Date],"&gt;="&amp;TODAY()-30)</f>
        <v>0</v>
      </c>
      <c r="BA68" s="49">
        <v>7</v>
      </c>
      <c r="BB68" s="54">
        <f ca="1">IF(Table4[[#This Row],[Demand_Last_30_Days]]=0,0,Table4[[#This Row],[Demand_Last_30_Days]]/30)</f>
        <v>0</v>
      </c>
      <c r="BC68" s="57"/>
      <c r="BD68" s="54">
        <f ca="1">Table4[[#This Row],[Average_Daily_Usage]]*Table4[[#This Row],[Buffer_Days]]</f>
        <v>0</v>
      </c>
      <c r="BE68" s="54">
        <f ca="1">IFERROR(Table4[[#This Row],[Average_Daily_Usage]]*Table4[[#This Row],[Lead_Time_Days]],"")</f>
        <v>0</v>
      </c>
      <c r="BF68" s="58" t="str">
        <f>IFERROR(MAX(IF(sales[Product_ID]=Table4[Product_ID],sales[Quantity Sold])),"")</f>
        <v/>
      </c>
      <c r="BG68" s="58" t="str">
        <f>IFERROR(MAX(IF(purchase[Received Date]-purchase[Purchase Date],purchase[Product_ID],Table4[Product_ID])),"")</f>
        <v/>
      </c>
      <c r="BH68" s="58" t="str">
        <f>IFERROR(AVERAGEIFS(sales[Quantity Sold],sales[Product_ID],Table4[Product_ID]),"")</f>
        <v/>
      </c>
      <c r="BI68" s="61" t="str">
        <f>IFERROR(AVERAGEIFS(purchase[Lead Time (Days)],purchase[Product_ID],Table4[Product_ID]),"")</f>
        <v/>
      </c>
    </row>
    <row r="69" spans="4:61" x14ac:dyDescent="0.4">
      <c r="D69" s="53" t="str">
        <f t="shared" si="5"/>
        <v>PROD0064</v>
      </c>
      <c r="E69" s="53"/>
      <c r="F69" s="53" t="s">
        <v>848</v>
      </c>
      <c r="G69" s="53" t="s">
        <v>869</v>
      </c>
      <c r="H69" s="53" t="str">
        <f>IFERROR(VLOOKUP(Table4[[#This Row],[Product_ID]],Table410[#All],2,0),"")</f>
        <v>PRODCAT0048</v>
      </c>
      <c r="I69" s="53" t="s">
        <v>719</v>
      </c>
      <c r="J69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PRODCAT0048PROD0064IHC0001SKU</v>
      </c>
      <c r="K69" s="53"/>
      <c r="L69" s="53" t="str">
        <f>IF(COUNTIF($L$1:L64, TEXT(ROW()-1,"0000000000"))=0, TEXT(ROW()-1,"0000000000"), "Duplicate Found")</f>
        <v>0000000068</v>
      </c>
      <c r="M69" s="53" t="str">
        <f t="shared" si="6"/>
        <v>BTBA400068</v>
      </c>
      <c r="N69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69" s="54">
        <f ca="1">IFERROR(Table4[[#This Row],[Expected_Demand_During_Lead_Time]]+Table4[[#This Row],[Safety_Stock]],"")</f>
        <v>0</v>
      </c>
      <c r="P69" s="54">
        <f ca="1">IFERROR(Table4[[#This Row],[Reorder Level]]-Table4[[#This Row],[Stock Quantity]],"")</f>
        <v>0</v>
      </c>
      <c r="Q69" s="54">
        <f ca="1">IFERROR(Table4[[#This Row],[Reorder Level]]+Table4[[#This Row],[Safety_Stock]]+Table4[[#This Row],[Expected_Demand_During_Lead_Time]],"")</f>
        <v>0</v>
      </c>
      <c r="R69" s="53" t="s">
        <v>122</v>
      </c>
      <c r="S69" s="53" t="s">
        <v>531</v>
      </c>
      <c r="T69" s="53">
        <v>15</v>
      </c>
      <c r="U69" s="53">
        <v>899</v>
      </c>
      <c r="V69" s="54">
        <f>(Table4[[#This Row],[MRP]]-Table4[[#This Row],[Selling Price]])/Table4[[#This Row],[MRP]]*100</f>
        <v>50.055617352614014</v>
      </c>
      <c r="W69" s="57">
        <v>330</v>
      </c>
      <c r="X69" s="57" t="s">
        <v>547</v>
      </c>
      <c r="Y69" s="54">
        <v>18</v>
      </c>
      <c r="Z69" s="54">
        <f>(Table4[[#This Row],[Cost Before Tax]]*Table4[[#This Row],[Tax Rate (%)]])/100+Table4[[#This Row],[Cost Before Tax]]</f>
        <v>389.4</v>
      </c>
      <c r="AA69" s="54">
        <f>4*Table4[[#This Row],[Cost After Tax]]</f>
        <v>1557.6</v>
      </c>
      <c r="AB69" s="54">
        <f>IFERROR((Table4[[#This Row],[Selling Price]]-Table4[[#This Row],[Cost After Tax]])/Table4[[#This Row],[Selling Price]]*100,"")</f>
        <v>13.273942093541208</v>
      </c>
      <c r="AC69" s="54">
        <f>Table4[[#This Row],[Selling Price]]-Table4[[#This Row],[Cost After Tax]]</f>
        <v>59.600000000000023</v>
      </c>
      <c r="AD69" s="57">
        <v>449</v>
      </c>
      <c r="AE69" s="57"/>
      <c r="AF69" s="57"/>
      <c r="AG69" s="57" t="s">
        <v>574</v>
      </c>
      <c r="AH69" s="57" t="s">
        <v>832</v>
      </c>
      <c r="AI69" s="57" t="s">
        <v>833</v>
      </c>
      <c r="AJ69" s="57" t="s">
        <v>577</v>
      </c>
      <c r="AK69" s="57" t="s">
        <v>834</v>
      </c>
      <c r="AL69" s="57"/>
      <c r="AM69" s="57"/>
      <c r="AN69" s="57"/>
      <c r="AO69" s="62" t="str">
        <f>IFERROR(MAX(IF((sales[Product_ID]=Table4[[#This Row],[Product_ID]])*(sales[Sales Status]="Confirmed"),sales[Invoice Date])),"")</f>
        <v/>
      </c>
      <c r="AP69" s="62">
        <v>45786</v>
      </c>
      <c r="AQ69" s="62">
        <v>45786</v>
      </c>
      <c r="AR69" s="57" t="s">
        <v>178</v>
      </c>
      <c r="AS69" s="57" t="s">
        <v>121</v>
      </c>
      <c r="AT69" s="57"/>
      <c r="AU69" s="57"/>
      <c r="AV69" s="57" t="s">
        <v>542</v>
      </c>
      <c r="AW69" s="57" t="s">
        <v>122</v>
      </c>
      <c r="AX69" s="57" t="s">
        <v>57</v>
      </c>
      <c r="AY69" s="57"/>
      <c r="AZ69" s="54">
        <f ca="1">SUMIFS(sales[Quantity Sold],sales[Product_ID],Table4[[#This Row],[Product_ID]],sales[Invoice Date],"&gt;="&amp;TODAY()-30)</f>
        <v>0</v>
      </c>
      <c r="BA69" s="49">
        <v>7</v>
      </c>
      <c r="BB69" s="54">
        <f ca="1">IF(Table4[[#This Row],[Demand_Last_30_Days]]=0,0,Table4[[#This Row],[Demand_Last_30_Days]]/30)</f>
        <v>0</v>
      </c>
      <c r="BC69" s="57"/>
      <c r="BD69" s="54">
        <f ca="1">Table4[[#This Row],[Average_Daily_Usage]]*Table4[[#This Row],[Buffer_Days]]</f>
        <v>0</v>
      </c>
      <c r="BE69" s="54">
        <f ca="1">IFERROR(Table4[[#This Row],[Average_Daily_Usage]]*Table4[[#This Row],[Lead_Time_Days]],"")</f>
        <v>0</v>
      </c>
      <c r="BF69" s="58" t="str">
        <f>IFERROR(MAX(IF(sales[Product_ID]=Table4[Product_ID],sales[Quantity Sold])),"")</f>
        <v/>
      </c>
      <c r="BG69" s="58" t="str">
        <f>IFERROR(MAX(IF(purchase[Received Date]-purchase[Purchase Date],purchase[Product_ID],Table4[Product_ID])),"")</f>
        <v/>
      </c>
      <c r="BH69" s="58" t="str">
        <f>IFERROR(AVERAGEIFS(sales[Quantity Sold],sales[Product_ID],Table4[Product_ID]),"")</f>
        <v/>
      </c>
      <c r="BI69" s="61" t="str">
        <f>IFERROR(AVERAGEIFS(purchase[Lead Time (Days)],purchase[Product_ID],Table4[Product_ID]),"")</f>
        <v/>
      </c>
    </row>
    <row r="70" spans="4:61" x14ac:dyDescent="0.4">
      <c r="D70" s="53" t="str">
        <f t="shared" si="5"/>
        <v>PROD0065</v>
      </c>
      <c r="E70" s="53"/>
      <c r="F70" s="53" t="s">
        <v>849</v>
      </c>
      <c r="G70" s="53" t="s">
        <v>870</v>
      </c>
      <c r="H70" s="53" t="str">
        <f>IFERROR(VLOOKUP(Table4[[#This Row],[Product_ID]],Table410[#All],2,0),"")</f>
        <v>PRODCAT0048</v>
      </c>
      <c r="I70" s="53" t="s">
        <v>719</v>
      </c>
      <c r="J70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PRODCAT0048PROD0065IHC0001SKU</v>
      </c>
      <c r="K70" s="53"/>
      <c r="L70" s="53" t="str">
        <f>IF(COUNTIF($L$1:L65, TEXT(ROW()-1,"0000000000"))=0, TEXT(ROW()-1,"0000000000"), "Duplicate Found")</f>
        <v>0000000069</v>
      </c>
      <c r="M70" s="53" t="str">
        <f t="shared" si="6"/>
        <v>BTBA400069</v>
      </c>
      <c r="N70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70" s="54">
        <f ca="1">IFERROR(Table4[[#This Row],[Expected_Demand_During_Lead_Time]]+Table4[[#This Row],[Safety_Stock]],"")</f>
        <v>0</v>
      </c>
      <c r="P70" s="54">
        <f ca="1">IFERROR(Table4[[#This Row],[Reorder Level]]-Table4[[#This Row],[Stock Quantity]],"")</f>
        <v>0</v>
      </c>
      <c r="Q70" s="54">
        <f ca="1">IFERROR(Table4[[#This Row],[Reorder Level]]+Table4[[#This Row],[Safety_Stock]]+Table4[[#This Row],[Expected_Demand_During_Lead_Time]],"")</f>
        <v>0</v>
      </c>
      <c r="R70" s="53" t="s">
        <v>122</v>
      </c>
      <c r="S70" s="53" t="s">
        <v>531</v>
      </c>
      <c r="T70" s="53">
        <v>15</v>
      </c>
      <c r="U70" s="53">
        <v>899</v>
      </c>
      <c r="V70" s="54">
        <f>(Table4[[#This Row],[MRP]]-Table4[[#This Row],[Selling Price]])/Table4[[#This Row],[MRP]]*100</f>
        <v>50.055617352614014</v>
      </c>
      <c r="W70" s="57">
        <v>330</v>
      </c>
      <c r="X70" s="57" t="s">
        <v>547</v>
      </c>
      <c r="Y70" s="54">
        <v>18</v>
      </c>
      <c r="Z70" s="54">
        <f>(Table4[[#This Row],[Cost Before Tax]]*Table4[[#This Row],[Tax Rate (%)]])/100+Table4[[#This Row],[Cost Before Tax]]</f>
        <v>389.4</v>
      </c>
      <c r="AA70" s="54">
        <f>4*Table4[[#This Row],[Cost After Tax]]</f>
        <v>1557.6</v>
      </c>
      <c r="AB70" s="54">
        <f>IFERROR((Table4[[#This Row],[Selling Price]]-Table4[[#This Row],[Cost After Tax]])/Table4[[#This Row],[Selling Price]]*100,"")</f>
        <v>13.273942093541208</v>
      </c>
      <c r="AC70" s="54">
        <f>Table4[[#This Row],[Selling Price]]-Table4[[#This Row],[Cost After Tax]]</f>
        <v>59.600000000000023</v>
      </c>
      <c r="AD70" s="57">
        <v>449</v>
      </c>
      <c r="AE70" s="57"/>
      <c r="AF70" s="57"/>
      <c r="AG70" s="57" t="s">
        <v>574</v>
      </c>
      <c r="AH70" s="57" t="s">
        <v>832</v>
      </c>
      <c r="AI70" s="57" t="s">
        <v>833</v>
      </c>
      <c r="AJ70" s="57" t="s">
        <v>577</v>
      </c>
      <c r="AK70" s="57" t="s">
        <v>834</v>
      </c>
      <c r="AL70" s="57"/>
      <c r="AM70" s="57"/>
      <c r="AN70" s="57"/>
      <c r="AO70" s="62" t="str">
        <f>IFERROR(MAX(IF((sales[Product_ID]=Table4[[#This Row],[Product_ID]])*(sales[Sales Status]="Confirmed"),sales[Invoice Date])),"")</f>
        <v/>
      </c>
      <c r="AP70" s="62">
        <v>45786</v>
      </c>
      <c r="AQ70" s="62">
        <v>45786</v>
      </c>
      <c r="AR70" s="57" t="s">
        <v>178</v>
      </c>
      <c r="AS70" s="57" t="s">
        <v>121</v>
      </c>
      <c r="AT70" s="57"/>
      <c r="AU70" s="57"/>
      <c r="AV70" s="57" t="s">
        <v>542</v>
      </c>
      <c r="AW70" s="57" t="s">
        <v>122</v>
      </c>
      <c r="AX70" s="57" t="s">
        <v>57</v>
      </c>
      <c r="AY70" s="57"/>
      <c r="AZ70" s="54">
        <f ca="1">SUMIFS(sales[Quantity Sold],sales[Product_ID],Table4[[#This Row],[Product_ID]],sales[Invoice Date],"&gt;="&amp;TODAY()-30)</f>
        <v>0</v>
      </c>
      <c r="BA70" s="49">
        <v>7</v>
      </c>
      <c r="BB70" s="54">
        <f ca="1">IF(Table4[[#This Row],[Demand_Last_30_Days]]=0,0,Table4[[#This Row],[Demand_Last_30_Days]]/30)</f>
        <v>0</v>
      </c>
      <c r="BC70" s="57"/>
      <c r="BD70" s="54">
        <f ca="1">Table4[[#This Row],[Average_Daily_Usage]]*Table4[[#This Row],[Buffer_Days]]</f>
        <v>0</v>
      </c>
      <c r="BE70" s="54">
        <f ca="1">IFERROR(Table4[[#This Row],[Average_Daily_Usage]]*Table4[[#This Row],[Lead_Time_Days]],"")</f>
        <v>0</v>
      </c>
      <c r="BF70" s="58" t="str">
        <f>IFERROR(MAX(IF(sales[Product_ID]=Table4[Product_ID],sales[Quantity Sold])),"")</f>
        <v/>
      </c>
      <c r="BG70" s="58" t="str">
        <f>IFERROR(MAX(IF(purchase[Received Date]-purchase[Purchase Date],purchase[Product_ID],Table4[Product_ID])),"")</f>
        <v/>
      </c>
      <c r="BH70" s="58" t="str">
        <f>IFERROR(AVERAGEIFS(sales[Quantity Sold],sales[Product_ID],Table4[Product_ID]),"")</f>
        <v/>
      </c>
      <c r="BI70" s="61" t="str">
        <f>IFERROR(AVERAGEIFS(purchase[Lead Time (Days)],purchase[Product_ID],Table4[Product_ID]),"")</f>
        <v/>
      </c>
    </row>
    <row r="71" spans="4:61" x14ac:dyDescent="0.4">
      <c r="D71" s="53" t="str">
        <f t="shared" si="5"/>
        <v>PROD0066</v>
      </c>
      <c r="E71" s="53"/>
      <c r="F71" s="53" t="s">
        <v>850</v>
      </c>
      <c r="G71" s="53" t="s">
        <v>871</v>
      </c>
      <c r="H71" s="53" t="str">
        <f>IFERROR(VLOOKUP(Table4[[#This Row],[Product_ID]],Table410[#All],2,0),"")</f>
        <v>PRODCAT0048</v>
      </c>
      <c r="I71" s="53" t="s">
        <v>719</v>
      </c>
      <c r="J71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PRODCAT0048PROD0066IHC0001SKU</v>
      </c>
      <c r="K71" s="53"/>
      <c r="L71" s="53" t="str">
        <f>IF(COUNTIF($L$1:L66, TEXT(ROW()-1,"0000000000"))=0, TEXT(ROW()-1,"0000000000"), "Duplicate Found")</f>
        <v>0000000070</v>
      </c>
      <c r="M71" s="53" t="str">
        <f t="shared" si="6"/>
        <v>BTBA400070</v>
      </c>
      <c r="N71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71" s="54">
        <f ca="1">IFERROR(Table4[[#This Row],[Expected_Demand_During_Lead_Time]]+Table4[[#This Row],[Safety_Stock]],"")</f>
        <v>0</v>
      </c>
      <c r="P71" s="54">
        <f ca="1">IFERROR(Table4[[#This Row],[Reorder Level]]-Table4[[#This Row],[Stock Quantity]],"")</f>
        <v>0</v>
      </c>
      <c r="Q71" s="54">
        <f ca="1">IFERROR(Table4[[#This Row],[Reorder Level]]+Table4[[#This Row],[Safety_Stock]]+Table4[[#This Row],[Expected_Demand_During_Lead_Time]],"")</f>
        <v>0</v>
      </c>
      <c r="R71" s="53" t="s">
        <v>122</v>
      </c>
      <c r="S71" s="53" t="s">
        <v>531</v>
      </c>
      <c r="T71" s="53">
        <v>15</v>
      </c>
      <c r="U71" s="53">
        <v>899</v>
      </c>
      <c r="V71" s="54">
        <f>(Table4[[#This Row],[MRP]]-Table4[[#This Row],[Selling Price]])/Table4[[#This Row],[MRP]]*100</f>
        <v>50.055617352614014</v>
      </c>
      <c r="W71" s="57">
        <v>330</v>
      </c>
      <c r="X71" s="57" t="s">
        <v>547</v>
      </c>
      <c r="Y71" s="54">
        <v>18</v>
      </c>
      <c r="Z71" s="54">
        <f>(Table4[[#This Row],[Cost Before Tax]]*Table4[[#This Row],[Tax Rate (%)]])/100+Table4[[#This Row],[Cost Before Tax]]</f>
        <v>389.4</v>
      </c>
      <c r="AA71" s="54">
        <f>4*Table4[[#This Row],[Cost After Tax]]</f>
        <v>1557.6</v>
      </c>
      <c r="AB71" s="54">
        <f>IFERROR((Table4[[#This Row],[Selling Price]]-Table4[[#This Row],[Cost After Tax]])/Table4[[#This Row],[Selling Price]]*100,"")</f>
        <v>13.273942093541208</v>
      </c>
      <c r="AC71" s="54">
        <f>Table4[[#This Row],[Selling Price]]-Table4[[#This Row],[Cost After Tax]]</f>
        <v>59.600000000000023</v>
      </c>
      <c r="AD71" s="57">
        <v>449</v>
      </c>
      <c r="AE71" s="57"/>
      <c r="AF71" s="57"/>
      <c r="AG71" s="57" t="s">
        <v>574</v>
      </c>
      <c r="AH71" s="57" t="s">
        <v>832</v>
      </c>
      <c r="AI71" s="57" t="s">
        <v>833</v>
      </c>
      <c r="AJ71" s="57" t="s">
        <v>577</v>
      </c>
      <c r="AK71" s="57" t="s">
        <v>834</v>
      </c>
      <c r="AL71" s="57"/>
      <c r="AM71" s="57"/>
      <c r="AN71" s="57"/>
      <c r="AO71" s="62" t="str">
        <f>IFERROR(MAX(IF((sales[Product_ID]=Table4[[#This Row],[Product_ID]])*(sales[Sales Status]="Confirmed"),sales[Invoice Date])),"")</f>
        <v/>
      </c>
      <c r="AP71" s="62">
        <v>45786</v>
      </c>
      <c r="AQ71" s="62">
        <v>45786</v>
      </c>
      <c r="AR71" s="57" t="s">
        <v>178</v>
      </c>
      <c r="AS71" s="57" t="s">
        <v>121</v>
      </c>
      <c r="AT71" s="57"/>
      <c r="AU71" s="57"/>
      <c r="AV71" s="57" t="s">
        <v>542</v>
      </c>
      <c r="AW71" s="57" t="s">
        <v>122</v>
      </c>
      <c r="AX71" s="57" t="s">
        <v>57</v>
      </c>
      <c r="AY71" s="57"/>
      <c r="AZ71" s="54">
        <f ca="1">SUMIFS(sales[Quantity Sold],sales[Product_ID],Table4[[#This Row],[Product_ID]],sales[Invoice Date],"&gt;="&amp;TODAY()-30)</f>
        <v>0</v>
      </c>
      <c r="BA71" s="49">
        <v>7</v>
      </c>
      <c r="BB71" s="54">
        <f ca="1">IF(Table4[[#This Row],[Demand_Last_30_Days]]=0,0,Table4[[#This Row],[Demand_Last_30_Days]]/30)</f>
        <v>0</v>
      </c>
      <c r="BC71" s="57"/>
      <c r="BD71" s="54">
        <f ca="1">Table4[[#This Row],[Average_Daily_Usage]]*Table4[[#This Row],[Buffer_Days]]</f>
        <v>0</v>
      </c>
      <c r="BE71" s="54">
        <f ca="1">IFERROR(Table4[[#This Row],[Average_Daily_Usage]]*Table4[[#This Row],[Lead_Time_Days]],"")</f>
        <v>0</v>
      </c>
      <c r="BF71" s="58" t="str">
        <f>IFERROR(MAX(IF(sales[Product_ID]=Table4[Product_ID],sales[Quantity Sold])),"")</f>
        <v/>
      </c>
      <c r="BG71" s="58" t="str">
        <f>IFERROR(MAX(IF(purchase[Received Date]-purchase[Purchase Date],purchase[Product_ID],Table4[Product_ID])),"")</f>
        <v/>
      </c>
      <c r="BH71" s="58" t="str">
        <f>IFERROR(AVERAGEIFS(sales[Quantity Sold],sales[Product_ID],Table4[Product_ID]),"")</f>
        <v/>
      </c>
      <c r="BI71" s="61" t="str">
        <f>IFERROR(AVERAGEIFS(purchase[Lead Time (Days)],purchase[Product_ID],Table4[Product_ID]),"")</f>
        <v/>
      </c>
    </row>
    <row r="72" spans="4:61" x14ac:dyDescent="0.4">
      <c r="D72" s="53" t="str">
        <f t="shared" si="5"/>
        <v>PROD0067</v>
      </c>
      <c r="E72" s="53"/>
      <c r="F72" s="53" t="s">
        <v>851</v>
      </c>
      <c r="G72" s="53" t="s">
        <v>872</v>
      </c>
      <c r="H72" s="53" t="str">
        <f>IFERROR(VLOOKUP(Table4[[#This Row],[Product_ID]],Table410[#All],2,0),"")</f>
        <v>PRODCAT0048</v>
      </c>
      <c r="I72" s="53" t="s">
        <v>719</v>
      </c>
      <c r="J72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PRODCAT0048PROD0067IHC0001SKU</v>
      </c>
      <c r="K72" s="53"/>
      <c r="L72" s="53" t="str">
        <f>IF(COUNTIF($L$1:L67, TEXT(ROW()-1,"0000000000"))=0, TEXT(ROW()-1,"0000000000"), "Duplicate Found")</f>
        <v>0000000071</v>
      </c>
      <c r="M72" s="53" t="str">
        <f t="shared" si="6"/>
        <v>BTBA400071</v>
      </c>
      <c r="N72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72" s="54">
        <f ca="1">IFERROR(Table4[[#This Row],[Expected_Demand_During_Lead_Time]]+Table4[[#This Row],[Safety_Stock]],"")</f>
        <v>0</v>
      </c>
      <c r="P72" s="54">
        <f ca="1">IFERROR(Table4[[#This Row],[Reorder Level]]-Table4[[#This Row],[Stock Quantity]],"")</f>
        <v>0</v>
      </c>
      <c r="Q72" s="54">
        <f ca="1">IFERROR(Table4[[#This Row],[Reorder Level]]+Table4[[#This Row],[Safety_Stock]]+Table4[[#This Row],[Expected_Demand_During_Lead_Time]],"")</f>
        <v>0</v>
      </c>
      <c r="R72" s="53" t="s">
        <v>122</v>
      </c>
      <c r="S72" s="53" t="s">
        <v>531</v>
      </c>
      <c r="T72" s="53">
        <v>15</v>
      </c>
      <c r="U72" s="53">
        <v>899</v>
      </c>
      <c r="V72" s="54">
        <f>(Table4[[#This Row],[MRP]]-Table4[[#This Row],[Selling Price]])/Table4[[#This Row],[MRP]]*100</f>
        <v>50.055617352614014</v>
      </c>
      <c r="W72" s="57">
        <v>330</v>
      </c>
      <c r="X72" s="57" t="s">
        <v>547</v>
      </c>
      <c r="Y72" s="54">
        <v>18</v>
      </c>
      <c r="Z72" s="54">
        <f>(Table4[[#This Row],[Cost Before Tax]]*Table4[[#This Row],[Tax Rate (%)]])/100+Table4[[#This Row],[Cost Before Tax]]</f>
        <v>389.4</v>
      </c>
      <c r="AA72" s="54">
        <f>4*Table4[[#This Row],[Cost After Tax]]</f>
        <v>1557.6</v>
      </c>
      <c r="AB72" s="54">
        <f>IFERROR((Table4[[#This Row],[Selling Price]]-Table4[[#This Row],[Cost After Tax]])/Table4[[#This Row],[Selling Price]]*100,"")</f>
        <v>13.273942093541208</v>
      </c>
      <c r="AC72" s="54">
        <f>Table4[[#This Row],[Selling Price]]-Table4[[#This Row],[Cost After Tax]]</f>
        <v>59.600000000000023</v>
      </c>
      <c r="AD72" s="57">
        <v>449</v>
      </c>
      <c r="AE72" s="57"/>
      <c r="AF72" s="57"/>
      <c r="AG72" s="57" t="s">
        <v>574</v>
      </c>
      <c r="AH72" s="57" t="s">
        <v>832</v>
      </c>
      <c r="AI72" s="57" t="s">
        <v>833</v>
      </c>
      <c r="AJ72" s="57" t="s">
        <v>577</v>
      </c>
      <c r="AK72" s="57" t="s">
        <v>834</v>
      </c>
      <c r="AL72" s="57"/>
      <c r="AM72" s="57"/>
      <c r="AN72" s="57"/>
      <c r="AO72" s="62" t="str">
        <f>IFERROR(MAX(IF((sales[Product_ID]=Table4[[#This Row],[Product_ID]])*(sales[Sales Status]="Confirmed"),sales[Invoice Date])),"")</f>
        <v/>
      </c>
      <c r="AP72" s="62">
        <v>45786</v>
      </c>
      <c r="AQ72" s="62">
        <v>45786</v>
      </c>
      <c r="AR72" s="57" t="s">
        <v>178</v>
      </c>
      <c r="AS72" s="57" t="s">
        <v>121</v>
      </c>
      <c r="AT72" s="57"/>
      <c r="AU72" s="57"/>
      <c r="AV72" s="57" t="s">
        <v>542</v>
      </c>
      <c r="AW72" s="57" t="s">
        <v>122</v>
      </c>
      <c r="AX72" s="57" t="s">
        <v>57</v>
      </c>
      <c r="AY72" s="57"/>
      <c r="AZ72" s="54">
        <f ca="1">SUMIFS(sales[Quantity Sold],sales[Product_ID],Table4[[#This Row],[Product_ID]],sales[Invoice Date],"&gt;="&amp;TODAY()-30)</f>
        <v>0</v>
      </c>
      <c r="BA72" s="49">
        <v>7</v>
      </c>
      <c r="BB72" s="54">
        <f ca="1">IF(Table4[[#This Row],[Demand_Last_30_Days]]=0,0,Table4[[#This Row],[Demand_Last_30_Days]]/30)</f>
        <v>0</v>
      </c>
      <c r="BC72" s="57"/>
      <c r="BD72" s="54">
        <f ca="1">Table4[[#This Row],[Average_Daily_Usage]]*Table4[[#This Row],[Buffer_Days]]</f>
        <v>0</v>
      </c>
      <c r="BE72" s="54">
        <f ca="1">IFERROR(Table4[[#This Row],[Average_Daily_Usage]]*Table4[[#This Row],[Lead_Time_Days]],"")</f>
        <v>0</v>
      </c>
      <c r="BF72" s="58" t="str">
        <f>IFERROR(MAX(IF(sales[Product_ID]=Table4[Product_ID],sales[Quantity Sold])),"")</f>
        <v/>
      </c>
      <c r="BG72" s="58" t="str">
        <f>IFERROR(MAX(IF(purchase[Received Date]-purchase[Purchase Date],purchase[Product_ID],Table4[Product_ID])),"")</f>
        <v/>
      </c>
      <c r="BH72" s="58" t="str">
        <f>IFERROR(AVERAGEIFS(sales[Quantity Sold],sales[Product_ID],Table4[Product_ID]),"")</f>
        <v/>
      </c>
      <c r="BI72" s="61" t="str">
        <f>IFERROR(AVERAGEIFS(purchase[Lead Time (Days)],purchase[Product_ID],Table4[Product_ID]),"")</f>
        <v/>
      </c>
    </row>
    <row r="73" spans="4:61" x14ac:dyDescent="0.4">
      <c r="D73" s="53" t="str">
        <f t="shared" ref="D73:D78" si="7">"PROD" &amp; TEXT(ROW()-5, "0000")</f>
        <v>PROD0068</v>
      </c>
      <c r="E73" s="53"/>
      <c r="F73" s="53" t="s">
        <v>852</v>
      </c>
      <c r="G73" s="53" t="s">
        <v>873</v>
      </c>
      <c r="H73" s="53" t="str">
        <f>IFERROR(VLOOKUP(Table4[[#This Row],[Product_ID]],Table410[#All],2,0),"")</f>
        <v>PRODCAT0048</v>
      </c>
      <c r="I73" s="53" t="s">
        <v>719</v>
      </c>
      <c r="J73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PRODCAT0048PROD0068IHC0001SKU</v>
      </c>
      <c r="K73" s="53"/>
      <c r="L73" s="53" t="str">
        <f>IF(COUNTIF($L$1:L68, TEXT(ROW()-1,"0000000000"))=0, TEXT(ROW()-1,"0000000000"), "Duplicate Found")</f>
        <v>0000000072</v>
      </c>
      <c r="M73" s="53" t="str">
        <f t="shared" ref="M73:M78" si="8">"BTBA4" &amp; TEXT(ROW()-1,"00000")</f>
        <v>BTBA400072</v>
      </c>
      <c r="N73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73" s="54">
        <f ca="1">IFERROR(Table4[[#This Row],[Expected_Demand_During_Lead_Time]]+Table4[[#This Row],[Safety_Stock]],"")</f>
        <v>0</v>
      </c>
      <c r="P73" s="54">
        <f ca="1">IFERROR(Table4[[#This Row],[Reorder Level]]-Table4[[#This Row],[Stock Quantity]],"")</f>
        <v>0</v>
      </c>
      <c r="Q73" s="54">
        <f ca="1">IFERROR(Table4[[#This Row],[Reorder Level]]+Table4[[#This Row],[Safety_Stock]]+Table4[[#This Row],[Expected_Demand_During_Lead_Time]],"")</f>
        <v>0</v>
      </c>
      <c r="R73" s="53" t="s">
        <v>122</v>
      </c>
      <c r="S73" s="53" t="s">
        <v>531</v>
      </c>
      <c r="T73" s="53">
        <v>15</v>
      </c>
      <c r="U73" s="53">
        <v>899</v>
      </c>
      <c r="V73" s="54">
        <f>(Table4[[#This Row],[MRP]]-Table4[[#This Row],[Selling Price]])/Table4[[#This Row],[MRP]]*100</f>
        <v>50.055617352614014</v>
      </c>
      <c r="W73" s="57">
        <v>330</v>
      </c>
      <c r="X73" s="57" t="s">
        <v>547</v>
      </c>
      <c r="Y73" s="54">
        <v>18</v>
      </c>
      <c r="Z73" s="54">
        <f>(Table4[[#This Row],[Cost Before Tax]]*Table4[[#This Row],[Tax Rate (%)]])/100+Table4[[#This Row],[Cost Before Tax]]</f>
        <v>389.4</v>
      </c>
      <c r="AA73" s="54">
        <f>4*Table4[[#This Row],[Cost After Tax]]</f>
        <v>1557.6</v>
      </c>
      <c r="AB73" s="54">
        <f>IFERROR((Table4[[#This Row],[Selling Price]]-Table4[[#This Row],[Cost After Tax]])/Table4[[#This Row],[Selling Price]]*100,"")</f>
        <v>13.273942093541208</v>
      </c>
      <c r="AC73" s="54">
        <f>Table4[[#This Row],[Selling Price]]-Table4[[#This Row],[Cost After Tax]]</f>
        <v>59.600000000000023</v>
      </c>
      <c r="AD73" s="57">
        <v>449</v>
      </c>
      <c r="AE73" s="57"/>
      <c r="AF73" s="57"/>
      <c r="AG73" s="57" t="s">
        <v>574</v>
      </c>
      <c r="AH73" s="57" t="s">
        <v>832</v>
      </c>
      <c r="AI73" s="57" t="s">
        <v>833</v>
      </c>
      <c r="AJ73" s="57" t="s">
        <v>577</v>
      </c>
      <c r="AK73" s="57" t="s">
        <v>834</v>
      </c>
      <c r="AL73" s="57"/>
      <c r="AM73" s="57"/>
      <c r="AN73" s="57"/>
      <c r="AO73" s="62" t="str">
        <f>IFERROR(MAX(IF((sales[Product_ID]=Table4[[#This Row],[Product_ID]])*(sales[Sales Status]="Confirmed"),sales[Invoice Date])),"")</f>
        <v/>
      </c>
      <c r="AP73" s="62">
        <v>45786</v>
      </c>
      <c r="AQ73" s="62">
        <v>45786</v>
      </c>
      <c r="AR73" s="57" t="s">
        <v>178</v>
      </c>
      <c r="AS73" s="57" t="s">
        <v>121</v>
      </c>
      <c r="AT73" s="57"/>
      <c r="AU73" s="57"/>
      <c r="AV73" s="57" t="s">
        <v>542</v>
      </c>
      <c r="AW73" s="57" t="s">
        <v>122</v>
      </c>
      <c r="AX73" s="57" t="s">
        <v>57</v>
      </c>
      <c r="AY73" s="57"/>
      <c r="AZ73" s="54">
        <f ca="1">SUMIFS(sales[Quantity Sold],sales[Product_ID],Table4[[#This Row],[Product_ID]],sales[Invoice Date],"&gt;="&amp;TODAY()-30)</f>
        <v>0</v>
      </c>
      <c r="BA73" s="49">
        <v>7</v>
      </c>
      <c r="BB73" s="54">
        <f ca="1">IF(Table4[[#This Row],[Demand_Last_30_Days]]=0,0,Table4[[#This Row],[Demand_Last_30_Days]]/30)</f>
        <v>0</v>
      </c>
      <c r="BC73" s="57"/>
      <c r="BD73" s="54">
        <f ca="1">Table4[[#This Row],[Average_Daily_Usage]]*Table4[[#This Row],[Buffer_Days]]</f>
        <v>0</v>
      </c>
      <c r="BE73" s="54">
        <f ca="1">IFERROR(Table4[[#This Row],[Average_Daily_Usage]]*Table4[[#This Row],[Lead_Time_Days]],"")</f>
        <v>0</v>
      </c>
      <c r="BF73" s="58" t="str">
        <f>IFERROR(MAX(IF(sales[Product_ID]=Table4[Product_ID],sales[Quantity Sold])),"")</f>
        <v/>
      </c>
      <c r="BG73" s="58" t="str">
        <f>IFERROR(MAX(IF(purchase[Received Date]-purchase[Purchase Date],purchase[Product_ID],Table4[Product_ID])),"")</f>
        <v/>
      </c>
      <c r="BH73" s="58" t="str">
        <f>IFERROR(AVERAGEIFS(sales[Quantity Sold],sales[Product_ID],Table4[Product_ID]),"")</f>
        <v/>
      </c>
      <c r="BI73" s="61" t="str">
        <f>IFERROR(AVERAGEIFS(purchase[Lead Time (Days)],purchase[Product_ID],Table4[Product_ID]),"")</f>
        <v/>
      </c>
    </row>
    <row r="74" spans="4:61" x14ac:dyDescent="0.4">
      <c r="D74" s="53" t="str">
        <f t="shared" si="7"/>
        <v>PROD0069</v>
      </c>
      <c r="E74" s="53"/>
      <c r="F74" s="53" t="s">
        <v>853</v>
      </c>
      <c r="G74" s="53" t="s">
        <v>874</v>
      </c>
      <c r="H74" s="53" t="str">
        <f>IFERROR(VLOOKUP(Table4[[#This Row],[Product_ID]],Table410[#All],2,0),"")</f>
        <v>PRODCAT0048</v>
      </c>
      <c r="I74" s="53" t="s">
        <v>719</v>
      </c>
      <c r="J74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PRODCAT0048PROD0069IHC0001SKU</v>
      </c>
      <c r="K74" s="53"/>
      <c r="L74" s="53" t="str">
        <f>IF(COUNTIF($L$1:L69, TEXT(ROW()-1,"0000000000"))=0, TEXT(ROW()-1,"0000000000"), "Duplicate Found")</f>
        <v>0000000073</v>
      </c>
      <c r="M74" s="53" t="str">
        <f t="shared" si="8"/>
        <v>BTBA400073</v>
      </c>
      <c r="N74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74" s="54">
        <f ca="1">IFERROR(Table4[[#This Row],[Expected_Demand_During_Lead_Time]]+Table4[[#This Row],[Safety_Stock]],"")</f>
        <v>0</v>
      </c>
      <c r="P74" s="54">
        <f ca="1">IFERROR(Table4[[#This Row],[Reorder Level]]-Table4[[#This Row],[Stock Quantity]],"")</f>
        <v>0</v>
      </c>
      <c r="Q74" s="54">
        <f ca="1">IFERROR(Table4[[#This Row],[Reorder Level]]+Table4[[#This Row],[Safety_Stock]]+Table4[[#This Row],[Expected_Demand_During_Lead_Time]],"")</f>
        <v>0</v>
      </c>
      <c r="R74" s="53" t="s">
        <v>122</v>
      </c>
      <c r="S74" s="53" t="s">
        <v>531</v>
      </c>
      <c r="T74" s="53">
        <v>15</v>
      </c>
      <c r="U74" s="53">
        <v>899</v>
      </c>
      <c r="V74" s="54">
        <f>(Table4[[#This Row],[MRP]]-Table4[[#This Row],[Selling Price]])/Table4[[#This Row],[MRP]]*100</f>
        <v>50.055617352614014</v>
      </c>
      <c r="W74" s="57">
        <v>330</v>
      </c>
      <c r="X74" s="57" t="s">
        <v>547</v>
      </c>
      <c r="Y74" s="54">
        <v>18</v>
      </c>
      <c r="Z74" s="54">
        <f>(Table4[[#This Row],[Cost Before Tax]]*Table4[[#This Row],[Tax Rate (%)]])/100+Table4[[#This Row],[Cost Before Tax]]</f>
        <v>389.4</v>
      </c>
      <c r="AA74" s="54">
        <f>4*Table4[[#This Row],[Cost After Tax]]</f>
        <v>1557.6</v>
      </c>
      <c r="AB74" s="54">
        <f>IFERROR((Table4[[#This Row],[Selling Price]]-Table4[[#This Row],[Cost After Tax]])/Table4[[#This Row],[Selling Price]]*100,"")</f>
        <v>13.273942093541208</v>
      </c>
      <c r="AC74" s="54">
        <f>Table4[[#This Row],[Selling Price]]-Table4[[#This Row],[Cost After Tax]]</f>
        <v>59.600000000000023</v>
      </c>
      <c r="AD74" s="57">
        <v>449</v>
      </c>
      <c r="AE74" s="57"/>
      <c r="AF74" s="57"/>
      <c r="AG74" s="57" t="s">
        <v>574</v>
      </c>
      <c r="AH74" s="57" t="s">
        <v>832</v>
      </c>
      <c r="AI74" s="57" t="s">
        <v>833</v>
      </c>
      <c r="AJ74" s="57" t="s">
        <v>577</v>
      </c>
      <c r="AK74" s="57" t="s">
        <v>834</v>
      </c>
      <c r="AL74" s="57"/>
      <c r="AM74" s="57"/>
      <c r="AN74" s="57"/>
      <c r="AO74" s="62" t="str">
        <f>IFERROR(MAX(IF((sales[Product_ID]=Table4[[#This Row],[Product_ID]])*(sales[Sales Status]="Confirmed"),sales[Invoice Date])),"")</f>
        <v/>
      </c>
      <c r="AP74" s="62">
        <v>45786</v>
      </c>
      <c r="AQ74" s="62">
        <v>45786</v>
      </c>
      <c r="AR74" s="57" t="s">
        <v>178</v>
      </c>
      <c r="AS74" s="57" t="s">
        <v>121</v>
      </c>
      <c r="AT74" s="57"/>
      <c r="AU74" s="57"/>
      <c r="AV74" s="57" t="s">
        <v>542</v>
      </c>
      <c r="AW74" s="57" t="s">
        <v>122</v>
      </c>
      <c r="AX74" s="57" t="s">
        <v>57</v>
      </c>
      <c r="AY74" s="57"/>
      <c r="AZ74" s="54">
        <f ca="1">SUMIFS(sales[Quantity Sold],sales[Product_ID],Table4[[#This Row],[Product_ID]],sales[Invoice Date],"&gt;="&amp;TODAY()-30)</f>
        <v>0</v>
      </c>
      <c r="BA74" s="49">
        <v>7</v>
      </c>
      <c r="BB74" s="54">
        <f ca="1">IF(Table4[[#This Row],[Demand_Last_30_Days]]=0,0,Table4[[#This Row],[Demand_Last_30_Days]]/30)</f>
        <v>0</v>
      </c>
      <c r="BC74" s="57"/>
      <c r="BD74" s="54">
        <f ca="1">Table4[[#This Row],[Average_Daily_Usage]]*Table4[[#This Row],[Buffer_Days]]</f>
        <v>0</v>
      </c>
      <c r="BE74" s="54">
        <f ca="1">IFERROR(Table4[[#This Row],[Average_Daily_Usage]]*Table4[[#This Row],[Lead_Time_Days]],"")</f>
        <v>0</v>
      </c>
      <c r="BF74" s="58" t="str">
        <f>IFERROR(MAX(IF(sales[Product_ID]=Table4[Product_ID],sales[Quantity Sold])),"")</f>
        <v/>
      </c>
      <c r="BG74" s="58" t="str">
        <f>IFERROR(MAX(IF(purchase[Received Date]-purchase[Purchase Date],purchase[Product_ID],Table4[Product_ID])),"")</f>
        <v/>
      </c>
      <c r="BH74" s="58" t="str">
        <f>IFERROR(AVERAGEIFS(sales[Quantity Sold],sales[Product_ID],Table4[Product_ID]),"")</f>
        <v/>
      </c>
      <c r="BI74" s="61" t="str">
        <f>IFERROR(AVERAGEIFS(purchase[Lead Time (Days)],purchase[Product_ID],Table4[Product_ID]),"")</f>
        <v/>
      </c>
    </row>
    <row r="75" spans="4:61" x14ac:dyDescent="0.4">
      <c r="D75" s="53" t="str">
        <f t="shared" si="7"/>
        <v>PROD0070</v>
      </c>
      <c r="E75" s="53"/>
      <c r="F75" s="53" t="s">
        <v>854</v>
      </c>
      <c r="G75" s="53" t="s">
        <v>875</v>
      </c>
      <c r="H75" s="53" t="str">
        <f>IFERROR(VLOOKUP(Table4[[#This Row],[Product_ID]],Table410[#All],2,0),"")</f>
        <v>PRODCAT0048</v>
      </c>
      <c r="I75" s="53" t="s">
        <v>719</v>
      </c>
      <c r="J75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PRODCAT0048PROD0070IHC0001SKU</v>
      </c>
      <c r="K75" s="53"/>
      <c r="L75" s="53" t="str">
        <f>IF(COUNTIF($L$1:L70, TEXT(ROW()-1,"0000000000"))=0, TEXT(ROW()-1,"0000000000"), "Duplicate Found")</f>
        <v>0000000074</v>
      </c>
      <c r="M75" s="53" t="str">
        <f t="shared" si="8"/>
        <v>BTBA400074</v>
      </c>
      <c r="N75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75" s="54">
        <f ca="1">IFERROR(Table4[[#This Row],[Expected_Demand_During_Lead_Time]]+Table4[[#This Row],[Safety_Stock]],"")</f>
        <v>0</v>
      </c>
      <c r="P75" s="54">
        <f ca="1">IFERROR(Table4[[#This Row],[Reorder Level]]-Table4[[#This Row],[Stock Quantity]],"")</f>
        <v>0</v>
      </c>
      <c r="Q75" s="54">
        <f ca="1">IFERROR(Table4[[#This Row],[Reorder Level]]+Table4[[#This Row],[Safety_Stock]]+Table4[[#This Row],[Expected_Demand_During_Lead_Time]],"")</f>
        <v>0</v>
      </c>
      <c r="R75" s="53" t="s">
        <v>122</v>
      </c>
      <c r="S75" s="53" t="s">
        <v>531</v>
      </c>
      <c r="T75" s="53">
        <v>15</v>
      </c>
      <c r="U75" s="53">
        <v>899</v>
      </c>
      <c r="V75" s="54">
        <f>(Table4[[#This Row],[MRP]]-Table4[[#This Row],[Selling Price]])/Table4[[#This Row],[MRP]]*100</f>
        <v>50.055617352614014</v>
      </c>
      <c r="W75" s="57">
        <v>330</v>
      </c>
      <c r="X75" s="57" t="s">
        <v>547</v>
      </c>
      <c r="Y75" s="54">
        <v>18</v>
      </c>
      <c r="Z75" s="54">
        <f>(Table4[[#This Row],[Cost Before Tax]]*Table4[[#This Row],[Tax Rate (%)]])/100+Table4[[#This Row],[Cost Before Tax]]</f>
        <v>389.4</v>
      </c>
      <c r="AA75" s="54">
        <f>4*Table4[[#This Row],[Cost After Tax]]</f>
        <v>1557.6</v>
      </c>
      <c r="AB75" s="54">
        <f>IFERROR((Table4[[#This Row],[Selling Price]]-Table4[[#This Row],[Cost After Tax]])/Table4[[#This Row],[Selling Price]]*100,"")</f>
        <v>13.273942093541208</v>
      </c>
      <c r="AC75" s="54">
        <f>Table4[[#This Row],[Selling Price]]-Table4[[#This Row],[Cost After Tax]]</f>
        <v>59.600000000000023</v>
      </c>
      <c r="AD75" s="57">
        <v>449</v>
      </c>
      <c r="AE75" s="57"/>
      <c r="AF75" s="57"/>
      <c r="AG75" s="57" t="s">
        <v>574</v>
      </c>
      <c r="AH75" s="57" t="s">
        <v>832</v>
      </c>
      <c r="AI75" s="57" t="s">
        <v>833</v>
      </c>
      <c r="AJ75" s="57" t="s">
        <v>577</v>
      </c>
      <c r="AK75" s="57" t="s">
        <v>834</v>
      </c>
      <c r="AL75" s="57"/>
      <c r="AM75" s="57"/>
      <c r="AN75" s="57"/>
      <c r="AO75" s="62" t="str">
        <f>IFERROR(MAX(IF((sales[Product_ID]=Table4[[#This Row],[Product_ID]])*(sales[Sales Status]="Confirmed"),sales[Invoice Date])),"")</f>
        <v/>
      </c>
      <c r="AP75" s="62">
        <v>45786</v>
      </c>
      <c r="AQ75" s="62">
        <v>45786</v>
      </c>
      <c r="AR75" s="57" t="s">
        <v>178</v>
      </c>
      <c r="AS75" s="57" t="s">
        <v>121</v>
      </c>
      <c r="AT75" s="57"/>
      <c r="AU75" s="57"/>
      <c r="AV75" s="57" t="s">
        <v>542</v>
      </c>
      <c r="AW75" s="57" t="s">
        <v>122</v>
      </c>
      <c r="AX75" s="57" t="s">
        <v>57</v>
      </c>
      <c r="AY75" s="57"/>
      <c r="AZ75" s="54">
        <f ca="1">SUMIFS(sales[Quantity Sold],sales[Product_ID],Table4[[#This Row],[Product_ID]],sales[Invoice Date],"&gt;="&amp;TODAY()-30)</f>
        <v>0</v>
      </c>
      <c r="BA75" s="49">
        <v>7</v>
      </c>
      <c r="BB75" s="54">
        <f ca="1">IF(Table4[[#This Row],[Demand_Last_30_Days]]=0,0,Table4[[#This Row],[Demand_Last_30_Days]]/30)</f>
        <v>0</v>
      </c>
      <c r="BC75" s="57"/>
      <c r="BD75" s="54">
        <f ca="1">Table4[[#This Row],[Average_Daily_Usage]]*Table4[[#This Row],[Buffer_Days]]</f>
        <v>0</v>
      </c>
      <c r="BE75" s="54">
        <f ca="1">IFERROR(Table4[[#This Row],[Average_Daily_Usage]]*Table4[[#This Row],[Lead_Time_Days]],"")</f>
        <v>0</v>
      </c>
      <c r="BF75" s="58" t="str">
        <f>IFERROR(MAX(IF(sales[Product_ID]=Table4[Product_ID],sales[Quantity Sold])),"")</f>
        <v/>
      </c>
      <c r="BG75" s="58" t="str">
        <f>IFERROR(MAX(IF(purchase[Received Date]-purchase[Purchase Date],purchase[Product_ID],Table4[Product_ID])),"")</f>
        <v/>
      </c>
      <c r="BH75" s="58" t="str">
        <f>IFERROR(AVERAGEIFS(sales[Quantity Sold],sales[Product_ID],Table4[Product_ID]),"")</f>
        <v/>
      </c>
      <c r="BI75" s="61" t="str">
        <f>IFERROR(AVERAGEIFS(purchase[Lead Time (Days)],purchase[Product_ID],Table4[Product_ID]),"")</f>
        <v/>
      </c>
    </row>
    <row r="76" spans="4:61" x14ac:dyDescent="0.4">
      <c r="D76" s="53" t="str">
        <f t="shared" si="7"/>
        <v>PROD0071</v>
      </c>
      <c r="E76" s="53"/>
      <c r="F76" s="53" t="s">
        <v>855</v>
      </c>
      <c r="G76" s="53" t="s">
        <v>876</v>
      </c>
      <c r="H76" s="53" t="str">
        <f>IFERROR(VLOOKUP(Table4[[#This Row],[Product_ID]],Table410[#All],2,0),"")</f>
        <v>PRODCAT0048</v>
      </c>
      <c r="I76" s="53" t="s">
        <v>719</v>
      </c>
      <c r="J76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PRODCAT0048PROD0071IHC0001SKU</v>
      </c>
      <c r="K76" s="53"/>
      <c r="L76" s="53" t="str">
        <f>IF(COUNTIF($L$1:L71, TEXT(ROW()-1,"0000000000"))=0, TEXT(ROW()-1,"0000000000"), "Duplicate Found")</f>
        <v>0000000075</v>
      </c>
      <c r="M76" s="53" t="str">
        <f t="shared" si="8"/>
        <v>BTBA400075</v>
      </c>
      <c r="N76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76" s="54">
        <f ca="1">IFERROR(Table4[[#This Row],[Expected_Demand_During_Lead_Time]]+Table4[[#This Row],[Safety_Stock]],"")</f>
        <v>0</v>
      </c>
      <c r="P76" s="54">
        <f ca="1">IFERROR(Table4[[#This Row],[Reorder Level]]-Table4[[#This Row],[Stock Quantity]],"")</f>
        <v>0</v>
      </c>
      <c r="Q76" s="54">
        <f ca="1">IFERROR(Table4[[#This Row],[Reorder Level]]+Table4[[#This Row],[Safety_Stock]]+Table4[[#This Row],[Expected_Demand_During_Lead_Time]],"")</f>
        <v>0</v>
      </c>
      <c r="R76" s="53" t="s">
        <v>122</v>
      </c>
      <c r="S76" s="53" t="s">
        <v>531</v>
      </c>
      <c r="T76" s="53">
        <v>15</v>
      </c>
      <c r="U76" s="53">
        <v>899</v>
      </c>
      <c r="V76" s="54">
        <f>(Table4[[#This Row],[MRP]]-Table4[[#This Row],[Selling Price]])/Table4[[#This Row],[MRP]]*100</f>
        <v>50.055617352614014</v>
      </c>
      <c r="W76" s="57">
        <v>330</v>
      </c>
      <c r="X76" s="57" t="s">
        <v>547</v>
      </c>
      <c r="Y76" s="54">
        <v>18</v>
      </c>
      <c r="Z76" s="54">
        <f>(Table4[[#This Row],[Cost Before Tax]]*Table4[[#This Row],[Tax Rate (%)]])/100+Table4[[#This Row],[Cost Before Tax]]</f>
        <v>389.4</v>
      </c>
      <c r="AA76" s="54">
        <f>4*Table4[[#This Row],[Cost After Tax]]</f>
        <v>1557.6</v>
      </c>
      <c r="AB76" s="54">
        <f>IFERROR((Table4[[#This Row],[Selling Price]]-Table4[[#This Row],[Cost After Tax]])/Table4[[#This Row],[Selling Price]]*100,"")</f>
        <v>13.273942093541208</v>
      </c>
      <c r="AC76" s="54">
        <f>Table4[[#This Row],[Selling Price]]-Table4[[#This Row],[Cost After Tax]]</f>
        <v>59.600000000000023</v>
      </c>
      <c r="AD76" s="57">
        <v>449</v>
      </c>
      <c r="AE76" s="57"/>
      <c r="AF76" s="57"/>
      <c r="AG76" s="57" t="s">
        <v>574</v>
      </c>
      <c r="AH76" s="57" t="s">
        <v>832</v>
      </c>
      <c r="AI76" s="57" t="s">
        <v>833</v>
      </c>
      <c r="AJ76" s="57" t="s">
        <v>577</v>
      </c>
      <c r="AK76" s="57" t="s">
        <v>834</v>
      </c>
      <c r="AL76" s="57"/>
      <c r="AM76" s="57"/>
      <c r="AN76" s="57"/>
      <c r="AO76" s="62" t="str">
        <f>IFERROR(MAX(IF((sales[Product_ID]=Table4[[#This Row],[Product_ID]])*(sales[Sales Status]="Confirmed"),sales[Invoice Date])),"")</f>
        <v/>
      </c>
      <c r="AP76" s="62">
        <v>45786</v>
      </c>
      <c r="AQ76" s="62">
        <v>45786</v>
      </c>
      <c r="AR76" s="57" t="s">
        <v>178</v>
      </c>
      <c r="AS76" s="57" t="s">
        <v>121</v>
      </c>
      <c r="AT76" s="57"/>
      <c r="AU76" s="57"/>
      <c r="AV76" s="57" t="s">
        <v>542</v>
      </c>
      <c r="AW76" s="57" t="s">
        <v>122</v>
      </c>
      <c r="AX76" s="57" t="s">
        <v>57</v>
      </c>
      <c r="AY76" s="57"/>
      <c r="AZ76" s="54">
        <f ca="1">SUMIFS(sales[Quantity Sold],sales[Product_ID],Table4[[#This Row],[Product_ID]],sales[Invoice Date],"&gt;="&amp;TODAY()-30)</f>
        <v>0</v>
      </c>
      <c r="BA76" s="49">
        <v>7</v>
      </c>
      <c r="BB76" s="54">
        <f ca="1">IF(Table4[[#This Row],[Demand_Last_30_Days]]=0,0,Table4[[#This Row],[Demand_Last_30_Days]]/30)</f>
        <v>0</v>
      </c>
      <c r="BC76" s="57"/>
      <c r="BD76" s="54">
        <f ca="1">Table4[[#This Row],[Average_Daily_Usage]]*Table4[[#This Row],[Buffer_Days]]</f>
        <v>0</v>
      </c>
      <c r="BE76" s="54">
        <f ca="1">IFERROR(Table4[[#This Row],[Average_Daily_Usage]]*Table4[[#This Row],[Lead_Time_Days]],"")</f>
        <v>0</v>
      </c>
      <c r="BF76" s="58" t="str">
        <f>IFERROR(MAX(IF(sales[Product_ID]=Table4[Product_ID],sales[Quantity Sold])),"")</f>
        <v/>
      </c>
      <c r="BG76" s="58" t="str">
        <f>IFERROR(MAX(IF(purchase[Received Date]-purchase[Purchase Date],purchase[Product_ID],Table4[Product_ID])),"")</f>
        <v/>
      </c>
      <c r="BH76" s="58" t="str">
        <f>IFERROR(AVERAGEIFS(sales[Quantity Sold],sales[Product_ID],Table4[Product_ID]),"")</f>
        <v/>
      </c>
      <c r="BI76" s="61" t="str">
        <f>IFERROR(AVERAGEIFS(purchase[Lead Time (Days)],purchase[Product_ID],Table4[Product_ID]),"")</f>
        <v/>
      </c>
    </row>
    <row r="77" spans="4:61" x14ac:dyDescent="0.4">
      <c r="D77" s="53" t="str">
        <f t="shared" si="7"/>
        <v>PROD0072</v>
      </c>
      <c r="E77" s="53"/>
      <c r="F77" s="53" t="s">
        <v>856</v>
      </c>
      <c r="G77" s="53" t="s">
        <v>877</v>
      </c>
      <c r="H77" s="53" t="str">
        <f>IFERROR(VLOOKUP(Table4[[#This Row],[Product_ID]],Table410[#All],2,0),"")</f>
        <v>PRODCAT0048</v>
      </c>
      <c r="I77" s="53" t="s">
        <v>719</v>
      </c>
      <c r="J77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PRODCAT0048PROD0072IHC0001SKU</v>
      </c>
      <c r="K77" s="53"/>
      <c r="L77" s="53" t="str">
        <f>IF(COUNTIF($L$1:L72, TEXT(ROW()-1,"0000000000"))=0, TEXT(ROW()-1,"0000000000"), "Duplicate Found")</f>
        <v>0000000076</v>
      </c>
      <c r="M77" s="53" t="str">
        <f t="shared" si="8"/>
        <v>BTBA400076</v>
      </c>
      <c r="N77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77" s="54">
        <f ca="1">IFERROR(Table4[[#This Row],[Expected_Demand_During_Lead_Time]]+Table4[[#This Row],[Safety_Stock]],"")</f>
        <v>0</v>
      </c>
      <c r="P77" s="54">
        <f ca="1">IFERROR(Table4[[#This Row],[Reorder Level]]-Table4[[#This Row],[Stock Quantity]],"")</f>
        <v>0</v>
      </c>
      <c r="Q77" s="54">
        <f ca="1">IFERROR(Table4[[#This Row],[Reorder Level]]+Table4[[#This Row],[Safety_Stock]]+Table4[[#This Row],[Expected_Demand_During_Lead_Time]],"")</f>
        <v>0</v>
      </c>
      <c r="R77" s="53" t="s">
        <v>122</v>
      </c>
      <c r="S77" s="53" t="s">
        <v>531</v>
      </c>
      <c r="T77" s="53">
        <v>15</v>
      </c>
      <c r="U77" s="53">
        <v>899</v>
      </c>
      <c r="V77" s="54">
        <f>(Table4[[#This Row],[MRP]]-Table4[[#This Row],[Selling Price]])/Table4[[#This Row],[MRP]]*100</f>
        <v>50.055617352614014</v>
      </c>
      <c r="W77" s="57">
        <v>330</v>
      </c>
      <c r="X77" s="57" t="s">
        <v>547</v>
      </c>
      <c r="Y77" s="54">
        <v>18</v>
      </c>
      <c r="Z77" s="54">
        <f>(Table4[[#This Row],[Cost Before Tax]]*Table4[[#This Row],[Tax Rate (%)]])/100+Table4[[#This Row],[Cost Before Tax]]</f>
        <v>389.4</v>
      </c>
      <c r="AA77" s="54">
        <f>4*Table4[[#This Row],[Cost After Tax]]</f>
        <v>1557.6</v>
      </c>
      <c r="AB77" s="54">
        <f>IFERROR((Table4[[#This Row],[Selling Price]]-Table4[[#This Row],[Cost After Tax]])/Table4[[#This Row],[Selling Price]]*100,"")</f>
        <v>13.273942093541208</v>
      </c>
      <c r="AC77" s="54">
        <f>Table4[[#This Row],[Selling Price]]-Table4[[#This Row],[Cost After Tax]]</f>
        <v>59.600000000000023</v>
      </c>
      <c r="AD77" s="57">
        <v>449</v>
      </c>
      <c r="AE77" s="57"/>
      <c r="AF77" s="57"/>
      <c r="AG77" s="57" t="s">
        <v>574</v>
      </c>
      <c r="AH77" s="57" t="s">
        <v>832</v>
      </c>
      <c r="AI77" s="57" t="s">
        <v>833</v>
      </c>
      <c r="AJ77" s="57" t="s">
        <v>577</v>
      </c>
      <c r="AK77" s="57" t="s">
        <v>834</v>
      </c>
      <c r="AL77" s="57"/>
      <c r="AM77" s="57"/>
      <c r="AN77" s="57"/>
      <c r="AO77" s="62" t="str">
        <f>IFERROR(MAX(IF((sales[Product_ID]=Table4[[#This Row],[Product_ID]])*(sales[Sales Status]="Confirmed"),sales[Invoice Date])),"")</f>
        <v/>
      </c>
      <c r="AP77" s="62">
        <v>45786</v>
      </c>
      <c r="AQ77" s="62">
        <v>45786</v>
      </c>
      <c r="AR77" s="57" t="s">
        <v>178</v>
      </c>
      <c r="AS77" s="57" t="s">
        <v>121</v>
      </c>
      <c r="AT77" s="57"/>
      <c r="AU77" s="57"/>
      <c r="AV77" s="57" t="s">
        <v>542</v>
      </c>
      <c r="AW77" s="57" t="s">
        <v>122</v>
      </c>
      <c r="AX77" s="57" t="s">
        <v>57</v>
      </c>
      <c r="AY77" s="57"/>
      <c r="AZ77" s="54">
        <f ca="1">SUMIFS(sales[Quantity Sold],sales[Product_ID],Table4[[#This Row],[Product_ID]],sales[Invoice Date],"&gt;="&amp;TODAY()-30)</f>
        <v>0</v>
      </c>
      <c r="BA77" s="49">
        <v>7</v>
      </c>
      <c r="BB77" s="54">
        <f ca="1">IF(Table4[[#This Row],[Demand_Last_30_Days]]=0,0,Table4[[#This Row],[Demand_Last_30_Days]]/30)</f>
        <v>0</v>
      </c>
      <c r="BC77" s="57"/>
      <c r="BD77" s="54">
        <f ca="1">Table4[[#This Row],[Average_Daily_Usage]]*Table4[[#This Row],[Buffer_Days]]</f>
        <v>0</v>
      </c>
      <c r="BE77" s="54">
        <f ca="1">IFERROR(Table4[[#This Row],[Average_Daily_Usage]]*Table4[[#This Row],[Lead_Time_Days]],"")</f>
        <v>0</v>
      </c>
      <c r="BF77" s="58" t="str">
        <f>IFERROR(MAX(IF(sales[Product_ID]=Table4[Product_ID],sales[Quantity Sold])),"")</f>
        <v/>
      </c>
      <c r="BG77" s="58" t="str">
        <f>IFERROR(MAX(IF(purchase[Received Date]-purchase[Purchase Date],purchase[Product_ID],Table4[Product_ID])),"")</f>
        <v/>
      </c>
      <c r="BH77" s="58" t="str">
        <f>IFERROR(AVERAGEIFS(sales[Quantity Sold],sales[Product_ID],Table4[Product_ID]),"")</f>
        <v/>
      </c>
      <c r="BI77" s="61" t="str">
        <f>IFERROR(AVERAGEIFS(purchase[Lead Time (Days)],purchase[Product_ID],Table4[Product_ID]),"")</f>
        <v/>
      </c>
    </row>
    <row r="78" spans="4:61" x14ac:dyDescent="0.4">
      <c r="D78" s="53" t="str">
        <f t="shared" si="7"/>
        <v>PROD0073</v>
      </c>
      <c r="E78" s="53"/>
      <c r="F78" s="53" t="s">
        <v>857</v>
      </c>
      <c r="G78" s="53" t="s">
        <v>878</v>
      </c>
      <c r="H78" s="53" t="str">
        <f>IFERROR(VLOOKUP(Table4[[#This Row],[Product_ID]],Table410[#All],2,0),"")</f>
        <v>PRODCAT0048</v>
      </c>
      <c r="I78" s="53" t="s">
        <v>719</v>
      </c>
      <c r="J78" s="53" t="str">
        <f>Table4[[#This Row],[Category_ID]] &amp; Table4[[#This Row],[Product_ID]] &amp; "IHC" &amp; TEXT(SUMPRODUCT((Table4[[#This Row],[Product_ID]]=Table4[[#This Row],[Product_ID]])*(Table4[[#This Row],[Category_ID]]=Table4[[#This Row],[Category_ID]])),"0000") &amp; "SKU"</f>
        <v>PRODCAT0048PROD0073IHC0001SKU</v>
      </c>
      <c r="K78" s="53"/>
      <c r="L78" s="53" t="str">
        <f>IF(COUNTIF($L$1:L73, TEXT(ROW()-1,"0000000000"))=0, TEXT(ROW()-1,"0000000000"), "Duplicate Found")</f>
        <v>0000000077</v>
      </c>
      <c r="M78" s="53" t="str">
        <f t="shared" si="8"/>
        <v>BTBA400077</v>
      </c>
      <c r="N78" s="54">
        <f>SUMIFS(purchase[Received Quantity],purchase[Product_ID],Table4[[#This Row],[Product_ID]],purchase[Delivery Status],"Completed")-SUMIFS(sales[Quantity Sold],sales[Product_ID],Table4[[#This Row],[Product_ID]],sales[Delivery Status],"Completed")</f>
        <v>0</v>
      </c>
      <c r="O78" s="54">
        <f ca="1">IFERROR(Table4[[#This Row],[Expected_Demand_During_Lead_Time]]+Table4[[#This Row],[Safety_Stock]],"")</f>
        <v>0</v>
      </c>
      <c r="P78" s="54">
        <f ca="1">IFERROR(Table4[[#This Row],[Reorder Level]]-Table4[[#This Row],[Stock Quantity]],"")</f>
        <v>0</v>
      </c>
      <c r="Q78" s="54">
        <f ca="1">IFERROR(Table4[[#This Row],[Reorder Level]]+Table4[[#This Row],[Safety_Stock]]+Table4[[#This Row],[Expected_Demand_During_Lead_Time]],"")</f>
        <v>0</v>
      </c>
      <c r="R78" s="53" t="s">
        <v>122</v>
      </c>
      <c r="S78" s="53" t="s">
        <v>531</v>
      </c>
      <c r="T78" s="53">
        <v>15</v>
      </c>
      <c r="U78" s="53">
        <v>899</v>
      </c>
      <c r="V78" s="54">
        <f>(Table4[[#This Row],[MRP]]-Table4[[#This Row],[Selling Price]])/Table4[[#This Row],[MRP]]*100</f>
        <v>50.055617352614014</v>
      </c>
      <c r="W78" s="57">
        <v>330</v>
      </c>
      <c r="X78" s="57" t="s">
        <v>547</v>
      </c>
      <c r="Y78" s="54">
        <v>18</v>
      </c>
      <c r="Z78" s="54">
        <f>(Table4[[#This Row],[Cost Before Tax]]*Table4[[#This Row],[Tax Rate (%)]])/100+Table4[[#This Row],[Cost Before Tax]]</f>
        <v>389.4</v>
      </c>
      <c r="AA78" s="54">
        <f>4*Table4[[#This Row],[Cost After Tax]]</f>
        <v>1557.6</v>
      </c>
      <c r="AB78" s="54">
        <f>IFERROR((Table4[[#This Row],[Selling Price]]-Table4[[#This Row],[Cost After Tax]])/Table4[[#This Row],[Selling Price]]*100,"")</f>
        <v>13.273942093541208</v>
      </c>
      <c r="AC78" s="54">
        <f>Table4[[#This Row],[Selling Price]]-Table4[[#This Row],[Cost After Tax]]</f>
        <v>59.600000000000023</v>
      </c>
      <c r="AD78" s="57">
        <v>449</v>
      </c>
      <c r="AE78" s="57"/>
      <c r="AF78" s="57"/>
      <c r="AG78" s="57" t="s">
        <v>574</v>
      </c>
      <c r="AH78" s="57" t="s">
        <v>832</v>
      </c>
      <c r="AI78" s="57" t="s">
        <v>833</v>
      </c>
      <c r="AJ78" s="57" t="s">
        <v>577</v>
      </c>
      <c r="AK78" s="57" t="s">
        <v>834</v>
      </c>
      <c r="AL78" s="57"/>
      <c r="AM78" s="57"/>
      <c r="AN78" s="57"/>
      <c r="AO78" s="62" t="str">
        <f>IFERROR(MAX(IF((sales[Product_ID]=Table4[[#This Row],[Product_ID]])*(sales[Sales Status]="Confirmed"),sales[Invoice Date])),"")</f>
        <v/>
      </c>
      <c r="AP78" s="62">
        <v>45786</v>
      </c>
      <c r="AQ78" s="62">
        <v>45786</v>
      </c>
      <c r="AR78" s="57" t="s">
        <v>178</v>
      </c>
      <c r="AS78" s="57" t="s">
        <v>121</v>
      </c>
      <c r="AT78" s="57"/>
      <c r="AU78" s="57"/>
      <c r="AV78" s="57" t="s">
        <v>542</v>
      </c>
      <c r="AW78" s="57" t="s">
        <v>122</v>
      </c>
      <c r="AX78" s="57" t="s">
        <v>57</v>
      </c>
      <c r="AY78" s="57"/>
      <c r="AZ78" s="54">
        <f ca="1">SUMIFS(sales[Quantity Sold],sales[Product_ID],Table4[[#This Row],[Product_ID]],sales[Invoice Date],"&gt;="&amp;TODAY()-30)</f>
        <v>0</v>
      </c>
      <c r="BA78" s="49">
        <v>7</v>
      </c>
      <c r="BB78" s="54">
        <f ca="1">IF(Table4[[#This Row],[Demand_Last_30_Days]]=0,0,Table4[[#This Row],[Demand_Last_30_Days]]/30)</f>
        <v>0</v>
      </c>
      <c r="BC78" s="57"/>
      <c r="BD78" s="54">
        <f ca="1">Table4[[#This Row],[Average_Daily_Usage]]*Table4[[#This Row],[Buffer_Days]]</f>
        <v>0</v>
      </c>
      <c r="BE78" s="54">
        <f ca="1">IFERROR(Table4[[#This Row],[Average_Daily_Usage]]*Table4[[#This Row],[Lead_Time_Days]],"")</f>
        <v>0</v>
      </c>
      <c r="BF78" s="58" t="str">
        <f>IFERROR(MAX(IF(sales[Product_ID]=Table4[Product_ID],sales[Quantity Sold])),"")</f>
        <v/>
      </c>
      <c r="BG78" s="58" t="str">
        <f>IFERROR(MAX(IF(purchase[Received Date]-purchase[Purchase Date],purchase[Product_ID],Table4[Product_ID])),"")</f>
        <v/>
      </c>
      <c r="BH78" s="58" t="str">
        <f>IFERROR(AVERAGEIFS(sales[Quantity Sold],sales[Product_ID],Table4[Product_ID]),"")</f>
        <v/>
      </c>
      <c r="BI78" s="61" t="str">
        <f>IFERROR(AVERAGEIFS(purchase[Lead Time (Days)],purchase[Product_ID],Table4[Product_ID]),"")</f>
        <v/>
      </c>
    </row>
  </sheetData>
  <mergeCells count="8">
    <mergeCell ref="AI4:AM4"/>
    <mergeCell ref="AN4:AR4"/>
    <mergeCell ref="D4:L4"/>
    <mergeCell ref="R4:W4"/>
    <mergeCell ref="X4:Y4"/>
    <mergeCell ref="Z4:AD4"/>
    <mergeCell ref="AE4:AH4"/>
    <mergeCell ref="N4:Q4"/>
  </mergeCells>
  <phoneticPr fontId="6" type="noConversion"/>
  <dataValidations count="7">
    <dataValidation type="list" allowBlank="1" showInputMessage="1" showErrorMessage="1" sqref="AR6:AR78" xr:uid="{D96DF20D-87C7-4029-9FC5-A763866095DE}">
      <formula1>publishedstatus</formula1>
    </dataValidation>
    <dataValidation type="list" allowBlank="1" showInputMessage="1" showErrorMessage="1" sqref="AS6:AS78" xr:uid="{AF255A37-B1FB-41DE-9000-1EC4A6D4FAE7}">
      <formula1>Featured_Product</formula1>
    </dataValidation>
    <dataValidation type="list" allowBlank="1" showInputMessage="1" showErrorMessage="1" sqref="AV6:AV78" xr:uid="{C2FCB15A-CE73-48A7-BD87-14FFE61EFF7D}">
      <formula1>vendorid</formula1>
    </dataValidation>
    <dataValidation type="list" allowBlank="1" showInputMessage="1" showErrorMessage="1" sqref="I52:I78" xr:uid="{5122B305-EF5F-498B-B005-35DCED2DBFB7}">
      <formula1>prodbrandid</formula1>
    </dataValidation>
    <dataValidation type="list" allowBlank="1" showInputMessage="1" showErrorMessage="1" sqref="R6:R78" xr:uid="{C9F9FA68-71BC-456B-B175-51E9FCC10179}">
      <formula1>backorderallow</formula1>
    </dataValidation>
    <dataValidation type="list" allowBlank="1" showInputMessage="1" showErrorMessage="1" sqref="S6:S78" xr:uid="{B98AC496-A695-43F1-AD02-42413E67379D}">
      <formula1>warehousename</formula1>
    </dataValidation>
    <dataValidation type="list" allowBlank="1" showInputMessage="1" showErrorMessage="1" sqref="Y6:Y78" xr:uid="{918308AE-5D3D-4942-A90D-A775B2561E7A}">
      <formula1>Tax_GST</formula1>
    </dataValidation>
  </dataValidations>
  <hyperlinks>
    <hyperlink ref="K51" r:id="rId1" xr:uid="{62F1D5E1-BF67-441F-AA4E-A0E55862DD40}"/>
    <hyperlink ref="AE51" r:id="rId2" xr:uid="{C78444DF-A748-47B3-9EAF-04AA3522BB4D}"/>
    <hyperlink ref="AF51" r:id="rId3" xr:uid="{F628476D-69F2-4955-84B4-0560EE492C34}"/>
    <hyperlink ref="K52" r:id="rId4" xr:uid="{326B4C9F-5DBD-40B4-84E3-22AAF799D43A}"/>
    <hyperlink ref="AE52" r:id="rId5" xr:uid="{A527258A-DD35-426A-8302-32B4DCDAA9EC}"/>
  </hyperlinks>
  <pageMargins left="0.7" right="0.7" top="0.75" bottom="0.75" header="0.3" footer="0.3"/>
  <pageSetup orientation="portrait" r:id="rId6"/>
  <drawing r:id="rId7"/>
  <tableParts count="1">
    <tablePart r:id="rId8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695BA-DB76-48C2-AECD-B7A08E9A0536}">
  <dimension ref="B1:M52"/>
  <sheetViews>
    <sheetView zoomScale="86" zoomScaleNormal="86" workbookViewId="0">
      <selection activeCell="E6" sqref="E6"/>
    </sheetView>
  </sheetViews>
  <sheetFormatPr defaultColWidth="8.78515625" defaultRowHeight="26.25" x14ac:dyDescent="0.4"/>
  <cols>
    <col min="1" max="1" width="1.640625" style="1" customWidth="1"/>
    <col min="2" max="2" width="14.5" customWidth="1"/>
    <col min="3" max="3" width="1.7109375" style="1" customWidth="1"/>
    <col min="4" max="4" width="11.78515625" style="1" bestFit="1" customWidth="1"/>
    <col min="5" max="5" width="16.640625" style="1" bestFit="1" customWidth="1"/>
    <col min="6" max="6" width="10.35546875" style="1" bestFit="1" customWidth="1"/>
    <col min="7" max="7" width="17.42578125" style="1" bestFit="1" customWidth="1"/>
    <col min="8" max="8" width="17" style="1" bestFit="1" customWidth="1"/>
    <col min="9" max="9" width="8.78515625" style="1"/>
    <col min="10" max="10" width="12.28515625" style="1" bestFit="1" customWidth="1"/>
    <col min="11" max="11" width="11.640625" style="1" bestFit="1" customWidth="1"/>
    <col min="12" max="12" width="51.85546875" style="1" bestFit="1" customWidth="1"/>
    <col min="13" max="13" width="10.42578125" style="1" bestFit="1" customWidth="1"/>
    <col min="14" max="16384" width="8.78515625" style="1"/>
  </cols>
  <sheetData>
    <row r="1" spans="2:13" x14ac:dyDescent="0.4">
      <c r="B1" s="1"/>
    </row>
    <row r="2" spans="2:13" x14ac:dyDescent="0.4">
      <c r="B2" s="13"/>
    </row>
    <row r="3" spans="2:13" x14ac:dyDescent="0.4">
      <c r="B3" s="14"/>
    </row>
    <row r="4" spans="2:13" x14ac:dyDescent="0.4">
      <c r="B4" s="14"/>
    </row>
    <row r="5" spans="2:13" s="23" customFormat="1" x14ac:dyDescent="0.4">
      <c r="B5" s="39"/>
      <c r="D5" s="36" t="s">
        <v>590</v>
      </c>
      <c r="E5" s="36" t="s">
        <v>591</v>
      </c>
      <c r="F5" s="36" t="s">
        <v>550</v>
      </c>
      <c r="G5" s="36" t="s">
        <v>592</v>
      </c>
      <c r="H5" s="36" t="s">
        <v>33</v>
      </c>
      <c r="I5" s="36" t="s">
        <v>593</v>
      </c>
      <c r="J5" s="36" t="s">
        <v>594</v>
      </c>
      <c r="K5" s="36" t="s">
        <v>552</v>
      </c>
      <c r="L5" s="36" t="s">
        <v>597</v>
      </c>
      <c r="M5" s="36" t="s">
        <v>343</v>
      </c>
    </row>
    <row r="6" spans="2:13" x14ac:dyDescent="0.4">
      <c r="B6" s="14"/>
      <c r="D6" s="36" t="str">
        <f>"COMPID" &amp; TEXT(ROW()-5, "0000")</f>
        <v>COMPID0001</v>
      </c>
      <c r="E6" s="36" t="s">
        <v>528</v>
      </c>
      <c r="F6" s="36" t="str">
        <f>"ACCID" &amp; TEXT(ROW()-5, "0000")</f>
        <v>ACCID0001</v>
      </c>
      <c r="G6" s="44">
        <v>151202100001542</v>
      </c>
      <c r="H6" s="36" t="s">
        <v>401</v>
      </c>
      <c r="I6" s="36" t="s">
        <v>595</v>
      </c>
      <c r="J6" s="36" t="s">
        <v>527</v>
      </c>
      <c r="K6" s="36" t="s">
        <v>596</v>
      </c>
      <c r="L6" s="36" t="s">
        <v>598</v>
      </c>
      <c r="M6" s="38" t="s">
        <v>721</v>
      </c>
    </row>
    <row r="7" spans="2:13" x14ac:dyDescent="0.4">
      <c r="B7" s="14"/>
      <c r="D7" s="36" t="str">
        <f t="shared" ref="D7:D52" si="0">"COMPID" &amp; TEXT(ROW()-5, "0000")</f>
        <v>COMPID0002</v>
      </c>
      <c r="E7" s="36" t="s">
        <v>401</v>
      </c>
      <c r="F7" s="36" t="str">
        <f>"ACCID" &amp; TEXT(ROW()-5, "0000")</f>
        <v>ACCID0002</v>
      </c>
      <c r="G7" s="44">
        <v>50100472660693</v>
      </c>
      <c r="H7" s="36" t="s">
        <v>401</v>
      </c>
      <c r="I7" s="36" t="s">
        <v>601</v>
      </c>
      <c r="J7" s="36" t="s">
        <v>602</v>
      </c>
      <c r="K7" s="36" t="s">
        <v>603</v>
      </c>
      <c r="L7" s="36" t="s">
        <v>604</v>
      </c>
      <c r="M7" s="38" t="s">
        <v>721</v>
      </c>
    </row>
    <row r="8" spans="2:13" x14ac:dyDescent="0.4">
      <c r="B8" s="14"/>
      <c r="D8" s="36" t="str">
        <f t="shared" si="0"/>
        <v>COMPID0003</v>
      </c>
      <c r="E8" s="36" t="s">
        <v>401</v>
      </c>
      <c r="F8" s="36" t="str">
        <f t="shared" ref="F8:F52" si="1">"ACCID" &amp; TEXT(ROW()-5, "0000")</f>
        <v>ACCID0003</v>
      </c>
      <c r="G8" s="44">
        <v>50100256103788</v>
      </c>
      <c r="H8" s="36" t="s">
        <v>401</v>
      </c>
      <c r="I8" s="36" t="s">
        <v>601</v>
      </c>
      <c r="J8" s="36" t="s">
        <v>602</v>
      </c>
      <c r="K8" s="36" t="s">
        <v>603</v>
      </c>
      <c r="L8" s="36" t="s">
        <v>604</v>
      </c>
      <c r="M8" s="38" t="s">
        <v>721</v>
      </c>
    </row>
    <row r="9" spans="2:13" x14ac:dyDescent="0.4">
      <c r="B9" s="14"/>
      <c r="D9" s="36" t="str">
        <f t="shared" si="0"/>
        <v>COMPID0004</v>
      </c>
      <c r="E9" s="36"/>
      <c r="F9" s="36" t="str">
        <f t="shared" si="1"/>
        <v>ACCID0004</v>
      </c>
      <c r="G9" s="45"/>
      <c r="H9" s="36"/>
      <c r="I9" s="36"/>
      <c r="J9" s="36"/>
      <c r="K9" s="36"/>
      <c r="L9" s="36"/>
      <c r="M9" s="36"/>
    </row>
    <row r="10" spans="2:13" x14ac:dyDescent="0.4">
      <c r="B10" s="14" t="s">
        <v>0</v>
      </c>
      <c r="D10" s="36" t="str">
        <f t="shared" si="0"/>
        <v>COMPID0005</v>
      </c>
      <c r="E10" s="36"/>
      <c r="F10" s="36" t="str">
        <f t="shared" si="1"/>
        <v>ACCID0005</v>
      </c>
      <c r="G10" s="45"/>
      <c r="H10" s="36"/>
      <c r="I10" s="36"/>
      <c r="J10" s="36"/>
      <c r="K10" s="36"/>
      <c r="L10" s="36"/>
      <c r="M10" s="36"/>
    </row>
    <row r="11" spans="2:13" x14ac:dyDescent="0.4">
      <c r="B11" s="14"/>
      <c r="D11" s="36" t="str">
        <f t="shared" si="0"/>
        <v>COMPID0006</v>
      </c>
      <c r="E11" s="36"/>
      <c r="F11" s="36" t="str">
        <f t="shared" si="1"/>
        <v>ACCID0006</v>
      </c>
      <c r="G11" s="45"/>
      <c r="H11" s="36"/>
      <c r="I11" s="36"/>
      <c r="J11" s="36"/>
      <c r="K11" s="36"/>
      <c r="L11" s="36"/>
      <c r="M11" s="36"/>
    </row>
    <row r="12" spans="2:13" x14ac:dyDescent="0.4">
      <c r="B12" s="14"/>
      <c r="D12" s="36" t="str">
        <f t="shared" si="0"/>
        <v>COMPID0007</v>
      </c>
      <c r="E12" s="36"/>
      <c r="F12" s="36" t="str">
        <f t="shared" si="1"/>
        <v>ACCID0007</v>
      </c>
      <c r="G12" s="45"/>
      <c r="H12" s="36"/>
      <c r="I12" s="36"/>
      <c r="J12" s="36"/>
      <c r="K12" s="36"/>
      <c r="L12" s="36"/>
      <c r="M12" s="36"/>
    </row>
    <row r="13" spans="2:13" x14ac:dyDescent="0.4">
      <c r="B13" s="14"/>
      <c r="D13" s="36" t="str">
        <f t="shared" si="0"/>
        <v>COMPID0008</v>
      </c>
      <c r="E13" s="36"/>
      <c r="F13" s="36" t="str">
        <f t="shared" si="1"/>
        <v>ACCID0008</v>
      </c>
      <c r="G13" s="45"/>
      <c r="H13" s="36"/>
      <c r="I13" s="36"/>
      <c r="J13" s="36"/>
      <c r="K13" s="36"/>
      <c r="L13" s="36"/>
      <c r="M13" s="36"/>
    </row>
    <row r="14" spans="2:13" x14ac:dyDescent="0.4">
      <c r="B14" s="14"/>
      <c r="D14" s="36" t="str">
        <f t="shared" si="0"/>
        <v>COMPID0009</v>
      </c>
      <c r="E14" s="36"/>
      <c r="F14" s="36" t="str">
        <f t="shared" si="1"/>
        <v>ACCID0009</v>
      </c>
      <c r="G14" s="45"/>
      <c r="H14" s="36"/>
      <c r="I14" s="36"/>
      <c r="J14" s="36"/>
      <c r="K14" s="36"/>
      <c r="L14" s="36"/>
      <c r="M14" s="36"/>
    </row>
    <row r="15" spans="2:13" x14ac:dyDescent="0.4">
      <c r="B15" s="14"/>
      <c r="D15" s="36" t="str">
        <f t="shared" si="0"/>
        <v>COMPID0010</v>
      </c>
      <c r="E15" s="36"/>
      <c r="F15" s="36" t="str">
        <f t="shared" si="1"/>
        <v>ACCID0010</v>
      </c>
      <c r="G15" s="45"/>
      <c r="H15" s="36"/>
      <c r="I15" s="36"/>
      <c r="J15" s="36"/>
      <c r="K15" s="36"/>
      <c r="L15" s="36"/>
      <c r="M15" s="36"/>
    </row>
    <row r="16" spans="2:13" x14ac:dyDescent="0.4">
      <c r="B16" s="14"/>
      <c r="D16" s="36" t="str">
        <f t="shared" si="0"/>
        <v>COMPID0011</v>
      </c>
      <c r="E16" s="36"/>
      <c r="F16" s="36" t="str">
        <f t="shared" si="1"/>
        <v>ACCID0011</v>
      </c>
      <c r="G16" s="45"/>
      <c r="H16" s="36"/>
      <c r="I16" s="36"/>
      <c r="J16" s="36"/>
      <c r="K16" s="36"/>
      <c r="L16" s="36"/>
      <c r="M16" s="36"/>
    </row>
    <row r="17" spans="2:13" x14ac:dyDescent="0.4">
      <c r="B17" s="14"/>
      <c r="D17" s="36" t="str">
        <f t="shared" si="0"/>
        <v>COMPID0012</v>
      </c>
      <c r="E17" s="36"/>
      <c r="F17" s="36" t="str">
        <f t="shared" si="1"/>
        <v>ACCID0012</v>
      </c>
      <c r="G17" s="45"/>
      <c r="H17" s="36"/>
      <c r="I17" s="36"/>
      <c r="J17" s="36"/>
      <c r="K17" s="36"/>
      <c r="L17" s="36"/>
      <c r="M17" s="36"/>
    </row>
    <row r="18" spans="2:13" x14ac:dyDescent="0.4">
      <c r="B18" s="14"/>
      <c r="D18" s="36" t="str">
        <f t="shared" si="0"/>
        <v>COMPID0013</v>
      </c>
      <c r="E18" s="36"/>
      <c r="F18" s="36" t="str">
        <f t="shared" si="1"/>
        <v>ACCID0013</v>
      </c>
      <c r="G18" s="45"/>
      <c r="H18" s="36"/>
      <c r="I18" s="36"/>
      <c r="J18" s="36"/>
      <c r="K18" s="36"/>
      <c r="L18" s="36"/>
      <c r="M18" s="36"/>
    </row>
    <row r="19" spans="2:13" x14ac:dyDescent="0.4">
      <c r="B19" s="15"/>
      <c r="D19" s="36" t="str">
        <f t="shared" si="0"/>
        <v>COMPID0014</v>
      </c>
      <c r="E19" s="36"/>
      <c r="F19" s="36" t="str">
        <f t="shared" si="1"/>
        <v>ACCID0014</v>
      </c>
      <c r="G19" s="45"/>
      <c r="H19" s="36"/>
      <c r="I19" s="36"/>
      <c r="J19" s="36"/>
      <c r="K19" s="36"/>
      <c r="L19" s="36"/>
      <c r="M19" s="36"/>
    </row>
    <row r="20" spans="2:13" x14ac:dyDescent="0.4">
      <c r="B20" s="8"/>
      <c r="D20" s="36" t="str">
        <f t="shared" si="0"/>
        <v>COMPID0015</v>
      </c>
      <c r="E20" s="36"/>
      <c r="F20" s="36" t="str">
        <f t="shared" si="1"/>
        <v>ACCID0015</v>
      </c>
      <c r="G20" s="45"/>
      <c r="H20" s="36"/>
      <c r="I20" s="36"/>
      <c r="J20" s="36"/>
      <c r="K20" s="36"/>
      <c r="L20" s="36"/>
      <c r="M20" s="36"/>
    </row>
    <row r="21" spans="2:13" x14ac:dyDescent="0.4">
      <c r="B21" s="8"/>
      <c r="D21" s="36" t="str">
        <f t="shared" si="0"/>
        <v>COMPID0016</v>
      </c>
      <c r="E21" s="36"/>
      <c r="F21" s="36" t="str">
        <f t="shared" si="1"/>
        <v>ACCID0016</v>
      </c>
      <c r="G21" s="45"/>
      <c r="H21" s="36"/>
      <c r="I21" s="36"/>
      <c r="J21" s="36"/>
      <c r="K21" s="36"/>
      <c r="L21" s="36"/>
      <c r="M21" s="36"/>
    </row>
    <row r="22" spans="2:13" x14ac:dyDescent="0.4">
      <c r="D22" s="36" t="str">
        <f t="shared" si="0"/>
        <v>COMPID0017</v>
      </c>
      <c r="E22" s="36"/>
      <c r="F22" s="36" t="str">
        <f t="shared" si="1"/>
        <v>ACCID0017</v>
      </c>
      <c r="G22" s="45"/>
      <c r="H22" s="36"/>
      <c r="I22" s="36"/>
      <c r="J22" s="36"/>
      <c r="K22" s="36"/>
      <c r="L22" s="36"/>
      <c r="M22" s="36"/>
    </row>
    <row r="23" spans="2:13" x14ac:dyDescent="0.4">
      <c r="D23" s="36" t="str">
        <f t="shared" si="0"/>
        <v>COMPID0018</v>
      </c>
      <c r="E23" s="36"/>
      <c r="F23" s="36" t="str">
        <f t="shared" si="1"/>
        <v>ACCID0018</v>
      </c>
      <c r="G23" s="45"/>
      <c r="H23" s="36"/>
      <c r="I23" s="36"/>
      <c r="J23" s="36"/>
      <c r="K23" s="36"/>
      <c r="L23" s="36"/>
      <c r="M23" s="36"/>
    </row>
    <row r="24" spans="2:13" x14ac:dyDescent="0.4">
      <c r="D24" s="36" t="str">
        <f t="shared" si="0"/>
        <v>COMPID0019</v>
      </c>
      <c r="E24" s="36"/>
      <c r="F24" s="36" t="str">
        <f t="shared" si="1"/>
        <v>ACCID0019</v>
      </c>
      <c r="G24" s="45"/>
      <c r="H24" s="36"/>
      <c r="I24" s="36"/>
      <c r="J24" s="36"/>
      <c r="K24" s="36"/>
      <c r="L24" s="36"/>
      <c r="M24" s="36"/>
    </row>
    <row r="25" spans="2:13" x14ac:dyDescent="0.4">
      <c r="D25" s="36" t="str">
        <f t="shared" si="0"/>
        <v>COMPID0020</v>
      </c>
      <c r="E25" s="36"/>
      <c r="F25" s="36" t="str">
        <f t="shared" si="1"/>
        <v>ACCID0020</v>
      </c>
      <c r="G25" s="45"/>
      <c r="H25" s="36"/>
      <c r="I25" s="36"/>
      <c r="J25" s="36"/>
      <c r="K25" s="36"/>
      <c r="L25" s="36"/>
      <c r="M25" s="36"/>
    </row>
    <row r="26" spans="2:13" x14ac:dyDescent="0.4">
      <c r="D26" s="36" t="str">
        <f t="shared" si="0"/>
        <v>COMPID0021</v>
      </c>
      <c r="E26" s="36"/>
      <c r="F26" s="36" t="str">
        <f t="shared" si="1"/>
        <v>ACCID0021</v>
      </c>
      <c r="G26" s="45"/>
      <c r="H26" s="36"/>
      <c r="I26" s="36"/>
      <c r="J26" s="36"/>
      <c r="K26" s="36"/>
      <c r="L26" s="36"/>
      <c r="M26" s="36"/>
    </row>
    <row r="27" spans="2:13" x14ac:dyDescent="0.4">
      <c r="D27" s="36" t="str">
        <f t="shared" si="0"/>
        <v>COMPID0022</v>
      </c>
      <c r="E27" s="36"/>
      <c r="F27" s="36" t="str">
        <f t="shared" si="1"/>
        <v>ACCID0022</v>
      </c>
      <c r="G27" s="45"/>
      <c r="H27" s="36"/>
      <c r="I27" s="36"/>
      <c r="J27" s="36"/>
      <c r="K27" s="36"/>
      <c r="L27" s="36"/>
      <c r="M27" s="36"/>
    </row>
    <row r="28" spans="2:13" x14ac:dyDescent="0.4">
      <c r="D28" s="36" t="str">
        <f t="shared" si="0"/>
        <v>COMPID0023</v>
      </c>
      <c r="E28" s="36"/>
      <c r="F28" s="36" t="str">
        <f t="shared" si="1"/>
        <v>ACCID0023</v>
      </c>
      <c r="G28" s="45"/>
      <c r="H28" s="36"/>
      <c r="I28" s="36"/>
      <c r="J28" s="36"/>
      <c r="K28" s="36"/>
      <c r="L28" s="36"/>
      <c r="M28" s="36"/>
    </row>
    <row r="29" spans="2:13" x14ac:dyDescent="0.4">
      <c r="D29" s="36" t="str">
        <f t="shared" si="0"/>
        <v>COMPID0024</v>
      </c>
      <c r="E29" s="36"/>
      <c r="F29" s="36" t="str">
        <f t="shared" si="1"/>
        <v>ACCID0024</v>
      </c>
      <c r="G29" s="45"/>
      <c r="H29" s="36"/>
      <c r="I29" s="36"/>
      <c r="J29" s="36"/>
      <c r="K29" s="36"/>
      <c r="L29" s="36"/>
      <c r="M29" s="36"/>
    </row>
    <row r="30" spans="2:13" x14ac:dyDescent="0.4">
      <c r="D30" s="36" t="str">
        <f t="shared" si="0"/>
        <v>COMPID0025</v>
      </c>
      <c r="E30" s="36"/>
      <c r="F30" s="36" t="str">
        <f t="shared" si="1"/>
        <v>ACCID0025</v>
      </c>
      <c r="G30" s="45"/>
      <c r="H30" s="36"/>
      <c r="I30" s="36"/>
      <c r="J30" s="36"/>
      <c r="K30" s="36"/>
      <c r="L30" s="36"/>
      <c r="M30" s="36"/>
    </row>
    <row r="31" spans="2:13" x14ac:dyDescent="0.4">
      <c r="D31" s="36" t="str">
        <f t="shared" si="0"/>
        <v>COMPID0026</v>
      </c>
      <c r="E31" s="36"/>
      <c r="F31" s="36" t="str">
        <f t="shared" si="1"/>
        <v>ACCID0026</v>
      </c>
      <c r="G31" s="45"/>
      <c r="H31" s="36"/>
      <c r="I31" s="36"/>
      <c r="J31" s="36"/>
      <c r="K31" s="36"/>
      <c r="L31" s="36"/>
      <c r="M31" s="36"/>
    </row>
    <row r="32" spans="2:13" x14ac:dyDescent="0.4">
      <c r="D32" s="36" t="str">
        <f t="shared" si="0"/>
        <v>COMPID0027</v>
      </c>
      <c r="E32" s="36"/>
      <c r="F32" s="36" t="str">
        <f t="shared" si="1"/>
        <v>ACCID0027</v>
      </c>
      <c r="G32" s="45"/>
      <c r="H32" s="36"/>
      <c r="I32" s="36"/>
      <c r="J32" s="36"/>
      <c r="K32" s="36"/>
      <c r="L32" s="36"/>
      <c r="M32" s="36"/>
    </row>
    <row r="33" spans="4:13" x14ac:dyDescent="0.4">
      <c r="D33" s="36" t="str">
        <f t="shared" si="0"/>
        <v>COMPID0028</v>
      </c>
      <c r="E33" s="36"/>
      <c r="F33" s="36" t="str">
        <f t="shared" si="1"/>
        <v>ACCID0028</v>
      </c>
      <c r="G33" s="45"/>
      <c r="H33" s="36"/>
      <c r="I33" s="36"/>
      <c r="J33" s="36"/>
      <c r="K33" s="36"/>
      <c r="L33" s="36"/>
      <c r="M33" s="36"/>
    </row>
    <row r="34" spans="4:13" x14ac:dyDescent="0.4">
      <c r="D34" s="36" t="str">
        <f t="shared" si="0"/>
        <v>COMPID0029</v>
      </c>
      <c r="E34" s="36"/>
      <c r="F34" s="36" t="str">
        <f t="shared" si="1"/>
        <v>ACCID0029</v>
      </c>
      <c r="G34" s="45"/>
      <c r="H34" s="36"/>
      <c r="I34" s="36"/>
      <c r="J34" s="36"/>
      <c r="K34" s="36"/>
      <c r="L34" s="36"/>
      <c r="M34" s="36"/>
    </row>
    <row r="35" spans="4:13" x14ac:dyDescent="0.4">
      <c r="D35" s="36" t="str">
        <f t="shared" si="0"/>
        <v>COMPID0030</v>
      </c>
      <c r="E35" s="36"/>
      <c r="F35" s="36" t="str">
        <f t="shared" si="1"/>
        <v>ACCID0030</v>
      </c>
      <c r="G35" s="45"/>
      <c r="H35" s="36"/>
      <c r="I35" s="36"/>
      <c r="J35" s="36"/>
      <c r="K35" s="36"/>
      <c r="L35" s="36"/>
      <c r="M35" s="36"/>
    </row>
    <row r="36" spans="4:13" x14ac:dyDescent="0.4">
      <c r="D36" s="36" t="str">
        <f t="shared" si="0"/>
        <v>COMPID0031</v>
      </c>
      <c r="E36" s="36"/>
      <c r="F36" s="36" t="str">
        <f t="shared" si="1"/>
        <v>ACCID0031</v>
      </c>
      <c r="G36" s="45"/>
      <c r="H36" s="36"/>
      <c r="I36" s="36"/>
      <c r="J36" s="36"/>
      <c r="K36" s="36"/>
      <c r="L36" s="36"/>
      <c r="M36" s="36"/>
    </row>
    <row r="37" spans="4:13" x14ac:dyDescent="0.4">
      <c r="D37" s="36" t="str">
        <f t="shared" si="0"/>
        <v>COMPID0032</v>
      </c>
      <c r="E37" s="36"/>
      <c r="F37" s="36" t="str">
        <f t="shared" si="1"/>
        <v>ACCID0032</v>
      </c>
      <c r="G37" s="45"/>
      <c r="H37" s="36"/>
      <c r="I37" s="36"/>
      <c r="J37" s="36"/>
      <c r="K37" s="36"/>
      <c r="L37" s="36"/>
      <c r="M37" s="36"/>
    </row>
    <row r="38" spans="4:13" x14ac:dyDescent="0.4">
      <c r="D38" s="36" t="str">
        <f t="shared" si="0"/>
        <v>COMPID0033</v>
      </c>
      <c r="E38" s="36"/>
      <c r="F38" s="36" t="str">
        <f t="shared" si="1"/>
        <v>ACCID0033</v>
      </c>
      <c r="G38" s="45"/>
      <c r="H38" s="36"/>
      <c r="I38" s="36"/>
      <c r="J38" s="36"/>
      <c r="K38" s="36"/>
      <c r="L38" s="36"/>
      <c r="M38" s="36"/>
    </row>
    <row r="39" spans="4:13" x14ac:dyDescent="0.4">
      <c r="D39" s="36" t="str">
        <f t="shared" si="0"/>
        <v>COMPID0034</v>
      </c>
      <c r="E39" s="36"/>
      <c r="F39" s="36" t="str">
        <f t="shared" si="1"/>
        <v>ACCID0034</v>
      </c>
      <c r="G39" s="45"/>
      <c r="H39" s="36"/>
      <c r="I39" s="36"/>
      <c r="J39" s="36"/>
      <c r="K39" s="36"/>
      <c r="L39" s="36"/>
      <c r="M39" s="36"/>
    </row>
    <row r="40" spans="4:13" x14ac:dyDescent="0.4">
      <c r="D40" s="36" t="str">
        <f t="shared" si="0"/>
        <v>COMPID0035</v>
      </c>
      <c r="E40" s="36"/>
      <c r="F40" s="36" t="str">
        <f t="shared" si="1"/>
        <v>ACCID0035</v>
      </c>
      <c r="G40" s="45"/>
      <c r="H40" s="36"/>
      <c r="I40" s="36"/>
      <c r="J40" s="36"/>
      <c r="K40" s="36"/>
      <c r="L40" s="36"/>
      <c r="M40" s="36"/>
    </row>
    <row r="41" spans="4:13" x14ac:dyDescent="0.4">
      <c r="D41" s="36" t="str">
        <f t="shared" si="0"/>
        <v>COMPID0036</v>
      </c>
      <c r="E41" s="36"/>
      <c r="F41" s="36" t="str">
        <f t="shared" si="1"/>
        <v>ACCID0036</v>
      </c>
      <c r="G41" s="45"/>
      <c r="H41" s="36"/>
      <c r="I41" s="36"/>
      <c r="J41" s="36"/>
      <c r="K41" s="36"/>
      <c r="L41" s="36"/>
      <c r="M41" s="36"/>
    </row>
    <row r="42" spans="4:13" x14ac:dyDescent="0.4">
      <c r="D42" s="36" t="str">
        <f t="shared" si="0"/>
        <v>COMPID0037</v>
      </c>
      <c r="E42" s="36"/>
      <c r="F42" s="36" t="str">
        <f t="shared" si="1"/>
        <v>ACCID0037</v>
      </c>
      <c r="G42" s="45"/>
      <c r="H42" s="36"/>
      <c r="I42" s="36"/>
      <c r="J42" s="36"/>
      <c r="K42" s="36"/>
      <c r="L42" s="36"/>
      <c r="M42" s="36"/>
    </row>
    <row r="43" spans="4:13" x14ac:dyDescent="0.4">
      <c r="D43" s="36" t="str">
        <f t="shared" si="0"/>
        <v>COMPID0038</v>
      </c>
      <c r="E43" s="36"/>
      <c r="F43" s="36" t="str">
        <f t="shared" si="1"/>
        <v>ACCID0038</v>
      </c>
      <c r="G43" s="45"/>
      <c r="H43" s="36"/>
      <c r="I43" s="36"/>
      <c r="J43" s="36"/>
      <c r="K43" s="36"/>
      <c r="L43" s="36"/>
      <c r="M43" s="36"/>
    </row>
    <row r="44" spans="4:13" x14ac:dyDescent="0.4">
      <c r="D44" s="36" t="str">
        <f t="shared" si="0"/>
        <v>COMPID0039</v>
      </c>
      <c r="E44" s="36"/>
      <c r="F44" s="36" t="str">
        <f t="shared" si="1"/>
        <v>ACCID0039</v>
      </c>
      <c r="G44" s="45"/>
      <c r="H44" s="36"/>
      <c r="I44" s="36"/>
      <c r="J44" s="36"/>
      <c r="K44" s="36"/>
      <c r="L44" s="36"/>
      <c r="M44" s="36"/>
    </row>
    <row r="45" spans="4:13" x14ac:dyDescent="0.4">
      <c r="D45" s="36" t="str">
        <f t="shared" si="0"/>
        <v>COMPID0040</v>
      </c>
      <c r="E45" s="36"/>
      <c r="F45" s="36" t="str">
        <f t="shared" si="1"/>
        <v>ACCID0040</v>
      </c>
      <c r="G45" s="45"/>
      <c r="H45" s="36"/>
      <c r="I45" s="36"/>
      <c r="J45" s="36"/>
      <c r="K45" s="36"/>
      <c r="L45" s="36"/>
      <c r="M45" s="36"/>
    </row>
    <row r="46" spans="4:13" x14ac:dyDescent="0.4">
      <c r="D46" s="36" t="str">
        <f t="shared" si="0"/>
        <v>COMPID0041</v>
      </c>
      <c r="E46" s="36"/>
      <c r="F46" s="36" t="str">
        <f t="shared" si="1"/>
        <v>ACCID0041</v>
      </c>
      <c r="G46" s="45"/>
      <c r="H46" s="36"/>
      <c r="I46" s="36"/>
      <c r="J46" s="36"/>
      <c r="K46" s="36"/>
      <c r="L46" s="36"/>
      <c r="M46" s="36"/>
    </row>
    <row r="47" spans="4:13" x14ac:dyDescent="0.4">
      <c r="D47" s="36" t="str">
        <f t="shared" si="0"/>
        <v>COMPID0042</v>
      </c>
      <c r="E47" s="36"/>
      <c r="F47" s="36" t="str">
        <f t="shared" si="1"/>
        <v>ACCID0042</v>
      </c>
      <c r="G47" s="45"/>
      <c r="H47" s="36"/>
      <c r="I47" s="36"/>
      <c r="J47" s="36"/>
      <c r="K47" s="36"/>
      <c r="L47" s="36"/>
      <c r="M47" s="36"/>
    </row>
    <row r="48" spans="4:13" x14ac:dyDescent="0.4">
      <c r="D48" s="36" t="str">
        <f t="shared" si="0"/>
        <v>COMPID0043</v>
      </c>
      <c r="E48" s="36"/>
      <c r="F48" s="36" t="str">
        <f t="shared" si="1"/>
        <v>ACCID0043</v>
      </c>
      <c r="G48" s="45"/>
      <c r="H48" s="36"/>
      <c r="I48" s="36"/>
      <c r="J48" s="36"/>
      <c r="K48" s="36"/>
      <c r="L48" s="36"/>
      <c r="M48" s="36"/>
    </row>
    <row r="49" spans="4:13" x14ac:dyDescent="0.4">
      <c r="D49" s="36" t="str">
        <f t="shared" si="0"/>
        <v>COMPID0044</v>
      </c>
      <c r="E49" s="36"/>
      <c r="F49" s="36" t="str">
        <f t="shared" si="1"/>
        <v>ACCID0044</v>
      </c>
      <c r="G49" s="45"/>
      <c r="H49" s="36"/>
      <c r="I49" s="36"/>
      <c r="J49" s="36"/>
      <c r="K49" s="36"/>
      <c r="L49" s="36"/>
      <c r="M49" s="36"/>
    </row>
    <row r="50" spans="4:13" x14ac:dyDescent="0.4">
      <c r="D50" s="36" t="str">
        <f t="shared" si="0"/>
        <v>COMPID0045</v>
      </c>
      <c r="E50" s="36"/>
      <c r="F50" s="36" t="str">
        <f t="shared" si="1"/>
        <v>ACCID0045</v>
      </c>
      <c r="G50" s="45"/>
      <c r="H50" s="36"/>
      <c r="I50" s="36"/>
      <c r="J50" s="36"/>
      <c r="K50" s="36"/>
      <c r="L50" s="36"/>
      <c r="M50" s="36"/>
    </row>
    <row r="51" spans="4:13" x14ac:dyDescent="0.4">
      <c r="D51" s="36" t="str">
        <f t="shared" si="0"/>
        <v>COMPID0046</v>
      </c>
      <c r="E51" s="36"/>
      <c r="F51" s="36" t="str">
        <f t="shared" si="1"/>
        <v>ACCID0046</v>
      </c>
      <c r="G51" s="45"/>
      <c r="H51" s="36"/>
      <c r="I51" s="36"/>
      <c r="J51" s="36"/>
      <c r="K51" s="36"/>
      <c r="L51" s="36"/>
      <c r="M51" s="36"/>
    </row>
    <row r="52" spans="4:13" x14ac:dyDescent="0.4">
      <c r="D52" s="36" t="str">
        <f t="shared" si="0"/>
        <v>COMPID0047</v>
      </c>
      <c r="E52" s="36"/>
      <c r="F52" s="36" t="str">
        <f t="shared" si="1"/>
        <v>ACCID0047</v>
      </c>
      <c r="G52" s="45"/>
      <c r="H52" s="36"/>
      <c r="I52" s="36"/>
      <c r="J52" s="36"/>
      <c r="K52" s="36"/>
      <c r="L52" s="36"/>
      <c r="M52" s="36"/>
    </row>
  </sheetData>
  <phoneticPr fontId="6" type="noConversion"/>
  <hyperlinks>
    <hyperlink ref="M6" r:id="rId1" xr:uid="{EEC5F3FF-35B6-4591-B315-D027B3837E6F}"/>
    <hyperlink ref="M7:M8" r:id="rId2" display="Official_Docs" xr:uid="{1F2AEF14-211B-4E2E-9DC7-C8E797DE1E6D}"/>
  </hyperlinks>
  <pageMargins left="0.7" right="0.7" top="0.75" bottom="0.75" header="0.3" footer="0.3"/>
  <pageSetup orientation="portrait" r:id="rId3"/>
  <drawing r:id="rId4"/>
  <tableParts count="1"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2FE77-304C-4948-8DD7-3FD6E690BDFA}">
  <dimension ref="B1:M52"/>
  <sheetViews>
    <sheetView zoomScale="75" zoomScaleNormal="75" workbookViewId="0">
      <selection activeCell="F10" sqref="F10"/>
    </sheetView>
  </sheetViews>
  <sheetFormatPr defaultColWidth="8.78515625" defaultRowHeight="26.25" x14ac:dyDescent="0.4"/>
  <cols>
    <col min="1" max="1" width="1.640625" style="1" customWidth="1"/>
    <col min="2" max="2" width="14.5" customWidth="1"/>
    <col min="3" max="3" width="1.7109375" style="1" customWidth="1"/>
    <col min="4" max="4" width="11.78515625" style="1" bestFit="1" customWidth="1"/>
    <col min="5" max="5" width="12.92578125" style="1" bestFit="1" customWidth="1"/>
    <col min="6" max="6" width="32.35546875" style="1" bestFit="1" customWidth="1"/>
    <col min="7" max="7" width="6.85546875" style="1" bestFit="1" customWidth="1"/>
    <col min="8" max="8" width="11.5" style="1" bestFit="1" customWidth="1"/>
    <col min="9" max="9" width="5.85546875" style="1" bestFit="1" customWidth="1"/>
    <col min="10" max="10" width="7.140625" style="1" bestFit="1" customWidth="1"/>
    <col min="11" max="11" width="9.7109375" style="1" bestFit="1" customWidth="1"/>
    <col min="12" max="12" width="12.78515625" style="1" bestFit="1" customWidth="1"/>
    <col min="13" max="13" width="12.28515625" style="1" bestFit="1" customWidth="1"/>
    <col min="14" max="16384" width="8.78515625" style="1"/>
  </cols>
  <sheetData>
    <row r="1" spans="2:13" x14ac:dyDescent="0.4">
      <c r="B1" s="1"/>
    </row>
    <row r="2" spans="2:13" x14ac:dyDescent="0.4">
      <c r="B2" s="13"/>
    </row>
    <row r="3" spans="2:13" x14ac:dyDescent="0.4">
      <c r="B3" s="14"/>
    </row>
    <row r="4" spans="2:13" x14ac:dyDescent="0.4">
      <c r="B4" s="14"/>
    </row>
    <row r="5" spans="2:13" x14ac:dyDescent="0.4">
      <c r="B5" s="14"/>
      <c r="D5" s="53" t="s">
        <v>286</v>
      </c>
      <c r="E5" s="53" t="s">
        <v>287</v>
      </c>
      <c r="F5" s="53" t="s">
        <v>516</v>
      </c>
      <c r="G5" s="53" t="s">
        <v>95</v>
      </c>
      <c r="H5" s="53" t="s">
        <v>94</v>
      </c>
      <c r="I5" s="53" t="s">
        <v>93</v>
      </c>
      <c r="J5" s="53" t="s">
        <v>514</v>
      </c>
      <c r="K5" s="53" t="s">
        <v>137</v>
      </c>
      <c r="L5" s="53" t="s">
        <v>100</v>
      </c>
      <c r="M5" s="53" t="s">
        <v>334</v>
      </c>
    </row>
    <row r="6" spans="2:13" x14ac:dyDescent="0.4">
      <c r="B6" s="14"/>
      <c r="D6" s="53" t="str">
        <f t="shared" ref="D6:D52" si="0">"WHOUSE" &amp; TEXT(ROW()-5, "0000")</f>
        <v>WHOUSE0001</v>
      </c>
      <c r="E6" s="65" t="s">
        <v>515</v>
      </c>
      <c r="F6" s="65" t="s">
        <v>517</v>
      </c>
      <c r="G6" s="65" t="s">
        <v>58</v>
      </c>
      <c r="H6" s="65" t="s">
        <v>424</v>
      </c>
      <c r="I6" s="65" t="s">
        <v>518</v>
      </c>
      <c r="J6" s="65">
        <v>700076</v>
      </c>
      <c r="K6" s="65" t="s">
        <v>722</v>
      </c>
      <c r="L6" s="53" t="str">
        <f>IFERROR(VLOOKUP(Table4101112[[#This Row],[Vendor_ID]],vendorsdata[#All],4,0),"")</f>
        <v>Asish Das</v>
      </c>
      <c r="M6" s="53">
        <f>IFERROR(VLOOKUP(Table4101112[[#This Row],[Vendor_ID]],vendorsdata[#All],6,0),"")</f>
        <v>9830882887</v>
      </c>
    </row>
    <row r="7" spans="2:13" x14ac:dyDescent="0.4">
      <c r="B7" s="14"/>
      <c r="D7" s="53" t="str">
        <f t="shared" si="0"/>
        <v>WHOUSE0002</v>
      </c>
      <c r="E7" s="65" t="s">
        <v>531</v>
      </c>
      <c r="F7" s="65" t="s">
        <v>532</v>
      </c>
      <c r="G7" s="65" t="s">
        <v>58</v>
      </c>
      <c r="H7" s="65" t="s">
        <v>413</v>
      </c>
      <c r="I7" s="65" t="s">
        <v>533</v>
      </c>
      <c r="J7" s="65">
        <v>302018</v>
      </c>
      <c r="K7" s="65" t="s">
        <v>542</v>
      </c>
      <c r="L7" s="53" t="str">
        <f>IFERROR(VLOOKUP(Table4101112[[#This Row],[Vendor_ID]],vendorsdata[#All],4,0),"")</f>
        <v>Saumic Jain</v>
      </c>
      <c r="M7" s="53">
        <f>IFERROR(VLOOKUP(Table4101112[[#This Row],[Vendor_ID]],vendorsdata[#All],6,0),"")</f>
        <v>730054367</v>
      </c>
    </row>
    <row r="8" spans="2:13" x14ac:dyDescent="0.4">
      <c r="B8" s="14"/>
      <c r="D8" s="53" t="str">
        <f>"WHOUSE" &amp; TEXT(ROW()-5, "0000")</f>
        <v>WHOUSE0003</v>
      </c>
      <c r="E8" s="65"/>
      <c r="F8" s="65"/>
      <c r="G8" s="65"/>
      <c r="H8" s="65"/>
      <c r="I8" s="65"/>
      <c r="J8" s="65"/>
      <c r="K8" s="65"/>
      <c r="L8" s="53" t="str">
        <f>IFERROR(VLOOKUP(Table4101112[[#This Row],[Vendor_ID]],vendorsdata[#All],4,0),"")</f>
        <v/>
      </c>
      <c r="M8" s="53" t="str">
        <f>IFERROR(VLOOKUP(Table4101112[[#This Row],[Vendor_ID]],vendorsdata[#All],6,0),"")</f>
        <v/>
      </c>
    </row>
    <row r="9" spans="2:13" x14ac:dyDescent="0.4">
      <c r="B9" s="14"/>
      <c r="D9" s="53" t="str">
        <f t="shared" si="0"/>
        <v>WHOUSE0004</v>
      </c>
      <c r="E9" s="65"/>
      <c r="F9" s="65"/>
      <c r="G9" s="65"/>
      <c r="H9" s="65"/>
      <c r="I9" s="65"/>
      <c r="J9" s="65"/>
      <c r="K9" s="65"/>
      <c r="L9" s="53" t="str">
        <f>IFERROR(VLOOKUP(Table4101112[[#This Row],[Vendor_ID]],vendorsdata[#All],4,0),"")</f>
        <v/>
      </c>
      <c r="M9" s="53" t="str">
        <f>IFERROR(VLOOKUP(Table4101112[[#This Row],[Vendor_ID]],vendorsdata[#All],6,0),"")</f>
        <v/>
      </c>
    </row>
    <row r="10" spans="2:13" x14ac:dyDescent="0.4">
      <c r="B10" s="14" t="s">
        <v>0</v>
      </c>
      <c r="D10" s="53" t="str">
        <f t="shared" si="0"/>
        <v>WHOUSE0005</v>
      </c>
      <c r="E10" s="65"/>
      <c r="F10" s="65"/>
      <c r="G10" s="65"/>
      <c r="H10" s="65"/>
      <c r="I10" s="65"/>
      <c r="J10" s="65"/>
      <c r="K10" s="65"/>
      <c r="L10" s="53" t="str">
        <f>IFERROR(VLOOKUP(Table4101112[[#This Row],[Vendor_ID]],vendorsdata[#All],4,0),"")</f>
        <v/>
      </c>
      <c r="M10" s="53" t="str">
        <f>IFERROR(VLOOKUP(Table4101112[[#This Row],[Vendor_ID]],vendorsdata[#All],6,0),"")</f>
        <v/>
      </c>
    </row>
    <row r="11" spans="2:13" x14ac:dyDescent="0.4">
      <c r="B11" s="14"/>
      <c r="D11" s="53" t="str">
        <f t="shared" si="0"/>
        <v>WHOUSE0006</v>
      </c>
      <c r="E11" s="65"/>
      <c r="F11" s="65"/>
      <c r="G11" s="65"/>
      <c r="H11" s="65"/>
      <c r="I11" s="65"/>
      <c r="J11" s="65"/>
      <c r="K11" s="65"/>
      <c r="L11" s="53" t="str">
        <f>IFERROR(VLOOKUP(Table4101112[[#This Row],[Vendor_ID]],vendorsdata[#All],4,0),"")</f>
        <v/>
      </c>
      <c r="M11" s="53" t="str">
        <f>IFERROR(VLOOKUP(Table4101112[[#This Row],[Vendor_ID]],vendorsdata[#All],6,0),"")</f>
        <v/>
      </c>
    </row>
    <row r="12" spans="2:13" x14ac:dyDescent="0.4">
      <c r="B12" s="14"/>
      <c r="D12" s="53" t="str">
        <f t="shared" si="0"/>
        <v>WHOUSE0007</v>
      </c>
      <c r="E12" s="65"/>
      <c r="F12" s="65"/>
      <c r="G12" s="65"/>
      <c r="H12" s="65"/>
      <c r="I12" s="65"/>
      <c r="J12" s="65"/>
      <c r="K12" s="65"/>
      <c r="L12" s="53" t="str">
        <f>IFERROR(VLOOKUP(Table4101112[[#This Row],[Vendor_ID]],vendorsdata[#All],4,0),"")</f>
        <v/>
      </c>
      <c r="M12" s="53" t="str">
        <f>IFERROR(VLOOKUP(Table4101112[[#This Row],[Vendor_ID]],vendorsdata[#All],6,0),"")</f>
        <v/>
      </c>
    </row>
    <row r="13" spans="2:13" x14ac:dyDescent="0.4">
      <c r="B13" s="14"/>
      <c r="D13" s="53" t="str">
        <f t="shared" si="0"/>
        <v>WHOUSE0008</v>
      </c>
      <c r="E13" s="65"/>
      <c r="F13" s="65"/>
      <c r="G13" s="65"/>
      <c r="H13" s="65"/>
      <c r="I13" s="65"/>
      <c r="J13" s="65"/>
      <c r="K13" s="65"/>
      <c r="L13" s="53" t="str">
        <f>IFERROR(VLOOKUP(Table4101112[[#This Row],[Vendor_ID]],vendorsdata[#All],4,0),"")</f>
        <v/>
      </c>
      <c r="M13" s="53" t="str">
        <f>IFERROR(VLOOKUP(Table4101112[[#This Row],[Vendor_ID]],vendorsdata[#All],6,0),"")</f>
        <v/>
      </c>
    </row>
    <row r="14" spans="2:13" x14ac:dyDescent="0.4">
      <c r="B14" s="14"/>
      <c r="D14" s="53" t="str">
        <f t="shared" si="0"/>
        <v>WHOUSE0009</v>
      </c>
      <c r="E14" s="65"/>
      <c r="F14" s="65"/>
      <c r="G14" s="65"/>
      <c r="H14" s="65"/>
      <c r="I14" s="65"/>
      <c r="J14" s="65"/>
      <c r="K14" s="65"/>
      <c r="L14" s="53" t="str">
        <f>IFERROR(VLOOKUP(Table4101112[[#This Row],[Vendor_ID]],vendorsdata[#All],4,0),"")</f>
        <v/>
      </c>
      <c r="M14" s="53" t="str">
        <f>IFERROR(VLOOKUP(Table4101112[[#This Row],[Vendor_ID]],vendorsdata[#All],6,0),"")</f>
        <v/>
      </c>
    </row>
    <row r="15" spans="2:13" x14ac:dyDescent="0.4">
      <c r="B15" s="14"/>
      <c r="D15" s="53" t="str">
        <f t="shared" si="0"/>
        <v>WHOUSE0010</v>
      </c>
      <c r="E15" s="65"/>
      <c r="F15" s="65"/>
      <c r="G15" s="65"/>
      <c r="H15" s="65"/>
      <c r="I15" s="65"/>
      <c r="J15" s="65"/>
      <c r="K15" s="65"/>
      <c r="L15" s="53" t="str">
        <f>IFERROR(VLOOKUP(Table4101112[[#This Row],[Vendor_ID]],vendorsdata[#All],4,0),"")</f>
        <v/>
      </c>
      <c r="M15" s="53" t="str">
        <f>IFERROR(VLOOKUP(Table4101112[[#This Row],[Vendor_ID]],vendorsdata[#All],6,0),"")</f>
        <v/>
      </c>
    </row>
    <row r="16" spans="2:13" x14ac:dyDescent="0.4">
      <c r="B16" s="14"/>
      <c r="D16" s="53" t="str">
        <f t="shared" si="0"/>
        <v>WHOUSE0011</v>
      </c>
      <c r="E16" s="65"/>
      <c r="F16" s="65"/>
      <c r="G16" s="65"/>
      <c r="H16" s="65"/>
      <c r="I16" s="65"/>
      <c r="J16" s="65"/>
      <c r="K16" s="65"/>
      <c r="L16" s="53" t="str">
        <f>IFERROR(VLOOKUP(Table4101112[[#This Row],[Vendor_ID]],vendorsdata[#All],4,0),"")</f>
        <v/>
      </c>
      <c r="M16" s="53" t="str">
        <f>IFERROR(VLOOKUP(Table4101112[[#This Row],[Vendor_ID]],vendorsdata[#All],6,0),"")</f>
        <v/>
      </c>
    </row>
    <row r="17" spans="2:13" x14ac:dyDescent="0.4">
      <c r="B17" s="14"/>
      <c r="D17" s="53" t="str">
        <f t="shared" si="0"/>
        <v>WHOUSE0012</v>
      </c>
      <c r="E17" s="65"/>
      <c r="F17" s="65"/>
      <c r="G17" s="65"/>
      <c r="H17" s="65"/>
      <c r="I17" s="65"/>
      <c r="J17" s="65"/>
      <c r="K17" s="65"/>
      <c r="L17" s="53" t="str">
        <f>IFERROR(VLOOKUP(Table4101112[[#This Row],[Vendor_ID]],vendorsdata[#All],4,0),"")</f>
        <v/>
      </c>
      <c r="M17" s="53" t="str">
        <f>IFERROR(VLOOKUP(Table4101112[[#This Row],[Vendor_ID]],vendorsdata[#All],6,0),"")</f>
        <v/>
      </c>
    </row>
    <row r="18" spans="2:13" x14ac:dyDescent="0.4">
      <c r="B18" s="14"/>
      <c r="D18" s="53" t="str">
        <f t="shared" si="0"/>
        <v>WHOUSE0013</v>
      </c>
      <c r="E18" s="65"/>
      <c r="F18" s="65"/>
      <c r="G18" s="65"/>
      <c r="H18" s="65"/>
      <c r="I18" s="65"/>
      <c r="J18" s="65"/>
      <c r="K18" s="65"/>
      <c r="L18" s="53" t="str">
        <f>IFERROR(VLOOKUP(Table4101112[[#This Row],[Vendor_ID]],vendorsdata[#All],4,0),"")</f>
        <v/>
      </c>
      <c r="M18" s="53" t="str">
        <f>IFERROR(VLOOKUP(Table4101112[[#This Row],[Vendor_ID]],vendorsdata[#All],6,0),"")</f>
        <v/>
      </c>
    </row>
    <row r="19" spans="2:13" x14ac:dyDescent="0.4">
      <c r="B19" s="15"/>
      <c r="D19" s="53" t="str">
        <f t="shared" si="0"/>
        <v>WHOUSE0014</v>
      </c>
      <c r="E19" s="65"/>
      <c r="F19" s="65"/>
      <c r="G19" s="65"/>
      <c r="H19" s="65"/>
      <c r="I19" s="65"/>
      <c r="J19" s="65"/>
      <c r="K19" s="65"/>
      <c r="L19" s="53" t="str">
        <f>IFERROR(VLOOKUP(Table4101112[[#This Row],[Vendor_ID]],vendorsdata[#All],4,0),"")</f>
        <v/>
      </c>
      <c r="M19" s="53" t="str">
        <f>IFERROR(VLOOKUP(Table4101112[[#This Row],[Vendor_ID]],vendorsdata[#All],6,0),"")</f>
        <v/>
      </c>
    </row>
    <row r="20" spans="2:13" x14ac:dyDescent="0.4">
      <c r="B20" s="8"/>
      <c r="D20" s="53" t="str">
        <f t="shared" si="0"/>
        <v>WHOUSE0015</v>
      </c>
      <c r="E20" s="65"/>
      <c r="F20" s="65"/>
      <c r="G20" s="65"/>
      <c r="H20" s="65"/>
      <c r="I20" s="65"/>
      <c r="J20" s="65"/>
      <c r="K20" s="65"/>
      <c r="L20" s="53" t="str">
        <f>IFERROR(VLOOKUP(Table4101112[[#This Row],[Vendor_ID]],vendorsdata[#All],4,0),"")</f>
        <v/>
      </c>
      <c r="M20" s="53" t="str">
        <f>IFERROR(VLOOKUP(Table4101112[[#This Row],[Vendor_ID]],vendorsdata[#All],6,0),"")</f>
        <v/>
      </c>
    </row>
    <row r="21" spans="2:13" x14ac:dyDescent="0.4">
      <c r="B21" s="8"/>
      <c r="D21" s="53" t="str">
        <f t="shared" si="0"/>
        <v>WHOUSE0016</v>
      </c>
      <c r="E21" s="65"/>
      <c r="F21" s="65"/>
      <c r="G21" s="65"/>
      <c r="H21" s="65"/>
      <c r="I21" s="65"/>
      <c r="J21" s="65"/>
      <c r="K21" s="65"/>
      <c r="L21" s="53" t="str">
        <f>IFERROR(VLOOKUP(Table4101112[[#This Row],[Vendor_ID]],vendorsdata[#All],4,0),"")</f>
        <v/>
      </c>
      <c r="M21" s="53" t="str">
        <f>IFERROR(VLOOKUP(Table4101112[[#This Row],[Vendor_ID]],vendorsdata[#All],6,0),"")</f>
        <v/>
      </c>
    </row>
    <row r="22" spans="2:13" x14ac:dyDescent="0.4">
      <c r="D22" s="53" t="str">
        <f t="shared" si="0"/>
        <v>WHOUSE0017</v>
      </c>
      <c r="E22" s="65"/>
      <c r="F22" s="65"/>
      <c r="G22" s="65"/>
      <c r="H22" s="65"/>
      <c r="I22" s="65"/>
      <c r="J22" s="65"/>
      <c r="K22" s="65"/>
      <c r="L22" s="53" t="str">
        <f>IFERROR(VLOOKUP(Table4101112[[#This Row],[Vendor_ID]],vendorsdata[#All],4,0),"")</f>
        <v/>
      </c>
      <c r="M22" s="53" t="str">
        <f>IFERROR(VLOOKUP(Table4101112[[#This Row],[Vendor_ID]],vendorsdata[#All],6,0),"")</f>
        <v/>
      </c>
    </row>
    <row r="23" spans="2:13" x14ac:dyDescent="0.4">
      <c r="D23" s="53" t="str">
        <f t="shared" si="0"/>
        <v>WHOUSE0018</v>
      </c>
      <c r="E23" s="65"/>
      <c r="F23" s="65"/>
      <c r="G23" s="65"/>
      <c r="H23" s="65"/>
      <c r="I23" s="65"/>
      <c r="J23" s="65"/>
      <c r="K23" s="65"/>
      <c r="L23" s="53" t="str">
        <f>IFERROR(VLOOKUP(Table4101112[[#This Row],[Vendor_ID]],vendorsdata[#All],4,0),"")</f>
        <v/>
      </c>
      <c r="M23" s="53" t="str">
        <f>IFERROR(VLOOKUP(Table4101112[[#This Row],[Vendor_ID]],vendorsdata[#All],6,0),"")</f>
        <v/>
      </c>
    </row>
    <row r="24" spans="2:13" x14ac:dyDescent="0.4">
      <c r="D24" s="53" t="str">
        <f t="shared" si="0"/>
        <v>WHOUSE0019</v>
      </c>
      <c r="E24" s="65"/>
      <c r="F24" s="65"/>
      <c r="G24" s="65"/>
      <c r="H24" s="65"/>
      <c r="I24" s="65"/>
      <c r="J24" s="65"/>
      <c r="K24" s="65"/>
      <c r="L24" s="53" t="str">
        <f>IFERROR(VLOOKUP(Table4101112[[#This Row],[Vendor_ID]],vendorsdata[#All],4,0),"")</f>
        <v/>
      </c>
      <c r="M24" s="53" t="str">
        <f>IFERROR(VLOOKUP(Table4101112[[#This Row],[Vendor_ID]],vendorsdata[#All],6,0),"")</f>
        <v/>
      </c>
    </row>
    <row r="25" spans="2:13" x14ac:dyDescent="0.4">
      <c r="D25" s="53" t="str">
        <f t="shared" si="0"/>
        <v>WHOUSE0020</v>
      </c>
      <c r="E25" s="65"/>
      <c r="F25" s="65"/>
      <c r="G25" s="65"/>
      <c r="H25" s="65"/>
      <c r="I25" s="65"/>
      <c r="J25" s="65"/>
      <c r="K25" s="65"/>
      <c r="L25" s="53" t="str">
        <f>IFERROR(VLOOKUP(Table4101112[[#This Row],[Vendor_ID]],vendorsdata[#All],4,0),"")</f>
        <v/>
      </c>
      <c r="M25" s="53" t="str">
        <f>IFERROR(VLOOKUP(Table4101112[[#This Row],[Vendor_ID]],vendorsdata[#All],6,0),"")</f>
        <v/>
      </c>
    </row>
    <row r="26" spans="2:13" x14ac:dyDescent="0.4">
      <c r="D26" s="53" t="str">
        <f t="shared" si="0"/>
        <v>WHOUSE0021</v>
      </c>
      <c r="E26" s="65"/>
      <c r="F26" s="65"/>
      <c r="G26" s="65"/>
      <c r="H26" s="65"/>
      <c r="I26" s="65"/>
      <c r="J26" s="65"/>
      <c r="K26" s="65"/>
      <c r="L26" s="53" t="str">
        <f>IFERROR(VLOOKUP(Table4101112[[#This Row],[Vendor_ID]],vendorsdata[#All],4,0),"")</f>
        <v/>
      </c>
      <c r="M26" s="53" t="str">
        <f>IFERROR(VLOOKUP(Table4101112[[#This Row],[Vendor_ID]],vendorsdata[#All],6,0),"")</f>
        <v/>
      </c>
    </row>
    <row r="27" spans="2:13" x14ac:dyDescent="0.4">
      <c r="D27" s="53" t="str">
        <f t="shared" si="0"/>
        <v>WHOUSE0022</v>
      </c>
      <c r="E27" s="65"/>
      <c r="F27" s="65"/>
      <c r="G27" s="65"/>
      <c r="H27" s="65"/>
      <c r="I27" s="65"/>
      <c r="J27" s="65"/>
      <c r="K27" s="65"/>
      <c r="L27" s="53" t="str">
        <f>IFERROR(VLOOKUP(Table4101112[[#This Row],[Vendor_ID]],vendorsdata[#All],4,0),"")</f>
        <v/>
      </c>
      <c r="M27" s="53" t="str">
        <f>IFERROR(VLOOKUP(Table4101112[[#This Row],[Vendor_ID]],vendorsdata[#All],6,0),"")</f>
        <v/>
      </c>
    </row>
    <row r="28" spans="2:13" x14ac:dyDescent="0.4">
      <c r="D28" s="53" t="str">
        <f t="shared" si="0"/>
        <v>WHOUSE0023</v>
      </c>
      <c r="E28" s="65"/>
      <c r="F28" s="65"/>
      <c r="G28" s="65"/>
      <c r="H28" s="65"/>
      <c r="I28" s="65"/>
      <c r="J28" s="65"/>
      <c r="K28" s="65"/>
      <c r="L28" s="53" t="str">
        <f>IFERROR(VLOOKUP(Table4101112[[#This Row],[Vendor_ID]],vendorsdata[#All],4,0),"")</f>
        <v/>
      </c>
      <c r="M28" s="53" t="str">
        <f>IFERROR(VLOOKUP(Table4101112[[#This Row],[Vendor_ID]],vendorsdata[#All],6,0),"")</f>
        <v/>
      </c>
    </row>
    <row r="29" spans="2:13" x14ac:dyDescent="0.4">
      <c r="D29" s="53" t="str">
        <f t="shared" si="0"/>
        <v>WHOUSE0024</v>
      </c>
      <c r="E29" s="65"/>
      <c r="F29" s="65"/>
      <c r="G29" s="65"/>
      <c r="H29" s="65"/>
      <c r="I29" s="65"/>
      <c r="J29" s="65"/>
      <c r="K29" s="65"/>
      <c r="L29" s="53" t="str">
        <f>IFERROR(VLOOKUP(Table4101112[[#This Row],[Vendor_ID]],vendorsdata[#All],4,0),"")</f>
        <v/>
      </c>
      <c r="M29" s="53" t="str">
        <f>IFERROR(VLOOKUP(Table4101112[[#This Row],[Vendor_ID]],vendorsdata[#All],6,0),"")</f>
        <v/>
      </c>
    </row>
    <row r="30" spans="2:13" x14ac:dyDescent="0.4">
      <c r="D30" s="53" t="str">
        <f t="shared" si="0"/>
        <v>WHOUSE0025</v>
      </c>
      <c r="E30" s="65"/>
      <c r="F30" s="65"/>
      <c r="G30" s="65"/>
      <c r="H30" s="65"/>
      <c r="I30" s="65"/>
      <c r="J30" s="65"/>
      <c r="K30" s="65"/>
      <c r="L30" s="53" t="str">
        <f>IFERROR(VLOOKUP(Table4101112[[#This Row],[Vendor_ID]],vendorsdata[#All],4,0),"")</f>
        <v/>
      </c>
      <c r="M30" s="53" t="str">
        <f>IFERROR(VLOOKUP(Table4101112[[#This Row],[Vendor_ID]],vendorsdata[#All],6,0),"")</f>
        <v/>
      </c>
    </row>
    <row r="31" spans="2:13" x14ac:dyDescent="0.4">
      <c r="D31" s="53" t="str">
        <f t="shared" si="0"/>
        <v>WHOUSE0026</v>
      </c>
      <c r="E31" s="65"/>
      <c r="F31" s="65"/>
      <c r="G31" s="65"/>
      <c r="H31" s="65"/>
      <c r="I31" s="65"/>
      <c r="J31" s="65"/>
      <c r="K31" s="65"/>
      <c r="L31" s="53" t="str">
        <f>IFERROR(VLOOKUP(Table4101112[[#This Row],[Vendor_ID]],vendorsdata[#All],4,0),"")</f>
        <v/>
      </c>
      <c r="M31" s="53" t="str">
        <f>IFERROR(VLOOKUP(Table4101112[[#This Row],[Vendor_ID]],vendorsdata[#All],6,0),"")</f>
        <v/>
      </c>
    </row>
    <row r="32" spans="2:13" x14ac:dyDescent="0.4">
      <c r="D32" s="53" t="str">
        <f t="shared" si="0"/>
        <v>WHOUSE0027</v>
      </c>
      <c r="E32" s="65"/>
      <c r="F32" s="65"/>
      <c r="G32" s="65"/>
      <c r="H32" s="65"/>
      <c r="I32" s="65"/>
      <c r="J32" s="65"/>
      <c r="K32" s="65"/>
      <c r="L32" s="53" t="str">
        <f>IFERROR(VLOOKUP(Table4101112[[#This Row],[Vendor_ID]],vendorsdata[#All],4,0),"")</f>
        <v/>
      </c>
      <c r="M32" s="53" t="str">
        <f>IFERROR(VLOOKUP(Table4101112[[#This Row],[Vendor_ID]],vendorsdata[#All],6,0),"")</f>
        <v/>
      </c>
    </row>
    <row r="33" spans="4:13" x14ac:dyDescent="0.4">
      <c r="D33" s="53" t="str">
        <f t="shared" si="0"/>
        <v>WHOUSE0028</v>
      </c>
      <c r="E33" s="65"/>
      <c r="F33" s="65"/>
      <c r="G33" s="65"/>
      <c r="H33" s="65"/>
      <c r="I33" s="65"/>
      <c r="J33" s="65"/>
      <c r="K33" s="65"/>
      <c r="L33" s="53" t="str">
        <f>IFERROR(VLOOKUP(Table4101112[[#This Row],[Vendor_ID]],vendorsdata[#All],4,0),"")</f>
        <v/>
      </c>
      <c r="M33" s="53" t="str">
        <f>IFERROR(VLOOKUP(Table4101112[[#This Row],[Vendor_ID]],vendorsdata[#All],6,0),"")</f>
        <v/>
      </c>
    </row>
    <row r="34" spans="4:13" x14ac:dyDescent="0.4">
      <c r="D34" s="53" t="str">
        <f t="shared" si="0"/>
        <v>WHOUSE0029</v>
      </c>
      <c r="E34" s="65"/>
      <c r="F34" s="65"/>
      <c r="G34" s="65"/>
      <c r="H34" s="65"/>
      <c r="I34" s="65"/>
      <c r="J34" s="65"/>
      <c r="K34" s="65"/>
      <c r="L34" s="53" t="str">
        <f>IFERROR(VLOOKUP(Table4101112[[#This Row],[Vendor_ID]],vendorsdata[#All],4,0),"")</f>
        <v/>
      </c>
      <c r="M34" s="53" t="str">
        <f>IFERROR(VLOOKUP(Table4101112[[#This Row],[Vendor_ID]],vendorsdata[#All],6,0),"")</f>
        <v/>
      </c>
    </row>
    <row r="35" spans="4:13" x14ac:dyDescent="0.4">
      <c r="D35" s="53" t="str">
        <f t="shared" si="0"/>
        <v>WHOUSE0030</v>
      </c>
      <c r="E35" s="65"/>
      <c r="F35" s="65"/>
      <c r="G35" s="65"/>
      <c r="H35" s="65"/>
      <c r="I35" s="65"/>
      <c r="J35" s="65"/>
      <c r="K35" s="65"/>
      <c r="L35" s="53" t="str">
        <f>IFERROR(VLOOKUP(Table4101112[[#This Row],[Vendor_ID]],vendorsdata[#All],4,0),"")</f>
        <v/>
      </c>
      <c r="M35" s="53" t="str">
        <f>IFERROR(VLOOKUP(Table4101112[[#This Row],[Vendor_ID]],vendorsdata[#All],6,0),"")</f>
        <v/>
      </c>
    </row>
    <row r="36" spans="4:13" x14ac:dyDescent="0.4">
      <c r="D36" s="53" t="str">
        <f t="shared" si="0"/>
        <v>WHOUSE0031</v>
      </c>
      <c r="E36" s="65"/>
      <c r="F36" s="65"/>
      <c r="G36" s="65"/>
      <c r="H36" s="65"/>
      <c r="I36" s="65"/>
      <c r="J36" s="65"/>
      <c r="K36" s="65"/>
      <c r="L36" s="53" t="str">
        <f>IFERROR(VLOOKUP(Table4101112[[#This Row],[Vendor_ID]],vendorsdata[#All],4,0),"")</f>
        <v/>
      </c>
      <c r="M36" s="53" t="str">
        <f>IFERROR(VLOOKUP(Table4101112[[#This Row],[Vendor_ID]],vendorsdata[#All],6,0),"")</f>
        <v/>
      </c>
    </row>
    <row r="37" spans="4:13" x14ac:dyDescent="0.4">
      <c r="D37" s="53" t="str">
        <f t="shared" si="0"/>
        <v>WHOUSE0032</v>
      </c>
      <c r="E37" s="65"/>
      <c r="F37" s="65"/>
      <c r="G37" s="65"/>
      <c r="H37" s="65"/>
      <c r="I37" s="65"/>
      <c r="J37" s="65"/>
      <c r="K37" s="65"/>
      <c r="L37" s="53" t="str">
        <f>IFERROR(VLOOKUP(Table4101112[[#This Row],[Vendor_ID]],vendorsdata[#All],4,0),"")</f>
        <v/>
      </c>
      <c r="M37" s="53" t="str">
        <f>IFERROR(VLOOKUP(Table4101112[[#This Row],[Vendor_ID]],vendorsdata[#All],6,0),"")</f>
        <v/>
      </c>
    </row>
    <row r="38" spans="4:13" x14ac:dyDescent="0.4">
      <c r="D38" s="53" t="str">
        <f t="shared" si="0"/>
        <v>WHOUSE0033</v>
      </c>
      <c r="E38" s="65"/>
      <c r="F38" s="65"/>
      <c r="G38" s="65"/>
      <c r="H38" s="65"/>
      <c r="I38" s="65"/>
      <c r="J38" s="65"/>
      <c r="K38" s="65"/>
      <c r="L38" s="53" t="str">
        <f>IFERROR(VLOOKUP(Table4101112[[#This Row],[Vendor_ID]],vendorsdata[#All],4,0),"")</f>
        <v/>
      </c>
      <c r="M38" s="53" t="str">
        <f>IFERROR(VLOOKUP(Table4101112[[#This Row],[Vendor_ID]],vendorsdata[#All],6,0),"")</f>
        <v/>
      </c>
    </row>
    <row r="39" spans="4:13" x14ac:dyDescent="0.4">
      <c r="D39" s="53" t="str">
        <f t="shared" si="0"/>
        <v>WHOUSE0034</v>
      </c>
      <c r="E39" s="65"/>
      <c r="F39" s="65"/>
      <c r="G39" s="65"/>
      <c r="H39" s="65"/>
      <c r="I39" s="65"/>
      <c r="J39" s="65"/>
      <c r="K39" s="65"/>
      <c r="L39" s="53" t="str">
        <f>IFERROR(VLOOKUP(Table4101112[[#This Row],[Vendor_ID]],vendorsdata[#All],4,0),"")</f>
        <v/>
      </c>
      <c r="M39" s="53" t="str">
        <f>IFERROR(VLOOKUP(Table4101112[[#This Row],[Vendor_ID]],vendorsdata[#All],6,0),"")</f>
        <v/>
      </c>
    </row>
    <row r="40" spans="4:13" x14ac:dyDescent="0.4">
      <c r="D40" s="53" t="str">
        <f t="shared" si="0"/>
        <v>WHOUSE0035</v>
      </c>
      <c r="E40" s="65"/>
      <c r="F40" s="65"/>
      <c r="G40" s="65"/>
      <c r="H40" s="65"/>
      <c r="I40" s="65"/>
      <c r="J40" s="65"/>
      <c r="K40" s="65"/>
      <c r="L40" s="53" t="str">
        <f>IFERROR(VLOOKUP(Table4101112[[#This Row],[Vendor_ID]],vendorsdata[#All],4,0),"")</f>
        <v/>
      </c>
      <c r="M40" s="53" t="str">
        <f>IFERROR(VLOOKUP(Table4101112[[#This Row],[Vendor_ID]],vendorsdata[#All],6,0),"")</f>
        <v/>
      </c>
    </row>
    <row r="41" spans="4:13" x14ac:dyDescent="0.4">
      <c r="D41" s="53" t="str">
        <f t="shared" si="0"/>
        <v>WHOUSE0036</v>
      </c>
      <c r="E41" s="65"/>
      <c r="F41" s="65"/>
      <c r="G41" s="65"/>
      <c r="H41" s="65"/>
      <c r="I41" s="65"/>
      <c r="J41" s="65"/>
      <c r="K41" s="65"/>
      <c r="L41" s="53" t="str">
        <f>IFERROR(VLOOKUP(Table4101112[[#This Row],[Vendor_ID]],vendorsdata[#All],4,0),"")</f>
        <v/>
      </c>
      <c r="M41" s="53" t="str">
        <f>IFERROR(VLOOKUP(Table4101112[[#This Row],[Vendor_ID]],vendorsdata[#All],6,0),"")</f>
        <v/>
      </c>
    </row>
    <row r="42" spans="4:13" x14ac:dyDescent="0.4">
      <c r="D42" s="53" t="str">
        <f t="shared" si="0"/>
        <v>WHOUSE0037</v>
      </c>
      <c r="E42" s="65"/>
      <c r="F42" s="65"/>
      <c r="G42" s="65"/>
      <c r="H42" s="65"/>
      <c r="I42" s="65"/>
      <c r="J42" s="65"/>
      <c r="K42" s="65"/>
      <c r="L42" s="53" t="str">
        <f>IFERROR(VLOOKUP(Table4101112[[#This Row],[Vendor_ID]],vendorsdata[#All],4,0),"")</f>
        <v/>
      </c>
      <c r="M42" s="53" t="str">
        <f>IFERROR(VLOOKUP(Table4101112[[#This Row],[Vendor_ID]],vendorsdata[#All],6,0),"")</f>
        <v/>
      </c>
    </row>
    <row r="43" spans="4:13" x14ac:dyDescent="0.4">
      <c r="D43" s="53" t="str">
        <f t="shared" si="0"/>
        <v>WHOUSE0038</v>
      </c>
      <c r="E43" s="65"/>
      <c r="F43" s="65"/>
      <c r="G43" s="65"/>
      <c r="H43" s="65"/>
      <c r="I43" s="65"/>
      <c r="J43" s="65"/>
      <c r="K43" s="65"/>
      <c r="L43" s="53" t="str">
        <f>IFERROR(VLOOKUP(Table4101112[[#This Row],[Vendor_ID]],vendorsdata[#All],4,0),"")</f>
        <v/>
      </c>
      <c r="M43" s="53" t="str">
        <f>IFERROR(VLOOKUP(Table4101112[[#This Row],[Vendor_ID]],vendorsdata[#All],6,0),"")</f>
        <v/>
      </c>
    </row>
    <row r="44" spans="4:13" x14ac:dyDescent="0.4">
      <c r="D44" s="53" t="str">
        <f t="shared" si="0"/>
        <v>WHOUSE0039</v>
      </c>
      <c r="E44" s="65"/>
      <c r="F44" s="65"/>
      <c r="G44" s="65"/>
      <c r="H44" s="65"/>
      <c r="I44" s="65"/>
      <c r="J44" s="65"/>
      <c r="K44" s="65"/>
      <c r="L44" s="53" t="str">
        <f>IFERROR(VLOOKUP(Table4101112[[#This Row],[Vendor_ID]],vendorsdata[#All],4,0),"")</f>
        <v/>
      </c>
      <c r="M44" s="53" t="str">
        <f>IFERROR(VLOOKUP(Table4101112[[#This Row],[Vendor_ID]],vendorsdata[#All],6,0),"")</f>
        <v/>
      </c>
    </row>
    <row r="45" spans="4:13" x14ac:dyDescent="0.4">
      <c r="D45" s="53" t="str">
        <f t="shared" si="0"/>
        <v>WHOUSE0040</v>
      </c>
      <c r="E45" s="65"/>
      <c r="F45" s="65"/>
      <c r="G45" s="65"/>
      <c r="H45" s="65"/>
      <c r="I45" s="65"/>
      <c r="J45" s="65"/>
      <c r="K45" s="65"/>
      <c r="L45" s="53" t="str">
        <f>IFERROR(VLOOKUP(Table4101112[[#This Row],[Vendor_ID]],vendorsdata[#All],4,0),"")</f>
        <v/>
      </c>
      <c r="M45" s="53" t="str">
        <f>IFERROR(VLOOKUP(Table4101112[[#This Row],[Vendor_ID]],vendorsdata[#All],6,0),"")</f>
        <v/>
      </c>
    </row>
    <row r="46" spans="4:13" x14ac:dyDescent="0.4">
      <c r="D46" s="53" t="str">
        <f t="shared" si="0"/>
        <v>WHOUSE0041</v>
      </c>
      <c r="E46" s="65"/>
      <c r="F46" s="65"/>
      <c r="G46" s="65"/>
      <c r="H46" s="65"/>
      <c r="I46" s="65"/>
      <c r="J46" s="65"/>
      <c r="K46" s="65"/>
      <c r="L46" s="53" t="str">
        <f>IFERROR(VLOOKUP(Table4101112[[#This Row],[Vendor_ID]],vendorsdata[#All],4,0),"")</f>
        <v/>
      </c>
      <c r="M46" s="53" t="str">
        <f>IFERROR(VLOOKUP(Table4101112[[#This Row],[Vendor_ID]],vendorsdata[#All],6,0),"")</f>
        <v/>
      </c>
    </row>
    <row r="47" spans="4:13" x14ac:dyDescent="0.4">
      <c r="D47" s="53" t="str">
        <f t="shared" si="0"/>
        <v>WHOUSE0042</v>
      </c>
      <c r="E47" s="65"/>
      <c r="F47" s="65"/>
      <c r="G47" s="65"/>
      <c r="H47" s="65"/>
      <c r="I47" s="65"/>
      <c r="J47" s="65"/>
      <c r="K47" s="65"/>
      <c r="L47" s="53" t="str">
        <f>IFERROR(VLOOKUP(Table4101112[[#This Row],[Vendor_ID]],vendorsdata[#All],4,0),"")</f>
        <v/>
      </c>
      <c r="M47" s="53" t="str">
        <f>IFERROR(VLOOKUP(Table4101112[[#This Row],[Vendor_ID]],vendorsdata[#All],6,0),"")</f>
        <v/>
      </c>
    </row>
    <row r="48" spans="4:13" x14ac:dyDescent="0.4">
      <c r="D48" s="53" t="str">
        <f t="shared" si="0"/>
        <v>WHOUSE0043</v>
      </c>
      <c r="E48" s="65"/>
      <c r="F48" s="65"/>
      <c r="G48" s="65"/>
      <c r="H48" s="65"/>
      <c r="I48" s="65"/>
      <c r="J48" s="65"/>
      <c r="K48" s="65"/>
      <c r="L48" s="53" t="str">
        <f>IFERROR(VLOOKUP(Table4101112[[#This Row],[Vendor_ID]],vendorsdata[#All],4,0),"")</f>
        <v/>
      </c>
      <c r="M48" s="53" t="str">
        <f>IFERROR(VLOOKUP(Table4101112[[#This Row],[Vendor_ID]],vendorsdata[#All],6,0),"")</f>
        <v/>
      </c>
    </row>
    <row r="49" spans="4:13" x14ac:dyDescent="0.4">
      <c r="D49" s="53" t="str">
        <f t="shared" si="0"/>
        <v>WHOUSE0044</v>
      </c>
      <c r="E49" s="65"/>
      <c r="F49" s="65"/>
      <c r="G49" s="65"/>
      <c r="H49" s="65"/>
      <c r="I49" s="65"/>
      <c r="J49" s="65"/>
      <c r="K49" s="65"/>
      <c r="L49" s="53" t="str">
        <f>IFERROR(VLOOKUP(Table4101112[[#This Row],[Vendor_ID]],vendorsdata[#All],4,0),"")</f>
        <v/>
      </c>
      <c r="M49" s="53" t="str">
        <f>IFERROR(VLOOKUP(Table4101112[[#This Row],[Vendor_ID]],vendorsdata[#All],6,0),"")</f>
        <v/>
      </c>
    </row>
    <row r="50" spans="4:13" x14ac:dyDescent="0.4">
      <c r="D50" s="53" t="str">
        <f t="shared" si="0"/>
        <v>WHOUSE0045</v>
      </c>
      <c r="E50" s="65"/>
      <c r="F50" s="65"/>
      <c r="G50" s="65"/>
      <c r="H50" s="65"/>
      <c r="I50" s="65"/>
      <c r="J50" s="65"/>
      <c r="K50" s="65"/>
      <c r="L50" s="53" t="str">
        <f>IFERROR(VLOOKUP(Table4101112[[#This Row],[Vendor_ID]],vendorsdata[#All],4,0),"")</f>
        <v/>
      </c>
      <c r="M50" s="53" t="str">
        <f>IFERROR(VLOOKUP(Table4101112[[#This Row],[Vendor_ID]],vendorsdata[#All],6,0),"")</f>
        <v/>
      </c>
    </row>
    <row r="51" spans="4:13" x14ac:dyDescent="0.4">
      <c r="D51" s="53" t="str">
        <f t="shared" si="0"/>
        <v>WHOUSE0046</v>
      </c>
      <c r="E51" s="65"/>
      <c r="F51" s="65"/>
      <c r="G51" s="65"/>
      <c r="H51" s="65"/>
      <c r="I51" s="65"/>
      <c r="J51" s="65"/>
      <c r="K51" s="65"/>
      <c r="L51" s="53" t="str">
        <f>IFERROR(VLOOKUP(Table4101112[[#This Row],[Vendor_ID]],vendorsdata[#All],4,0),"")</f>
        <v/>
      </c>
      <c r="M51" s="53" t="str">
        <f>IFERROR(VLOOKUP(Table4101112[[#This Row],[Vendor_ID]],vendorsdata[#All],6,0),"")</f>
        <v/>
      </c>
    </row>
    <row r="52" spans="4:13" x14ac:dyDescent="0.4">
      <c r="D52" s="53" t="str">
        <f t="shared" si="0"/>
        <v>WHOUSE0047</v>
      </c>
      <c r="E52" s="65"/>
      <c r="F52" s="65"/>
      <c r="G52" s="65"/>
      <c r="H52" s="65"/>
      <c r="I52" s="65"/>
      <c r="J52" s="65"/>
      <c r="K52" s="65"/>
      <c r="L52" s="53" t="str">
        <f>IFERROR(VLOOKUP(Table4101112[[#This Row],[Vendor_ID]],vendorsdata[#All],4,0),"")</f>
        <v/>
      </c>
      <c r="M52" s="53" t="str">
        <f>IFERROR(VLOOKUP(Table4101112[[#This Row],[Vendor_ID]],vendorsdata[#All],6,0),"")</f>
        <v/>
      </c>
    </row>
  </sheetData>
  <sheetProtection algorithmName="SHA-512" hashValue="BT9zD7f5Ycpe8/UxLJ7poCK2/pyCPdTbVbGf1F2J/Z697Uzt5wJFgo0LUoXzfg65aKYghYXCswjTmee3lBjKig==" saltValue="jF9+Yx2bRVP2nTy7gE5W5A==" spinCount="100000" sheet="1" objects="1" scenarios="1"/>
  <dataValidations count="3">
    <dataValidation type="list" allowBlank="1" showInputMessage="1" showErrorMessage="1" sqref="K6:K52" xr:uid="{43C03B2D-9527-4245-B0E2-91D8417550A8}">
      <formula1>vendid</formula1>
    </dataValidation>
    <dataValidation type="list" allowBlank="1" showInputMessage="1" showErrorMessage="1" sqref="G6:G52" xr:uid="{268AE162-788C-427C-AFCB-B2E6FE087F62}">
      <formula1>countrylist</formula1>
    </dataValidation>
    <dataValidation type="list" allowBlank="1" showInputMessage="1" showErrorMessage="1" sqref="H6:H52" xr:uid="{658F868A-25B0-4EF8-94E7-B52AA60703FF}">
      <formula1>statelist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7061F-CBA3-4504-BC2C-DA95F16B090D}">
  <dimension ref="B1:J52"/>
  <sheetViews>
    <sheetView zoomScale="86" zoomScaleNormal="86" workbookViewId="0">
      <selection activeCell="F11" sqref="F11"/>
    </sheetView>
  </sheetViews>
  <sheetFormatPr defaultColWidth="8.78515625" defaultRowHeight="26.25" x14ac:dyDescent="0.4"/>
  <cols>
    <col min="1" max="1" width="1.640625" style="1" customWidth="1"/>
    <col min="2" max="2" width="14.5" customWidth="1"/>
    <col min="3" max="3" width="1.7109375" style="1" customWidth="1"/>
    <col min="4" max="4" width="14.92578125" style="1" bestFit="1" customWidth="1"/>
    <col min="5" max="5" width="15" style="1" bestFit="1" customWidth="1"/>
    <col min="6" max="6" width="11.640625" style="1" bestFit="1" customWidth="1"/>
    <col min="7" max="7" width="15.7109375" style="1" customWidth="1"/>
    <col min="8" max="8" width="19.5703125" style="1" customWidth="1"/>
    <col min="9" max="9" width="11.5" style="1" bestFit="1" customWidth="1"/>
    <col min="10" max="16384" width="8.78515625" style="1"/>
  </cols>
  <sheetData>
    <row r="1" spans="2:10" x14ac:dyDescent="0.4">
      <c r="B1" s="1"/>
    </row>
    <row r="2" spans="2:10" x14ac:dyDescent="0.4">
      <c r="B2" s="13"/>
    </row>
    <row r="3" spans="2:10" x14ac:dyDescent="0.4">
      <c r="B3" s="14"/>
    </row>
    <row r="4" spans="2:10" x14ac:dyDescent="0.4">
      <c r="B4" s="14"/>
    </row>
    <row r="5" spans="2:10" s="23" customFormat="1" x14ac:dyDescent="0.4">
      <c r="B5" s="39"/>
      <c r="D5" s="36" t="s">
        <v>550</v>
      </c>
      <c r="E5" s="36" t="s">
        <v>551</v>
      </c>
      <c r="F5" s="36" t="s">
        <v>552</v>
      </c>
      <c r="G5" s="36" t="s">
        <v>553</v>
      </c>
      <c r="H5" s="36" t="s">
        <v>554</v>
      </c>
      <c r="I5" s="36" t="s">
        <v>218</v>
      </c>
      <c r="J5" s="36" t="s">
        <v>555</v>
      </c>
    </row>
    <row r="6" spans="2:10" x14ac:dyDescent="0.4">
      <c r="B6" s="14"/>
      <c r="D6" s="36" t="str">
        <f t="shared" ref="D6:D52" ca="1" si="0">"ACTRANSID-" &amp; YEAR(TODAY()) &amp; "-" &amp; TEXT(ROW()-1,"0000")</f>
        <v>ACTRANSID-2025-0005</v>
      </c>
      <c r="E6" s="36" t="s">
        <v>556</v>
      </c>
      <c r="F6" s="36" t="s">
        <v>558</v>
      </c>
      <c r="G6" s="40">
        <v>100001</v>
      </c>
      <c r="H6" s="43">
        <f>(Table4101113[[#This Row],[Opening Balance]]-Table729[[#This Row],[Debits]])+Table729[[#This Row],[Credits]]</f>
        <v>96166</v>
      </c>
      <c r="I6" s="41">
        <v>45752</v>
      </c>
      <c r="J6" s="36" t="s">
        <v>116</v>
      </c>
    </row>
    <row r="7" spans="2:10" x14ac:dyDescent="0.4">
      <c r="B7" s="14"/>
      <c r="D7" s="36" t="str">
        <f t="shared" ca="1" si="0"/>
        <v>ACTRANSID-2025-0006</v>
      </c>
      <c r="E7" s="36" t="s">
        <v>556</v>
      </c>
      <c r="F7" s="36" t="s">
        <v>558</v>
      </c>
      <c r="G7" s="40">
        <f>H6</f>
        <v>96166</v>
      </c>
      <c r="H7" s="43">
        <f>(Table4101113[[#This Row],[Opening Balance]]-Table729[[#This Row],[Debits]])+Table729[[#This Row],[Credits]]</f>
        <v>77026</v>
      </c>
      <c r="I7" s="41">
        <v>45752</v>
      </c>
      <c r="J7" s="36" t="s">
        <v>116</v>
      </c>
    </row>
    <row r="8" spans="2:10" x14ac:dyDescent="0.4">
      <c r="B8" s="14"/>
      <c r="D8" s="36" t="str">
        <f t="shared" ca="1" si="0"/>
        <v>ACTRANSID-2025-0007</v>
      </c>
      <c r="E8" s="36"/>
      <c r="F8" s="36"/>
      <c r="G8" s="40">
        <f t="shared" ref="G8:G52" si="1">H7</f>
        <v>77026</v>
      </c>
      <c r="H8" s="43">
        <f>(Table4101113[[#This Row],[Opening Balance]]-Table729[[#This Row],[Debits]])+Table729[[#This Row],[Credits]]</f>
        <v>77026</v>
      </c>
      <c r="I8" s="36"/>
      <c r="J8" s="36"/>
    </row>
    <row r="9" spans="2:10" x14ac:dyDescent="0.4">
      <c r="B9" s="14"/>
      <c r="D9" s="36" t="str">
        <f t="shared" ca="1" si="0"/>
        <v>ACTRANSID-2025-0008</v>
      </c>
      <c r="E9" s="36"/>
      <c r="F9" s="36"/>
      <c r="G9" s="40">
        <f t="shared" si="1"/>
        <v>77026</v>
      </c>
      <c r="H9" s="43">
        <f>(Table4101113[[#This Row],[Opening Balance]]-Table729[[#This Row],[Debits]])+Table729[[#This Row],[Credits]]</f>
        <v>77026</v>
      </c>
      <c r="I9" s="36"/>
      <c r="J9" s="36"/>
    </row>
    <row r="10" spans="2:10" x14ac:dyDescent="0.4">
      <c r="B10" s="14" t="s">
        <v>0</v>
      </c>
      <c r="D10" s="36" t="str">
        <f t="shared" ca="1" si="0"/>
        <v>ACTRANSID-2025-0009</v>
      </c>
      <c r="E10" s="36"/>
      <c r="F10" s="36"/>
      <c r="G10" s="40">
        <f t="shared" si="1"/>
        <v>77026</v>
      </c>
      <c r="H10" s="43">
        <f>(Table4101113[[#This Row],[Opening Balance]]-Table729[[#This Row],[Debits]])+Table729[[#This Row],[Credits]]</f>
        <v>77026</v>
      </c>
      <c r="I10" s="36"/>
      <c r="J10" s="36"/>
    </row>
    <row r="11" spans="2:10" x14ac:dyDescent="0.4">
      <c r="B11" s="14"/>
      <c r="D11" s="36" t="str">
        <f t="shared" ca="1" si="0"/>
        <v>ACTRANSID-2025-0010</v>
      </c>
      <c r="E11" s="36"/>
      <c r="F11" s="36"/>
      <c r="G11" s="40">
        <f t="shared" si="1"/>
        <v>77026</v>
      </c>
      <c r="H11" s="43">
        <f>(Table4101113[[#This Row],[Opening Balance]]-Table729[[#This Row],[Debits]])+Table729[[#This Row],[Credits]]</f>
        <v>77026</v>
      </c>
      <c r="I11" s="36"/>
      <c r="J11" s="36"/>
    </row>
    <row r="12" spans="2:10" x14ac:dyDescent="0.4">
      <c r="B12" s="14"/>
      <c r="D12" s="36" t="str">
        <f t="shared" ca="1" si="0"/>
        <v>ACTRANSID-2025-0011</v>
      </c>
      <c r="E12" s="36"/>
      <c r="F12" s="36"/>
      <c r="G12" s="40">
        <f t="shared" si="1"/>
        <v>77026</v>
      </c>
      <c r="H12" s="43">
        <f>(Table4101113[[#This Row],[Opening Balance]]-Table729[[#This Row],[Debits]])+Table729[[#This Row],[Credits]]</f>
        <v>77026</v>
      </c>
      <c r="I12" s="36"/>
      <c r="J12" s="36"/>
    </row>
    <row r="13" spans="2:10" x14ac:dyDescent="0.4">
      <c r="B13" s="14"/>
      <c r="D13" s="36" t="str">
        <f t="shared" ca="1" si="0"/>
        <v>ACTRANSID-2025-0012</v>
      </c>
      <c r="E13" s="36"/>
      <c r="F13" s="36"/>
      <c r="G13" s="40">
        <f t="shared" si="1"/>
        <v>77026</v>
      </c>
      <c r="H13" s="43">
        <f>(Table4101113[[#This Row],[Opening Balance]]-Table729[[#This Row],[Debits]])+Table729[[#This Row],[Credits]]</f>
        <v>77026</v>
      </c>
      <c r="I13" s="36"/>
      <c r="J13" s="36"/>
    </row>
    <row r="14" spans="2:10" x14ac:dyDescent="0.4">
      <c r="B14" s="14"/>
      <c r="D14" s="36" t="str">
        <f t="shared" ca="1" si="0"/>
        <v>ACTRANSID-2025-0013</v>
      </c>
      <c r="E14" s="36"/>
      <c r="F14" s="36"/>
      <c r="G14" s="40">
        <f t="shared" si="1"/>
        <v>77026</v>
      </c>
      <c r="H14" s="43">
        <f>(Table4101113[[#This Row],[Opening Balance]]-Table729[[#This Row],[Debits]])+Table729[[#This Row],[Credits]]</f>
        <v>77026</v>
      </c>
      <c r="I14" s="36"/>
      <c r="J14" s="36"/>
    </row>
    <row r="15" spans="2:10" x14ac:dyDescent="0.4">
      <c r="B15" s="14"/>
      <c r="D15" s="36" t="str">
        <f t="shared" ca="1" si="0"/>
        <v>ACTRANSID-2025-0014</v>
      </c>
      <c r="E15" s="36"/>
      <c r="F15" s="36"/>
      <c r="G15" s="40">
        <f t="shared" si="1"/>
        <v>77026</v>
      </c>
      <c r="H15" s="43">
        <f>(Table4101113[[#This Row],[Opening Balance]]-Table729[[#This Row],[Debits]])+Table729[[#This Row],[Credits]]</f>
        <v>77026</v>
      </c>
      <c r="I15" s="36"/>
      <c r="J15" s="36"/>
    </row>
    <row r="16" spans="2:10" x14ac:dyDescent="0.4">
      <c r="B16" s="14"/>
      <c r="D16" s="36" t="str">
        <f t="shared" ca="1" si="0"/>
        <v>ACTRANSID-2025-0015</v>
      </c>
      <c r="E16" s="36"/>
      <c r="F16" s="36"/>
      <c r="G16" s="40">
        <f t="shared" si="1"/>
        <v>77026</v>
      </c>
      <c r="H16" s="43">
        <f>(Table4101113[[#This Row],[Opening Balance]]-Table729[[#This Row],[Debits]])+Table729[[#This Row],[Credits]]</f>
        <v>77026</v>
      </c>
      <c r="I16" s="36"/>
      <c r="J16" s="36"/>
    </row>
    <row r="17" spans="2:10" x14ac:dyDescent="0.4">
      <c r="B17" s="14"/>
      <c r="D17" s="36" t="str">
        <f t="shared" ca="1" si="0"/>
        <v>ACTRANSID-2025-0016</v>
      </c>
      <c r="E17" s="36"/>
      <c r="F17" s="36"/>
      <c r="G17" s="40">
        <f t="shared" si="1"/>
        <v>77026</v>
      </c>
      <c r="H17" s="43">
        <f>(Table4101113[[#This Row],[Opening Balance]]-Table729[[#This Row],[Debits]])+Table729[[#This Row],[Credits]]</f>
        <v>77026</v>
      </c>
      <c r="I17" s="36"/>
      <c r="J17" s="36"/>
    </row>
    <row r="18" spans="2:10" x14ac:dyDescent="0.4">
      <c r="B18" s="14"/>
      <c r="D18" s="36" t="str">
        <f t="shared" ca="1" si="0"/>
        <v>ACTRANSID-2025-0017</v>
      </c>
      <c r="E18" s="36"/>
      <c r="F18" s="36"/>
      <c r="G18" s="40">
        <f t="shared" si="1"/>
        <v>77026</v>
      </c>
      <c r="H18" s="43">
        <f>(Table4101113[[#This Row],[Opening Balance]]-Table729[[#This Row],[Debits]])+Table729[[#This Row],[Credits]]</f>
        <v>77026</v>
      </c>
      <c r="I18" s="36"/>
      <c r="J18" s="36"/>
    </row>
    <row r="19" spans="2:10" x14ac:dyDescent="0.4">
      <c r="B19" s="15"/>
      <c r="D19" s="36" t="str">
        <f t="shared" ca="1" si="0"/>
        <v>ACTRANSID-2025-0018</v>
      </c>
      <c r="E19" s="36"/>
      <c r="F19" s="36"/>
      <c r="G19" s="40">
        <f t="shared" si="1"/>
        <v>77026</v>
      </c>
      <c r="H19" s="43" t="e">
        <f>(Table4101113[[#This Row],[Opening Balance]]-Table729[[#This Row],[Debits]])+Table729[[#This Row],[Credits]]</f>
        <v>#VALUE!</v>
      </c>
      <c r="I19" s="36"/>
      <c r="J19" s="36"/>
    </row>
    <row r="20" spans="2:10" x14ac:dyDescent="0.4">
      <c r="B20" s="8"/>
      <c r="D20" s="36" t="str">
        <f t="shared" ca="1" si="0"/>
        <v>ACTRANSID-2025-0019</v>
      </c>
      <c r="E20" s="36"/>
      <c r="F20" s="36"/>
      <c r="G20" s="40" t="e">
        <f t="shared" si="1"/>
        <v>#VALUE!</v>
      </c>
      <c r="H20" s="43" t="e">
        <f>(Table4101113[[#This Row],[Opening Balance]]-Table729[[#This Row],[Debits]])+Table729[[#This Row],[Credits]]</f>
        <v>#VALUE!</v>
      </c>
      <c r="I20" s="36"/>
      <c r="J20" s="36"/>
    </row>
    <row r="21" spans="2:10" x14ac:dyDescent="0.4">
      <c r="B21" s="8"/>
      <c r="D21" s="36" t="str">
        <f t="shared" ca="1" si="0"/>
        <v>ACTRANSID-2025-0020</v>
      </c>
      <c r="E21" s="36"/>
      <c r="F21" s="36"/>
      <c r="G21" s="40" t="e">
        <f t="shared" si="1"/>
        <v>#VALUE!</v>
      </c>
      <c r="H21" s="43" t="e">
        <f>(Table4101113[[#This Row],[Opening Balance]]-Table729[[#This Row],[Debits]])+Table729[[#This Row],[Credits]]</f>
        <v>#VALUE!</v>
      </c>
      <c r="I21" s="36"/>
      <c r="J21" s="36"/>
    </row>
    <row r="22" spans="2:10" x14ac:dyDescent="0.4">
      <c r="D22" s="36" t="str">
        <f t="shared" ca="1" si="0"/>
        <v>ACTRANSID-2025-0021</v>
      </c>
      <c r="E22" s="36"/>
      <c r="F22" s="36"/>
      <c r="G22" s="40" t="e">
        <f t="shared" si="1"/>
        <v>#VALUE!</v>
      </c>
      <c r="H22" s="43" t="e">
        <f>(Table4101113[[#This Row],[Opening Balance]]-Table729[[#This Row],[Debits]])+Table729[[#This Row],[Credits]]</f>
        <v>#VALUE!</v>
      </c>
      <c r="I22" s="36"/>
      <c r="J22" s="36"/>
    </row>
    <row r="23" spans="2:10" x14ac:dyDescent="0.4">
      <c r="D23" s="36" t="str">
        <f t="shared" ca="1" si="0"/>
        <v>ACTRANSID-2025-0022</v>
      </c>
      <c r="E23" s="36"/>
      <c r="F23" s="36"/>
      <c r="G23" s="40" t="e">
        <f t="shared" si="1"/>
        <v>#VALUE!</v>
      </c>
      <c r="H23" s="43" t="e">
        <f>(Table4101113[[#This Row],[Opening Balance]]-Table729[[#This Row],[Debits]])+Table729[[#This Row],[Credits]]</f>
        <v>#VALUE!</v>
      </c>
      <c r="I23" s="36"/>
      <c r="J23" s="36"/>
    </row>
    <row r="24" spans="2:10" x14ac:dyDescent="0.4">
      <c r="D24" s="36" t="str">
        <f t="shared" ca="1" si="0"/>
        <v>ACTRANSID-2025-0023</v>
      </c>
      <c r="E24" s="36"/>
      <c r="F24" s="36"/>
      <c r="G24" s="40" t="e">
        <f t="shared" si="1"/>
        <v>#VALUE!</v>
      </c>
      <c r="H24" s="43" t="e">
        <f>(Table4101113[[#This Row],[Opening Balance]]-Table729[[#This Row],[Debits]])+Table729[[#This Row],[Credits]]</f>
        <v>#VALUE!</v>
      </c>
      <c r="I24" s="36"/>
      <c r="J24" s="36"/>
    </row>
    <row r="25" spans="2:10" x14ac:dyDescent="0.4">
      <c r="D25" s="36" t="str">
        <f t="shared" ca="1" si="0"/>
        <v>ACTRANSID-2025-0024</v>
      </c>
      <c r="E25" s="36"/>
      <c r="F25" s="36"/>
      <c r="G25" s="40" t="e">
        <f t="shared" si="1"/>
        <v>#VALUE!</v>
      </c>
      <c r="H25" s="43" t="e">
        <f>(Table4101113[[#This Row],[Opening Balance]]-Table729[[#This Row],[Debits]])+Table729[[#This Row],[Credits]]</f>
        <v>#VALUE!</v>
      </c>
      <c r="I25" s="36"/>
      <c r="J25" s="36"/>
    </row>
    <row r="26" spans="2:10" x14ac:dyDescent="0.4">
      <c r="D26" s="36" t="str">
        <f t="shared" ca="1" si="0"/>
        <v>ACTRANSID-2025-0025</v>
      </c>
      <c r="E26" s="36"/>
      <c r="F26" s="36"/>
      <c r="G26" s="40" t="e">
        <f t="shared" si="1"/>
        <v>#VALUE!</v>
      </c>
      <c r="H26" s="43" t="e">
        <f>(Table4101113[[#This Row],[Opening Balance]]-Table729[[#This Row],[Debits]])+Table729[[#This Row],[Credits]]</f>
        <v>#VALUE!</v>
      </c>
      <c r="I26" s="36"/>
      <c r="J26" s="36"/>
    </row>
    <row r="27" spans="2:10" x14ac:dyDescent="0.4">
      <c r="D27" s="36" t="str">
        <f t="shared" ca="1" si="0"/>
        <v>ACTRANSID-2025-0026</v>
      </c>
      <c r="E27" s="36"/>
      <c r="F27" s="36"/>
      <c r="G27" s="40" t="e">
        <f t="shared" si="1"/>
        <v>#VALUE!</v>
      </c>
      <c r="H27" s="43" t="e">
        <f>(Table4101113[[#This Row],[Opening Balance]]-Table729[[#This Row],[Debits]])+Table729[[#This Row],[Credits]]</f>
        <v>#VALUE!</v>
      </c>
      <c r="I27" s="36"/>
      <c r="J27" s="36"/>
    </row>
    <row r="28" spans="2:10" x14ac:dyDescent="0.4">
      <c r="D28" s="36" t="str">
        <f t="shared" ca="1" si="0"/>
        <v>ACTRANSID-2025-0027</v>
      </c>
      <c r="E28" s="36"/>
      <c r="F28" s="36"/>
      <c r="G28" s="40" t="e">
        <f t="shared" si="1"/>
        <v>#VALUE!</v>
      </c>
      <c r="H28" s="43" t="e">
        <f>(Table4101113[[#This Row],[Opening Balance]]-Table729[[#This Row],[Debits]])+Table729[[#This Row],[Credits]]</f>
        <v>#VALUE!</v>
      </c>
      <c r="I28" s="36"/>
      <c r="J28" s="36"/>
    </row>
    <row r="29" spans="2:10" x14ac:dyDescent="0.4">
      <c r="D29" s="36" t="str">
        <f t="shared" ca="1" si="0"/>
        <v>ACTRANSID-2025-0028</v>
      </c>
      <c r="E29" s="36"/>
      <c r="F29" s="36"/>
      <c r="G29" s="40" t="e">
        <f t="shared" si="1"/>
        <v>#VALUE!</v>
      </c>
      <c r="H29" s="43" t="e">
        <f>(Table4101113[[#This Row],[Opening Balance]]-Table729[[#This Row],[Debits]])+Table729[[#This Row],[Credits]]</f>
        <v>#VALUE!</v>
      </c>
      <c r="I29" s="36"/>
      <c r="J29" s="36"/>
    </row>
    <row r="30" spans="2:10" x14ac:dyDescent="0.4">
      <c r="D30" s="36" t="str">
        <f t="shared" ca="1" si="0"/>
        <v>ACTRANSID-2025-0029</v>
      </c>
      <c r="E30" s="36"/>
      <c r="F30" s="36"/>
      <c r="G30" s="40" t="e">
        <f t="shared" si="1"/>
        <v>#VALUE!</v>
      </c>
      <c r="H30" s="43" t="e">
        <f>(Table4101113[[#This Row],[Opening Balance]]-Table729[[#This Row],[Debits]])+Table729[[#This Row],[Credits]]</f>
        <v>#VALUE!</v>
      </c>
      <c r="I30" s="36"/>
      <c r="J30" s="36"/>
    </row>
    <row r="31" spans="2:10" x14ac:dyDescent="0.4">
      <c r="D31" s="36" t="str">
        <f t="shared" ca="1" si="0"/>
        <v>ACTRANSID-2025-0030</v>
      </c>
      <c r="E31" s="36"/>
      <c r="F31" s="36"/>
      <c r="G31" s="40" t="e">
        <f t="shared" si="1"/>
        <v>#VALUE!</v>
      </c>
      <c r="H31" s="43" t="e">
        <f>(Table4101113[[#This Row],[Opening Balance]]-Table729[[#This Row],[Debits]])+Table729[[#This Row],[Credits]]</f>
        <v>#VALUE!</v>
      </c>
      <c r="I31" s="36"/>
      <c r="J31" s="36"/>
    </row>
    <row r="32" spans="2:10" x14ac:dyDescent="0.4">
      <c r="D32" s="36" t="str">
        <f t="shared" ca="1" si="0"/>
        <v>ACTRANSID-2025-0031</v>
      </c>
      <c r="E32" s="36"/>
      <c r="F32" s="36"/>
      <c r="G32" s="40" t="e">
        <f t="shared" si="1"/>
        <v>#VALUE!</v>
      </c>
      <c r="H32" s="43" t="e">
        <f>(Table4101113[[#This Row],[Opening Balance]]-Table729[[#This Row],[Debits]])+Table729[[#This Row],[Credits]]</f>
        <v>#VALUE!</v>
      </c>
      <c r="I32" s="36"/>
      <c r="J32" s="36"/>
    </row>
    <row r="33" spans="4:10" x14ac:dyDescent="0.4">
      <c r="D33" s="36" t="str">
        <f t="shared" ca="1" si="0"/>
        <v>ACTRANSID-2025-0032</v>
      </c>
      <c r="E33" s="36"/>
      <c r="F33" s="36"/>
      <c r="G33" s="40" t="e">
        <f t="shared" si="1"/>
        <v>#VALUE!</v>
      </c>
      <c r="H33" s="43" t="e">
        <f>(Table4101113[[#This Row],[Opening Balance]]-Table729[[#This Row],[Debits]])+Table729[[#This Row],[Credits]]</f>
        <v>#VALUE!</v>
      </c>
      <c r="I33" s="36"/>
      <c r="J33" s="36"/>
    </row>
    <row r="34" spans="4:10" x14ac:dyDescent="0.4">
      <c r="D34" s="36" t="str">
        <f t="shared" ca="1" si="0"/>
        <v>ACTRANSID-2025-0033</v>
      </c>
      <c r="E34" s="36"/>
      <c r="F34" s="36"/>
      <c r="G34" s="40" t="e">
        <f t="shared" si="1"/>
        <v>#VALUE!</v>
      </c>
      <c r="H34" s="43" t="e">
        <f>(Table4101113[[#This Row],[Opening Balance]]-Table729[[#This Row],[Debits]])+Table729[[#This Row],[Credits]]</f>
        <v>#VALUE!</v>
      </c>
      <c r="I34" s="36"/>
      <c r="J34" s="36"/>
    </row>
    <row r="35" spans="4:10" x14ac:dyDescent="0.4">
      <c r="D35" s="36" t="str">
        <f t="shared" ca="1" si="0"/>
        <v>ACTRANSID-2025-0034</v>
      </c>
      <c r="E35" s="36"/>
      <c r="F35" s="36"/>
      <c r="G35" s="40" t="e">
        <f t="shared" si="1"/>
        <v>#VALUE!</v>
      </c>
      <c r="H35" s="43" t="e">
        <f>(Table4101113[[#This Row],[Opening Balance]]-Table729[[#This Row],[Debits]])+Table729[[#This Row],[Credits]]</f>
        <v>#VALUE!</v>
      </c>
      <c r="I35" s="36"/>
      <c r="J35" s="36"/>
    </row>
    <row r="36" spans="4:10" x14ac:dyDescent="0.4">
      <c r="D36" s="36" t="str">
        <f t="shared" ca="1" si="0"/>
        <v>ACTRANSID-2025-0035</v>
      </c>
      <c r="E36" s="36"/>
      <c r="F36" s="36"/>
      <c r="G36" s="40" t="e">
        <f t="shared" si="1"/>
        <v>#VALUE!</v>
      </c>
      <c r="H36" s="43" t="e">
        <f>(Table4101113[[#This Row],[Opening Balance]]-Table729[[#This Row],[Debits]])+Table729[[#This Row],[Credits]]</f>
        <v>#VALUE!</v>
      </c>
      <c r="I36" s="36"/>
      <c r="J36" s="36"/>
    </row>
    <row r="37" spans="4:10" x14ac:dyDescent="0.4">
      <c r="D37" s="36" t="str">
        <f t="shared" ca="1" si="0"/>
        <v>ACTRANSID-2025-0036</v>
      </c>
      <c r="E37" s="36"/>
      <c r="F37" s="36"/>
      <c r="G37" s="40" t="e">
        <f t="shared" si="1"/>
        <v>#VALUE!</v>
      </c>
      <c r="H37" s="43" t="e">
        <f>(Table4101113[[#This Row],[Opening Balance]]-Table729[[#This Row],[Debits]])+Table729[[#This Row],[Credits]]</f>
        <v>#VALUE!</v>
      </c>
      <c r="I37" s="36"/>
      <c r="J37" s="36"/>
    </row>
    <row r="38" spans="4:10" x14ac:dyDescent="0.4">
      <c r="D38" s="36" t="str">
        <f t="shared" ca="1" si="0"/>
        <v>ACTRANSID-2025-0037</v>
      </c>
      <c r="E38" s="36"/>
      <c r="F38" s="36"/>
      <c r="G38" s="40" t="e">
        <f t="shared" si="1"/>
        <v>#VALUE!</v>
      </c>
      <c r="H38" s="43" t="e">
        <f>(Table4101113[[#This Row],[Opening Balance]]-Table729[[#This Row],[Debits]])+Table729[[#This Row],[Credits]]</f>
        <v>#VALUE!</v>
      </c>
      <c r="I38" s="36"/>
      <c r="J38" s="36"/>
    </row>
    <row r="39" spans="4:10" x14ac:dyDescent="0.4">
      <c r="D39" s="36" t="str">
        <f t="shared" ca="1" si="0"/>
        <v>ACTRANSID-2025-0038</v>
      </c>
      <c r="E39" s="36"/>
      <c r="F39" s="36"/>
      <c r="G39" s="40" t="e">
        <f t="shared" si="1"/>
        <v>#VALUE!</v>
      </c>
      <c r="H39" s="43" t="e">
        <f>(Table4101113[[#This Row],[Opening Balance]]-Table729[[#This Row],[Debits]])+Table729[[#This Row],[Credits]]</f>
        <v>#VALUE!</v>
      </c>
      <c r="I39" s="36"/>
      <c r="J39" s="36"/>
    </row>
    <row r="40" spans="4:10" x14ac:dyDescent="0.4">
      <c r="D40" s="36" t="str">
        <f t="shared" ca="1" si="0"/>
        <v>ACTRANSID-2025-0039</v>
      </c>
      <c r="E40" s="36"/>
      <c r="F40" s="36"/>
      <c r="G40" s="40" t="e">
        <f t="shared" si="1"/>
        <v>#VALUE!</v>
      </c>
      <c r="H40" s="43" t="e">
        <f>(Table4101113[[#This Row],[Opening Balance]]-Table729[[#This Row],[Debits]])+Table729[[#This Row],[Credits]]</f>
        <v>#VALUE!</v>
      </c>
      <c r="I40" s="36"/>
      <c r="J40" s="36"/>
    </row>
    <row r="41" spans="4:10" x14ac:dyDescent="0.4">
      <c r="D41" s="36" t="str">
        <f t="shared" ca="1" si="0"/>
        <v>ACTRANSID-2025-0040</v>
      </c>
      <c r="E41" s="36"/>
      <c r="F41" s="36"/>
      <c r="G41" s="40" t="e">
        <f t="shared" si="1"/>
        <v>#VALUE!</v>
      </c>
      <c r="H41" s="43" t="e">
        <f>(Table4101113[[#This Row],[Opening Balance]]-Table729[[#This Row],[Debits]])+Table729[[#This Row],[Credits]]</f>
        <v>#VALUE!</v>
      </c>
      <c r="I41" s="36"/>
      <c r="J41" s="36"/>
    </row>
    <row r="42" spans="4:10" x14ac:dyDescent="0.4">
      <c r="D42" s="36" t="str">
        <f t="shared" ca="1" si="0"/>
        <v>ACTRANSID-2025-0041</v>
      </c>
      <c r="E42" s="36"/>
      <c r="F42" s="36"/>
      <c r="G42" s="40" t="e">
        <f t="shared" si="1"/>
        <v>#VALUE!</v>
      </c>
      <c r="H42" s="43" t="e">
        <f>(Table4101113[[#This Row],[Opening Balance]]-Table729[[#This Row],[Debits]])+Table729[[#This Row],[Credits]]</f>
        <v>#VALUE!</v>
      </c>
      <c r="I42" s="36"/>
      <c r="J42" s="36"/>
    </row>
    <row r="43" spans="4:10" x14ac:dyDescent="0.4">
      <c r="D43" s="36" t="str">
        <f t="shared" ca="1" si="0"/>
        <v>ACTRANSID-2025-0042</v>
      </c>
      <c r="E43" s="36"/>
      <c r="F43" s="36"/>
      <c r="G43" s="40" t="e">
        <f t="shared" si="1"/>
        <v>#VALUE!</v>
      </c>
      <c r="H43" s="43" t="e">
        <f>(Table4101113[[#This Row],[Opening Balance]]-Table729[[#This Row],[Debits]])+Table729[[#This Row],[Credits]]</f>
        <v>#VALUE!</v>
      </c>
      <c r="I43" s="36"/>
      <c r="J43" s="36"/>
    </row>
    <row r="44" spans="4:10" x14ac:dyDescent="0.4">
      <c r="D44" s="36" t="str">
        <f t="shared" ca="1" si="0"/>
        <v>ACTRANSID-2025-0043</v>
      </c>
      <c r="E44" s="36"/>
      <c r="F44" s="36"/>
      <c r="G44" s="40" t="e">
        <f t="shared" si="1"/>
        <v>#VALUE!</v>
      </c>
      <c r="H44" s="43" t="e">
        <f>(Table4101113[[#This Row],[Opening Balance]]-Table729[[#This Row],[Debits]])+Table729[[#This Row],[Credits]]</f>
        <v>#VALUE!</v>
      </c>
      <c r="I44" s="36"/>
      <c r="J44" s="36"/>
    </row>
    <row r="45" spans="4:10" x14ac:dyDescent="0.4">
      <c r="D45" s="36" t="str">
        <f t="shared" ca="1" si="0"/>
        <v>ACTRANSID-2025-0044</v>
      </c>
      <c r="E45" s="36"/>
      <c r="F45" s="36"/>
      <c r="G45" s="40" t="e">
        <f t="shared" si="1"/>
        <v>#VALUE!</v>
      </c>
      <c r="H45" s="43" t="e">
        <f>(Table4101113[[#This Row],[Opening Balance]]-Table729[[#This Row],[Debits]])+Table729[[#This Row],[Credits]]</f>
        <v>#VALUE!</v>
      </c>
      <c r="I45" s="36"/>
      <c r="J45" s="36"/>
    </row>
    <row r="46" spans="4:10" x14ac:dyDescent="0.4">
      <c r="D46" s="36" t="str">
        <f t="shared" ca="1" si="0"/>
        <v>ACTRANSID-2025-0045</v>
      </c>
      <c r="E46" s="36"/>
      <c r="F46" s="36"/>
      <c r="G46" s="40" t="e">
        <f t="shared" si="1"/>
        <v>#VALUE!</v>
      </c>
      <c r="H46" s="43" t="e">
        <f>(Table4101113[[#This Row],[Opening Balance]]-Table729[[#This Row],[Debits]])+Table729[[#This Row],[Credits]]</f>
        <v>#VALUE!</v>
      </c>
      <c r="I46" s="36"/>
      <c r="J46" s="36"/>
    </row>
    <row r="47" spans="4:10" x14ac:dyDescent="0.4">
      <c r="D47" s="36" t="str">
        <f t="shared" ca="1" si="0"/>
        <v>ACTRANSID-2025-0046</v>
      </c>
      <c r="E47" s="36"/>
      <c r="F47" s="36"/>
      <c r="G47" s="40" t="e">
        <f t="shared" si="1"/>
        <v>#VALUE!</v>
      </c>
      <c r="H47" s="43" t="e">
        <f>(Table4101113[[#This Row],[Opening Balance]]-Table729[[#This Row],[Debits]])+Table729[[#This Row],[Credits]]</f>
        <v>#VALUE!</v>
      </c>
      <c r="I47" s="36"/>
      <c r="J47" s="36"/>
    </row>
    <row r="48" spans="4:10" x14ac:dyDescent="0.4">
      <c r="D48" s="36" t="str">
        <f t="shared" ca="1" si="0"/>
        <v>ACTRANSID-2025-0047</v>
      </c>
      <c r="E48" s="36"/>
      <c r="F48" s="36"/>
      <c r="G48" s="40" t="e">
        <f t="shared" si="1"/>
        <v>#VALUE!</v>
      </c>
      <c r="H48" s="43" t="e">
        <f>(Table4101113[[#This Row],[Opening Balance]]-Table729[[#This Row],[Debits]])+Table729[[#This Row],[Credits]]</f>
        <v>#VALUE!</v>
      </c>
      <c r="I48" s="36"/>
      <c r="J48" s="36"/>
    </row>
    <row r="49" spans="4:10" x14ac:dyDescent="0.4">
      <c r="D49" s="36" t="str">
        <f t="shared" ca="1" si="0"/>
        <v>ACTRANSID-2025-0048</v>
      </c>
      <c r="E49" s="36"/>
      <c r="F49" s="36"/>
      <c r="G49" s="40" t="e">
        <f t="shared" si="1"/>
        <v>#VALUE!</v>
      </c>
      <c r="H49" s="43" t="e">
        <f>(Table4101113[[#This Row],[Opening Balance]]-Table729[[#This Row],[Debits]])+Table729[[#This Row],[Credits]]</f>
        <v>#VALUE!</v>
      </c>
      <c r="I49" s="36"/>
      <c r="J49" s="36"/>
    </row>
    <row r="50" spans="4:10" x14ac:dyDescent="0.4">
      <c r="D50" s="36" t="str">
        <f t="shared" ca="1" si="0"/>
        <v>ACTRANSID-2025-0049</v>
      </c>
      <c r="E50" s="36"/>
      <c r="F50" s="36"/>
      <c r="G50" s="40" t="e">
        <f t="shared" si="1"/>
        <v>#VALUE!</v>
      </c>
      <c r="H50" s="43" t="e">
        <f>(Table4101113[[#This Row],[Opening Balance]]-Table729[[#This Row],[Debits]])+Table729[[#This Row],[Credits]]</f>
        <v>#VALUE!</v>
      </c>
      <c r="I50" s="36"/>
      <c r="J50" s="36"/>
    </row>
    <row r="51" spans="4:10" x14ac:dyDescent="0.4">
      <c r="D51" s="36" t="str">
        <f t="shared" ca="1" si="0"/>
        <v>ACTRANSID-2025-0050</v>
      </c>
      <c r="E51" s="36"/>
      <c r="F51" s="36"/>
      <c r="G51" s="40" t="e">
        <f t="shared" si="1"/>
        <v>#VALUE!</v>
      </c>
      <c r="H51" s="43" t="e">
        <f>(Table4101113[[#This Row],[Opening Balance]]-Table729[[#This Row],[Debits]])+Table729[[#This Row],[Credits]]</f>
        <v>#VALUE!</v>
      </c>
      <c r="I51" s="36"/>
      <c r="J51" s="36"/>
    </row>
    <row r="52" spans="4:10" x14ac:dyDescent="0.4">
      <c r="D52" s="36" t="str">
        <f t="shared" ca="1" si="0"/>
        <v>ACTRANSID-2025-0051</v>
      </c>
      <c r="E52" s="36"/>
      <c r="F52" s="36"/>
      <c r="G52" s="40" t="e">
        <f t="shared" si="1"/>
        <v>#VALUE!</v>
      </c>
      <c r="H52" s="43" t="e">
        <f>(Table4101113[[#This Row],[Opening Balance]]-Table729[[#This Row],[Debits]])+Table729[[#This Row],[Credits]]</f>
        <v>#VALUE!</v>
      </c>
      <c r="I52" s="36"/>
      <c r="J52" s="36"/>
    </row>
  </sheetData>
  <sheetProtection algorithmName="SHA-512" hashValue="2Q0ILZx7NYtr4vyyz5vAgwzphpQx/XKZ14Jz0H1S6ry4uS5nhwZ5UmomoI4/RV9ehCD3LOcD6+YYX54KoeaBYg==" saltValue="K3j61GgpDRUFbQxNW7nOag==" spinCount="100000" sheet="1" objects="1" scenarios="1"/>
  <dataValidations count="3">
    <dataValidation type="list" allowBlank="1" showInputMessage="1" showErrorMessage="1" sqref="E6:E52" xr:uid="{B8441901-058A-4E20-B5CA-3CC198ADDC56}">
      <formula1>accountname</formula1>
    </dataValidation>
    <dataValidation type="list" allowBlank="1" showInputMessage="1" showErrorMessage="1" sqref="F6:F52" xr:uid="{E81F347F-1A39-4817-8F87-2D85436F0E7A}">
      <formula1>accounttype</formula1>
    </dataValidation>
    <dataValidation type="list" allowBlank="1" showInputMessage="1" showErrorMessage="1" sqref="J6:J52" xr:uid="{DFF60304-49E7-41DB-8E17-4B24FABB8253}">
      <formula1>accountstatus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F53ED-5DF9-41AD-951B-313755E0DA2A}">
  <dimension ref="B1:J52"/>
  <sheetViews>
    <sheetView zoomScale="86" zoomScaleNormal="86" workbookViewId="0">
      <selection activeCell="I6" sqref="I6"/>
    </sheetView>
  </sheetViews>
  <sheetFormatPr defaultColWidth="8.78515625" defaultRowHeight="26.25" x14ac:dyDescent="0.4"/>
  <cols>
    <col min="1" max="1" width="1.640625" style="1" customWidth="1"/>
    <col min="2" max="2" width="14.5" customWidth="1"/>
    <col min="3" max="3" width="1.7109375" style="1" customWidth="1"/>
    <col min="4" max="4" width="11.78515625" style="1" bestFit="1" customWidth="1"/>
    <col min="5" max="5" width="11.78515625" style="1" customWidth="1"/>
    <col min="6" max="6" width="24.0703125" style="1" bestFit="1" customWidth="1"/>
    <col min="7" max="7" width="17.0703125" style="1" customWidth="1"/>
    <col min="8" max="8" width="11.92578125" style="1" customWidth="1"/>
    <col min="9" max="9" width="11.2109375" style="1" bestFit="1" customWidth="1"/>
    <col min="10" max="10" width="16.42578125" style="1" bestFit="1" customWidth="1"/>
    <col min="11" max="16384" width="8.78515625" style="1"/>
  </cols>
  <sheetData>
    <row r="1" spans="2:10" x14ac:dyDescent="0.4">
      <c r="B1" s="1"/>
    </row>
    <row r="2" spans="2:10" x14ac:dyDescent="0.4">
      <c r="B2" s="13"/>
    </row>
    <row r="3" spans="2:10" x14ac:dyDescent="0.4">
      <c r="B3" s="14"/>
    </row>
    <row r="4" spans="2:10" x14ac:dyDescent="0.4">
      <c r="B4" s="14"/>
    </row>
    <row r="5" spans="2:10" x14ac:dyDescent="0.4">
      <c r="B5" s="14"/>
      <c r="D5" s="48" t="s">
        <v>610</v>
      </c>
      <c r="E5" s="48" t="s">
        <v>183</v>
      </c>
      <c r="F5" s="48" t="s">
        <v>4</v>
      </c>
      <c r="G5" s="48" t="s">
        <v>611</v>
      </c>
      <c r="H5" s="48" t="s">
        <v>612</v>
      </c>
      <c r="I5" s="36" t="s">
        <v>613</v>
      </c>
      <c r="J5" s="36" t="s">
        <v>208</v>
      </c>
    </row>
    <row r="6" spans="2:10" x14ac:dyDescent="0.4">
      <c r="B6" s="14"/>
      <c r="D6" s="36" t="str">
        <f t="shared" ref="D6:D52" si="0">"ODID" &amp; TEXT(ROW()-5, "0000")</f>
        <v>ODID0001</v>
      </c>
      <c r="E6" s="36" t="s">
        <v>508</v>
      </c>
      <c r="F6" s="50" t="str">
        <f>IFERROR(VLOOKUP(Table4101115[[#This Row],[Product_ID]],Table4[#All],3,0),"")</f>
        <v>Bamboo Toothbrush Pack of 4</v>
      </c>
      <c r="G6" s="50" t="s">
        <v>615</v>
      </c>
      <c r="H6" s="51">
        <v>500</v>
      </c>
      <c r="I6" s="36" t="s">
        <v>234</v>
      </c>
      <c r="J6" s="41">
        <v>45768</v>
      </c>
    </row>
    <row r="7" spans="2:10" x14ac:dyDescent="0.4">
      <c r="B7" s="14"/>
      <c r="D7" s="36" t="str">
        <f t="shared" si="0"/>
        <v>ODID0002</v>
      </c>
      <c r="E7" s="36" t="s">
        <v>584</v>
      </c>
      <c r="F7" s="50" t="str">
        <f>IFERROR(VLOOKUP(Table4101115[[#This Row],[Product_ID]],Table4[#All],3,0),"")</f>
        <v>Kraftbox</v>
      </c>
      <c r="G7" s="50" t="s">
        <v>615</v>
      </c>
      <c r="H7" s="51">
        <v>4200</v>
      </c>
      <c r="I7" s="36" t="s">
        <v>234</v>
      </c>
      <c r="J7" s="41">
        <v>45768</v>
      </c>
    </row>
    <row r="8" spans="2:10" x14ac:dyDescent="0.4">
      <c r="B8" s="14"/>
      <c r="D8" s="36" t="str">
        <f t="shared" si="0"/>
        <v>ODID0003</v>
      </c>
      <c r="E8" s="36"/>
      <c r="F8" s="50" t="str">
        <f>IFERROR(VLOOKUP(Table4101115[[#This Row],[Product_ID]],Table4[#All],3,0),"")</f>
        <v/>
      </c>
      <c r="G8" s="50"/>
      <c r="H8" s="51"/>
      <c r="I8" s="36"/>
      <c r="J8" s="36"/>
    </row>
    <row r="9" spans="2:10" x14ac:dyDescent="0.4">
      <c r="B9" s="14"/>
      <c r="D9" s="36" t="str">
        <f t="shared" si="0"/>
        <v>ODID0004</v>
      </c>
      <c r="E9" s="36"/>
      <c r="F9" s="50" t="str">
        <f>IFERROR(VLOOKUP(Table4101115[[#This Row],[Product_ID]],Table4[#All],3,0),"")</f>
        <v/>
      </c>
      <c r="G9" s="50"/>
      <c r="H9" s="51"/>
      <c r="I9" s="36"/>
      <c r="J9" s="36"/>
    </row>
    <row r="10" spans="2:10" x14ac:dyDescent="0.4">
      <c r="B10" s="14" t="s">
        <v>0</v>
      </c>
      <c r="D10" s="36" t="str">
        <f t="shared" si="0"/>
        <v>ODID0005</v>
      </c>
      <c r="E10" s="36"/>
      <c r="F10" s="36" t="str">
        <f>IFERROR(VLOOKUP(Table4101115[[#This Row],[Product_ID]],Table4[#All],3,0),"")</f>
        <v/>
      </c>
      <c r="G10" s="36"/>
      <c r="H10" s="52"/>
      <c r="I10" s="36"/>
      <c r="J10" s="36"/>
    </row>
    <row r="11" spans="2:10" x14ac:dyDescent="0.4">
      <c r="B11" s="14"/>
      <c r="D11" s="36" t="str">
        <f t="shared" si="0"/>
        <v>ODID0006</v>
      </c>
      <c r="E11" s="36"/>
      <c r="F11" s="36" t="str">
        <f>IFERROR(VLOOKUP(Table4101115[[#This Row],[Product_ID]],Table4[#All],3,0),"")</f>
        <v/>
      </c>
      <c r="G11" s="36"/>
      <c r="H11" s="52"/>
      <c r="I11" s="36"/>
      <c r="J11" s="36"/>
    </row>
    <row r="12" spans="2:10" x14ac:dyDescent="0.4">
      <c r="B12" s="14"/>
      <c r="D12" s="36" t="str">
        <f t="shared" si="0"/>
        <v>ODID0007</v>
      </c>
      <c r="E12" s="36"/>
      <c r="F12" s="36" t="str">
        <f>IFERROR(VLOOKUP(Table4101115[[#This Row],[Product_ID]],Table4[#All],3,0),"")</f>
        <v/>
      </c>
      <c r="G12" s="36"/>
      <c r="H12" s="52"/>
      <c r="I12" s="36"/>
      <c r="J12" s="36"/>
    </row>
    <row r="13" spans="2:10" x14ac:dyDescent="0.4">
      <c r="B13" s="14"/>
      <c r="D13" s="36" t="str">
        <f t="shared" si="0"/>
        <v>ODID0008</v>
      </c>
      <c r="E13" s="36"/>
      <c r="F13" s="36" t="str">
        <f>IFERROR(VLOOKUP(Table4101115[[#This Row],[Product_ID]],Table4[#All],3,0),"")</f>
        <v/>
      </c>
      <c r="G13" s="36"/>
      <c r="H13" s="52"/>
      <c r="I13" s="36"/>
      <c r="J13" s="36"/>
    </row>
    <row r="14" spans="2:10" x14ac:dyDescent="0.4">
      <c r="B14" s="14"/>
      <c r="D14" s="36" t="str">
        <f t="shared" si="0"/>
        <v>ODID0009</v>
      </c>
      <c r="E14" s="36"/>
      <c r="F14" s="36" t="str">
        <f>IFERROR(VLOOKUP(Table4101115[[#This Row],[Product_ID]],Table4[#All],3,0),"")</f>
        <v/>
      </c>
      <c r="G14" s="36"/>
      <c r="H14" s="52"/>
      <c r="I14" s="36"/>
      <c r="J14" s="36"/>
    </row>
    <row r="15" spans="2:10" x14ac:dyDescent="0.4">
      <c r="B15" s="14"/>
      <c r="D15" s="36" t="str">
        <f t="shared" si="0"/>
        <v>ODID0010</v>
      </c>
      <c r="E15" s="36"/>
      <c r="F15" s="36" t="str">
        <f>IFERROR(VLOOKUP(Table4101115[[#This Row],[Product_ID]],Table4[#All],3,0),"")</f>
        <v/>
      </c>
      <c r="G15" s="36"/>
      <c r="H15" s="52"/>
      <c r="I15" s="36"/>
      <c r="J15" s="36"/>
    </row>
    <row r="16" spans="2:10" x14ac:dyDescent="0.4">
      <c r="B16" s="14"/>
      <c r="D16" s="36" t="str">
        <f t="shared" si="0"/>
        <v>ODID0011</v>
      </c>
      <c r="E16" s="36"/>
      <c r="F16" s="36" t="str">
        <f>IFERROR(VLOOKUP(Table4101115[[#This Row],[Product_ID]],Table4[#All],3,0),"")</f>
        <v/>
      </c>
      <c r="G16" s="36"/>
      <c r="H16" s="52"/>
      <c r="I16" s="36"/>
      <c r="J16" s="36"/>
    </row>
    <row r="17" spans="2:10" x14ac:dyDescent="0.4">
      <c r="B17" s="14"/>
      <c r="D17" s="36" t="str">
        <f t="shared" si="0"/>
        <v>ODID0012</v>
      </c>
      <c r="E17" s="36"/>
      <c r="F17" s="36" t="str">
        <f>IFERROR(VLOOKUP(Table4101115[[#This Row],[Product_ID]],Table4[#All],3,0),"")</f>
        <v/>
      </c>
      <c r="G17" s="36"/>
      <c r="H17" s="52"/>
      <c r="I17" s="36"/>
      <c r="J17" s="36"/>
    </row>
    <row r="18" spans="2:10" x14ac:dyDescent="0.4">
      <c r="B18" s="14"/>
      <c r="D18" s="36" t="str">
        <f t="shared" si="0"/>
        <v>ODID0013</v>
      </c>
      <c r="E18" s="36"/>
      <c r="F18" s="36" t="str">
        <f>IFERROR(VLOOKUP(Table4101115[[#This Row],[Product_ID]],Table4[#All],3,0),"")</f>
        <v/>
      </c>
      <c r="G18" s="36"/>
      <c r="H18" s="52"/>
      <c r="I18" s="36"/>
      <c r="J18" s="36"/>
    </row>
    <row r="19" spans="2:10" x14ac:dyDescent="0.4">
      <c r="B19" s="15"/>
      <c r="D19" s="36" t="str">
        <f t="shared" si="0"/>
        <v>ODID0014</v>
      </c>
      <c r="E19" s="36"/>
      <c r="F19" s="36" t="str">
        <f>IFERROR(VLOOKUP(Table4101115[[#This Row],[Product_ID]],Table4[#All],3,0),"")</f>
        <v/>
      </c>
      <c r="G19" s="36"/>
      <c r="H19" s="52"/>
      <c r="I19" s="36"/>
      <c r="J19" s="36"/>
    </row>
    <row r="20" spans="2:10" x14ac:dyDescent="0.4">
      <c r="B20" s="8"/>
      <c r="D20" s="36" t="str">
        <f t="shared" si="0"/>
        <v>ODID0015</v>
      </c>
      <c r="E20" s="36"/>
      <c r="F20" s="36" t="str">
        <f>IFERROR(VLOOKUP(Table4101115[[#This Row],[Product_ID]],Table4[#All],3,0),"")</f>
        <v/>
      </c>
      <c r="G20" s="36"/>
      <c r="H20" s="52"/>
      <c r="I20" s="36"/>
      <c r="J20" s="36"/>
    </row>
    <row r="21" spans="2:10" x14ac:dyDescent="0.4">
      <c r="B21" s="8"/>
      <c r="D21" s="36" t="str">
        <f t="shared" si="0"/>
        <v>ODID0016</v>
      </c>
      <c r="E21" s="36"/>
      <c r="F21" s="36" t="str">
        <f>IFERROR(VLOOKUP(Table4101115[[#This Row],[Product_ID]],Table4[#All],3,0),"")</f>
        <v/>
      </c>
      <c r="G21" s="36"/>
      <c r="H21" s="52"/>
      <c r="I21" s="36"/>
      <c r="J21" s="36"/>
    </row>
    <row r="22" spans="2:10" x14ac:dyDescent="0.4">
      <c r="D22" s="36" t="str">
        <f t="shared" si="0"/>
        <v>ODID0017</v>
      </c>
      <c r="E22" s="36"/>
      <c r="F22" s="36" t="str">
        <f>IFERROR(VLOOKUP(Table4101115[[#This Row],[Product_ID]],Table4[#All],3,0),"")</f>
        <v/>
      </c>
      <c r="G22" s="36"/>
      <c r="H22" s="52"/>
      <c r="I22" s="36"/>
      <c r="J22" s="36"/>
    </row>
    <row r="23" spans="2:10" x14ac:dyDescent="0.4">
      <c r="D23" s="36" t="str">
        <f t="shared" si="0"/>
        <v>ODID0018</v>
      </c>
      <c r="E23" s="36"/>
      <c r="F23" s="36" t="str">
        <f>IFERROR(VLOOKUP(Table4101115[[#This Row],[Product_ID]],Table4[#All],3,0),"")</f>
        <v/>
      </c>
      <c r="G23" s="36"/>
      <c r="H23" s="52"/>
      <c r="I23" s="36"/>
      <c r="J23" s="36"/>
    </row>
    <row r="24" spans="2:10" x14ac:dyDescent="0.4">
      <c r="D24" s="36" t="str">
        <f t="shared" si="0"/>
        <v>ODID0019</v>
      </c>
      <c r="E24" s="36"/>
      <c r="F24" s="36" t="str">
        <f>IFERROR(VLOOKUP(Table4101115[[#This Row],[Product_ID]],Table4[#All],3,0),"")</f>
        <v/>
      </c>
      <c r="G24" s="36"/>
      <c r="H24" s="52"/>
      <c r="I24" s="36"/>
      <c r="J24" s="36"/>
    </row>
    <row r="25" spans="2:10" x14ac:dyDescent="0.4">
      <c r="D25" s="36" t="str">
        <f t="shared" si="0"/>
        <v>ODID0020</v>
      </c>
      <c r="E25" s="36"/>
      <c r="F25" s="36" t="str">
        <f>IFERROR(VLOOKUP(Table4101115[[#This Row],[Product_ID]],Table4[#All],3,0),"")</f>
        <v/>
      </c>
      <c r="G25" s="36"/>
      <c r="H25" s="52"/>
      <c r="I25" s="36"/>
      <c r="J25" s="36"/>
    </row>
    <row r="26" spans="2:10" x14ac:dyDescent="0.4">
      <c r="D26" s="36" t="str">
        <f t="shared" si="0"/>
        <v>ODID0021</v>
      </c>
      <c r="E26" s="36"/>
      <c r="F26" s="36" t="str">
        <f>IFERROR(VLOOKUP(Table4101115[[#This Row],[Product_ID]],Table4[#All],3,0),"")</f>
        <v/>
      </c>
      <c r="G26" s="36"/>
      <c r="H26" s="52"/>
      <c r="I26" s="36"/>
      <c r="J26" s="36"/>
    </row>
    <row r="27" spans="2:10" x14ac:dyDescent="0.4">
      <c r="D27" s="36" t="str">
        <f t="shared" si="0"/>
        <v>ODID0022</v>
      </c>
      <c r="E27" s="36"/>
      <c r="F27" s="36" t="str">
        <f>IFERROR(VLOOKUP(Table4101115[[#This Row],[Product_ID]],Table4[#All],3,0),"")</f>
        <v/>
      </c>
      <c r="G27" s="36"/>
      <c r="H27" s="52"/>
      <c r="I27" s="36"/>
      <c r="J27" s="36"/>
    </row>
    <row r="28" spans="2:10" x14ac:dyDescent="0.4">
      <c r="D28" s="36" t="str">
        <f t="shared" si="0"/>
        <v>ODID0023</v>
      </c>
      <c r="E28" s="36"/>
      <c r="F28" s="36" t="str">
        <f>IFERROR(VLOOKUP(Table4101115[[#This Row],[Product_ID]],Table4[#All],3,0),"")</f>
        <v/>
      </c>
      <c r="G28" s="36"/>
      <c r="H28" s="52"/>
      <c r="I28" s="36"/>
      <c r="J28" s="36"/>
    </row>
    <row r="29" spans="2:10" x14ac:dyDescent="0.4">
      <c r="D29" s="36" t="str">
        <f t="shared" si="0"/>
        <v>ODID0024</v>
      </c>
      <c r="E29" s="36"/>
      <c r="F29" s="36" t="str">
        <f>IFERROR(VLOOKUP(Table4101115[[#This Row],[Product_ID]],Table4[#All],3,0),"")</f>
        <v/>
      </c>
      <c r="G29" s="36"/>
      <c r="H29" s="52"/>
      <c r="I29" s="36"/>
      <c r="J29" s="36"/>
    </row>
    <row r="30" spans="2:10" x14ac:dyDescent="0.4">
      <c r="D30" s="36" t="str">
        <f t="shared" si="0"/>
        <v>ODID0025</v>
      </c>
      <c r="E30" s="36"/>
      <c r="F30" s="36" t="str">
        <f>IFERROR(VLOOKUP(Table4101115[[#This Row],[Product_ID]],Table4[#All],3,0),"")</f>
        <v/>
      </c>
      <c r="G30" s="36"/>
      <c r="H30" s="52"/>
      <c r="I30" s="36"/>
      <c r="J30" s="36"/>
    </row>
    <row r="31" spans="2:10" x14ac:dyDescent="0.4">
      <c r="D31" s="36" t="str">
        <f t="shared" si="0"/>
        <v>ODID0026</v>
      </c>
      <c r="E31" s="36"/>
      <c r="F31" s="36" t="str">
        <f>IFERROR(VLOOKUP(Table4101115[[#This Row],[Product_ID]],Table4[#All],3,0),"")</f>
        <v/>
      </c>
      <c r="G31" s="36"/>
      <c r="H31" s="52"/>
      <c r="I31" s="36"/>
      <c r="J31" s="36"/>
    </row>
    <row r="32" spans="2:10" x14ac:dyDescent="0.4">
      <c r="D32" s="36" t="str">
        <f t="shared" si="0"/>
        <v>ODID0027</v>
      </c>
      <c r="E32" s="36"/>
      <c r="F32" s="36" t="str">
        <f>IFERROR(VLOOKUP(Table4101115[[#This Row],[Product_ID]],Table4[#All],3,0),"")</f>
        <v/>
      </c>
      <c r="G32" s="36"/>
      <c r="H32" s="52"/>
      <c r="I32" s="36"/>
      <c r="J32" s="36"/>
    </row>
    <row r="33" spans="4:10" x14ac:dyDescent="0.4">
      <c r="D33" s="36" t="str">
        <f t="shared" si="0"/>
        <v>ODID0028</v>
      </c>
      <c r="E33" s="36"/>
      <c r="F33" s="36" t="str">
        <f>IFERROR(VLOOKUP(Table4101115[[#This Row],[Product_ID]],Table4[#All],3,0),"")</f>
        <v/>
      </c>
      <c r="G33" s="36"/>
      <c r="H33" s="52"/>
      <c r="I33" s="36"/>
      <c r="J33" s="36"/>
    </row>
    <row r="34" spans="4:10" x14ac:dyDescent="0.4">
      <c r="D34" s="36" t="str">
        <f t="shared" si="0"/>
        <v>ODID0029</v>
      </c>
      <c r="E34" s="36"/>
      <c r="F34" s="36" t="str">
        <f>IFERROR(VLOOKUP(Table4101115[[#This Row],[Product_ID]],Table4[#All],3,0),"")</f>
        <v/>
      </c>
      <c r="G34" s="36"/>
      <c r="H34" s="52"/>
      <c r="I34" s="36"/>
      <c r="J34" s="36"/>
    </row>
    <row r="35" spans="4:10" x14ac:dyDescent="0.4">
      <c r="D35" s="36" t="str">
        <f t="shared" si="0"/>
        <v>ODID0030</v>
      </c>
      <c r="E35" s="36"/>
      <c r="F35" s="36" t="str">
        <f>IFERROR(VLOOKUP(Table4101115[[#This Row],[Product_ID]],Table4[#All],3,0),"")</f>
        <v/>
      </c>
      <c r="G35" s="36"/>
      <c r="H35" s="52"/>
      <c r="I35" s="36"/>
      <c r="J35" s="36"/>
    </row>
    <row r="36" spans="4:10" x14ac:dyDescent="0.4">
      <c r="D36" s="36" t="str">
        <f t="shared" si="0"/>
        <v>ODID0031</v>
      </c>
      <c r="E36" s="36"/>
      <c r="F36" s="36" t="str">
        <f>IFERROR(VLOOKUP(Table4101115[[#This Row],[Product_ID]],Table4[#All],3,0),"")</f>
        <v/>
      </c>
      <c r="G36" s="36"/>
      <c r="H36" s="52"/>
      <c r="I36" s="36"/>
      <c r="J36" s="36"/>
    </row>
    <row r="37" spans="4:10" x14ac:dyDescent="0.4">
      <c r="D37" s="36" t="str">
        <f t="shared" si="0"/>
        <v>ODID0032</v>
      </c>
      <c r="E37" s="36"/>
      <c r="F37" s="36" t="str">
        <f>IFERROR(VLOOKUP(Table4101115[[#This Row],[Product_ID]],Table4[#All],3,0),"")</f>
        <v/>
      </c>
      <c r="G37" s="36"/>
      <c r="H37" s="52"/>
      <c r="I37" s="36"/>
      <c r="J37" s="36"/>
    </row>
    <row r="38" spans="4:10" x14ac:dyDescent="0.4">
      <c r="D38" s="36" t="str">
        <f t="shared" si="0"/>
        <v>ODID0033</v>
      </c>
      <c r="E38" s="36"/>
      <c r="F38" s="36" t="str">
        <f>IFERROR(VLOOKUP(Table4101115[[#This Row],[Product_ID]],Table4[#All],3,0),"")</f>
        <v/>
      </c>
      <c r="G38" s="36"/>
      <c r="H38" s="52"/>
      <c r="I38" s="36"/>
      <c r="J38" s="36"/>
    </row>
    <row r="39" spans="4:10" x14ac:dyDescent="0.4">
      <c r="D39" s="36" t="str">
        <f t="shared" si="0"/>
        <v>ODID0034</v>
      </c>
      <c r="E39" s="36"/>
      <c r="F39" s="36" t="str">
        <f>IFERROR(VLOOKUP(Table4101115[[#This Row],[Product_ID]],Table4[#All],3,0),"")</f>
        <v/>
      </c>
      <c r="G39" s="36"/>
      <c r="H39" s="52"/>
      <c r="I39" s="36"/>
      <c r="J39" s="36"/>
    </row>
    <row r="40" spans="4:10" x14ac:dyDescent="0.4">
      <c r="D40" s="36" t="str">
        <f t="shared" si="0"/>
        <v>ODID0035</v>
      </c>
      <c r="E40" s="36"/>
      <c r="F40" s="36" t="str">
        <f>IFERROR(VLOOKUP(Table4101115[[#This Row],[Product_ID]],Table4[#All],3,0),"")</f>
        <v/>
      </c>
      <c r="G40" s="36"/>
      <c r="H40" s="52"/>
      <c r="I40" s="36"/>
      <c r="J40" s="36"/>
    </row>
    <row r="41" spans="4:10" x14ac:dyDescent="0.4">
      <c r="D41" s="36" t="str">
        <f t="shared" si="0"/>
        <v>ODID0036</v>
      </c>
      <c r="E41" s="36"/>
      <c r="F41" s="36" t="str">
        <f>IFERROR(VLOOKUP(Table4101115[[#This Row],[Product_ID]],Table4[#All],3,0),"")</f>
        <v/>
      </c>
      <c r="G41" s="36"/>
      <c r="H41" s="52"/>
      <c r="I41" s="36"/>
      <c r="J41" s="36"/>
    </row>
    <row r="42" spans="4:10" x14ac:dyDescent="0.4">
      <c r="D42" s="36" t="str">
        <f t="shared" si="0"/>
        <v>ODID0037</v>
      </c>
      <c r="E42" s="36"/>
      <c r="F42" s="36" t="str">
        <f>IFERROR(VLOOKUP(Table4101115[[#This Row],[Product_ID]],Table4[#All],3,0),"")</f>
        <v/>
      </c>
      <c r="G42" s="36"/>
      <c r="H42" s="52"/>
      <c r="I42" s="36"/>
      <c r="J42" s="36"/>
    </row>
    <row r="43" spans="4:10" x14ac:dyDescent="0.4">
      <c r="D43" s="36" t="str">
        <f t="shared" si="0"/>
        <v>ODID0038</v>
      </c>
      <c r="E43" s="36"/>
      <c r="F43" s="36" t="str">
        <f>IFERROR(VLOOKUP(Table4101115[[#This Row],[Product_ID]],Table4[#All],3,0),"")</f>
        <v/>
      </c>
      <c r="G43" s="36"/>
      <c r="H43" s="52"/>
      <c r="I43" s="36"/>
      <c r="J43" s="36"/>
    </row>
    <row r="44" spans="4:10" x14ac:dyDescent="0.4">
      <c r="D44" s="36" t="str">
        <f t="shared" si="0"/>
        <v>ODID0039</v>
      </c>
      <c r="E44" s="36"/>
      <c r="F44" s="36" t="str">
        <f>IFERROR(VLOOKUP(Table4101115[[#This Row],[Product_ID]],Table4[#All],3,0),"")</f>
        <v/>
      </c>
      <c r="G44" s="36"/>
      <c r="H44" s="52"/>
      <c r="I44" s="36"/>
      <c r="J44" s="36"/>
    </row>
    <row r="45" spans="4:10" x14ac:dyDescent="0.4">
      <c r="D45" s="36" t="str">
        <f t="shared" si="0"/>
        <v>ODID0040</v>
      </c>
      <c r="E45" s="36"/>
      <c r="F45" s="36" t="str">
        <f>IFERROR(VLOOKUP(Table4101115[[#This Row],[Product_ID]],Table4[#All],3,0),"")</f>
        <v/>
      </c>
      <c r="G45" s="36"/>
      <c r="H45" s="52"/>
      <c r="I45" s="36"/>
      <c r="J45" s="36"/>
    </row>
    <row r="46" spans="4:10" x14ac:dyDescent="0.4">
      <c r="D46" s="36" t="str">
        <f t="shared" si="0"/>
        <v>ODID0041</v>
      </c>
      <c r="E46" s="36"/>
      <c r="F46" s="36" t="str">
        <f>IFERROR(VLOOKUP(Table4101115[[#This Row],[Product_ID]],Table4[#All],3,0),"")</f>
        <v/>
      </c>
      <c r="G46" s="36"/>
      <c r="H46" s="52"/>
      <c r="I46" s="36"/>
      <c r="J46" s="36"/>
    </row>
    <row r="47" spans="4:10" x14ac:dyDescent="0.4">
      <c r="D47" s="36" t="str">
        <f t="shared" si="0"/>
        <v>ODID0042</v>
      </c>
      <c r="E47" s="36"/>
      <c r="F47" s="36" t="str">
        <f>IFERROR(VLOOKUP(Table4101115[[#This Row],[Product_ID]],Table4[#All],3,0),"")</f>
        <v/>
      </c>
      <c r="G47" s="36"/>
      <c r="H47" s="52"/>
      <c r="I47" s="36"/>
      <c r="J47" s="36"/>
    </row>
    <row r="48" spans="4:10" x14ac:dyDescent="0.4">
      <c r="D48" s="36" t="str">
        <f t="shared" si="0"/>
        <v>ODID0043</v>
      </c>
      <c r="E48" s="36"/>
      <c r="F48" s="36" t="str">
        <f>IFERROR(VLOOKUP(Table4101115[[#This Row],[Product_ID]],Table4[#All],3,0),"")</f>
        <v/>
      </c>
      <c r="G48" s="36"/>
      <c r="H48" s="52"/>
      <c r="I48" s="36"/>
      <c r="J48" s="36"/>
    </row>
    <row r="49" spans="4:10" x14ac:dyDescent="0.4">
      <c r="D49" s="36" t="str">
        <f t="shared" si="0"/>
        <v>ODID0044</v>
      </c>
      <c r="E49" s="36"/>
      <c r="F49" s="36" t="str">
        <f>IFERROR(VLOOKUP(Table4101115[[#This Row],[Product_ID]],Table4[#All],3,0),"")</f>
        <v/>
      </c>
      <c r="G49" s="36"/>
      <c r="H49" s="52"/>
      <c r="I49" s="36"/>
      <c r="J49" s="36"/>
    </row>
    <row r="50" spans="4:10" x14ac:dyDescent="0.4">
      <c r="D50" s="36" t="str">
        <f t="shared" si="0"/>
        <v>ODID0045</v>
      </c>
      <c r="E50" s="36"/>
      <c r="F50" s="36" t="str">
        <f>IFERROR(VLOOKUP(Table4101115[[#This Row],[Product_ID]],Table4[#All],3,0),"")</f>
        <v/>
      </c>
      <c r="G50" s="36"/>
      <c r="H50" s="52"/>
      <c r="I50" s="36"/>
      <c r="J50" s="36"/>
    </row>
    <row r="51" spans="4:10" x14ac:dyDescent="0.4">
      <c r="D51" s="36" t="str">
        <f t="shared" si="0"/>
        <v>ODID0046</v>
      </c>
      <c r="E51" s="36"/>
      <c r="F51" s="36" t="str">
        <f>IFERROR(VLOOKUP(Table4101115[[#This Row],[Product_ID]],Table4[#All],3,0),"")</f>
        <v/>
      </c>
      <c r="G51" s="36"/>
      <c r="H51" s="52"/>
      <c r="I51" s="36"/>
      <c r="J51" s="36"/>
    </row>
    <row r="52" spans="4:10" x14ac:dyDescent="0.4">
      <c r="D52" s="36" t="str">
        <f t="shared" si="0"/>
        <v>ODID0047</v>
      </c>
      <c r="E52" s="36"/>
      <c r="F52" s="36" t="str">
        <f>IFERROR(VLOOKUP(Table4101115[[#This Row],[Product_ID]],Table4[#All],3,0),"")</f>
        <v/>
      </c>
      <c r="G52" s="36"/>
      <c r="H52" s="52"/>
      <c r="I52" s="36"/>
      <c r="J52" s="36"/>
    </row>
  </sheetData>
  <dataValidations count="3">
    <dataValidation type="list" allowBlank="1" showInputMessage="1" showErrorMessage="1" sqref="H10:H52 E6:E52" xr:uid="{78F95135-30F5-4E16-BD29-1AC929640EEE}">
      <formula1>productid</formula1>
    </dataValidation>
    <dataValidation type="list" allowBlank="1" showInputMessage="1" showErrorMessage="1" sqref="G6:G52" xr:uid="{725A2B22-14F4-4182-8F01-2B96E5FD64F7}">
      <formula1>ordertype</formula1>
    </dataValidation>
    <dataValidation type="list" allowBlank="1" showInputMessage="1" showErrorMessage="1" sqref="I6:I52" xr:uid="{C756C6C9-24AA-46D4-889E-255F203F6788}">
      <formula1>orderstatus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22F8F-60CD-4227-964B-285CFC45191D}">
  <sheetPr codeName="Sheet6"/>
  <dimension ref="B1:Q21"/>
  <sheetViews>
    <sheetView showRowColHeaders="0" workbookViewId="0">
      <selection activeCell="J8" sqref="J8"/>
    </sheetView>
  </sheetViews>
  <sheetFormatPr defaultColWidth="8.78515625" defaultRowHeight="26.25" x14ac:dyDescent="0.4"/>
  <cols>
    <col min="1" max="1" width="1.640625" style="1" customWidth="1"/>
    <col min="2" max="2" width="14.5" customWidth="1"/>
    <col min="3" max="3" width="1.7109375" style="1" customWidth="1"/>
    <col min="4" max="4" width="8.78515625" style="1"/>
    <col min="5" max="5" width="17.2109375" style="1" customWidth="1"/>
    <col min="6" max="16384" width="8.78515625" style="1"/>
  </cols>
  <sheetData>
    <row r="1" spans="2:17" x14ac:dyDescent="0.4">
      <c r="B1" s="1"/>
    </row>
    <row r="2" spans="2:17" x14ac:dyDescent="0.4">
      <c r="B2" s="13"/>
      <c r="Q2" s="2"/>
    </row>
    <row r="3" spans="2:17" x14ac:dyDescent="0.4">
      <c r="B3" s="14"/>
    </row>
    <row r="4" spans="2:17" x14ac:dyDescent="0.4">
      <c r="B4" s="14"/>
    </row>
    <row r="5" spans="2:17" x14ac:dyDescent="0.4">
      <c r="B5" s="14"/>
    </row>
    <row r="6" spans="2:17" x14ac:dyDescent="0.4">
      <c r="B6" s="14"/>
      <c r="E6" s="6" t="s">
        <v>7</v>
      </c>
      <c r="G6" s="22" t="s">
        <v>631</v>
      </c>
      <c r="J6" s="22" t="s">
        <v>635</v>
      </c>
    </row>
    <row r="7" spans="2:17" x14ac:dyDescent="0.4">
      <c r="B7" s="14"/>
    </row>
    <row r="8" spans="2:17" x14ac:dyDescent="0.4">
      <c r="B8" s="14"/>
      <c r="E8" s="6" t="s">
        <v>8</v>
      </c>
      <c r="G8" s="22" t="s">
        <v>632</v>
      </c>
    </row>
    <row r="9" spans="2:17" x14ac:dyDescent="0.4">
      <c r="B9" s="14"/>
    </row>
    <row r="10" spans="2:17" x14ac:dyDescent="0.4">
      <c r="B10" s="14" t="s">
        <v>0</v>
      </c>
      <c r="E10" s="22" t="s">
        <v>344</v>
      </c>
      <c r="G10" s="22" t="s">
        <v>633</v>
      </c>
    </row>
    <row r="11" spans="2:17" x14ac:dyDescent="0.4">
      <c r="B11" s="14"/>
    </row>
    <row r="12" spans="2:17" x14ac:dyDescent="0.4">
      <c r="B12" s="14"/>
      <c r="E12" s="6" t="s">
        <v>365</v>
      </c>
      <c r="G12" s="22" t="s">
        <v>634</v>
      </c>
    </row>
    <row r="13" spans="2:17" x14ac:dyDescent="0.4">
      <c r="B13" s="14"/>
    </row>
    <row r="14" spans="2:17" x14ac:dyDescent="0.4">
      <c r="B14" s="14"/>
    </row>
    <row r="15" spans="2:17" x14ac:dyDescent="0.4">
      <c r="B15" s="14"/>
    </row>
    <row r="16" spans="2:17" x14ac:dyDescent="0.4">
      <c r="B16" s="14"/>
    </row>
    <row r="17" spans="2:2" x14ac:dyDescent="0.4">
      <c r="B17" s="14"/>
    </row>
    <row r="18" spans="2:2" x14ac:dyDescent="0.4">
      <c r="B18" s="14"/>
    </row>
    <row r="19" spans="2:2" x14ac:dyDescent="0.4">
      <c r="B19" s="15"/>
    </row>
    <row r="20" spans="2:2" x14ac:dyDescent="0.4">
      <c r="B20" s="8"/>
    </row>
    <row r="21" spans="2:2" x14ac:dyDescent="0.4">
      <c r="B21" s="8"/>
    </row>
  </sheetData>
  <hyperlinks>
    <hyperlink ref="E6" location="Purchase!A1" display="➡️ Purchase Entry" xr:uid="{B136706E-1198-426C-9D96-AE74852EAA0D}"/>
    <hyperlink ref="E8" location="Sales!A1" display="➡️ Sales Entry" xr:uid="{A64ABDF6-CD4F-4235-B0FA-C5E7EC5ABD30}"/>
    <hyperlink ref="E10" location="'Payment Entry'!A1" display="➡️ Payment Entry" xr:uid="{A3C369AC-450A-4204-BDFA-A96A662A5F48}"/>
    <hyperlink ref="E12" location="Sales!A1" display="➡️ Sales Entry" xr:uid="{EC73DBF5-ECBB-4556-9555-0BB25735E5A9}"/>
    <hyperlink ref="G6" location="Vendors!A1" display="➡️ Vendor Entry" xr:uid="{4F822CB0-A945-4C7E-B7F7-87875CC0AA7F}"/>
    <hyperlink ref="G8" location="Warehouse!A1" display="➡️Warehouse Entry" xr:uid="{744D65AD-9E48-44A7-871C-E951A5B3BA99}"/>
    <hyperlink ref="G10" location="Ledger!A1" display="➡️ Ledger Entry" xr:uid="{3AB5AC0B-C33D-471F-8DD8-50B57EE34DD1}"/>
    <hyperlink ref="G12" location="Orders!A1" display="➡️ Order Entry" xr:uid="{AD11E8D0-B89C-4212-A875-C877A05D2763}"/>
    <hyperlink ref="J6" location="Products_Brand!A1" display="➡️ Product Brand Entry" xr:uid="{888F7FB7-51E5-46FF-94E9-4BEBBA6CE3C5}"/>
  </hyperlink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D3191-E2F7-4DEC-A365-E1A25A0B7DCF}">
  <sheetPr codeName="Sheet7"/>
  <dimension ref="B1:AS24"/>
  <sheetViews>
    <sheetView zoomScale="67" zoomScaleNormal="67" workbookViewId="0">
      <selection activeCell="Y7" sqref="Y7"/>
    </sheetView>
  </sheetViews>
  <sheetFormatPr defaultColWidth="8.78515625" defaultRowHeight="26.25" x14ac:dyDescent="0.4"/>
  <cols>
    <col min="1" max="1" width="1.640625" style="1" customWidth="1"/>
    <col min="2" max="2" width="14.5" customWidth="1"/>
    <col min="3" max="3" width="1.7109375" style="1" customWidth="1"/>
    <col min="4" max="4" width="10.0703125" style="1" bestFit="1" customWidth="1"/>
    <col min="5" max="5" width="11.28515625" style="1" customWidth="1"/>
    <col min="6" max="6" width="12.640625" style="1" customWidth="1"/>
    <col min="7" max="7" width="17.5" style="1" bestFit="1" customWidth="1"/>
    <col min="8" max="8" width="12.140625" style="1" bestFit="1" customWidth="1"/>
    <col min="9" max="9" width="11.28515625" style="1" customWidth="1"/>
    <col min="10" max="10" width="8.78515625" style="1"/>
    <col min="11" max="11" width="14.7109375" style="1" bestFit="1" customWidth="1"/>
    <col min="12" max="12" width="9.28515625" style="1" customWidth="1"/>
    <col min="13" max="13" width="12.140625" style="1" customWidth="1"/>
    <col min="14" max="14" width="10.7109375" style="1" bestFit="1" customWidth="1"/>
    <col min="15" max="15" width="8.78515625" style="1"/>
    <col min="16" max="16" width="13.78515625" style="1" bestFit="1" customWidth="1"/>
    <col min="17" max="17" width="13.0703125" style="1" bestFit="1" customWidth="1"/>
    <col min="18" max="18" width="9.0703125" style="1" bestFit="1" customWidth="1"/>
    <col min="19" max="19" width="12.5703125" style="1" bestFit="1" customWidth="1"/>
    <col min="20" max="20" width="12.28515625" style="1" bestFit="1" customWidth="1"/>
    <col min="21" max="22" width="8.78515625" style="1"/>
    <col min="23" max="23" width="13.28515625" style="1" bestFit="1" customWidth="1"/>
    <col min="24" max="24" width="10.78515625" style="1" bestFit="1" customWidth="1"/>
    <col min="25" max="25" width="16.2109375" style="1" bestFit="1" customWidth="1"/>
    <col min="26" max="26" width="12.35546875" style="1" bestFit="1" customWidth="1"/>
    <col min="27" max="28" width="23.2109375" style="1" bestFit="1" customWidth="1"/>
    <col min="29" max="29" width="11" style="1" bestFit="1" customWidth="1"/>
    <col min="30" max="30" width="16.7109375" style="1" bestFit="1" customWidth="1"/>
    <col min="31" max="31" width="13" style="1" bestFit="1" customWidth="1"/>
    <col min="32" max="32" width="12.78515625" style="1" bestFit="1" customWidth="1"/>
    <col min="33" max="33" width="12.28515625" style="1" bestFit="1" customWidth="1"/>
    <col min="34" max="34" width="12" style="1" bestFit="1" customWidth="1"/>
    <col min="35" max="35" width="11.92578125" style="1" bestFit="1" customWidth="1"/>
    <col min="36" max="36" width="12.78515625" style="1" bestFit="1" customWidth="1"/>
    <col min="37" max="37" width="10.92578125" style="1" bestFit="1" customWidth="1"/>
    <col min="38" max="38" width="19.640625" style="1" bestFit="1" customWidth="1"/>
    <col min="39" max="39" width="10.5" style="1" bestFit="1" customWidth="1"/>
    <col min="40" max="40" width="13.78515625" style="1" bestFit="1" customWidth="1"/>
    <col min="41" max="42" width="12.35546875" style="1" bestFit="1" customWidth="1"/>
    <col min="43" max="43" width="16.5703125" style="1" bestFit="1" customWidth="1"/>
    <col min="44" max="44" width="7.85546875" style="1" bestFit="1" customWidth="1"/>
    <col min="45" max="45" width="53.35546875" style="1" bestFit="1" customWidth="1"/>
    <col min="46" max="16384" width="8.78515625" style="1"/>
  </cols>
  <sheetData>
    <row r="1" spans="2:45" x14ac:dyDescent="0.4">
      <c r="B1" s="1"/>
    </row>
    <row r="2" spans="2:45" x14ac:dyDescent="0.4">
      <c r="B2" s="13"/>
      <c r="Q2" s="2"/>
    </row>
    <row r="3" spans="2:45" x14ac:dyDescent="0.4">
      <c r="B3" s="14"/>
    </row>
    <row r="4" spans="2:45" x14ac:dyDescent="0.4">
      <c r="B4" s="14"/>
      <c r="D4" s="70" t="s">
        <v>189</v>
      </c>
      <c r="E4" s="71"/>
      <c r="F4" s="71"/>
      <c r="G4" s="71"/>
      <c r="H4" s="71"/>
      <c r="I4" s="72"/>
      <c r="J4" s="67" t="s">
        <v>197</v>
      </c>
      <c r="K4" s="68"/>
      <c r="L4" s="68"/>
      <c r="M4" s="68"/>
      <c r="N4" s="68"/>
      <c r="O4" s="68"/>
      <c r="P4" s="68"/>
      <c r="Q4" s="69"/>
      <c r="R4" s="67" t="s">
        <v>206</v>
      </c>
      <c r="S4" s="68"/>
      <c r="T4" s="68"/>
      <c r="U4" s="68"/>
      <c r="V4" s="68"/>
      <c r="W4" s="68"/>
      <c r="X4" s="68"/>
      <c r="Y4" s="69"/>
      <c r="Z4" s="67" t="s">
        <v>212</v>
      </c>
      <c r="AA4" s="68"/>
      <c r="AB4" s="68"/>
      <c r="AC4" s="68"/>
      <c r="AD4" s="68"/>
      <c r="AE4" s="68"/>
      <c r="AF4" s="68"/>
      <c r="AG4" s="69"/>
      <c r="AH4" s="67" t="s">
        <v>217</v>
      </c>
      <c r="AI4" s="68"/>
      <c r="AJ4" s="68"/>
      <c r="AK4" s="68"/>
      <c r="AL4" s="69"/>
      <c r="AM4" s="67" t="s">
        <v>222</v>
      </c>
      <c r="AN4" s="68"/>
      <c r="AO4" s="68"/>
      <c r="AP4" s="69"/>
      <c r="AQ4" s="46"/>
    </row>
    <row r="5" spans="2:45" x14ac:dyDescent="0.4">
      <c r="B5" s="14"/>
      <c r="D5" s="4" t="s">
        <v>184</v>
      </c>
      <c r="E5" s="4" t="s">
        <v>185</v>
      </c>
      <c r="F5" s="4" t="s">
        <v>137</v>
      </c>
      <c r="G5" s="4" t="s">
        <v>186</v>
      </c>
      <c r="H5" s="4" t="s">
        <v>187</v>
      </c>
      <c r="I5" s="4" t="s">
        <v>188</v>
      </c>
      <c r="J5" s="4" t="s">
        <v>183</v>
      </c>
      <c r="K5" s="4" t="s">
        <v>190</v>
      </c>
      <c r="L5" s="4" t="s">
        <v>191</v>
      </c>
      <c r="M5" s="4" t="s">
        <v>192</v>
      </c>
      <c r="N5" s="4" t="s">
        <v>193</v>
      </c>
      <c r="O5" s="4" t="s">
        <v>194</v>
      </c>
      <c r="P5" s="4" t="s">
        <v>195</v>
      </c>
      <c r="Q5" s="4" t="s">
        <v>196</v>
      </c>
      <c r="R5" s="4" t="s">
        <v>198</v>
      </c>
      <c r="S5" s="4" t="s">
        <v>199</v>
      </c>
      <c r="T5" s="4" t="s">
        <v>200</v>
      </c>
      <c r="U5" s="4" t="s">
        <v>201</v>
      </c>
      <c r="V5" s="4" t="s">
        <v>202</v>
      </c>
      <c r="W5" s="4" t="s">
        <v>203</v>
      </c>
      <c r="X5" s="4" t="s">
        <v>204</v>
      </c>
      <c r="Y5" s="4" t="s">
        <v>205</v>
      </c>
      <c r="Z5" s="4" t="s">
        <v>5</v>
      </c>
      <c r="AA5" s="4" t="s">
        <v>91</v>
      </c>
      <c r="AB5" s="4" t="s">
        <v>92</v>
      </c>
      <c r="AC5" s="4" t="s">
        <v>207</v>
      </c>
      <c r="AD5" s="4" t="s">
        <v>208</v>
      </c>
      <c r="AE5" s="36" t="s">
        <v>622</v>
      </c>
      <c r="AF5" s="4" t="s">
        <v>146</v>
      </c>
      <c r="AG5" s="4" t="s">
        <v>209</v>
      </c>
      <c r="AH5" s="4" t="s">
        <v>210</v>
      </c>
      <c r="AI5" s="4" t="s">
        <v>211</v>
      </c>
      <c r="AJ5" s="4" t="s">
        <v>213</v>
      </c>
      <c r="AK5" s="4" t="s">
        <v>35</v>
      </c>
      <c r="AL5" s="4" t="s">
        <v>214</v>
      </c>
      <c r="AM5" s="4" t="s">
        <v>215</v>
      </c>
      <c r="AN5" s="4" t="s">
        <v>216</v>
      </c>
      <c r="AO5" s="4" t="s">
        <v>218</v>
      </c>
      <c r="AP5" s="4" t="s">
        <v>219</v>
      </c>
      <c r="AQ5" s="4" t="s">
        <v>220</v>
      </c>
      <c r="AR5" s="4" t="s">
        <v>221</v>
      </c>
      <c r="AS5" s="47" t="s">
        <v>223</v>
      </c>
    </row>
    <row r="6" spans="2:45" x14ac:dyDescent="0.4">
      <c r="B6" s="14"/>
      <c r="D6" s="36" t="str">
        <f t="shared" ref="D6:D22" si="0">"PURCH" &amp; TEXT(ROW()-5, "0000")</f>
        <v>PURCH0001</v>
      </c>
      <c r="E6" s="41">
        <v>45752</v>
      </c>
      <c r="F6" s="36" t="s">
        <v>404</v>
      </c>
      <c r="G6" s="36" t="s">
        <v>562</v>
      </c>
      <c r="H6" s="41" t="s">
        <v>549</v>
      </c>
      <c r="I6" s="36" t="s">
        <v>226</v>
      </c>
      <c r="J6" s="37" t="s">
        <v>508</v>
      </c>
      <c r="K6" s="35">
        <v>500</v>
      </c>
      <c r="L6" s="40">
        <v>6.5</v>
      </c>
      <c r="M6" s="40">
        <f>purchase[[#This Row],[Unit Price]]*purchase[[#This Row],[Quantity Purchased]]</f>
        <v>3250</v>
      </c>
      <c r="N6" s="36"/>
      <c r="O6" s="36" t="s">
        <v>57</v>
      </c>
      <c r="P6" s="35">
        <v>500</v>
      </c>
      <c r="Q6" s="35">
        <v>0</v>
      </c>
      <c r="R6" s="40">
        <f>purchase[[#This Row],[Unit Price]]*(purchase[[#This Row],[Received Quantity]]-purchase[[#This Row],[Pending Quantity]])</f>
        <v>3250</v>
      </c>
      <c r="S6" s="36">
        <v>0</v>
      </c>
      <c r="T6" s="40">
        <f>(purchase[[#This Row],[Subtotal]]*purchase[[#This Row],[Tax Rate]])/100</f>
        <v>585</v>
      </c>
      <c r="U6" s="36" t="s">
        <v>227</v>
      </c>
      <c r="V6" s="36">
        <v>18</v>
      </c>
      <c r="W6" s="36">
        <v>0</v>
      </c>
      <c r="X6" s="36">
        <v>0</v>
      </c>
      <c r="Y6" s="40">
        <f t="shared" ref="Y6:Y22" si="1">SUM(R6,T6,W6,X6)</f>
        <v>3835</v>
      </c>
      <c r="Z6" s="36" t="str">
        <f>IFERROR(VLOOKUP(purchase[[#This Row],[Vendor_ID]],vendorsdata[#All],2,0),"")</f>
        <v>Mr kamran Ali Baig</v>
      </c>
      <c r="AA6" s="36" t="str">
        <f>IFERROR(VLOOKUP(purchase[[#This Row],[Vendor_ID]],vendorsdata[#All],9,0),"")</f>
        <v>Shaheen Bagh, Jamia Nagar, Okhla.</v>
      </c>
      <c r="AB6" s="36" t="str">
        <f>IFERROR(VLOOKUP(purchase[[#This Row],[Vendor_ID]],vendorsdata[#All],10,0),"")</f>
        <v>Shaheen Bagh, Jamia Nagar, Okhla.</v>
      </c>
      <c r="AC6" s="36" t="s">
        <v>230</v>
      </c>
      <c r="AD6" s="41">
        <v>45768</v>
      </c>
      <c r="AE6" s="41">
        <v>45768</v>
      </c>
      <c r="AF6" s="36">
        <f>purchase[[#This Row],[Received Date]]-purchase[[#This Row],[Purchase Date]]</f>
        <v>16</v>
      </c>
      <c r="AG6" s="36" t="s">
        <v>234</v>
      </c>
      <c r="AH6" s="36" t="s">
        <v>580</v>
      </c>
      <c r="AI6" s="36">
        <v>9273493451</v>
      </c>
      <c r="AJ6" s="36" t="s">
        <v>235</v>
      </c>
      <c r="AK6" s="36" t="s">
        <v>80</v>
      </c>
      <c r="AL6" s="36" t="s">
        <v>70</v>
      </c>
      <c r="AM6" s="41">
        <v>45763</v>
      </c>
      <c r="AN6" s="36" t="s">
        <v>581</v>
      </c>
      <c r="AO6" s="41">
        <v>45763</v>
      </c>
      <c r="AP6" s="41">
        <v>45774</v>
      </c>
      <c r="AQ6" s="36" t="s">
        <v>239</v>
      </c>
      <c r="AR6" s="36"/>
      <c r="AS6" s="38" t="s">
        <v>582</v>
      </c>
    </row>
    <row r="7" spans="2:45" x14ac:dyDescent="0.4">
      <c r="B7" s="14"/>
      <c r="D7" s="36" t="str">
        <f t="shared" si="0"/>
        <v>PURCH0002</v>
      </c>
      <c r="E7" s="41">
        <v>45752</v>
      </c>
      <c r="F7" s="36" t="s">
        <v>404</v>
      </c>
      <c r="G7" s="36" t="s">
        <v>567</v>
      </c>
      <c r="H7" s="41" t="s">
        <v>583</v>
      </c>
      <c r="I7" s="36" t="s">
        <v>226</v>
      </c>
      <c r="J7" s="37" t="s">
        <v>584</v>
      </c>
      <c r="K7" s="35">
        <v>4200</v>
      </c>
      <c r="L7" s="40">
        <v>4.2</v>
      </c>
      <c r="M7" s="40">
        <f>purchase[[#This Row],[Unit Price]]*purchase[[#This Row],[Quantity Purchased]]</f>
        <v>17640</v>
      </c>
      <c r="N7" s="36"/>
      <c r="O7" s="36" t="s">
        <v>57</v>
      </c>
      <c r="P7" s="35">
        <v>4200</v>
      </c>
      <c r="Q7" s="35">
        <v>0</v>
      </c>
      <c r="R7" s="40">
        <f>purchase[[#This Row],[Unit Price]]*(purchase[[#This Row],[Received Quantity]]-purchase[[#This Row],[Pending Quantity]])</f>
        <v>17640</v>
      </c>
      <c r="S7" s="36">
        <v>0</v>
      </c>
      <c r="T7" s="40">
        <f>(purchase[[#This Row],[Subtotal]]*purchase[[#This Row],[Tax Rate]])/100</f>
        <v>0</v>
      </c>
      <c r="U7" s="36" t="s">
        <v>229</v>
      </c>
      <c r="V7" s="36">
        <v>0</v>
      </c>
      <c r="W7" s="36">
        <v>1500</v>
      </c>
      <c r="X7" s="36">
        <v>0</v>
      </c>
      <c r="Y7" s="40">
        <f t="shared" si="1"/>
        <v>19140</v>
      </c>
      <c r="Z7" s="36" t="str">
        <f>IFERROR(VLOOKUP(purchase[[#This Row],[Vendor_ID]],vendorsdata[#All],2,0),"")</f>
        <v>Mr kamran Ali Baig</v>
      </c>
      <c r="AA7" s="36" t="str">
        <f>IFERROR(VLOOKUP(purchase[[#This Row],[Vendor_ID]],vendorsdata[#All],9,0),"")</f>
        <v>Shaheen Bagh, Jamia Nagar, Okhla.</v>
      </c>
      <c r="AB7" s="36" t="str">
        <f>IFERROR(VLOOKUP(purchase[[#This Row],[Vendor_ID]],vendorsdata[#All],10,0),"")</f>
        <v>Shaheen Bagh, Jamia Nagar, Okhla.</v>
      </c>
      <c r="AC7" s="36" t="s">
        <v>230</v>
      </c>
      <c r="AD7" s="41">
        <v>45768</v>
      </c>
      <c r="AE7" s="41">
        <v>45768</v>
      </c>
      <c r="AF7" s="36">
        <f>purchase[[#This Row],[Received Date]]-purchase[[#This Row],[Purchase Date]]</f>
        <v>16</v>
      </c>
      <c r="AG7" s="36" t="s">
        <v>234</v>
      </c>
      <c r="AH7" s="36" t="s">
        <v>585</v>
      </c>
      <c r="AI7" s="36" t="s">
        <v>586</v>
      </c>
      <c r="AJ7" s="36" t="s">
        <v>235</v>
      </c>
      <c r="AK7" s="36" t="s">
        <v>80</v>
      </c>
      <c r="AL7" s="36" t="s">
        <v>70</v>
      </c>
      <c r="AM7" s="41">
        <v>45763</v>
      </c>
      <c r="AN7" s="36" t="s">
        <v>564</v>
      </c>
      <c r="AO7" s="41">
        <v>45714</v>
      </c>
      <c r="AP7" s="41">
        <v>45774</v>
      </c>
      <c r="AQ7" s="36" t="s">
        <v>239</v>
      </c>
      <c r="AR7" s="36"/>
      <c r="AS7" s="38" t="s">
        <v>587</v>
      </c>
    </row>
    <row r="8" spans="2:45" x14ac:dyDescent="0.4">
      <c r="B8" s="14"/>
      <c r="D8" s="36" t="str">
        <f t="shared" si="0"/>
        <v>PURCH0003</v>
      </c>
      <c r="E8" s="36"/>
      <c r="F8" s="36"/>
      <c r="G8" s="36"/>
      <c r="H8" s="41"/>
      <c r="I8" s="36"/>
      <c r="J8" s="37" t="str">
        <f>IFERROR(VLOOKUP(purchase[[#This Row],[Purchase Date]],Table4[#All],3,0),"")</f>
        <v/>
      </c>
      <c r="K8" s="35"/>
      <c r="L8" s="40"/>
      <c r="M8" s="40">
        <f>purchase[[#This Row],[Unit Price]]*purchase[[#This Row],[Quantity Purchased]]</f>
        <v>0</v>
      </c>
      <c r="N8" s="36"/>
      <c r="O8" s="36"/>
      <c r="P8" s="35"/>
      <c r="Q8" s="35"/>
      <c r="R8" s="40">
        <f>purchase[[#This Row],[Unit Price]]*(purchase[[#This Row],[Received Quantity]]-purchase[[#This Row],[Pending Quantity]])</f>
        <v>0</v>
      </c>
      <c r="S8" s="36"/>
      <c r="T8" s="40">
        <f>(purchase[[#This Row],[Subtotal]]*purchase[[#This Row],[Tax Rate]])/100</f>
        <v>0</v>
      </c>
      <c r="U8" s="36"/>
      <c r="V8" s="36"/>
      <c r="W8" s="36"/>
      <c r="X8" s="36"/>
      <c r="Y8" s="40">
        <f t="shared" si="1"/>
        <v>0</v>
      </c>
      <c r="Z8" s="36" t="str">
        <f>IFERROR(VLOOKUP(purchase[[#This Row],[Vendor_ID]],vendorsdata[#All],2,0),"")</f>
        <v/>
      </c>
      <c r="AA8" s="36" t="str">
        <f>IFERROR(VLOOKUP(purchase[[#This Row],[Vendor_ID]],vendorsdata[#All],9,0),"")</f>
        <v/>
      </c>
      <c r="AB8" s="36" t="str">
        <f>IFERROR(VLOOKUP(purchase[[#This Row],[Vendor_ID]],vendorsdata[#All],10,0),"")</f>
        <v/>
      </c>
      <c r="AC8" s="36"/>
      <c r="AD8" s="36"/>
      <c r="AE8" s="36"/>
      <c r="AF8" s="36">
        <f>purchase[[#This Row],[Received Date]]-purchase[[#This Row],[Purchase Date]]</f>
        <v>0</v>
      </c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</row>
    <row r="9" spans="2:45" x14ac:dyDescent="0.4">
      <c r="B9" s="14"/>
      <c r="D9" s="36" t="str">
        <f t="shared" si="0"/>
        <v>PURCH0004</v>
      </c>
      <c r="E9" s="36"/>
      <c r="F9" s="36"/>
      <c r="G9" s="36"/>
      <c r="H9" s="41"/>
      <c r="I9" s="36"/>
      <c r="J9" s="37" t="str">
        <f>IFERROR(VLOOKUP(purchase[[#This Row],[Purchase Date]],Table4[#All],3,0),"")</f>
        <v/>
      </c>
      <c r="K9" s="35"/>
      <c r="L9" s="40"/>
      <c r="M9" s="40">
        <f>purchase[[#This Row],[Unit Price]]*purchase[[#This Row],[Quantity Purchased]]</f>
        <v>0</v>
      </c>
      <c r="N9" s="36"/>
      <c r="O9" s="36"/>
      <c r="P9" s="35"/>
      <c r="Q9" s="35"/>
      <c r="R9" s="40">
        <f>purchase[[#This Row],[Unit Price]]*(purchase[[#This Row],[Received Quantity]]-purchase[[#This Row],[Pending Quantity]])</f>
        <v>0</v>
      </c>
      <c r="S9" s="36"/>
      <c r="T9" s="40">
        <f>(purchase[[#This Row],[Subtotal]]*purchase[[#This Row],[Tax Rate]])/100</f>
        <v>0</v>
      </c>
      <c r="U9" s="36"/>
      <c r="V9" s="36"/>
      <c r="W9" s="36"/>
      <c r="X9" s="36"/>
      <c r="Y9" s="40">
        <f t="shared" si="1"/>
        <v>0</v>
      </c>
      <c r="Z9" s="36" t="str">
        <f>IFERROR(VLOOKUP(purchase[[#This Row],[Vendor_ID]],vendorsdata[#All],2,0),"")</f>
        <v/>
      </c>
      <c r="AA9" s="36" t="str">
        <f>IFERROR(VLOOKUP(purchase[[#This Row],[Vendor_ID]],vendorsdata[#All],9,0),"")</f>
        <v/>
      </c>
      <c r="AB9" s="36" t="str">
        <f>IFERROR(VLOOKUP(purchase[[#This Row],[Vendor_ID]],vendorsdata[#All],10,0),"")</f>
        <v/>
      </c>
      <c r="AC9" s="36"/>
      <c r="AD9" s="36"/>
      <c r="AE9" s="36"/>
      <c r="AF9" s="36">
        <f>purchase[[#This Row],[Received Date]]-purchase[[#This Row],[Purchase Date]]</f>
        <v>0</v>
      </c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</row>
    <row r="10" spans="2:45" x14ac:dyDescent="0.4">
      <c r="B10" s="14" t="s">
        <v>0</v>
      </c>
      <c r="D10" s="36" t="str">
        <f t="shared" si="0"/>
        <v>PURCH0005</v>
      </c>
      <c r="E10" s="36"/>
      <c r="F10" s="36"/>
      <c r="G10" s="36"/>
      <c r="H10" s="41"/>
      <c r="I10" s="36"/>
      <c r="J10" s="37" t="str">
        <f>IFERROR(VLOOKUP(purchase[[#This Row],[Purchase Date]],Table4[#All],3,0),"")</f>
        <v/>
      </c>
      <c r="K10" s="35"/>
      <c r="L10" s="40"/>
      <c r="M10" s="40">
        <f>purchase[[#This Row],[Unit Price]]*purchase[[#This Row],[Quantity Purchased]]</f>
        <v>0</v>
      </c>
      <c r="N10" s="36"/>
      <c r="O10" s="36"/>
      <c r="P10" s="35"/>
      <c r="Q10" s="35"/>
      <c r="R10" s="40">
        <f>purchase[[#This Row],[Unit Price]]*(purchase[[#This Row],[Received Quantity]]-purchase[[#This Row],[Pending Quantity]])</f>
        <v>0</v>
      </c>
      <c r="S10" s="36"/>
      <c r="T10" s="40">
        <f>(purchase[[#This Row],[Subtotal]]*purchase[[#This Row],[Tax Rate]])/100</f>
        <v>0</v>
      </c>
      <c r="U10" s="36"/>
      <c r="V10" s="36"/>
      <c r="W10" s="36"/>
      <c r="X10" s="36"/>
      <c r="Y10" s="40">
        <f t="shared" si="1"/>
        <v>0</v>
      </c>
      <c r="Z10" s="36" t="str">
        <f>IFERROR(VLOOKUP(purchase[[#This Row],[Vendor_ID]],vendorsdata[#All],2,0),"")</f>
        <v/>
      </c>
      <c r="AA10" s="36" t="str">
        <f>IFERROR(VLOOKUP(purchase[[#This Row],[Vendor_ID]],vendorsdata[#All],9,0),"")</f>
        <v/>
      </c>
      <c r="AB10" s="36" t="str">
        <f>IFERROR(VLOOKUP(purchase[[#This Row],[Vendor_ID]],vendorsdata[#All],10,0),"")</f>
        <v/>
      </c>
      <c r="AC10" s="36"/>
      <c r="AD10" s="36"/>
      <c r="AE10" s="36"/>
      <c r="AF10" s="36">
        <f>purchase[[#This Row],[Received Date]]-purchase[[#This Row],[Purchase Date]]</f>
        <v>0</v>
      </c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</row>
    <row r="11" spans="2:45" x14ac:dyDescent="0.4">
      <c r="B11" s="14"/>
      <c r="D11" s="36" t="str">
        <f t="shared" si="0"/>
        <v>PURCH0006</v>
      </c>
      <c r="E11" s="36"/>
      <c r="F11" s="36"/>
      <c r="G11" s="36"/>
      <c r="H11" s="41"/>
      <c r="I11" s="36"/>
      <c r="J11" s="37" t="str">
        <f>IFERROR(VLOOKUP(purchase[[#This Row],[Purchase Date]],Table4[#All],3,0),"")</f>
        <v/>
      </c>
      <c r="K11" s="35"/>
      <c r="L11" s="40"/>
      <c r="M11" s="40">
        <f>purchase[[#This Row],[Unit Price]]*purchase[[#This Row],[Quantity Purchased]]</f>
        <v>0</v>
      </c>
      <c r="N11" s="36"/>
      <c r="O11" s="36"/>
      <c r="P11" s="35"/>
      <c r="Q11" s="35"/>
      <c r="R11" s="40">
        <f>purchase[[#This Row],[Unit Price]]*(purchase[[#This Row],[Received Quantity]]-purchase[[#This Row],[Pending Quantity]])</f>
        <v>0</v>
      </c>
      <c r="S11" s="36"/>
      <c r="T11" s="40">
        <f>(purchase[[#This Row],[Subtotal]]*purchase[[#This Row],[Tax Rate]])/100</f>
        <v>0</v>
      </c>
      <c r="U11" s="36"/>
      <c r="V11" s="36"/>
      <c r="W11" s="36"/>
      <c r="X11" s="36"/>
      <c r="Y11" s="40">
        <f t="shared" si="1"/>
        <v>0</v>
      </c>
      <c r="Z11" s="36" t="str">
        <f>IFERROR(VLOOKUP(purchase[[#This Row],[Vendor_ID]],vendorsdata[#All],2,0),"")</f>
        <v/>
      </c>
      <c r="AA11" s="36" t="str">
        <f>IFERROR(VLOOKUP(purchase[[#This Row],[Vendor_ID]],vendorsdata[#All],9,0),"")</f>
        <v/>
      </c>
      <c r="AB11" s="36" t="str">
        <f>IFERROR(VLOOKUP(purchase[[#This Row],[Vendor_ID]],vendorsdata[#All],10,0),"")</f>
        <v/>
      </c>
      <c r="AC11" s="36"/>
      <c r="AD11" s="36"/>
      <c r="AE11" s="36"/>
      <c r="AF11" s="36">
        <f>purchase[[#This Row],[Received Date]]-purchase[[#This Row],[Purchase Date]]</f>
        <v>0</v>
      </c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</row>
    <row r="12" spans="2:45" x14ac:dyDescent="0.4">
      <c r="B12" s="14"/>
      <c r="D12" s="36" t="str">
        <f t="shared" si="0"/>
        <v>PURCH0007</v>
      </c>
      <c r="E12" s="36"/>
      <c r="F12" s="36"/>
      <c r="G12" s="36"/>
      <c r="H12" s="41"/>
      <c r="I12" s="36"/>
      <c r="J12" s="37" t="str">
        <f>IFERROR(VLOOKUP(purchase[[#This Row],[Purchase Date]],Table4[#All],3,0),"")</f>
        <v/>
      </c>
      <c r="K12" s="35"/>
      <c r="L12" s="40"/>
      <c r="M12" s="40">
        <f>purchase[[#This Row],[Unit Price]]*purchase[[#This Row],[Quantity Purchased]]</f>
        <v>0</v>
      </c>
      <c r="N12" s="36"/>
      <c r="O12" s="36"/>
      <c r="P12" s="35"/>
      <c r="Q12" s="35"/>
      <c r="R12" s="40">
        <f>purchase[[#This Row],[Unit Price]]*(purchase[[#This Row],[Received Quantity]]-purchase[[#This Row],[Pending Quantity]])</f>
        <v>0</v>
      </c>
      <c r="S12" s="36"/>
      <c r="T12" s="40">
        <f>(purchase[[#This Row],[Subtotal]]*purchase[[#This Row],[Tax Rate]])/100</f>
        <v>0</v>
      </c>
      <c r="U12" s="36"/>
      <c r="V12" s="36"/>
      <c r="W12" s="36"/>
      <c r="X12" s="36"/>
      <c r="Y12" s="40">
        <f t="shared" si="1"/>
        <v>0</v>
      </c>
      <c r="Z12" s="36" t="str">
        <f>IFERROR(VLOOKUP(purchase[[#This Row],[Vendor_ID]],vendorsdata[#All],2,0),"")</f>
        <v/>
      </c>
      <c r="AA12" s="36" t="str">
        <f>IFERROR(VLOOKUP(purchase[[#This Row],[Vendor_ID]],vendorsdata[#All],9,0),"")</f>
        <v/>
      </c>
      <c r="AB12" s="36" t="str">
        <f>IFERROR(VLOOKUP(purchase[[#This Row],[Vendor_ID]],vendorsdata[#All],10,0),"")</f>
        <v/>
      </c>
      <c r="AC12" s="36"/>
      <c r="AD12" s="36"/>
      <c r="AE12" s="36"/>
      <c r="AF12" s="36">
        <f>purchase[[#This Row],[Received Date]]-purchase[[#This Row],[Purchase Date]]</f>
        <v>0</v>
      </c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</row>
    <row r="13" spans="2:45" x14ac:dyDescent="0.4">
      <c r="B13" s="14"/>
      <c r="D13" s="36" t="str">
        <f t="shared" si="0"/>
        <v>PURCH0008</v>
      </c>
      <c r="E13" s="36"/>
      <c r="F13" s="36"/>
      <c r="G13" s="36"/>
      <c r="H13" s="41"/>
      <c r="I13" s="36"/>
      <c r="J13" s="37" t="str">
        <f>IFERROR(VLOOKUP(purchase[[#This Row],[Purchase Date]],Table4[#All],3,0),"")</f>
        <v/>
      </c>
      <c r="K13" s="35"/>
      <c r="L13" s="40"/>
      <c r="M13" s="40">
        <f>purchase[[#This Row],[Unit Price]]*purchase[[#This Row],[Quantity Purchased]]</f>
        <v>0</v>
      </c>
      <c r="N13" s="36"/>
      <c r="O13" s="36"/>
      <c r="P13" s="35"/>
      <c r="Q13" s="35"/>
      <c r="R13" s="40">
        <f>purchase[[#This Row],[Unit Price]]*(purchase[[#This Row],[Received Quantity]]-purchase[[#This Row],[Pending Quantity]])</f>
        <v>0</v>
      </c>
      <c r="S13" s="36"/>
      <c r="T13" s="40">
        <f>(purchase[[#This Row],[Subtotal]]*purchase[[#This Row],[Tax Rate]])/100</f>
        <v>0</v>
      </c>
      <c r="U13" s="36"/>
      <c r="V13" s="36"/>
      <c r="W13" s="36"/>
      <c r="X13" s="36"/>
      <c r="Y13" s="40">
        <f t="shared" si="1"/>
        <v>0</v>
      </c>
      <c r="Z13" s="36" t="str">
        <f>IFERROR(VLOOKUP(purchase[[#This Row],[Vendor_ID]],vendorsdata[#All],2,0),"")</f>
        <v/>
      </c>
      <c r="AA13" s="36" t="str">
        <f>IFERROR(VLOOKUP(purchase[[#This Row],[Vendor_ID]],vendorsdata[#All],9,0),"")</f>
        <v/>
      </c>
      <c r="AB13" s="36" t="str">
        <f>IFERROR(VLOOKUP(purchase[[#This Row],[Vendor_ID]],vendorsdata[#All],10,0),"")</f>
        <v/>
      </c>
      <c r="AC13" s="36"/>
      <c r="AD13" s="36"/>
      <c r="AE13" s="36"/>
      <c r="AF13" s="36">
        <f>purchase[[#This Row],[Received Date]]-purchase[[#This Row],[Purchase Date]]</f>
        <v>0</v>
      </c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</row>
    <row r="14" spans="2:45" x14ac:dyDescent="0.4">
      <c r="B14" s="14"/>
      <c r="D14" s="36" t="str">
        <f t="shared" si="0"/>
        <v>PURCH0009</v>
      </c>
      <c r="E14" s="36"/>
      <c r="F14" s="36"/>
      <c r="G14" s="36"/>
      <c r="H14" s="41"/>
      <c r="I14" s="36"/>
      <c r="J14" s="37" t="str">
        <f>IFERROR(VLOOKUP(purchase[[#This Row],[Purchase Date]],Table4[#All],3,0),"")</f>
        <v/>
      </c>
      <c r="K14" s="35"/>
      <c r="L14" s="40"/>
      <c r="M14" s="40">
        <f>purchase[[#This Row],[Unit Price]]*purchase[[#This Row],[Quantity Purchased]]</f>
        <v>0</v>
      </c>
      <c r="N14" s="36"/>
      <c r="O14" s="36"/>
      <c r="P14" s="35"/>
      <c r="Q14" s="35"/>
      <c r="R14" s="40">
        <f>purchase[[#This Row],[Unit Price]]*(purchase[[#This Row],[Received Quantity]]-purchase[[#This Row],[Pending Quantity]])</f>
        <v>0</v>
      </c>
      <c r="S14" s="36"/>
      <c r="T14" s="40">
        <f>(purchase[[#This Row],[Subtotal]]*purchase[[#This Row],[Tax Rate]])/100</f>
        <v>0</v>
      </c>
      <c r="U14" s="36"/>
      <c r="V14" s="36"/>
      <c r="W14" s="36"/>
      <c r="X14" s="36"/>
      <c r="Y14" s="40">
        <f t="shared" si="1"/>
        <v>0</v>
      </c>
      <c r="Z14" s="36" t="str">
        <f>IFERROR(VLOOKUP(purchase[[#This Row],[Vendor_ID]],vendorsdata[#All],2,0),"")</f>
        <v/>
      </c>
      <c r="AA14" s="36" t="str">
        <f>IFERROR(VLOOKUP(purchase[[#This Row],[Vendor_ID]],vendorsdata[#All],9,0),"")</f>
        <v/>
      </c>
      <c r="AB14" s="36" t="str">
        <f>IFERROR(VLOOKUP(purchase[[#This Row],[Vendor_ID]],vendorsdata[#All],10,0),"")</f>
        <v/>
      </c>
      <c r="AC14" s="36"/>
      <c r="AD14" s="36"/>
      <c r="AE14" s="36"/>
      <c r="AF14" s="36">
        <f>purchase[[#This Row],[Received Date]]-purchase[[#This Row],[Purchase Date]]</f>
        <v>0</v>
      </c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</row>
    <row r="15" spans="2:45" x14ac:dyDescent="0.4">
      <c r="B15" s="14"/>
      <c r="D15" s="36" t="str">
        <f t="shared" si="0"/>
        <v>PURCH0010</v>
      </c>
      <c r="E15" s="36"/>
      <c r="F15" s="36"/>
      <c r="G15" s="36"/>
      <c r="H15" s="41"/>
      <c r="I15" s="36"/>
      <c r="J15" s="37" t="str">
        <f>IFERROR(VLOOKUP(purchase[[#This Row],[Purchase Date]],Table4[#All],3,0),"")</f>
        <v/>
      </c>
      <c r="K15" s="35"/>
      <c r="L15" s="40"/>
      <c r="M15" s="40">
        <f>purchase[[#This Row],[Unit Price]]*purchase[[#This Row],[Quantity Purchased]]</f>
        <v>0</v>
      </c>
      <c r="N15" s="36"/>
      <c r="O15" s="36"/>
      <c r="P15" s="35"/>
      <c r="Q15" s="35"/>
      <c r="R15" s="40">
        <f>purchase[[#This Row],[Unit Price]]*(purchase[[#This Row],[Received Quantity]]-purchase[[#This Row],[Pending Quantity]])</f>
        <v>0</v>
      </c>
      <c r="S15" s="36"/>
      <c r="T15" s="40">
        <f>(purchase[[#This Row],[Subtotal]]*purchase[[#This Row],[Tax Rate]])/100</f>
        <v>0</v>
      </c>
      <c r="U15" s="36"/>
      <c r="V15" s="36"/>
      <c r="W15" s="36"/>
      <c r="X15" s="36"/>
      <c r="Y15" s="40">
        <f t="shared" si="1"/>
        <v>0</v>
      </c>
      <c r="Z15" s="36" t="str">
        <f>IFERROR(VLOOKUP(purchase[[#This Row],[Vendor_ID]],vendorsdata[#All],2,0),"")</f>
        <v/>
      </c>
      <c r="AA15" s="36" t="str">
        <f>IFERROR(VLOOKUP(purchase[[#This Row],[Vendor_ID]],vendorsdata[#All],9,0),"")</f>
        <v/>
      </c>
      <c r="AB15" s="36" t="str">
        <f>IFERROR(VLOOKUP(purchase[[#This Row],[Vendor_ID]],vendorsdata[#All],10,0),"")</f>
        <v/>
      </c>
      <c r="AC15" s="36"/>
      <c r="AD15" s="36"/>
      <c r="AE15" s="36"/>
      <c r="AF15" s="36">
        <f>purchase[[#This Row],[Received Date]]-purchase[[#This Row],[Purchase Date]]</f>
        <v>0</v>
      </c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</row>
    <row r="16" spans="2:45" x14ac:dyDescent="0.4">
      <c r="B16" s="14"/>
      <c r="D16" s="36" t="str">
        <f t="shared" si="0"/>
        <v>PURCH0011</v>
      </c>
      <c r="E16" s="36"/>
      <c r="F16" s="36"/>
      <c r="G16" s="36"/>
      <c r="H16" s="41"/>
      <c r="I16" s="36"/>
      <c r="J16" s="37" t="str">
        <f>IFERROR(VLOOKUP(purchase[[#This Row],[Purchase Date]],Table4[#All],3,0),"")</f>
        <v/>
      </c>
      <c r="K16" s="35"/>
      <c r="L16" s="40"/>
      <c r="M16" s="40">
        <f>purchase[[#This Row],[Unit Price]]*purchase[[#This Row],[Quantity Purchased]]</f>
        <v>0</v>
      </c>
      <c r="N16" s="36"/>
      <c r="O16" s="36"/>
      <c r="P16" s="35"/>
      <c r="Q16" s="35"/>
      <c r="R16" s="40">
        <f>purchase[[#This Row],[Unit Price]]*(purchase[[#This Row],[Received Quantity]]-purchase[[#This Row],[Pending Quantity]])</f>
        <v>0</v>
      </c>
      <c r="S16" s="36"/>
      <c r="T16" s="40">
        <f>(purchase[[#This Row],[Subtotal]]*purchase[[#This Row],[Tax Rate]])/100</f>
        <v>0</v>
      </c>
      <c r="U16" s="36"/>
      <c r="V16" s="36"/>
      <c r="W16" s="36"/>
      <c r="X16" s="36"/>
      <c r="Y16" s="40">
        <f t="shared" si="1"/>
        <v>0</v>
      </c>
      <c r="Z16" s="36" t="str">
        <f>IFERROR(VLOOKUP(purchase[[#This Row],[Vendor_ID]],vendorsdata[#All],2,0),"")</f>
        <v/>
      </c>
      <c r="AA16" s="36" t="str">
        <f>IFERROR(VLOOKUP(purchase[[#This Row],[Vendor_ID]],vendorsdata[#All],9,0),"")</f>
        <v/>
      </c>
      <c r="AB16" s="36" t="str">
        <f>IFERROR(VLOOKUP(purchase[[#This Row],[Vendor_ID]],vendorsdata[#All],10,0),"")</f>
        <v/>
      </c>
      <c r="AC16" s="36"/>
      <c r="AD16" s="36"/>
      <c r="AE16" s="36"/>
      <c r="AF16" s="36">
        <f>purchase[[#This Row],[Received Date]]-purchase[[#This Row],[Purchase Date]]</f>
        <v>0</v>
      </c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</row>
    <row r="17" spans="2:45" x14ac:dyDescent="0.4">
      <c r="B17" s="14"/>
      <c r="D17" s="36" t="str">
        <f t="shared" si="0"/>
        <v>PURCH0012</v>
      </c>
      <c r="E17" s="36"/>
      <c r="F17" s="36"/>
      <c r="G17" s="36"/>
      <c r="H17" s="41"/>
      <c r="I17" s="36"/>
      <c r="J17" s="37" t="str">
        <f>IFERROR(VLOOKUP(purchase[[#This Row],[Purchase Date]],Table4[#All],3,0),"")</f>
        <v/>
      </c>
      <c r="K17" s="35"/>
      <c r="L17" s="40"/>
      <c r="M17" s="40">
        <f>purchase[[#This Row],[Unit Price]]*purchase[[#This Row],[Quantity Purchased]]</f>
        <v>0</v>
      </c>
      <c r="N17" s="36"/>
      <c r="O17" s="36"/>
      <c r="P17" s="35"/>
      <c r="Q17" s="35"/>
      <c r="R17" s="40">
        <f>purchase[[#This Row],[Unit Price]]*(purchase[[#This Row],[Received Quantity]]-purchase[[#This Row],[Pending Quantity]])</f>
        <v>0</v>
      </c>
      <c r="S17" s="36"/>
      <c r="T17" s="40">
        <f>(purchase[[#This Row],[Subtotal]]*purchase[[#This Row],[Tax Rate]])/100</f>
        <v>0</v>
      </c>
      <c r="U17" s="36"/>
      <c r="V17" s="36"/>
      <c r="W17" s="36"/>
      <c r="X17" s="36"/>
      <c r="Y17" s="40">
        <f t="shared" si="1"/>
        <v>0</v>
      </c>
      <c r="Z17" s="36" t="str">
        <f>IFERROR(VLOOKUP(purchase[[#This Row],[Vendor_ID]],vendorsdata[#All],2,0),"")</f>
        <v/>
      </c>
      <c r="AA17" s="36" t="str">
        <f>IFERROR(VLOOKUP(purchase[[#This Row],[Vendor_ID]],vendorsdata[#All],9,0),"")</f>
        <v/>
      </c>
      <c r="AB17" s="36" t="str">
        <f>IFERROR(VLOOKUP(purchase[[#This Row],[Vendor_ID]],vendorsdata[#All],10,0),"")</f>
        <v/>
      </c>
      <c r="AC17" s="36"/>
      <c r="AD17" s="36"/>
      <c r="AE17" s="36"/>
      <c r="AF17" s="36">
        <f>purchase[[#This Row],[Received Date]]-purchase[[#This Row],[Purchase Date]]</f>
        <v>0</v>
      </c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</row>
    <row r="18" spans="2:45" x14ac:dyDescent="0.4">
      <c r="B18" s="14"/>
      <c r="D18" s="36" t="str">
        <f t="shared" si="0"/>
        <v>PURCH0013</v>
      </c>
      <c r="E18" s="36"/>
      <c r="F18" s="36"/>
      <c r="G18" s="36"/>
      <c r="H18" s="41"/>
      <c r="I18" s="36"/>
      <c r="J18" s="37" t="str">
        <f>IFERROR(VLOOKUP(purchase[[#This Row],[Purchase Date]],Table4[#All],3,0),"")</f>
        <v/>
      </c>
      <c r="K18" s="35"/>
      <c r="L18" s="40"/>
      <c r="M18" s="40">
        <f>purchase[[#This Row],[Unit Price]]*purchase[[#This Row],[Quantity Purchased]]</f>
        <v>0</v>
      </c>
      <c r="N18" s="36"/>
      <c r="O18" s="36"/>
      <c r="P18" s="35"/>
      <c r="Q18" s="35"/>
      <c r="R18" s="40">
        <f>purchase[[#This Row],[Unit Price]]*(purchase[[#This Row],[Received Quantity]]-purchase[[#This Row],[Pending Quantity]])</f>
        <v>0</v>
      </c>
      <c r="S18" s="36"/>
      <c r="T18" s="40">
        <f>(purchase[[#This Row],[Subtotal]]*purchase[[#This Row],[Tax Rate]])/100</f>
        <v>0</v>
      </c>
      <c r="U18" s="36"/>
      <c r="V18" s="36"/>
      <c r="W18" s="36"/>
      <c r="X18" s="36"/>
      <c r="Y18" s="40">
        <f t="shared" si="1"/>
        <v>0</v>
      </c>
      <c r="Z18" s="36" t="str">
        <f>IFERROR(VLOOKUP(purchase[[#This Row],[Vendor_ID]],vendorsdata[#All],2,0),"")</f>
        <v/>
      </c>
      <c r="AA18" s="36" t="str">
        <f>IFERROR(VLOOKUP(purchase[[#This Row],[Vendor_ID]],vendorsdata[#All],9,0),"")</f>
        <v/>
      </c>
      <c r="AB18" s="36" t="str">
        <f>IFERROR(VLOOKUP(purchase[[#This Row],[Vendor_ID]],vendorsdata[#All],10,0),"")</f>
        <v/>
      </c>
      <c r="AC18" s="36"/>
      <c r="AD18" s="36"/>
      <c r="AE18" s="36"/>
      <c r="AF18" s="36">
        <f>purchase[[#This Row],[Received Date]]-purchase[[#This Row],[Purchase Date]]</f>
        <v>0</v>
      </c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</row>
    <row r="19" spans="2:45" x14ac:dyDescent="0.4">
      <c r="B19" s="15"/>
      <c r="D19" s="36" t="str">
        <f t="shared" si="0"/>
        <v>PURCH0014</v>
      </c>
      <c r="E19" s="36"/>
      <c r="F19" s="36"/>
      <c r="G19" s="36"/>
      <c r="H19" s="36"/>
      <c r="I19" s="36"/>
      <c r="J19" s="37" t="str">
        <f>IFERROR(VLOOKUP(purchase[[#This Row],[Purchase Date]],Table4[#All],3,0),"")</f>
        <v/>
      </c>
      <c r="K19" s="35"/>
      <c r="L19" s="40"/>
      <c r="M19" s="40">
        <f>purchase[[#This Row],[Unit Price]]*purchase[[#This Row],[Quantity Purchased]]</f>
        <v>0</v>
      </c>
      <c r="N19" s="36"/>
      <c r="O19" s="36"/>
      <c r="P19" s="35"/>
      <c r="Q19" s="35"/>
      <c r="R19" s="40">
        <f>purchase[[#This Row],[Unit Price]]*(purchase[[#This Row],[Received Quantity]]-purchase[[#This Row],[Pending Quantity]])</f>
        <v>0</v>
      </c>
      <c r="S19" s="36"/>
      <c r="T19" s="40">
        <f>(purchase[[#This Row],[Subtotal]]*purchase[[#This Row],[Tax Rate]])/100</f>
        <v>0</v>
      </c>
      <c r="U19" s="36"/>
      <c r="V19" s="36"/>
      <c r="W19" s="36"/>
      <c r="X19" s="36"/>
      <c r="Y19" s="40">
        <f t="shared" si="1"/>
        <v>0</v>
      </c>
      <c r="Z19" s="36" t="str">
        <f>IFERROR(VLOOKUP(purchase[[#This Row],[Vendor_ID]],vendorsdata[#All],2,0),"")</f>
        <v/>
      </c>
      <c r="AA19" s="36" t="str">
        <f>IFERROR(VLOOKUP(purchase[[#This Row],[Vendor_ID]],vendorsdata[#All],9,0),"")</f>
        <v/>
      </c>
      <c r="AB19" s="36" t="str">
        <f>IFERROR(VLOOKUP(purchase[[#This Row],[Vendor_ID]],vendorsdata[#All],10,0),"")</f>
        <v/>
      </c>
      <c r="AC19" s="36"/>
      <c r="AD19" s="36"/>
      <c r="AE19" s="36"/>
      <c r="AF19" s="36">
        <f>purchase[[#This Row],[Received Date]]-purchase[[#This Row],[Purchase Date]]</f>
        <v>0</v>
      </c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</row>
    <row r="20" spans="2:45" x14ac:dyDescent="0.4">
      <c r="B20" s="8"/>
      <c r="D20" s="36" t="str">
        <f t="shared" si="0"/>
        <v>PURCH0015</v>
      </c>
      <c r="E20" s="36"/>
      <c r="F20" s="36"/>
      <c r="G20" s="36"/>
      <c r="H20" s="36"/>
      <c r="I20" s="36"/>
      <c r="J20" s="37" t="str">
        <f>IFERROR(VLOOKUP(purchase[[#This Row],[Purchase Date]],Table4[#All],3,0),"")</f>
        <v/>
      </c>
      <c r="K20" s="35"/>
      <c r="L20" s="40"/>
      <c r="M20" s="40">
        <f>purchase[[#This Row],[Unit Price]]*purchase[[#This Row],[Quantity Purchased]]</f>
        <v>0</v>
      </c>
      <c r="N20" s="36"/>
      <c r="O20" s="36"/>
      <c r="P20" s="35"/>
      <c r="Q20" s="35"/>
      <c r="R20" s="40">
        <f>purchase[[#This Row],[Unit Price]]*(purchase[[#This Row],[Received Quantity]]-purchase[[#This Row],[Pending Quantity]])</f>
        <v>0</v>
      </c>
      <c r="S20" s="36"/>
      <c r="T20" s="40">
        <f>(purchase[[#This Row],[Subtotal]]*purchase[[#This Row],[Tax Rate]])/100</f>
        <v>0</v>
      </c>
      <c r="U20" s="36"/>
      <c r="V20" s="36"/>
      <c r="W20" s="36"/>
      <c r="X20" s="36"/>
      <c r="Y20" s="40">
        <f t="shared" si="1"/>
        <v>0</v>
      </c>
      <c r="Z20" s="36" t="str">
        <f>IFERROR(VLOOKUP(purchase[[#This Row],[Vendor_ID]],vendorsdata[#All],2,0),"")</f>
        <v/>
      </c>
      <c r="AA20" s="36" t="str">
        <f>IFERROR(VLOOKUP(purchase[[#This Row],[Vendor_ID]],vendorsdata[#All],9,0),"")</f>
        <v/>
      </c>
      <c r="AB20" s="36" t="str">
        <f>IFERROR(VLOOKUP(purchase[[#This Row],[Vendor_ID]],vendorsdata[#All],10,0),"")</f>
        <v/>
      </c>
      <c r="AC20" s="36"/>
      <c r="AD20" s="36"/>
      <c r="AE20" s="36"/>
      <c r="AF20" s="36">
        <f>purchase[[#This Row],[Received Date]]-purchase[[#This Row],[Purchase Date]]</f>
        <v>0</v>
      </c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</row>
    <row r="21" spans="2:45" x14ac:dyDescent="0.4">
      <c r="B21" s="8"/>
      <c r="D21" s="36" t="str">
        <f t="shared" si="0"/>
        <v>PURCH0016</v>
      </c>
      <c r="E21" s="36"/>
      <c r="F21" s="36"/>
      <c r="G21" s="36"/>
      <c r="H21" s="36"/>
      <c r="I21" s="36"/>
      <c r="J21" s="37" t="str">
        <f>IFERROR(VLOOKUP(purchase[[#This Row],[Purchase Date]],Table4[#All],3,0),"")</f>
        <v/>
      </c>
      <c r="K21" s="35"/>
      <c r="L21" s="40"/>
      <c r="M21" s="40">
        <f>purchase[[#This Row],[Unit Price]]*purchase[[#This Row],[Quantity Purchased]]</f>
        <v>0</v>
      </c>
      <c r="N21" s="36"/>
      <c r="O21" s="36"/>
      <c r="P21" s="35"/>
      <c r="Q21" s="35"/>
      <c r="R21" s="40">
        <f>purchase[[#This Row],[Unit Price]]*(purchase[[#This Row],[Received Quantity]]-purchase[[#This Row],[Pending Quantity]])</f>
        <v>0</v>
      </c>
      <c r="S21" s="36"/>
      <c r="T21" s="40">
        <f>(purchase[[#This Row],[Subtotal]]*purchase[[#This Row],[Tax Rate]])/100</f>
        <v>0</v>
      </c>
      <c r="U21" s="36"/>
      <c r="V21" s="36"/>
      <c r="W21" s="36"/>
      <c r="X21" s="36"/>
      <c r="Y21" s="40">
        <f t="shared" si="1"/>
        <v>0</v>
      </c>
      <c r="Z21" s="36" t="str">
        <f>IFERROR(VLOOKUP(purchase[[#This Row],[Vendor_ID]],vendorsdata[#All],2,0),"")</f>
        <v/>
      </c>
      <c r="AA21" s="36" t="str">
        <f>IFERROR(VLOOKUP(purchase[[#This Row],[Vendor_ID]],vendorsdata[#All],9,0),"")</f>
        <v/>
      </c>
      <c r="AB21" s="36" t="str">
        <f>IFERROR(VLOOKUP(purchase[[#This Row],[Vendor_ID]],vendorsdata[#All],10,0),"")</f>
        <v/>
      </c>
      <c r="AC21" s="36"/>
      <c r="AD21" s="36"/>
      <c r="AE21" s="36"/>
      <c r="AF21" s="36">
        <f>purchase[[#This Row],[Received Date]]-purchase[[#This Row],[Purchase Date]]</f>
        <v>0</v>
      </c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</row>
    <row r="22" spans="2:45" x14ac:dyDescent="0.4">
      <c r="B22" s="8"/>
      <c r="D22" s="36" t="str">
        <f t="shared" si="0"/>
        <v>PURCH0017</v>
      </c>
      <c r="E22" s="36"/>
      <c r="F22" s="36"/>
      <c r="G22" s="36"/>
      <c r="H22" s="36"/>
      <c r="I22" s="36"/>
      <c r="J22" s="37" t="str">
        <f>IFERROR(VLOOKUP(purchase[[#This Row],[Purchase Date]],Table4[#All],3,0),"")</f>
        <v/>
      </c>
      <c r="K22" s="35"/>
      <c r="L22" s="40"/>
      <c r="M22" s="40">
        <f>purchase[[#This Row],[Unit Price]]*purchase[[#This Row],[Quantity Purchased]]</f>
        <v>0</v>
      </c>
      <c r="N22" s="36"/>
      <c r="O22" s="36"/>
      <c r="P22" s="35"/>
      <c r="Q22" s="35"/>
      <c r="R22" s="40">
        <f>purchase[[#This Row],[Unit Price]]*(purchase[[#This Row],[Received Quantity]]-purchase[[#This Row],[Pending Quantity]])</f>
        <v>0</v>
      </c>
      <c r="S22" s="36"/>
      <c r="T22" s="40">
        <f>(purchase[[#This Row],[Subtotal]]*purchase[[#This Row],[Tax Rate]])/100</f>
        <v>0</v>
      </c>
      <c r="U22" s="36"/>
      <c r="V22" s="36"/>
      <c r="W22" s="36"/>
      <c r="X22" s="36"/>
      <c r="Y22" s="40">
        <f t="shared" si="1"/>
        <v>0</v>
      </c>
      <c r="Z22" s="36" t="str">
        <f>IFERROR(VLOOKUP(purchase[[#This Row],[Vendor_ID]],vendorsdata[#All],2,0),"")</f>
        <v/>
      </c>
      <c r="AA22" s="36" t="str">
        <f>IFERROR(VLOOKUP(purchase[[#This Row],[Vendor_ID]],vendorsdata[#All],9,0),"")</f>
        <v/>
      </c>
      <c r="AB22" s="36" t="str">
        <f>IFERROR(VLOOKUP(purchase[[#This Row],[Vendor_ID]],vendorsdata[#All],10,0),"")</f>
        <v/>
      </c>
      <c r="AC22" s="36"/>
      <c r="AD22" s="36"/>
      <c r="AE22" s="36"/>
      <c r="AF22" s="36">
        <f>purchase[[#This Row],[Received Date]]-purchase[[#This Row],[Purchase Date]]</f>
        <v>0</v>
      </c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</row>
    <row r="23" spans="2:45" x14ac:dyDescent="0.4">
      <c r="B23" s="8"/>
    </row>
    <row r="24" spans="2:45" x14ac:dyDescent="0.4">
      <c r="B24" s="8"/>
    </row>
  </sheetData>
  <mergeCells count="6">
    <mergeCell ref="AM4:AP4"/>
    <mergeCell ref="D4:I4"/>
    <mergeCell ref="J4:Q4"/>
    <mergeCell ref="R4:Y4"/>
    <mergeCell ref="Z4:AG4"/>
    <mergeCell ref="AH4:AL4"/>
  </mergeCells>
  <phoneticPr fontId="6" type="noConversion"/>
  <dataValidations count="11">
    <dataValidation type="list" allowBlank="1" showInputMessage="1" showErrorMessage="1" sqref="I6:I22" xr:uid="{DC3835A7-967C-480B-B67A-396CD09BA2EA}">
      <formula1>purchasetype</formula1>
    </dataValidation>
    <dataValidation type="list" allowBlank="1" showInputMessage="1" showErrorMessage="1" sqref="U6:U22" xr:uid="{165558F7-E383-400C-895E-E9AB1D8F2649}">
      <formula1>taxtype</formula1>
    </dataValidation>
    <dataValidation type="list" allowBlank="1" showInputMessage="1" showErrorMessage="1" sqref="AC6:AC22" xr:uid="{D0D42F0B-5420-4D9B-8B9C-CD0BDB27AE38}">
      <formula1>delivryterms</formula1>
    </dataValidation>
    <dataValidation type="list" allowBlank="1" showInputMessage="1" showErrorMessage="1" sqref="AG6:AG22" xr:uid="{102059DF-E5B2-4ABC-A056-5962025AB6F0}">
      <formula1>delivrtstatus</formula1>
    </dataValidation>
    <dataValidation type="list" allowBlank="1" showInputMessage="1" showErrorMessage="1" sqref="AJ6:AJ22" xr:uid="{F2769467-2D91-4374-A50A-02DCA8511CDE}">
      <formula1>paymentstatus</formula1>
    </dataValidation>
    <dataValidation type="list" allowBlank="1" showInputMessage="1" showErrorMessage="1" sqref="AL6:AL22" xr:uid="{7EDD3922-4B26-455F-A784-A39E5C84DEC2}">
      <formula1>ppmethod</formula1>
    </dataValidation>
    <dataValidation type="list" allowBlank="1" showInputMessage="1" showErrorMessage="1" sqref="AQ6:AQ22" xr:uid="{B14DC810-FD77-4F70-8AB1-515F7C4975B3}">
      <formula1>purchasestatus</formula1>
    </dataValidation>
    <dataValidation type="list" allowBlank="1" showInputMessage="1" showErrorMessage="1" sqref="G6:G22" xr:uid="{CD677973-DFC4-4280-84A5-59EC758AFC5B}">
      <formula1>acctransid</formula1>
    </dataValidation>
    <dataValidation type="list" allowBlank="1" showInputMessage="1" showErrorMessage="1" sqref="J6:J22" xr:uid="{976B0E24-F1FE-4D97-A002-1DAD7D73186C}">
      <formula1>productid</formula1>
    </dataValidation>
    <dataValidation type="list" allowBlank="1" showInputMessage="1" showErrorMessage="1" sqref="V6:V22" xr:uid="{EDA3E4D0-EDD3-46D4-B9FD-70EDE558F1EE}">
      <formula1>Tax_GST</formula1>
    </dataValidation>
    <dataValidation type="list" allowBlank="1" showInputMessage="1" showErrorMessage="1" sqref="AK6:AK22" xr:uid="{B5A13DF6-502D-4681-B686-4D1CDBFE740A}">
      <formula1>paymentterms</formula1>
    </dataValidation>
  </dataValidations>
  <hyperlinks>
    <hyperlink ref="AS6" r:id="rId1" xr:uid="{C038B407-8819-4C18-8C96-7B534D0F0937}"/>
    <hyperlink ref="AS7" r:id="rId2" xr:uid="{D542D1B4-B200-46F9-9CC5-C959A77BF86D}"/>
  </hyperlinks>
  <pageMargins left="0.7" right="0.7" top="0.75" bottom="0.75" header="0.3" footer="0.3"/>
  <pageSetup orientation="portrait" r:id="rId3"/>
  <drawing r:id="rId4"/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E49A650-3F52-480B-AD08-6FDE038ABA0E}">
          <x14:formula1>
            <xm:f>Vendors!$D$6:$D$15</xm:f>
          </x14:formula1>
          <xm:sqref>F6:F22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3837C-BBB6-41AA-865C-2132BFA22C90}">
  <sheetPr codeName="Sheet8"/>
  <dimension ref="B1:AS22"/>
  <sheetViews>
    <sheetView zoomScale="66" zoomScaleNormal="66" workbookViewId="0">
      <selection activeCell="F6" sqref="F6"/>
    </sheetView>
  </sheetViews>
  <sheetFormatPr defaultColWidth="8.78515625" defaultRowHeight="26.25" x14ac:dyDescent="0.4"/>
  <cols>
    <col min="1" max="1" width="1.640625" style="1" customWidth="1"/>
    <col min="2" max="2" width="14.5" customWidth="1"/>
    <col min="3" max="3" width="1.7109375" style="1" customWidth="1"/>
    <col min="4" max="4" width="7.7109375" style="1" bestFit="1" customWidth="1"/>
    <col min="5" max="5" width="10.2109375" style="1" bestFit="1" customWidth="1"/>
    <col min="6" max="6" width="12.28515625" style="1" bestFit="1" customWidth="1"/>
    <col min="7" max="7" width="11.140625" style="1" customWidth="1"/>
    <col min="8" max="8" width="11.42578125" style="1" bestFit="1" customWidth="1"/>
    <col min="9" max="9" width="9.0703125" style="1" bestFit="1" customWidth="1"/>
    <col min="10" max="10" width="9.35546875" style="1" bestFit="1" customWidth="1"/>
    <col min="11" max="11" width="10.78515625" style="1" bestFit="1" customWidth="1"/>
    <col min="12" max="12" width="13.0703125" style="1" bestFit="1" customWidth="1"/>
    <col min="13" max="13" width="4.0703125" style="1" bestFit="1" customWidth="1"/>
    <col min="14" max="14" width="11.35546875" style="1" bestFit="1" customWidth="1"/>
    <col min="15" max="15" width="18.7109375" style="1" bestFit="1" customWidth="1"/>
    <col min="16" max="16" width="9.5703125" style="1" bestFit="1" customWidth="1"/>
    <col min="17" max="17" width="10.5703125" style="1" bestFit="1" customWidth="1"/>
    <col min="18" max="18" width="8.78515625" style="1"/>
    <col min="19" max="19" width="11.42578125" style="1" bestFit="1" customWidth="1"/>
    <col min="20" max="20" width="9.640625" style="1" bestFit="1" customWidth="1"/>
    <col min="21" max="21" width="6.78515625" style="1" bestFit="1" customWidth="1"/>
    <col min="22" max="22" width="8.78515625" style="1"/>
    <col min="23" max="23" width="10.35546875" style="1" bestFit="1" customWidth="1"/>
    <col min="24" max="24" width="11.0703125" style="1" bestFit="1" customWidth="1"/>
    <col min="25" max="25" width="8.5" style="1" bestFit="1" customWidth="1"/>
    <col min="26" max="26" width="13.5703125" style="1" bestFit="1" customWidth="1"/>
    <col min="27" max="27" width="18.28515625" style="1" bestFit="1" customWidth="1"/>
    <col min="28" max="28" width="9.35546875" style="1" bestFit="1" customWidth="1"/>
    <col min="29" max="29" width="10.85546875" style="1" bestFit="1" customWidth="1"/>
    <col min="30" max="30" width="10" style="1" bestFit="1" customWidth="1"/>
    <col min="31" max="31" width="11.42578125" style="1" bestFit="1" customWidth="1"/>
    <col min="32" max="32" width="11.0703125" style="1" bestFit="1" customWidth="1"/>
    <col min="33" max="33" width="14.640625" style="1" bestFit="1" customWidth="1"/>
    <col min="34" max="34" width="11.140625" style="1" bestFit="1" customWidth="1"/>
    <col min="35" max="35" width="11.85546875" style="1" bestFit="1" customWidth="1"/>
    <col min="36" max="36" width="10.92578125" style="1" bestFit="1" customWidth="1"/>
    <col min="37" max="37" width="10.140625" style="1" bestFit="1" customWidth="1"/>
    <col min="38" max="38" width="9.140625" style="1" bestFit="1" customWidth="1"/>
    <col min="39" max="39" width="8.92578125" style="1" bestFit="1" customWidth="1"/>
    <col min="40" max="40" width="9.140625" style="1" bestFit="1" customWidth="1"/>
    <col min="41" max="43" width="8.78515625" style="1"/>
    <col min="44" max="44" width="11.140625" style="1" bestFit="1" customWidth="1"/>
    <col min="45" max="45" width="20.42578125" style="1" bestFit="1" customWidth="1"/>
    <col min="46" max="16384" width="8.78515625" style="1"/>
  </cols>
  <sheetData>
    <row r="1" spans="2:45" x14ac:dyDescent="0.4">
      <c r="B1" s="1"/>
    </row>
    <row r="2" spans="2:45" x14ac:dyDescent="0.4">
      <c r="B2" s="13"/>
      <c r="Q2" s="2"/>
    </row>
    <row r="3" spans="2:45" x14ac:dyDescent="0.4">
      <c r="B3" s="14"/>
    </row>
    <row r="4" spans="2:45" x14ac:dyDescent="0.4">
      <c r="B4" s="14"/>
      <c r="D4" s="70" t="s">
        <v>247</v>
      </c>
      <c r="E4" s="71"/>
      <c r="F4" s="71"/>
      <c r="G4" s="71"/>
      <c r="H4" s="71"/>
      <c r="I4" s="72"/>
      <c r="J4" s="67" t="s">
        <v>251</v>
      </c>
      <c r="K4" s="68"/>
      <c r="L4" s="68"/>
      <c r="M4" s="68"/>
      <c r="N4" s="69"/>
      <c r="O4" s="67" t="s">
        <v>206</v>
      </c>
      <c r="P4" s="68"/>
      <c r="Q4" s="68"/>
      <c r="R4" s="68"/>
      <c r="S4" s="68"/>
      <c r="T4" s="68"/>
      <c r="U4" s="68"/>
      <c r="V4" s="69"/>
      <c r="W4" s="67" t="s">
        <v>217</v>
      </c>
      <c r="X4" s="68"/>
      <c r="Y4" s="68"/>
      <c r="Z4" s="68"/>
      <c r="AA4" s="68"/>
      <c r="AB4" s="69"/>
      <c r="AC4" s="67" t="s">
        <v>263</v>
      </c>
      <c r="AD4" s="68"/>
      <c r="AE4" s="68"/>
      <c r="AF4" s="68"/>
      <c r="AG4" s="68"/>
      <c r="AH4" s="68"/>
      <c r="AI4" s="68"/>
      <c r="AJ4" s="69"/>
      <c r="AK4" s="67" t="s">
        <v>267</v>
      </c>
      <c r="AL4" s="68"/>
      <c r="AM4" s="68"/>
      <c r="AN4" s="68"/>
      <c r="AO4" s="69"/>
      <c r="AP4" s="67" t="s">
        <v>272</v>
      </c>
      <c r="AQ4" s="68"/>
      <c r="AR4" s="68"/>
      <c r="AS4" s="69"/>
    </row>
    <row r="5" spans="2:45" x14ac:dyDescent="0.4">
      <c r="B5" s="14"/>
      <c r="D5" s="3" t="s">
        <v>244</v>
      </c>
      <c r="E5" s="4" t="s">
        <v>243</v>
      </c>
      <c r="F5" s="4" t="s">
        <v>187</v>
      </c>
      <c r="G5" s="4" t="s">
        <v>242</v>
      </c>
      <c r="H5" s="4" t="s">
        <v>245</v>
      </c>
      <c r="I5" s="4" t="s">
        <v>246</v>
      </c>
      <c r="J5" s="4" t="s">
        <v>183</v>
      </c>
      <c r="K5" s="4" t="s">
        <v>248</v>
      </c>
      <c r="L5" s="4" t="s">
        <v>199</v>
      </c>
      <c r="M5" s="4" t="s">
        <v>249</v>
      </c>
      <c r="N5" s="4" t="s">
        <v>250</v>
      </c>
      <c r="O5" s="4" t="s">
        <v>252</v>
      </c>
      <c r="P5" s="4" t="s">
        <v>253</v>
      </c>
      <c r="Q5" s="4" t="s">
        <v>200</v>
      </c>
      <c r="R5" s="4" t="s">
        <v>254</v>
      </c>
      <c r="S5" s="4" t="s">
        <v>203</v>
      </c>
      <c r="T5" s="4" t="s">
        <v>204</v>
      </c>
      <c r="U5" s="4" t="s">
        <v>255</v>
      </c>
      <c r="V5" s="4" t="s">
        <v>18</v>
      </c>
      <c r="W5" s="4" t="s">
        <v>213</v>
      </c>
      <c r="X5" s="4" t="s">
        <v>214</v>
      </c>
      <c r="Y5" s="4" t="s">
        <v>256</v>
      </c>
      <c r="Z5" s="4" t="s">
        <v>257</v>
      </c>
      <c r="AA5" s="4" t="s">
        <v>258</v>
      </c>
      <c r="AB5" s="4" t="s">
        <v>215</v>
      </c>
      <c r="AC5" s="4" t="s">
        <v>259</v>
      </c>
      <c r="AD5" s="4" t="s">
        <v>91</v>
      </c>
      <c r="AE5" s="4" t="s">
        <v>92</v>
      </c>
      <c r="AF5" s="4" t="s">
        <v>260</v>
      </c>
      <c r="AG5" s="4" t="s">
        <v>261</v>
      </c>
      <c r="AH5" s="4" t="s">
        <v>211</v>
      </c>
      <c r="AI5" s="4" t="s">
        <v>209</v>
      </c>
      <c r="AJ5" s="4" t="s">
        <v>262</v>
      </c>
      <c r="AK5" s="4" t="s">
        <v>264</v>
      </c>
      <c r="AL5" s="4" t="s">
        <v>265</v>
      </c>
      <c r="AM5" s="4" t="s">
        <v>218</v>
      </c>
      <c r="AN5" s="4" t="s">
        <v>266</v>
      </c>
      <c r="AO5" s="4" t="s">
        <v>221</v>
      </c>
      <c r="AP5" s="4" t="s">
        <v>268</v>
      </c>
      <c r="AQ5" s="4" t="s">
        <v>269</v>
      </c>
      <c r="AR5" s="4" t="s">
        <v>270</v>
      </c>
      <c r="AS5" s="4" t="s">
        <v>271</v>
      </c>
    </row>
    <row r="6" spans="2:45" x14ac:dyDescent="0.4">
      <c r="B6" s="14"/>
      <c r="D6" s="3" t="str">
        <f t="shared" ref="D6:D21" si="0">"SALES" &amp; TEXT(ROW()-5, "0000")</f>
        <v>SALES0001</v>
      </c>
      <c r="E6" s="4"/>
      <c r="F6" s="4"/>
      <c r="G6" s="4"/>
      <c r="H6" s="7"/>
      <c r="I6" s="4"/>
      <c r="J6" s="4"/>
      <c r="K6" s="5"/>
      <c r="L6" s="5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</row>
    <row r="7" spans="2:45" x14ac:dyDescent="0.4">
      <c r="B7" s="14"/>
      <c r="D7" s="3" t="str">
        <f t="shared" si="0"/>
        <v>SALES0002</v>
      </c>
      <c r="E7" s="4"/>
      <c r="F7" s="4"/>
      <c r="G7" s="4"/>
      <c r="H7" s="7"/>
      <c r="I7" s="4"/>
      <c r="J7" s="4"/>
      <c r="K7" s="5"/>
      <c r="L7" s="5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</row>
    <row r="8" spans="2:45" x14ac:dyDescent="0.4">
      <c r="B8" s="14"/>
      <c r="D8" s="3" t="str">
        <f t="shared" si="0"/>
        <v>SALES0003</v>
      </c>
      <c r="E8" s="4"/>
      <c r="F8" s="4"/>
      <c r="G8" s="4"/>
      <c r="H8" s="7"/>
      <c r="I8" s="4"/>
      <c r="J8" s="4"/>
      <c r="K8" s="5"/>
      <c r="L8" s="5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</row>
    <row r="9" spans="2:45" x14ac:dyDescent="0.4">
      <c r="B9" s="14"/>
      <c r="D9" s="3" t="str">
        <f t="shared" si="0"/>
        <v>SALES0004</v>
      </c>
      <c r="E9" s="4"/>
      <c r="F9" s="4"/>
      <c r="G9" s="4"/>
      <c r="H9" s="7"/>
      <c r="I9" s="4"/>
      <c r="J9" s="4"/>
      <c r="K9" s="5"/>
      <c r="L9" s="5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</row>
    <row r="10" spans="2:45" x14ac:dyDescent="0.4">
      <c r="B10" s="14" t="s">
        <v>0</v>
      </c>
      <c r="D10" s="3" t="str">
        <f t="shared" si="0"/>
        <v>SALES0005</v>
      </c>
      <c r="E10" s="4"/>
      <c r="F10" s="4"/>
      <c r="G10" s="4"/>
      <c r="H10" s="7"/>
      <c r="I10" s="4"/>
      <c r="J10" s="4"/>
      <c r="K10" s="5"/>
      <c r="L10" s="5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</row>
    <row r="11" spans="2:45" x14ac:dyDescent="0.4">
      <c r="B11" s="14"/>
      <c r="D11" s="3" t="str">
        <f t="shared" si="0"/>
        <v>SALES0006</v>
      </c>
      <c r="E11" s="4"/>
      <c r="F11" s="4"/>
      <c r="G11" s="4"/>
      <c r="H11" s="7"/>
      <c r="I11" s="4"/>
      <c r="J11" s="4"/>
      <c r="K11" s="5"/>
      <c r="L11" s="5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</row>
    <row r="12" spans="2:45" x14ac:dyDescent="0.4">
      <c r="B12" s="14"/>
      <c r="D12" s="3" t="str">
        <f t="shared" si="0"/>
        <v>SALES0007</v>
      </c>
      <c r="E12" s="4"/>
      <c r="F12" s="4"/>
      <c r="G12" s="4"/>
      <c r="H12" s="7"/>
      <c r="I12" s="4"/>
      <c r="J12" s="4"/>
      <c r="K12" s="5"/>
      <c r="L12" s="5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</row>
    <row r="13" spans="2:45" x14ac:dyDescent="0.4">
      <c r="B13" s="14"/>
      <c r="D13" s="3" t="str">
        <f t="shared" si="0"/>
        <v>SALES0008</v>
      </c>
      <c r="E13" s="4"/>
      <c r="F13" s="4"/>
      <c r="G13" s="4"/>
      <c r="H13" s="7"/>
      <c r="I13" s="4"/>
      <c r="J13" s="4"/>
      <c r="K13" s="5"/>
      <c r="L13" s="5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</row>
    <row r="14" spans="2:45" x14ac:dyDescent="0.4">
      <c r="B14" s="14"/>
      <c r="D14" s="3" t="str">
        <f t="shared" si="0"/>
        <v>SALES0009</v>
      </c>
      <c r="E14" s="4"/>
      <c r="F14" s="4"/>
      <c r="G14" s="4"/>
      <c r="H14" s="7"/>
      <c r="I14" s="4"/>
      <c r="J14" s="4"/>
      <c r="K14" s="5"/>
      <c r="L14" s="5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</row>
    <row r="15" spans="2:45" x14ac:dyDescent="0.4">
      <c r="B15" s="14"/>
      <c r="D15" s="3" t="str">
        <f t="shared" si="0"/>
        <v>SALES0010</v>
      </c>
      <c r="E15" s="4"/>
      <c r="F15" s="4"/>
      <c r="G15" s="4"/>
      <c r="H15" s="7"/>
      <c r="I15" s="4"/>
      <c r="J15" s="4"/>
      <c r="K15" s="5"/>
      <c r="L15" s="5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</row>
    <row r="16" spans="2:45" x14ac:dyDescent="0.4">
      <c r="B16" s="14"/>
      <c r="D16" s="3" t="str">
        <f t="shared" si="0"/>
        <v>SALES0011</v>
      </c>
      <c r="E16" s="4"/>
      <c r="F16" s="4"/>
      <c r="G16" s="4"/>
      <c r="H16" s="7"/>
      <c r="I16" s="4"/>
      <c r="J16" s="4"/>
      <c r="K16" s="5"/>
      <c r="L16" s="5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</row>
    <row r="17" spans="2:45" x14ac:dyDescent="0.4">
      <c r="B17" s="14"/>
      <c r="D17" s="3" t="str">
        <f t="shared" si="0"/>
        <v>SALES0012</v>
      </c>
      <c r="E17" s="4"/>
      <c r="F17" s="4"/>
      <c r="G17" s="4"/>
      <c r="H17" s="7"/>
      <c r="I17" s="4"/>
      <c r="J17" s="4"/>
      <c r="K17" s="5"/>
      <c r="L17" s="5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</row>
    <row r="18" spans="2:45" x14ac:dyDescent="0.4">
      <c r="B18" s="14"/>
      <c r="D18" s="3" t="str">
        <f t="shared" si="0"/>
        <v>SALES0013</v>
      </c>
      <c r="E18" s="4"/>
      <c r="F18" s="4"/>
      <c r="G18" s="4"/>
      <c r="H18" s="7"/>
      <c r="I18" s="4"/>
      <c r="J18" s="4"/>
      <c r="K18" s="5"/>
      <c r="L18" s="5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</row>
    <row r="19" spans="2:45" x14ac:dyDescent="0.4">
      <c r="B19" s="15"/>
      <c r="D19" s="3" t="str">
        <f t="shared" si="0"/>
        <v>SALES0014</v>
      </c>
      <c r="E19" s="4"/>
      <c r="F19" s="4"/>
      <c r="G19" s="4"/>
      <c r="H19" s="4"/>
      <c r="I19" s="4"/>
      <c r="J19" s="4"/>
      <c r="K19" s="5"/>
      <c r="L19" s="5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</row>
    <row r="20" spans="2:45" x14ac:dyDescent="0.4">
      <c r="B20" s="8"/>
      <c r="D20" s="3" t="str">
        <f t="shared" si="0"/>
        <v>SALES0015</v>
      </c>
      <c r="E20" s="4"/>
      <c r="F20" s="4"/>
      <c r="G20" s="4"/>
      <c r="H20" s="4"/>
      <c r="I20" s="4"/>
      <c r="J20" s="4"/>
      <c r="K20" s="5"/>
      <c r="L20" s="5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</row>
    <row r="21" spans="2:45" x14ac:dyDescent="0.4">
      <c r="B21" s="8"/>
      <c r="D21" s="3" t="str">
        <f t="shared" si="0"/>
        <v>SALES0016</v>
      </c>
      <c r="E21" s="4"/>
      <c r="F21" s="4"/>
      <c r="G21" s="4"/>
      <c r="H21" s="4"/>
      <c r="I21" s="4"/>
      <c r="J21" s="4"/>
      <c r="K21" s="5"/>
      <c r="L21" s="5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</row>
    <row r="22" spans="2:45" x14ac:dyDescent="0.4">
      <c r="B22" s="8"/>
    </row>
  </sheetData>
  <mergeCells count="7">
    <mergeCell ref="AP4:AS4"/>
    <mergeCell ref="D4:I4"/>
    <mergeCell ref="J4:N4"/>
    <mergeCell ref="O4:V4"/>
    <mergeCell ref="W4:AB4"/>
    <mergeCell ref="AC4:AJ4"/>
    <mergeCell ref="AK4:AO4"/>
  </mergeCells>
  <dataValidations count="8">
    <dataValidation type="list" allowBlank="1" showInputMessage="1" showErrorMessage="1" sqref="H6:H21" xr:uid="{3D232D8D-06EE-423A-B838-D927ADD79FE5}">
      <formula1>saleschannel</formula1>
    </dataValidation>
    <dataValidation type="list" allowBlank="1" showInputMessage="1" showErrorMessage="1" sqref="I6" xr:uid="{3DDF63A6-7B01-4879-93C5-CF360DC9F16F}">
      <formula1>salestype</formula1>
    </dataValidation>
    <dataValidation type="list" allowBlank="1" showInputMessage="1" showErrorMessage="1" sqref="W6:W21" xr:uid="{B071CA00-973D-4F9C-B769-AC29080BBAC2}">
      <formula1>paymentstatus</formula1>
    </dataValidation>
    <dataValidation type="list" allowBlank="1" showInputMessage="1" showErrorMessage="1" sqref="X6:X21" xr:uid="{7AC88073-D2FD-48B3-ACC1-F42EE72CA74E}">
      <formula1>ppmethod</formula1>
    </dataValidation>
    <dataValidation type="list" allowBlank="1" showInputMessage="1" showErrorMessage="1" sqref="AF6:AF21" xr:uid="{85DEC56C-9436-4EB4-BD7F-208BCFD35B3D}">
      <formula1>shippingmethod</formula1>
    </dataValidation>
    <dataValidation type="list" allowBlank="1" showInputMessage="1" showErrorMessage="1" sqref="AI6:AI21" xr:uid="{85C3504D-3A17-43C1-BB17-CBEBEC173119}">
      <formula1>delivrtstatus</formula1>
    </dataValidation>
    <dataValidation type="list" allowBlank="1" showInputMessage="1" showErrorMessage="1" sqref="AL6:AL21" xr:uid="{2749454D-A7FD-4154-BD9E-0062CF1FEA77}">
      <formula1>returnstatus</formula1>
    </dataValidation>
    <dataValidation type="list" allowBlank="1" showInputMessage="1" showErrorMessage="1" sqref="AK6:AK21" xr:uid="{F7E1E4CB-5583-47E1-A34A-8BD888542119}">
      <formula1>salesstatus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3B31A-C7BD-44C1-9A4D-8C4CD724919D}">
  <dimension ref="B1:Z23"/>
  <sheetViews>
    <sheetView showGridLines="0" zoomScale="82" zoomScaleNormal="82" workbookViewId="0">
      <selection activeCell="F11" sqref="F11"/>
    </sheetView>
  </sheetViews>
  <sheetFormatPr defaultColWidth="8.78515625" defaultRowHeight="26.25" x14ac:dyDescent="0.4"/>
  <cols>
    <col min="1" max="1" width="1.640625" style="1" customWidth="1"/>
    <col min="2" max="2" width="14.5" customWidth="1"/>
    <col min="3" max="3" width="1.7109375" style="1" customWidth="1"/>
    <col min="4" max="4" width="9.85546875" style="1" bestFit="1" customWidth="1"/>
    <col min="5" max="5" width="11.140625" style="1" bestFit="1" customWidth="1"/>
    <col min="6" max="6" width="12.85546875" style="1" bestFit="1" customWidth="1"/>
    <col min="7" max="7" width="15" style="1" bestFit="1" customWidth="1"/>
    <col min="8" max="8" width="10.92578125" style="1" bestFit="1" customWidth="1"/>
    <col min="9" max="9" width="8.78515625" style="1"/>
    <col min="10" max="10" width="11.0703125" style="1" bestFit="1" customWidth="1"/>
    <col min="11" max="11" width="12.92578125" style="1" bestFit="1" customWidth="1"/>
    <col min="12" max="12" width="13.2109375" style="1" bestFit="1" customWidth="1"/>
    <col min="13" max="13" width="13.140625" style="1" bestFit="1" customWidth="1"/>
    <col min="14" max="14" width="15.0703125" style="1" bestFit="1" customWidth="1"/>
    <col min="15" max="15" width="12" style="1" bestFit="1" customWidth="1"/>
    <col min="16" max="16" width="12.35546875" style="1" bestFit="1" customWidth="1"/>
    <col min="17" max="17" width="15.28515625" style="1" bestFit="1" customWidth="1"/>
    <col min="18" max="18" width="13.0703125" style="1" bestFit="1" customWidth="1"/>
    <col min="19" max="19" width="14.28515625" style="1" bestFit="1" customWidth="1"/>
    <col min="20" max="20" width="12.640625" style="1" bestFit="1" customWidth="1"/>
    <col min="21" max="21" width="11.5" style="1" bestFit="1" customWidth="1"/>
    <col min="22" max="22" width="15.640625" style="1" bestFit="1" customWidth="1"/>
    <col min="23" max="23" width="13.42578125" style="1" bestFit="1" customWidth="1"/>
    <col min="24" max="24" width="15.2109375" style="1" bestFit="1" customWidth="1"/>
    <col min="25" max="25" width="10" style="1" bestFit="1" customWidth="1"/>
    <col min="26" max="26" width="11.640625" style="1" bestFit="1" customWidth="1"/>
    <col min="27" max="16384" width="8.78515625" style="1"/>
  </cols>
  <sheetData>
    <row r="1" spans="2:26" x14ac:dyDescent="0.4">
      <c r="B1" s="1"/>
    </row>
    <row r="2" spans="2:26" x14ac:dyDescent="0.4">
      <c r="B2" s="13"/>
      <c r="R2" s="2"/>
    </row>
    <row r="3" spans="2:26" x14ac:dyDescent="0.4">
      <c r="B3" s="14"/>
    </row>
    <row r="4" spans="2:26" x14ac:dyDescent="0.4">
      <c r="B4" s="14"/>
      <c r="C4" s="21"/>
      <c r="D4" s="68" t="s">
        <v>348</v>
      </c>
      <c r="E4" s="68"/>
      <c r="F4" s="68"/>
      <c r="G4" s="68"/>
      <c r="H4" s="68"/>
      <c r="I4" s="69"/>
      <c r="J4" s="67" t="s">
        <v>217</v>
      </c>
      <c r="K4" s="68"/>
      <c r="L4" s="68"/>
      <c r="M4" s="68"/>
      <c r="N4" s="68"/>
      <c r="O4" s="68"/>
      <c r="P4" s="68"/>
      <c r="Q4" s="69"/>
      <c r="R4" s="73" t="s">
        <v>358</v>
      </c>
      <c r="S4" s="74"/>
      <c r="T4" s="75"/>
      <c r="U4" s="67" t="s">
        <v>309</v>
      </c>
      <c r="V4" s="68"/>
      <c r="W4" s="68"/>
      <c r="X4" s="68"/>
      <c r="Y4" s="68"/>
      <c r="Z4" s="69"/>
    </row>
    <row r="5" spans="2:26" x14ac:dyDescent="0.4">
      <c r="B5" s="14"/>
      <c r="D5" s="4" t="s">
        <v>345</v>
      </c>
      <c r="E5" s="4" t="s">
        <v>346</v>
      </c>
      <c r="F5" s="4" t="s">
        <v>347</v>
      </c>
      <c r="G5" s="4" t="s">
        <v>550</v>
      </c>
      <c r="H5" s="4" t="s">
        <v>242</v>
      </c>
      <c r="I5" s="4" t="s">
        <v>137</v>
      </c>
      <c r="J5" s="4" t="s">
        <v>349</v>
      </c>
      <c r="K5" s="4" t="s">
        <v>350</v>
      </c>
      <c r="L5" s="4" t="s">
        <v>351</v>
      </c>
      <c r="M5" s="4" t="s">
        <v>352</v>
      </c>
      <c r="N5" s="4" t="s">
        <v>353</v>
      </c>
      <c r="O5" s="4" t="s">
        <v>354</v>
      </c>
      <c r="P5" s="4" t="s">
        <v>149</v>
      </c>
      <c r="Q5" s="4" t="s">
        <v>355</v>
      </c>
      <c r="R5" s="4" t="s">
        <v>366</v>
      </c>
      <c r="S5" s="4" t="s">
        <v>356</v>
      </c>
      <c r="T5" s="4" t="s">
        <v>357</v>
      </c>
      <c r="U5" s="4" t="s">
        <v>359</v>
      </c>
      <c r="V5" s="4" t="s">
        <v>360</v>
      </c>
      <c r="W5" s="4" t="s">
        <v>361</v>
      </c>
      <c r="X5" s="4" t="s">
        <v>362</v>
      </c>
      <c r="Y5" s="4" t="s">
        <v>363</v>
      </c>
      <c r="Z5" s="4" t="s">
        <v>364</v>
      </c>
    </row>
    <row r="6" spans="2:26" x14ac:dyDescent="0.4">
      <c r="B6" s="14"/>
      <c r="D6" s="4" t="str">
        <f t="shared" ref="D6:D18" si="0">"PAYE" &amp; TEXT(ROW()-5, "0000")</f>
        <v>PAYE0001</v>
      </c>
      <c r="E6" s="4" t="s">
        <v>235</v>
      </c>
      <c r="F6" s="4" t="s">
        <v>387</v>
      </c>
      <c r="G6" s="4" t="s">
        <v>562</v>
      </c>
      <c r="H6" s="4"/>
      <c r="I6" s="4" t="s">
        <v>404</v>
      </c>
      <c r="J6" s="7">
        <v>45763</v>
      </c>
      <c r="K6" s="42">
        <v>3835</v>
      </c>
      <c r="L6" s="4" t="s">
        <v>70</v>
      </c>
      <c r="M6" s="4" t="s">
        <v>605</v>
      </c>
      <c r="N6" s="4"/>
      <c r="O6" s="4" t="s">
        <v>235</v>
      </c>
      <c r="P6" s="4" t="s">
        <v>547</v>
      </c>
      <c r="Q6" s="4" t="s">
        <v>57</v>
      </c>
      <c r="R6" s="4" t="s">
        <v>599</v>
      </c>
      <c r="S6" s="4" t="s">
        <v>600</v>
      </c>
      <c r="T6" s="4"/>
      <c r="U6" s="4"/>
      <c r="V6" s="4" t="s">
        <v>403</v>
      </c>
      <c r="W6" s="4"/>
      <c r="X6" s="4" t="s">
        <v>121</v>
      </c>
      <c r="Y6" s="4" t="s">
        <v>122</v>
      </c>
      <c r="Z6" s="4"/>
    </row>
    <row r="7" spans="2:26" x14ac:dyDescent="0.4">
      <c r="B7" s="14"/>
      <c r="D7" s="4" t="str">
        <f t="shared" si="0"/>
        <v>PAYE0002</v>
      </c>
      <c r="E7" s="4" t="s">
        <v>235</v>
      </c>
      <c r="F7" s="4" t="s">
        <v>387</v>
      </c>
      <c r="G7" s="4" t="s">
        <v>567</v>
      </c>
      <c r="H7" s="4"/>
      <c r="I7" s="4" t="s">
        <v>404</v>
      </c>
      <c r="J7" s="19">
        <v>45763</v>
      </c>
      <c r="K7" s="42">
        <v>19140</v>
      </c>
      <c r="L7" s="4" t="s">
        <v>70</v>
      </c>
      <c r="M7" s="4" t="s">
        <v>606</v>
      </c>
      <c r="N7" s="4"/>
      <c r="O7" s="4" t="s">
        <v>235</v>
      </c>
      <c r="P7" s="4" t="s">
        <v>547</v>
      </c>
      <c r="Q7" s="4" t="s">
        <v>57</v>
      </c>
      <c r="R7" s="4" t="s">
        <v>607</v>
      </c>
      <c r="S7" s="4" t="s">
        <v>608</v>
      </c>
      <c r="T7" s="4"/>
      <c r="U7" s="4"/>
      <c r="V7" s="4" t="s">
        <v>403</v>
      </c>
      <c r="W7" s="4"/>
      <c r="X7" s="4" t="s">
        <v>121</v>
      </c>
      <c r="Y7" s="4" t="s">
        <v>122</v>
      </c>
      <c r="Z7" s="4"/>
    </row>
    <row r="8" spans="2:26" x14ac:dyDescent="0.4">
      <c r="B8" s="14"/>
      <c r="D8" s="4" t="str">
        <f t="shared" si="0"/>
        <v>PAYE0003</v>
      </c>
      <c r="E8" s="4"/>
      <c r="F8" s="4"/>
      <c r="G8" s="4"/>
      <c r="H8" s="4"/>
      <c r="I8" s="4"/>
      <c r="J8" s="19"/>
      <c r="K8" s="42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2:26" x14ac:dyDescent="0.4">
      <c r="B9" s="14"/>
      <c r="D9" s="4" t="str">
        <f t="shared" si="0"/>
        <v>PAYE0004</v>
      </c>
      <c r="E9" s="4"/>
      <c r="F9" s="4"/>
      <c r="G9" s="4"/>
      <c r="H9" s="4"/>
      <c r="I9" s="4"/>
      <c r="J9" s="19"/>
      <c r="K9" s="42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2:26" x14ac:dyDescent="0.4">
      <c r="B10" s="14" t="s">
        <v>0</v>
      </c>
      <c r="D10" s="4" t="str">
        <f t="shared" si="0"/>
        <v>PAYE0005</v>
      </c>
      <c r="E10" s="4"/>
      <c r="F10" s="4"/>
      <c r="G10" s="4"/>
      <c r="H10" s="4"/>
      <c r="I10" s="4"/>
      <c r="J10" s="19"/>
      <c r="K10" s="42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2:26" x14ac:dyDescent="0.4">
      <c r="B11" s="14"/>
      <c r="D11" s="4" t="str">
        <f t="shared" si="0"/>
        <v>PAYE0006</v>
      </c>
      <c r="E11" s="4"/>
      <c r="F11" s="4"/>
      <c r="G11" s="4"/>
      <c r="H11" s="4"/>
      <c r="I11" s="4"/>
      <c r="J11" s="19"/>
      <c r="K11" s="42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2:26" x14ac:dyDescent="0.4">
      <c r="B12" s="14"/>
      <c r="D12" s="4" t="str">
        <f t="shared" si="0"/>
        <v>PAYE0007</v>
      </c>
      <c r="E12" s="4"/>
      <c r="F12" s="4"/>
      <c r="G12" s="4"/>
      <c r="H12" s="4"/>
      <c r="I12" s="4"/>
      <c r="J12" s="19"/>
      <c r="K12" s="42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2:26" x14ac:dyDescent="0.4">
      <c r="B13" s="14"/>
      <c r="D13" s="4" t="str">
        <f t="shared" si="0"/>
        <v>PAYE0008</v>
      </c>
      <c r="E13" s="4"/>
      <c r="F13" s="4"/>
      <c r="G13" s="4"/>
      <c r="H13" s="4"/>
      <c r="I13" s="4"/>
      <c r="J13" s="19"/>
      <c r="K13" s="42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2:26" x14ac:dyDescent="0.4">
      <c r="B14" s="14"/>
      <c r="D14" s="4" t="str">
        <f t="shared" si="0"/>
        <v>PAYE0009</v>
      </c>
      <c r="E14" s="4"/>
      <c r="F14" s="4"/>
      <c r="G14" s="4"/>
      <c r="H14" s="4"/>
      <c r="I14" s="4"/>
      <c r="J14" s="19"/>
      <c r="K14" s="42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2:26" x14ac:dyDescent="0.4">
      <c r="B15" s="14"/>
      <c r="D15" s="4" t="str">
        <f t="shared" si="0"/>
        <v>PAYE0010</v>
      </c>
      <c r="E15" s="4"/>
      <c r="F15" s="4"/>
      <c r="G15" s="4"/>
      <c r="H15" s="4"/>
      <c r="I15" s="4"/>
      <c r="J15" s="19"/>
      <c r="K15" s="42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2:26" x14ac:dyDescent="0.4">
      <c r="B16" s="14"/>
      <c r="D16" s="4" t="str">
        <f t="shared" si="0"/>
        <v>PAYE0011</v>
      </c>
      <c r="E16" s="4"/>
      <c r="F16" s="4"/>
      <c r="G16" s="4"/>
      <c r="H16" s="4"/>
      <c r="I16" s="4"/>
      <c r="J16" s="19"/>
      <c r="K16" s="42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2:26" x14ac:dyDescent="0.4">
      <c r="B17" s="14"/>
      <c r="D17" s="4" t="str">
        <f t="shared" si="0"/>
        <v>PAYE0012</v>
      </c>
      <c r="E17" s="4"/>
      <c r="F17" s="4"/>
      <c r="G17" s="4"/>
      <c r="H17" s="4"/>
      <c r="I17" s="4"/>
      <c r="J17" s="19"/>
      <c r="K17" s="42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2:26" x14ac:dyDescent="0.4">
      <c r="B18" s="14"/>
      <c r="D18" s="4" t="str">
        <f t="shared" si="0"/>
        <v>PAYE0013</v>
      </c>
      <c r="E18" s="4"/>
      <c r="F18" s="4"/>
      <c r="G18" s="4"/>
      <c r="H18" s="4"/>
      <c r="I18" s="4"/>
      <c r="J18" s="19"/>
      <c r="K18" s="42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2:26" x14ac:dyDescent="0.4">
      <c r="B19" s="15"/>
      <c r="D19" s="4"/>
      <c r="E19" s="4"/>
      <c r="F19" s="4"/>
      <c r="G19" s="4"/>
      <c r="H19" s="4"/>
      <c r="I19" s="4"/>
      <c r="J19" s="4"/>
    </row>
    <row r="20" spans="2:26" x14ac:dyDescent="0.4">
      <c r="B20" s="8"/>
      <c r="D20" s="4"/>
      <c r="E20" s="4"/>
      <c r="F20" s="4"/>
      <c r="G20" s="4"/>
      <c r="H20" s="4"/>
      <c r="I20" s="4"/>
      <c r="J20" s="4"/>
    </row>
    <row r="21" spans="2:26" x14ac:dyDescent="0.4">
      <c r="B21" s="8"/>
      <c r="D21" s="4"/>
      <c r="E21" s="4"/>
      <c r="F21" s="4"/>
      <c r="G21" s="4"/>
      <c r="H21" s="4"/>
      <c r="I21" s="4"/>
      <c r="J21" s="4"/>
    </row>
    <row r="22" spans="2:26" x14ac:dyDescent="0.4">
      <c r="B22" s="8"/>
      <c r="D22" s="4"/>
      <c r="E22" s="4"/>
      <c r="F22" s="4"/>
      <c r="G22" s="4"/>
      <c r="H22" s="4"/>
      <c r="I22" s="4"/>
      <c r="J22" s="4"/>
    </row>
    <row r="23" spans="2:26" x14ac:dyDescent="0.4">
      <c r="B23" s="8"/>
      <c r="D23" s="4"/>
      <c r="E23" s="4"/>
      <c r="F23" s="4"/>
      <c r="G23" s="4"/>
      <c r="H23" s="4"/>
      <c r="I23" s="4"/>
      <c r="J23" s="4"/>
    </row>
  </sheetData>
  <mergeCells count="4">
    <mergeCell ref="R4:T4"/>
    <mergeCell ref="U4:Z4"/>
    <mergeCell ref="D4:I4"/>
    <mergeCell ref="J4:Q4"/>
  </mergeCells>
  <dataValidations count="12">
    <dataValidation type="list" allowBlank="1" showInputMessage="1" showErrorMessage="1" sqref="L6:L18" xr:uid="{90912FFE-4AA7-4111-B8EE-CC4FF6E9BE43}">
      <formula1>ppmethod</formula1>
    </dataValidation>
    <dataValidation type="list" allowBlank="1" showInputMessage="1" showErrorMessage="1" sqref="O6:O18" xr:uid="{D2CAAF23-0230-447B-A352-2B22C6D6D396}">
      <formula1>paymentstatus</formula1>
    </dataValidation>
    <dataValidation type="list" allowBlank="1" showInputMessage="1" showErrorMessage="1" sqref="X6:X18" xr:uid="{A3847115-D3E3-4BFF-98F0-3526D6744DCF}">
      <formula1>isadvancepayment</formula1>
    </dataValidation>
    <dataValidation type="list" allowBlank="1" showInputMessage="1" showErrorMessage="1" sqref="Y6:Y18" xr:uid="{E7C1C609-E9DF-4890-A720-DE547F692356}">
      <formula1>isreturnable</formula1>
    </dataValidation>
    <dataValidation type="list" allowBlank="1" showInputMessage="1" showErrorMessage="1" sqref="E6:E18" xr:uid="{DD7B3981-5E57-4545-9836-950A7CBEEC6C}">
      <formula1>paymentype</formula1>
    </dataValidation>
    <dataValidation type="list" allowBlank="1" showInputMessage="1" showErrorMessage="1" sqref="F6:F18" xr:uid="{B9F73DB0-5954-449C-AA15-C3942DA790B1}">
      <formula1>transType</formula1>
    </dataValidation>
    <dataValidation type="list" allowBlank="1" showInputMessage="1" showErrorMessage="1" sqref="G6:G18" xr:uid="{517B2EFF-3890-413F-B113-9DF856BAF578}">
      <formula1>acctransid</formula1>
    </dataValidation>
    <dataValidation type="list" allowBlank="1" showInputMessage="1" showErrorMessage="1" sqref="H6:H18" xr:uid="{33D5E3B9-78E2-49A8-8053-61CD6998ED7A}">
      <formula1>custid</formula1>
    </dataValidation>
    <dataValidation type="list" allowBlank="1" showInputMessage="1" showErrorMessage="1" sqref="I6:I18" xr:uid="{DDCA6886-52FE-44FD-96BE-FD6D8D6DAE04}">
      <formula1>vendid</formula1>
    </dataValidation>
    <dataValidation type="list" allowBlank="1" showInputMessage="1" showErrorMessage="1" sqref="M6:M18" xr:uid="{681B79DA-EAC9-4751-B380-4F7FE486E864}">
      <formula1>accountid</formula1>
    </dataValidation>
    <dataValidation type="list" allowBlank="1" showInputMessage="1" showErrorMessage="1" sqref="R6:R18" xr:uid="{8E0EAF82-1EA9-4FAF-9119-668313F2A7F8}">
      <formula1>voucherid</formula1>
    </dataValidation>
    <dataValidation type="list" allowBlank="1" showInputMessage="1" showErrorMessage="1" sqref="V6:V18" xr:uid="{13A0B5FB-DFC5-4998-912C-32CD3FCC939B}">
      <formula1>usernamenrole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4E2D8-DD5E-4DE6-9531-B0F3DB54B29D}">
  <dimension ref="B1:Z23"/>
  <sheetViews>
    <sheetView showGridLines="0" zoomScale="82" zoomScaleNormal="82" workbookViewId="0">
      <selection activeCell="H9" sqref="H9"/>
    </sheetView>
  </sheetViews>
  <sheetFormatPr defaultColWidth="8.78515625" defaultRowHeight="26.25" x14ac:dyDescent="0.4"/>
  <cols>
    <col min="1" max="1" width="1.640625" style="1" customWidth="1"/>
    <col min="2" max="2" width="14.5" customWidth="1"/>
    <col min="3" max="3" width="1.7109375" style="1" customWidth="1"/>
    <col min="4" max="4" width="9.85546875" style="1" bestFit="1" customWidth="1"/>
    <col min="5" max="5" width="11.140625" style="1" bestFit="1" customWidth="1"/>
    <col min="6" max="6" width="12.85546875" style="1" bestFit="1" customWidth="1"/>
    <col min="7" max="7" width="12.92578125" style="1" bestFit="1" customWidth="1"/>
    <col min="8" max="8" width="15" style="1" bestFit="1" customWidth="1"/>
    <col min="9" max="9" width="13.5703125" style="1" bestFit="1" customWidth="1"/>
    <col min="10" max="10" width="13.5703125" style="1" customWidth="1"/>
    <col min="11" max="11" width="11.0703125" style="1" bestFit="1" customWidth="1"/>
    <col min="12" max="12" width="12.92578125" style="1" bestFit="1" customWidth="1"/>
    <col min="13" max="13" width="13.2109375" style="1" bestFit="1" customWidth="1"/>
    <col min="14" max="14" width="56.28515625" style="1" bestFit="1" customWidth="1"/>
    <col min="15" max="15" width="31.78515625" style="1" bestFit="1" customWidth="1"/>
    <col min="16" max="16" width="14.7109375" style="1" bestFit="1" customWidth="1"/>
    <col min="17" max="17" width="15.85546875" style="1" bestFit="1" customWidth="1"/>
    <col min="18" max="18" width="15.28515625" style="1" bestFit="1" customWidth="1"/>
    <col min="19" max="19" width="13.0703125" style="1" bestFit="1" customWidth="1"/>
    <col min="20" max="20" width="14.28515625" style="1" bestFit="1" customWidth="1"/>
    <col min="21" max="21" width="12.640625" style="1" bestFit="1" customWidth="1"/>
    <col min="22" max="22" width="11.5703125" style="1" bestFit="1" customWidth="1"/>
    <col min="23" max="23" width="15.2109375" style="1" bestFit="1" customWidth="1"/>
    <col min="24" max="24" width="15.92578125" style="1" bestFit="1" customWidth="1"/>
    <col min="25" max="25" width="15.2109375" style="1" bestFit="1" customWidth="1"/>
    <col min="26" max="26" width="10" style="1" bestFit="1" customWidth="1"/>
    <col min="27" max="16384" width="8.78515625" style="1"/>
  </cols>
  <sheetData>
    <row r="1" spans="2:26" x14ac:dyDescent="0.4">
      <c r="B1" s="1"/>
    </row>
    <row r="2" spans="2:26" x14ac:dyDescent="0.4">
      <c r="B2" s="13"/>
      <c r="S2" s="2"/>
    </row>
    <row r="3" spans="2:26" x14ac:dyDescent="0.4">
      <c r="B3" s="14"/>
    </row>
    <row r="4" spans="2:26" x14ac:dyDescent="0.4">
      <c r="B4" s="14"/>
      <c r="C4" s="21"/>
      <c r="D4" s="67" t="s">
        <v>348</v>
      </c>
      <c r="E4" s="68"/>
      <c r="F4" s="68"/>
      <c r="G4" s="68"/>
      <c r="H4" s="67" t="s">
        <v>372</v>
      </c>
      <c r="I4" s="68"/>
      <c r="J4" s="68"/>
      <c r="K4" s="68"/>
      <c r="L4" s="68"/>
      <c r="M4" s="69"/>
      <c r="N4" s="67" t="s">
        <v>377</v>
      </c>
      <c r="O4" s="68"/>
      <c r="P4" s="68"/>
      <c r="Q4" s="68"/>
      <c r="R4" s="69"/>
      <c r="S4" s="73" t="s">
        <v>358</v>
      </c>
      <c r="T4" s="74"/>
      <c r="U4" s="75"/>
      <c r="V4" s="67" t="s">
        <v>309</v>
      </c>
      <c r="W4" s="68"/>
      <c r="X4" s="68"/>
      <c r="Y4" s="68"/>
      <c r="Z4" s="68"/>
    </row>
    <row r="5" spans="2:26" x14ac:dyDescent="0.4">
      <c r="B5" s="14"/>
      <c r="D5" s="4" t="s">
        <v>366</v>
      </c>
      <c r="E5" s="4" t="s">
        <v>367</v>
      </c>
      <c r="F5" s="4" t="s">
        <v>368</v>
      </c>
      <c r="G5" s="4" t="s">
        <v>369</v>
      </c>
      <c r="H5" s="4" t="s">
        <v>370</v>
      </c>
      <c r="I5" s="4" t="s">
        <v>371</v>
      </c>
      <c r="J5" s="4" t="s">
        <v>565</v>
      </c>
      <c r="K5" s="4" t="s">
        <v>566</v>
      </c>
      <c r="L5" s="4" t="s">
        <v>149</v>
      </c>
      <c r="M5" s="4" t="s">
        <v>355</v>
      </c>
      <c r="N5" s="4" t="s">
        <v>373</v>
      </c>
      <c r="O5" s="4" t="s">
        <v>374</v>
      </c>
      <c r="P5" s="4" t="s">
        <v>375</v>
      </c>
      <c r="Q5" s="4" t="s">
        <v>376</v>
      </c>
      <c r="R5" s="4" t="s">
        <v>137</v>
      </c>
      <c r="S5" s="4" t="s">
        <v>359</v>
      </c>
      <c r="T5" s="4" t="s">
        <v>361</v>
      </c>
      <c r="U5" s="4" t="s">
        <v>378</v>
      </c>
      <c r="V5" s="4" t="s">
        <v>379</v>
      </c>
      <c r="W5" s="4" t="s">
        <v>380</v>
      </c>
      <c r="X5" s="4" t="s">
        <v>381</v>
      </c>
      <c r="Y5" s="4" t="s">
        <v>382</v>
      </c>
      <c r="Z5" s="4" t="s">
        <v>383</v>
      </c>
    </row>
    <row r="6" spans="2:26" x14ac:dyDescent="0.4">
      <c r="B6" s="14"/>
      <c r="D6" s="4" t="str">
        <f t="shared" ref="D6:D18" si="0">"VOUCHE" &amp; TEXT(ROW()-5, "0000")</f>
        <v>VOUCHE0001</v>
      </c>
      <c r="E6" s="4" t="s">
        <v>400</v>
      </c>
      <c r="F6" s="7">
        <v>45752</v>
      </c>
      <c r="G6" s="4" t="str">
        <f>Table729[[#This Row],[Voucher_ID]]</f>
        <v>VOUCHE0001</v>
      </c>
      <c r="H6" s="4" t="s">
        <v>562</v>
      </c>
      <c r="I6" s="4"/>
      <c r="J6" s="42">
        <v>3835</v>
      </c>
      <c r="K6" s="42">
        <v>0</v>
      </c>
      <c r="L6" s="4" t="s">
        <v>547</v>
      </c>
      <c r="M6" s="4" t="s">
        <v>563</v>
      </c>
      <c r="N6" s="4" t="s">
        <v>568</v>
      </c>
      <c r="O6" s="4" t="s">
        <v>571</v>
      </c>
      <c r="P6" s="4"/>
      <c r="Q6" s="4"/>
      <c r="R6" s="4" t="s">
        <v>404</v>
      </c>
      <c r="S6" s="4" t="s">
        <v>518</v>
      </c>
      <c r="T6" s="4" t="s">
        <v>530</v>
      </c>
      <c r="U6" s="4"/>
      <c r="V6" s="7">
        <v>45714</v>
      </c>
      <c r="W6" s="4" t="s">
        <v>121</v>
      </c>
      <c r="X6" s="4"/>
      <c r="Y6" s="4"/>
      <c r="Z6" s="4" t="s">
        <v>318</v>
      </c>
    </row>
    <row r="7" spans="2:26" x14ac:dyDescent="0.4">
      <c r="B7" s="14"/>
      <c r="D7" s="4" t="str">
        <f t="shared" si="0"/>
        <v>VOUCHE0002</v>
      </c>
      <c r="E7" s="4" t="s">
        <v>400</v>
      </c>
      <c r="F7" s="7">
        <v>45752</v>
      </c>
      <c r="G7" s="4" t="str">
        <f>Table729[[#This Row],[Voucher_ID]]</f>
        <v>VOUCHE0002</v>
      </c>
      <c r="H7" s="4" t="s">
        <v>567</v>
      </c>
      <c r="I7" s="4"/>
      <c r="J7" s="42">
        <v>19140</v>
      </c>
      <c r="K7" s="42"/>
      <c r="L7" s="4"/>
      <c r="M7" s="4"/>
      <c r="N7" s="4" t="s">
        <v>569</v>
      </c>
      <c r="O7" s="4" t="s">
        <v>570</v>
      </c>
      <c r="P7" s="4"/>
      <c r="Q7" s="4"/>
      <c r="R7" s="4" t="s">
        <v>404</v>
      </c>
      <c r="S7" s="4" t="s">
        <v>518</v>
      </c>
      <c r="T7" s="4" t="s">
        <v>530</v>
      </c>
      <c r="U7" s="4"/>
      <c r="V7" s="7">
        <v>45715</v>
      </c>
      <c r="W7" s="4" t="s">
        <v>121</v>
      </c>
      <c r="X7" s="4"/>
      <c r="Y7" s="4"/>
      <c r="Z7" s="4" t="s">
        <v>318</v>
      </c>
    </row>
    <row r="8" spans="2:26" x14ac:dyDescent="0.4">
      <c r="B8" s="14"/>
      <c r="D8" s="4" t="str">
        <f t="shared" si="0"/>
        <v>VOUCHE0003</v>
      </c>
      <c r="E8" s="4"/>
      <c r="F8" s="4"/>
      <c r="G8" s="4" t="str">
        <f>Table729[[#This Row],[Voucher_ID]]</f>
        <v>VOUCHE0003</v>
      </c>
      <c r="H8" s="4"/>
      <c r="I8" s="4"/>
      <c r="J8" s="42"/>
      <c r="K8" s="42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2:26" x14ac:dyDescent="0.4">
      <c r="B9" s="14"/>
      <c r="D9" s="4" t="str">
        <f t="shared" si="0"/>
        <v>VOUCHE0004</v>
      </c>
      <c r="E9" s="4"/>
      <c r="F9" s="4"/>
      <c r="G9" s="4" t="str">
        <f>Table729[[#This Row],[Voucher_ID]]</f>
        <v>VOUCHE0004</v>
      </c>
      <c r="H9" s="4"/>
      <c r="I9" s="4"/>
      <c r="J9" s="42"/>
      <c r="K9" s="42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2:26" x14ac:dyDescent="0.4">
      <c r="B10" s="14" t="s">
        <v>0</v>
      </c>
      <c r="D10" s="4" t="str">
        <f t="shared" si="0"/>
        <v>VOUCHE0005</v>
      </c>
      <c r="E10" s="4"/>
      <c r="F10" s="4"/>
      <c r="G10" s="4" t="str">
        <f>Table729[[#This Row],[Voucher_ID]]</f>
        <v>VOUCHE0005</v>
      </c>
      <c r="H10" s="4"/>
      <c r="I10" s="4"/>
      <c r="J10" s="42"/>
      <c r="K10" s="42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2:26" x14ac:dyDescent="0.4">
      <c r="B11" s="14"/>
      <c r="D11" s="4" t="str">
        <f t="shared" si="0"/>
        <v>VOUCHE0006</v>
      </c>
      <c r="E11" s="4"/>
      <c r="F11" s="4"/>
      <c r="G11" s="4" t="str">
        <f>Table729[[#This Row],[Voucher_ID]]</f>
        <v>VOUCHE0006</v>
      </c>
      <c r="H11" s="4"/>
      <c r="I11" s="4"/>
      <c r="J11" s="42"/>
      <c r="K11" s="42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2:26" x14ac:dyDescent="0.4">
      <c r="B12" s="14"/>
      <c r="D12" s="4" t="str">
        <f t="shared" si="0"/>
        <v>VOUCHE0007</v>
      </c>
      <c r="E12" s="4"/>
      <c r="F12" s="4"/>
      <c r="G12" s="4" t="str">
        <f>Table729[[#This Row],[Voucher_ID]]</f>
        <v>VOUCHE0007</v>
      </c>
      <c r="H12" s="4"/>
      <c r="I12" s="4"/>
      <c r="J12" s="42"/>
      <c r="K12" s="42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2:26" x14ac:dyDescent="0.4">
      <c r="B13" s="14"/>
      <c r="D13" s="4" t="str">
        <f t="shared" si="0"/>
        <v>VOUCHE0008</v>
      </c>
      <c r="E13" s="4"/>
      <c r="F13" s="4"/>
      <c r="G13" s="4" t="str">
        <f>Table729[[#This Row],[Voucher_ID]]</f>
        <v>VOUCHE0008</v>
      </c>
      <c r="H13" s="4"/>
      <c r="I13" s="4"/>
      <c r="J13" s="42"/>
      <c r="K13" s="42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2:26" x14ac:dyDescent="0.4">
      <c r="B14" s="14"/>
      <c r="D14" s="4" t="str">
        <f t="shared" si="0"/>
        <v>VOUCHE0009</v>
      </c>
      <c r="E14" s="4"/>
      <c r="F14" s="4"/>
      <c r="G14" s="4" t="str">
        <f>Table729[[#This Row],[Voucher_ID]]</f>
        <v>VOUCHE0009</v>
      </c>
      <c r="H14" s="4"/>
      <c r="I14" s="4"/>
      <c r="J14" s="42"/>
      <c r="K14" s="42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2:26" x14ac:dyDescent="0.4">
      <c r="B15" s="14"/>
      <c r="D15" s="4" t="str">
        <f t="shared" si="0"/>
        <v>VOUCHE0010</v>
      </c>
      <c r="E15" s="4"/>
      <c r="F15" s="4"/>
      <c r="G15" s="4" t="str">
        <f>Table729[[#This Row],[Voucher_ID]]</f>
        <v>VOUCHE0010</v>
      </c>
      <c r="H15" s="4"/>
      <c r="I15" s="4"/>
      <c r="J15" s="42"/>
      <c r="K15" s="42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2:26" x14ac:dyDescent="0.4">
      <c r="B16" s="14"/>
      <c r="D16" s="4" t="str">
        <f t="shared" si="0"/>
        <v>VOUCHE0011</v>
      </c>
      <c r="E16" s="4"/>
      <c r="F16" s="4"/>
      <c r="G16" s="4" t="str">
        <f>Table729[[#This Row],[Voucher_ID]]</f>
        <v>VOUCHE0011</v>
      </c>
      <c r="H16" s="4"/>
      <c r="I16" s="4"/>
      <c r="J16" s="42"/>
      <c r="K16" s="42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2:26" x14ac:dyDescent="0.4">
      <c r="B17" s="14"/>
      <c r="D17" s="4" t="str">
        <f t="shared" si="0"/>
        <v>VOUCHE0012</v>
      </c>
      <c r="E17" s="4"/>
      <c r="F17" s="4"/>
      <c r="G17" s="4" t="str">
        <f>Table729[[#This Row],[Voucher_ID]]</f>
        <v>VOUCHE0012</v>
      </c>
      <c r="H17" s="4"/>
      <c r="I17" s="4"/>
      <c r="J17" s="42"/>
      <c r="K17" s="42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2:26" x14ac:dyDescent="0.4">
      <c r="B18" s="14"/>
      <c r="D18" s="4" t="str">
        <f t="shared" si="0"/>
        <v>VOUCHE0013</v>
      </c>
      <c r="E18" s="4"/>
      <c r="F18" s="4"/>
      <c r="G18" s="4" t="str">
        <f>Table729[[#This Row],[Voucher_ID]]</f>
        <v>VOUCHE0013</v>
      </c>
      <c r="H18" s="4"/>
      <c r="I18" s="4"/>
      <c r="J18" s="42"/>
      <c r="K18" s="42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2:26" x14ac:dyDescent="0.4">
      <c r="B19" s="15"/>
      <c r="D19" s="4"/>
      <c r="E19" s="4"/>
      <c r="F19" s="4"/>
      <c r="G19" s="4"/>
      <c r="H19" s="4"/>
      <c r="I19" s="4"/>
      <c r="J19" s="4"/>
      <c r="K19" s="4"/>
    </row>
    <row r="20" spans="2:26" x14ac:dyDescent="0.4">
      <c r="B20" s="8"/>
      <c r="D20" s="4"/>
      <c r="E20" s="4"/>
      <c r="F20" s="4"/>
      <c r="G20" s="4"/>
      <c r="H20" s="4"/>
      <c r="I20" s="4"/>
      <c r="J20" s="4"/>
      <c r="K20" s="4"/>
    </row>
    <row r="21" spans="2:26" x14ac:dyDescent="0.4">
      <c r="B21" s="8"/>
      <c r="D21" s="4"/>
      <c r="E21" s="4"/>
      <c r="F21" s="4"/>
      <c r="G21" s="4"/>
      <c r="H21" s="4"/>
      <c r="I21" s="4"/>
      <c r="J21" s="4"/>
      <c r="K21" s="4"/>
    </row>
    <row r="22" spans="2:26" x14ac:dyDescent="0.4">
      <c r="B22" s="8"/>
      <c r="D22" s="4"/>
      <c r="E22" s="4"/>
      <c r="F22" s="4"/>
      <c r="G22" s="4"/>
      <c r="H22" s="4"/>
      <c r="I22" s="4"/>
      <c r="J22" s="4"/>
      <c r="K22" s="4"/>
    </row>
    <row r="23" spans="2:26" x14ac:dyDescent="0.4">
      <c r="B23" s="8"/>
      <c r="D23" s="4"/>
      <c r="E23" s="4"/>
      <c r="F23" s="4"/>
      <c r="G23" s="4"/>
      <c r="H23" s="4"/>
      <c r="I23" s="4"/>
      <c r="J23" s="4"/>
      <c r="K23" s="4"/>
    </row>
  </sheetData>
  <mergeCells count="5">
    <mergeCell ref="S4:U4"/>
    <mergeCell ref="V4:Z4"/>
    <mergeCell ref="H4:M4"/>
    <mergeCell ref="N4:R4"/>
    <mergeCell ref="D4:G4"/>
  </mergeCells>
  <phoneticPr fontId="6" type="noConversion"/>
  <dataValidations count="5">
    <dataValidation type="list" allowBlank="1" showInputMessage="1" showErrorMessage="1" sqref="Z6:Z18" xr:uid="{0911CA98-298F-45A8-A808-D485ED981BC2}">
      <formula1>costmethod</formula1>
    </dataValidation>
    <dataValidation type="list" allowBlank="1" showInputMessage="1" showErrorMessage="1" sqref="E6:E18" xr:uid="{D2819952-74C0-40CE-B622-83E50DF98C7F}">
      <formula1>vouchertype</formula1>
    </dataValidation>
    <dataValidation type="list" allowBlank="1" showInputMessage="1" showErrorMessage="1" sqref="H6:I18" xr:uid="{2188F4A7-A591-4C35-84EC-480380E6386C}">
      <formula1>acctransid</formula1>
    </dataValidation>
    <dataValidation type="list" allowBlank="1" showInputMessage="1" showErrorMessage="1" sqref="R6:R18" xr:uid="{430EB15C-9D16-4AA6-A0BE-2ACD587D6C1A}">
      <formula1>vendid</formula1>
    </dataValidation>
    <dataValidation type="list" allowBlank="1" showInputMessage="1" showErrorMessage="1" sqref="U6:U18" xr:uid="{B71A657D-4235-4888-ABCC-C9489C5060B0}">
      <formula1>usernamenrole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13F33-F496-42A0-B121-23D9057F04EF}">
  <dimension ref="B1:G23"/>
  <sheetViews>
    <sheetView showGridLines="0" zoomScale="82" zoomScaleNormal="82" workbookViewId="0">
      <selection activeCell="D6" sqref="D6"/>
    </sheetView>
  </sheetViews>
  <sheetFormatPr defaultColWidth="8.78515625" defaultRowHeight="26.25" x14ac:dyDescent="0.4"/>
  <cols>
    <col min="1" max="1" width="1.640625" style="1" customWidth="1"/>
    <col min="2" max="2" width="14.5" customWidth="1"/>
    <col min="3" max="3" width="1.7109375" style="1" customWidth="1"/>
    <col min="4" max="4" width="9.85546875" style="1" bestFit="1" customWidth="1"/>
    <col min="5" max="5" width="12.7109375" style="1" bestFit="1" customWidth="1"/>
    <col min="6" max="6" width="12.85546875" style="1" bestFit="1" customWidth="1"/>
    <col min="7" max="7" width="12.92578125" style="1" bestFit="1" customWidth="1"/>
    <col min="8" max="16384" width="8.78515625" style="1"/>
  </cols>
  <sheetData>
    <row r="1" spans="2:7" x14ac:dyDescent="0.4">
      <c r="B1" s="1"/>
    </row>
    <row r="2" spans="2:7" x14ac:dyDescent="0.4">
      <c r="B2" s="13"/>
    </row>
    <row r="3" spans="2:7" x14ac:dyDescent="0.4">
      <c r="B3" s="14"/>
    </row>
    <row r="4" spans="2:7" x14ac:dyDescent="0.4">
      <c r="B4" s="14"/>
      <c r="C4" s="21"/>
      <c r="D4" s="67"/>
      <c r="E4" s="68"/>
      <c r="F4" s="68"/>
      <c r="G4" s="68"/>
    </row>
    <row r="5" spans="2:7" x14ac:dyDescent="0.4">
      <c r="B5" s="14"/>
      <c r="D5" s="4" t="s">
        <v>183</v>
      </c>
      <c r="E5" s="4" t="s">
        <v>705</v>
      </c>
      <c r="F5" s="4" t="s">
        <v>706</v>
      </c>
      <c r="G5" s="4" t="s">
        <v>707</v>
      </c>
    </row>
    <row r="6" spans="2:7" x14ac:dyDescent="0.4">
      <c r="B6" s="14"/>
      <c r="D6" s="4"/>
      <c r="E6" s="4"/>
      <c r="F6" s="7"/>
      <c r="G6" s="4"/>
    </row>
    <row r="7" spans="2:7" x14ac:dyDescent="0.4">
      <c r="B7" s="14"/>
      <c r="D7" s="4"/>
      <c r="E7" s="4"/>
      <c r="F7" s="7"/>
      <c r="G7" s="4"/>
    </row>
    <row r="8" spans="2:7" x14ac:dyDescent="0.4">
      <c r="B8" s="14"/>
      <c r="D8" s="4"/>
      <c r="E8" s="4"/>
      <c r="F8" s="4"/>
      <c r="G8" s="4"/>
    </row>
    <row r="9" spans="2:7" x14ac:dyDescent="0.4">
      <c r="B9" s="14"/>
      <c r="D9" s="4"/>
      <c r="E9" s="4"/>
      <c r="F9" s="4"/>
      <c r="G9" s="4"/>
    </row>
    <row r="10" spans="2:7" x14ac:dyDescent="0.4">
      <c r="B10" s="14" t="s">
        <v>0</v>
      </c>
      <c r="D10" s="4"/>
      <c r="E10" s="4"/>
      <c r="F10" s="4"/>
      <c r="G10" s="4"/>
    </row>
    <row r="11" spans="2:7" x14ac:dyDescent="0.4">
      <c r="B11" s="14"/>
      <c r="D11" s="4"/>
      <c r="E11" s="4"/>
      <c r="F11" s="4"/>
      <c r="G11" s="4"/>
    </row>
    <row r="12" spans="2:7" x14ac:dyDescent="0.4">
      <c r="B12" s="14"/>
      <c r="D12" s="4"/>
      <c r="E12" s="4"/>
      <c r="F12" s="4"/>
      <c r="G12" s="4"/>
    </row>
    <row r="13" spans="2:7" x14ac:dyDescent="0.4">
      <c r="B13" s="14"/>
      <c r="D13" s="4"/>
      <c r="E13" s="4"/>
      <c r="F13" s="4"/>
      <c r="G13" s="4"/>
    </row>
    <row r="14" spans="2:7" x14ac:dyDescent="0.4">
      <c r="B14" s="14"/>
      <c r="D14" s="4"/>
      <c r="E14" s="4"/>
      <c r="F14" s="4"/>
      <c r="G14" s="4"/>
    </row>
    <row r="15" spans="2:7" x14ac:dyDescent="0.4">
      <c r="B15" s="14"/>
      <c r="D15" s="4"/>
      <c r="E15" s="4"/>
      <c r="F15" s="4"/>
      <c r="G15" s="4"/>
    </row>
    <row r="16" spans="2:7" x14ac:dyDescent="0.4">
      <c r="B16" s="14"/>
      <c r="D16" s="4"/>
      <c r="E16" s="4"/>
      <c r="F16" s="4"/>
      <c r="G16" s="4"/>
    </row>
    <row r="17" spans="2:7" x14ac:dyDescent="0.4">
      <c r="B17" s="14"/>
      <c r="D17" s="4"/>
      <c r="E17" s="4"/>
      <c r="F17" s="4"/>
      <c r="G17" s="4"/>
    </row>
    <row r="18" spans="2:7" x14ac:dyDescent="0.4">
      <c r="B18" s="14"/>
      <c r="D18" s="4"/>
      <c r="E18" s="4"/>
      <c r="F18" s="4"/>
      <c r="G18" s="4"/>
    </row>
    <row r="19" spans="2:7" x14ac:dyDescent="0.4">
      <c r="B19" s="15"/>
      <c r="D19" s="4"/>
      <c r="E19" s="4"/>
      <c r="F19" s="4"/>
      <c r="G19" s="4"/>
    </row>
    <row r="20" spans="2:7" x14ac:dyDescent="0.4">
      <c r="B20" s="8"/>
      <c r="D20" s="4"/>
      <c r="E20" s="4"/>
      <c r="F20" s="4"/>
      <c r="G20" s="4"/>
    </row>
    <row r="21" spans="2:7" x14ac:dyDescent="0.4">
      <c r="B21" s="8"/>
      <c r="D21" s="4"/>
      <c r="E21" s="4"/>
      <c r="F21" s="4"/>
      <c r="G21" s="4"/>
    </row>
    <row r="22" spans="2:7" x14ac:dyDescent="0.4">
      <c r="B22" s="8"/>
      <c r="D22" s="4"/>
      <c r="E22" s="4"/>
      <c r="F22" s="4"/>
      <c r="G22" s="4"/>
    </row>
    <row r="23" spans="2:7" x14ac:dyDescent="0.4">
      <c r="B23" s="8"/>
      <c r="D23" s="4"/>
      <c r="E23" s="4"/>
      <c r="F23" s="4"/>
      <c r="G23" s="4"/>
    </row>
  </sheetData>
  <mergeCells count="1">
    <mergeCell ref="D4:G4"/>
  </mergeCells>
  <dataValidations count="2">
    <dataValidation type="list" allowBlank="1" showInputMessage="1" showErrorMessage="1" sqref="G6:G18" xr:uid="{2A7C4624-6386-4A94-A3F0-BD8ACF66B355}">
      <formula1>adjustmentreson</formula1>
    </dataValidation>
    <dataValidation type="list" allowBlank="1" showInputMessage="1" showErrorMessage="1" sqref="D6:D18" xr:uid="{D5D2533D-B224-4F3B-AAF3-400AE2D5165C}">
      <formula1>productid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93C91-8651-4DE8-8888-10B43CB4E921}">
  <dimension ref="B1:J23"/>
  <sheetViews>
    <sheetView showGridLines="0" zoomScale="82" zoomScaleNormal="82" workbookViewId="0">
      <selection activeCell="J9" sqref="J9"/>
    </sheetView>
  </sheetViews>
  <sheetFormatPr defaultColWidth="8.78515625" defaultRowHeight="26.25" x14ac:dyDescent="0.4"/>
  <cols>
    <col min="1" max="1" width="1.640625" style="1" customWidth="1"/>
    <col min="2" max="2" width="14.5" customWidth="1"/>
    <col min="3" max="3" width="1.7109375" style="1" customWidth="1"/>
    <col min="4" max="4" width="9.85546875" style="1" bestFit="1" customWidth="1"/>
    <col min="5" max="5" width="12.7109375" style="1" bestFit="1" customWidth="1"/>
    <col min="6" max="6" width="12.85546875" style="1" bestFit="1" customWidth="1"/>
    <col min="7" max="7" width="16.5" style="1" bestFit="1" customWidth="1"/>
    <col min="8" max="8" width="12.640625" style="1" bestFit="1" customWidth="1"/>
    <col min="9" max="9" width="14.7109375" style="1" bestFit="1" customWidth="1"/>
    <col min="10" max="10" width="10.85546875" style="1" bestFit="1" customWidth="1"/>
    <col min="11" max="16384" width="8.78515625" style="1"/>
  </cols>
  <sheetData>
    <row r="1" spans="2:10" x14ac:dyDescent="0.4">
      <c r="B1" s="1"/>
    </row>
    <row r="2" spans="2:10" x14ac:dyDescent="0.4">
      <c r="B2" s="13"/>
    </row>
    <row r="3" spans="2:10" x14ac:dyDescent="0.4">
      <c r="B3" s="14"/>
    </row>
    <row r="4" spans="2:10" x14ac:dyDescent="0.4">
      <c r="B4" s="14"/>
      <c r="C4" s="63"/>
    </row>
    <row r="5" spans="2:10" x14ac:dyDescent="0.4">
      <c r="B5" s="14"/>
      <c r="D5" s="53" t="s">
        <v>183</v>
      </c>
      <c r="E5" s="53" t="s">
        <v>711</v>
      </c>
      <c r="F5" s="53" t="s">
        <v>712</v>
      </c>
      <c r="G5" s="53" t="s">
        <v>714</v>
      </c>
      <c r="H5" s="53" t="s">
        <v>713</v>
      </c>
      <c r="I5" s="53" t="s">
        <v>715</v>
      </c>
      <c r="J5" s="53" t="s">
        <v>716</v>
      </c>
    </row>
    <row r="6" spans="2:10" x14ac:dyDescent="0.4">
      <c r="B6" s="14"/>
      <c r="D6" s="53"/>
      <c r="E6" s="53"/>
      <c r="F6" s="62"/>
      <c r="G6" s="53"/>
      <c r="H6" s="64"/>
      <c r="I6" s="64"/>
      <c r="J6" s="64"/>
    </row>
    <row r="7" spans="2:10" x14ac:dyDescent="0.4">
      <c r="B7" s="14"/>
      <c r="D7" s="53"/>
      <c r="E7" s="53"/>
      <c r="F7" s="62"/>
      <c r="G7" s="53"/>
      <c r="H7" s="64" t="str">
        <f>IFERROR(VLOOKUP(Table7291617[[#This Row],[From_Warehouse_ID]],Table4101112[#All],2,0),"")</f>
        <v/>
      </c>
      <c r="I7" s="64"/>
      <c r="J7" s="64" t="str">
        <f>IFERROR(VLOOKUP(Table7291617[[#This Row],[To_Warehouse_ID]],Table4101112[#All],2,0),"")</f>
        <v/>
      </c>
    </row>
    <row r="8" spans="2:10" x14ac:dyDescent="0.4">
      <c r="B8" s="14"/>
      <c r="D8" s="53"/>
      <c r="E8" s="53"/>
      <c r="F8" s="53"/>
      <c r="G8" s="53"/>
      <c r="H8" s="64" t="str">
        <f>IFERROR(VLOOKUP(Table7291617[[#This Row],[From_Warehouse_ID]],Table4101112[#All],2,0),"")</f>
        <v/>
      </c>
      <c r="I8" s="64"/>
      <c r="J8" s="64" t="str">
        <f>IFERROR(VLOOKUP(Table7291617[[#This Row],[To_Warehouse_ID]],Table4101112[#All],2,0),"")</f>
        <v/>
      </c>
    </row>
    <row r="9" spans="2:10" x14ac:dyDescent="0.4">
      <c r="B9" s="14"/>
      <c r="D9" s="53"/>
      <c r="E9" s="53"/>
      <c r="F9" s="53"/>
      <c r="G9" s="53"/>
      <c r="H9" s="64" t="str">
        <f>IFERROR(VLOOKUP(Table7291617[[#This Row],[From_Warehouse_ID]],Table4101112[#All],2,0),"")</f>
        <v/>
      </c>
      <c r="I9" s="64"/>
      <c r="J9" s="64" t="str">
        <f>IFERROR(VLOOKUP(Table7291617[[#This Row],[To_Warehouse_ID]],Table4101112[#All],2,0),"")</f>
        <v/>
      </c>
    </row>
    <row r="10" spans="2:10" x14ac:dyDescent="0.4">
      <c r="B10" s="14" t="s">
        <v>0</v>
      </c>
      <c r="D10" s="53"/>
      <c r="E10" s="53"/>
      <c r="F10" s="53"/>
      <c r="G10" s="53"/>
      <c r="H10" s="64" t="str">
        <f>IFERROR(VLOOKUP(Table7291617[[#This Row],[From_Warehouse_ID]],Table4101112[#All],2,0),"")</f>
        <v/>
      </c>
      <c r="I10" s="64"/>
      <c r="J10" s="64" t="str">
        <f>IFERROR(VLOOKUP(Table7291617[[#This Row],[To_Warehouse_ID]],Table4101112[#All],2,0),"")</f>
        <v/>
      </c>
    </row>
    <row r="11" spans="2:10" x14ac:dyDescent="0.4">
      <c r="B11" s="14"/>
      <c r="D11" s="53"/>
      <c r="E11" s="53"/>
      <c r="F11" s="53"/>
      <c r="G11" s="53"/>
      <c r="H11" s="64" t="str">
        <f>IFERROR(VLOOKUP(Table7291617[[#This Row],[From_Warehouse_ID]],Table4101112[#All],2,0),"")</f>
        <v/>
      </c>
      <c r="I11" s="64"/>
      <c r="J11" s="64" t="str">
        <f>IFERROR(VLOOKUP(Table7291617[[#This Row],[To_Warehouse_ID]],Table4101112[#All],2,0),"")</f>
        <v/>
      </c>
    </row>
    <row r="12" spans="2:10" x14ac:dyDescent="0.4">
      <c r="B12" s="14"/>
      <c r="D12" s="53"/>
      <c r="E12" s="53"/>
      <c r="F12" s="53"/>
      <c r="G12" s="53"/>
      <c r="H12" s="64" t="str">
        <f>IFERROR(VLOOKUP(Table7291617[[#This Row],[From_Warehouse_ID]],Table4101112[#All],2,0),"")</f>
        <v/>
      </c>
      <c r="I12" s="64"/>
      <c r="J12" s="64" t="str">
        <f>IFERROR(VLOOKUP(Table7291617[[#This Row],[To_Warehouse_ID]],Table4101112[#All],2,0),"")</f>
        <v/>
      </c>
    </row>
    <row r="13" spans="2:10" x14ac:dyDescent="0.4">
      <c r="B13" s="14"/>
      <c r="D13" s="53"/>
      <c r="E13" s="53"/>
      <c r="F13" s="53"/>
      <c r="G13" s="53"/>
      <c r="H13" s="64" t="str">
        <f>IFERROR(VLOOKUP(Table7291617[[#This Row],[From_Warehouse_ID]],Table4101112[#All],2,0),"")</f>
        <v/>
      </c>
      <c r="I13" s="64"/>
      <c r="J13" s="64" t="str">
        <f>IFERROR(VLOOKUP(Table7291617[[#This Row],[To_Warehouse_ID]],Table4101112[#All],2,0),"")</f>
        <v/>
      </c>
    </row>
    <row r="14" spans="2:10" x14ac:dyDescent="0.4">
      <c r="B14" s="14"/>
      <c r="D14" s="53"/>
      <c r="E14" s="53"/>
      <c r="F14" s="53"/>
      <c r="G14" s="53"/>
      <c r="H14" s="64" t="str">
        <f>IFERROR(VLOOKUP(Table7291617[[#This Row],[From_Warehouse_ID]],Table4101112[#All],2,0),"")</f>
        <v/>
      </c>
      <c r="I14" s="64"/>
      <c r="J14" s="64" t="str">
        <f>IFERROR(VLOOKUP(Table7291617[[#This Row],[To_Warehouse_ID]],Table4101112[#All],2,0),"")</f>
        <v/>
      </c>
    </row>
    <row r="15" spans="2:10" x14ac:dyDescent="0.4">
      <c r="B15" s="14"/>
      <c r="D15" s="53"/>
      <c r="E15" s="53"/>
      <c r="F15" s="53"/>
      <c r="G15" s="53"/>
      <c r="H15" s="64" t="str">
        <f>IFERROR(VLOOKUP(Table7291617[[#This Row],[From_Warehouse_ID]],Table4101112[#All],2,0),"")</f>
        <v/>
      </c>
      <c r="I15" s="64"/>
      <c r="J15" s="64" t="str">
        <f>IFERROR(VLOOKUP(Table7291617[[#This Row],[To_Warehouse_ID]],Table4101112[#All],2,0),"")</f>
        <v/>
      </c>
    </row>
    <row r="16" spans="2:10" x14ac:dyDescent="0.4">
      <c r="B16" s="14"/>
      <c r="D16" s="53"/>
      <c r="E16" s="53"/>
      <c r="F16" s="53"/>
      <c r="G16" s="53"/>
      <c r="H16" s="64" t="str">
        <f>IFERROR(VLOOKUP(Table7291617[[#This Row],[From_Warehouse_ID]],Table4101112[#All],2,0),"")</f>
        <v/>
      </c>
      <c r="I16" s="64"/>
      <c r="J16" s="64" t="str">
        <f>IFERROR(VLOOKUP(Table7291617[[#This Row],[To_Warehouse_ID]],Table4101112[#All],2,0),"")</f>
        <v/>
      </c>
    </row>
    <row r="17" spans="2:10" x14ac:dyDescent="0.4">
      <c r="B17" s="14"/>
      <c r="D17" s="53"/>
      <c r="E17" s="53"/>
      <c r="F17" s="53"/>
      <c r="G17" s="53"/>
      <c r="H17" s="64" t="str">
        <f>IFERROR(VLOOKUP(Table7291617[[#This Row],[From_Warehouse_ID]],Table4101112[#All],2,0),"")</f>
        <v/>
      </c>
      <c r="I17" s="64"/>
      <c r="J17" s="64" t="str">
        <f>IFERROR(VLOOKUP(Table7291617[[#This Row],[To_Warehouse_ID]],Table4101112[#All],2,0),"")</f>
        <v/>
      </c>
    </row>
    <row r="18" spans="2:10" x14ac:dyDescent="0.4">
      <c r="B18" s="14"/>
      <c r="D18" s="53"/>
      <c r="E18" s="53"/>
      <c r="F18" s="53"/>
      <c r="G18" s="53"/>
      <c r="H18" s="64" t="str">
        <f>IFERROR(VLOOKUP(Table7291617[[#This Row],[From_Warehouse_ID]],Table4101112[#All],2,0),"")</f>
        <v/>
      </c>
      <c r="I18" s="64"/>
      <c r="J18" s="64" t="str">
        <f>IFERROR(VLOOKUP(Table7291617[[#This Row],[To_Warehouse_ID]],Table4101112[#All],2,0),"")</f>
        <v/>
      </c>
    </row>
    <row r="19" spans="2:10" x14ac:dyDescent="0.4">
      <c r="B19" s="15"/>
      <c r="D19" s="4"/>
      <c r="E19" s="4"/>
      <c r="F19" s="4"/>
      <c r="G19" s="4"/>
    </row>
    <row r="20" spans="2:10" x14ac:dyDescent="0.4">
      <c r="B20" s="8"/>
      <c r="D20" s="4"/>
      <c r="E20" s="4"/>
      <c r="F20" s="4"/>
      <c r="G20" s="4"/>
    </row>
    <row r="21" spans="2:10" x14ac:dyDescent="0.4">
      <c r="B21" s="8"/>
      <c r="D21" s="4"/>
      <c r="E21" s="4"/>
      <c r="F21" s="4"/>
      <c r="G21" s="4"/>
    </row>
    <row r="22" spans="2:10" x14ac:dyDescent="0.4">
      <c r="B22" s="8"/>
      <c r="D22" s="4"/>
      <c r="E22" s="4"/>
      <c r="F22" s="4"/>
      <c r="G22" s="4"/>
    </row>
    <row r="23" spans="2:10" x14ac:dyDescent="0.4">
      <c r="B23" s="8"/>
      <c r="D23" s="4"/>
      <c r="E23" s="4"/>
      <c r="F23" s="4"/>
      <c r="G23" s="4"/>
    </row>
  </sheetData>
  <dataValidations count="2">
    <dataValidation type="list" allowBlank="1" showInputMessage="1" showErrorMessage="1" sqref="D6:D18" xr:uid="{A2A59EDE-C9F7-4BB0-B416-BE7D0A9D4F60}">
      <formula1>productid</formula1>
    </dataValidation>
    <dataValidation type="list" allowBlank="1" showInputMessage="1" showErrorMessage="1" sqref="G6:G18 I6:I18" xr:uid="{A64B1A5E-DAD7-4883-B2FF-D5DA0BA32FA4}">
      <formula1>warehouseid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9B4C-7608-4CD6-8F85-3746887EE943}">
  <sheetPr codeName="Sheet9"/>
  <dimension ref="B1:AL23"/>
  <sheetViews>
    <sheetView showGridLines="0" topLeftCell="AD2" zoomScale="89" zoomScaleNormal="89" workbookViewId="0">
      <selection activeCell="AK6" sqref="AK6"/>
    </sheetView>
  </sheetViews>
  <sheetFormatPr defaultColWidth="8.78515625" defaultRowHeight="26.25" x14ac:dyDescent="0.4"/>
  <cols>
    <col min="1" max="1" width="1.640625" style="1" customWidth="1"/>
    <col min="2" max="2" width="14.5" customWidth="1"/>
    <col min="3" max="3" width="1.7109375" style="1" customWidth="1"/>
    <col min="4" max="4" width="9.85546875" style="1" bestFit="1" customWidth="1"/>
    <col min="5" max="5" width="13.140625" style="1" bestFit="1" customWidth="1"/>
    <col min="6" max="6" width="14.85546875" style="1" customWidth="1"/>
    <col min="7" max="7" width="10.7109375" style="1" bestFit="1" customWidth="1"/>
    <col min="8" max="9" width="10.92578125" style="1" bestFit="1" customWidth="1"/>
    <col min="10" max="10" width="11.140625" style="1" bestFit="1" customWidth="1"/>
    <col min="11" max="11" width="10.5703125" style="1" bestFit="1" customWidth="1"/>
    <col min="12" max="12" width="13.640625" style="1" bestFit="1" customWidth="1"/>
    <col min="13" max="13" width="13.140625" style="1" bestFit="1" customWidth="1"/>
    <col min="14" max="14" width="15.0703125" style="1" bestFit="1" customWidth="1"/>
    <col min="15" max="15" width="10.640625" style="1" bestFit="1" customWidth="1"/>
    <col min="16" max="16" width="12.35546875" style="1" bestFit="1" customWidth="1"/>
    <col min="17" max="17" width="15.28515625" style="1" bestFit="1" customWidth="1"/>
    <col min="18" max="18" width="13.0703125" style="1" bestFit="1" customWidth="1"/>
    <col min="19" max="19" width="14.28515625" style="1" bestFit="1" customWidth="1"/>
    <col min="20" max="20" width="10.35546875" style="1" bestFit="1" customWidth="1"/>
    <col min="21" max="21" width="11.5" style="1" bestFit="1" customWidth="1"/>
    <col min="22" max="22" width="15.640625" style="1" bestFit="1" customWidth="1"/>
    <col min="23" max="23" width="13.42578125" style="1" bestFit="1" customWidth="1"/>
    <col min="24" max="24" width="11.28515625" style="1" bestFit="1" customWidth="1"/>
    <col min="25" max="25" width="10" style="1" bestFit="1" customWidth="1"/>
    <col min="26" max="26" width="11.640625" style="1" bestFit="1" customWidth="1"/>
    <col min="27" max="27" width="5.140625" style="1" bestFit="1" customWidth="1"/>
    <col min="28" max="28" width="13.5" style="1" bestFit="1" customWidth="1"/>
    <col min="29" max="29" width="10.28515625" style="1" bestFit="1" customWidth="1"/>
    <col min="30" max="30" width="14.0703125" style="1" bestFit="1" customWidth="1"/>
    <col min="31" max="31" width="10.85546875" style="1" bestFit="1" customWidth="1"/>
    <col min="32" max="32" width="12.140625" style="1" bestFit="1" customWidth="1"/>
    <col min="33" max="33" width="13.0703125" style="1" bestFit="1" customWidth="1"/>
    <col min="34" max="34" width="10.35546875" style="1" bestFit="1" customWidth="1"/>
    <col min="35" max="35" width="8.78515625" style="1"/>
    <col min="36" max="36" width="16.5" style="1" bestFit="1" customWidth="1"/>
    <col min="37" max="37" width="15.640625" style="1" bestFit="1" customWidth="1"/>
    <col min="38" max="38" width="11.85546875" style="1" bestFit="1" customWidth="1"/>
    <col min="39" max="16384" width="8.78515625" style="1"/>
  </cols>
  <sheetData>
    <row r="1" spans="2:38" x14ac:dyDescent="0.4">
      <c r="B1" s="1"/>
    </row>
    <row r="2" spans="2:38" x14ac:dyDescent="0.4">
      <c r="B2" s="13"/>
      <c r="R2" s="2"/>
    </row>
    <row r="3" spans="2:38" x14ac:dyDescent="0.4">
      <c r="B3" s="14"/>
    </row>
    <row r="4" spans="2:38" x14ac:dyDescent="0.4">
      <c r="B4" s="14"/>
      <c r="C4" s="21"/>
      <c r="D4" s="68" t="s">
        <v>288</v>
      </c>
      <c r="E4" s="68"/>
      <c r="F4" s="68"/>
      <c r="G4" s="68"/>
      <c r="H4" s="68"/>
      <c r="I4" s="69"/>
      <c r="J4" s="67" t="s">
        <v>296</v>
      </c>
      <c r="K4" s="68"/>
      <c r="L4" s="68"/>
      <c r="M4" s="68"/>
      <c r="N4" s="68"/>
      <c r="O4" s="68"/>
      <c r="P4" s="68"/>
      <c r="Q4" s="69"/>
      <c r="R4" s="67" t="s">
        <v>303</v>
      </c>
      <c r="S4" s="68"/>
      <c r="T4" s="68"/>
      <c r="U4" s="68"/>
      <c r="V4" s="68"/>
      <c r="W4" s="69"/>
      <c r="X4" s="67" t="s">
        <v>307</v>
      </c>
      <c r="Y4" s="68"/>
      <c r="Z4" s="68"/>
      <c r="AA4" s="69"/>
      <c r="AB4" s="67" t="s">
        <v>309</v>
      </c>
      <c r="AC4" s="68"/>
      <c r="AD4" s="68"/>
      <c r="AE4" s="69"/>
      <c r="AF4" s="67" t="s">
        <v>313</v>
      </c>
      <c r="AG4" s="68"/>
      <c r="AH4" s="69"/>
      <c r="AI4" s="67" t="s">
        <v>317</v>
      </c>
      <c r="AJ4" s="68"/>
      <c r="AK4" s="68"/>
      <c r="AL4" s="69"/>
    </row>
    <row r="5" spans="2:38" x14ac:dyDescent="0.4">
      <c r="B5" s="14"/>
      <c r="D5" s="4" t="s">
        <v>285</v>
      </c>
      <c r="E5" s="4" t="s">
        <v>183</v>
      </c>
      <c r="F5" s="4" t="s">
        <v>140</v>
      </c>
      <c r="G5" s="4" t="s">
        <v>193</v>
      </c>
      <c r="H5" s="4" t="s">
        <v>286</v>
      </c>
      <c r="I5" s="4" t="s">
        <v>287</v>
      </c>
      <c r="J5" s="4" t="s">
        <v>289</v>
      </c>
      <c r="K5" s="4" t="s">
        <v>290</v>
      </c>
      <c r="L5" s="4" t="s">
        <v>291</v>
      </c>
      <c r="M5" s="4" t="s">
        <v>292</v>
      </c>
      <c r="N5" s="4" t="s">
        <v>293</v>
      </c>
      <c r="O5" s="4" t="s">
        <v>144</v>
      </c>
      <c r="P5" s="4" t="s">
        <v>294</v>
      </c>
      <c r="Q5" s="4" t="s">
        <v>295</v>
      </c>
      <c r="R5" s="4" t="s">
        <v>297</v>
      </c>
      <c r="S5" s="4" t="s">
        <v>298</v>
      </c>
      <c r="T5" s="4" t="s">
        <v>299</v>
      </c>
      <c r="U5" s="4" t="s">
        <v>300</v>
      </c>
      <c r="V5" s="4" t="s">
        <v>301</v>
      </c>
      <c r="W5" s="4" t="s">
        <v>302</v>
      </c>
      <c r="X5" s="4" t="s">
        <v>304</v>
      </c>
      <c r="Y5" s="4" t="s">
        <v>305</v>
      </c>
      <c r="Z5" s="4" t="s">
        <v>306</v>
      </c>
      <c r="AA5" s="4" t="s">
        <v>148</v>
      </c>
      <c r="AB5" s="4" t="s">
        <v>219</v>
      </c>
      <c r="AC5" s="4" t="s">
        <v>218</v>
      </c>
      <c r="AD5" s="4" t="s">
        <v>103</v>
      </c>
      <c r="AE5" s="4" t="s">
        <v>308</v>
      </c>
      <c r="AF5" s="4" t="s">
        <v>310</v>
      </c>
      <c r="AG5" s="4" t="s">
        <v>311</v>
      </c>
      <c r="AH5" s="4" t="s">
        <v>312</v>
      </c>
      <c r="AI5" s="4" t="s">
        <v>194</v>
      </c>
      <c r="AJ5" s="4" t="s">
        <v>314</v>
      </c>
      <c r="AK5" s="4" t="s">
        <v>315</v>
      </c>
      <c r="AL5" s="4" t="s">
        <v>316</v>
      </c>
    </row>
    <row r="6" spans="2:38" x14ac:dyDescent="0.4">
      <c r="B6" s="14"/>
      <c r="D6" s="36" t="str">
        <f t="shared" ref="D6:D18" si="0">"INVENT" &amp; TEXT(ROW()-5, "0000")</f>
        <v>INVENT0001</v>
      </c>
      <c r="E6" s="36" t="s">
        <v>508</v>
      </c>
      <c r="F6" s="36" t="str">
        <f>IFERROR(VLOOKUP(Table7[[#This Row],[Product_ID]],Table4[#All],7,0),"")</f>
        <v>PRODCAT0046PROD0046IHC0001SKU</v>
      </c>
      <c r="G6" s="36"/>
      <c r="H6" s="36" t="s">
        <v>609</v>
      </c>
      <c r="I6" s="36" t="str">
        <f>IFERROR(VLOOKUP(Table7[[#This Row],[Warehouse_ID]],Table4101112[#All],2,0),"")</f>
        <v>DAKSHINESWAR</v>
      </c>
      <c r="J6" s="35">
        <v>500</v>
      </c>
      <c r="K6" s="35">
        <f>IFERROR(SUMIF(purchase[Product_ID],Table7[[#This Row],[Product_ID]],purchase[Received Quantity]),0)-IFERROR(SUMIF(sales[Product_ID],Table7[[#This Row],[Product_ID]],sales[Quantity Sold]),0)</f>
        <v>500</v>
      </c>
      <c r="L6" s="36">
        <f>IFERROR(SUMIFS(Table4101115[Quantity],Table4101115[Product_ID],Table7[Product_ID],Table4101115[Order Type],"Sales Order",Table4101115[Order Status],"Pending"),"")</f>
        <v>0</v>
      </c>
      <c r="M6" s="36">
        <f>IFERROR(SUMIFS(Table4101115[Order Status],Table4101115[Product Name],Table7[SKU],Table4101115[Quantity],"Purchase Order",Table4101115[Expected Delivery Date],"Pending"),"")</f>
        <v>0</v>
      </c>
      <c r="N6" s="37" t="str">
        <f ca="1">IFERROR((Table4[[#This Row],[Average_Daily_Usage]]*Table4[[#This Row],[Lead_Time_Days]])-(Table4[[#This Row],[Average_Daily_Usage]]*Table4[[#This Row],[Buffer_Days]]),"")</f>
        <v/>
      </c>
      <c r="O6" s="35" t="str">
        <f ca="1">IFERROR(Table4[[#This Row],[Expected_Demand_During_Lead_Time]]+Table4[[#This Row],[Safety_Stock]],"")</f>
        <v/>
      </c>
      <c r="P6" s="35" t="str">
        <f ca="1">IFERROR(Table7[[#This Row],[Reorder Level]]-Table7[[#This Row],[Current Stock]],"")</f>
        <v/>
      </c>
      <c r="Q6" s="35" t="str">
        <f ca="1">IFERROR(Table7[[#This Row],[Reorder Level]]+Table4[[#This Row],[Safety_Stock]]+Table4[[#This Row],[Expected_Demand_During_Lead_Time]],"")</f>
        <v/>
      </c>
      <c r="R6" s="41">
        <f>MAX(IF((purchase[Product_ID]=Table7[[#This Row],[Product_ID]])*(purchase[Delivery Status]="Completed"),purchase[Received Date]))</f>
        <v>45768</v>
      </c>
      <c r="S6" s="41">
        <f>MAX(IF((sales[Product_ID]=Table7[[#This Row],[Product_ID]])*(sales[Sales Status]="Confirmed"),sales[Delivery Date]))</f>
        <v>0</v>
      </c>
      <c r="T6" s="35">
        <f>SUMIFS(purchase[Received Quantity],purchase[Product_ID],Table7[[#This Row],[Product_ID]],purchase[Delivery Status],"Completed")</f>
        <v>500</v>
      </c>
      <c r="U6" s="35">
        <f>SUMIFS(sales[Quantity Sold],sales[Product_ID],Table7[[#This Row],[Product_ID]],sales[Sales Status],"Confirmed")</f>
        <v>0</v>
      </c>
      <c r="V6" s="35">
        <f>SUMIF(Table72916[Product_ID],Table7[[#This Row],[Product_ID]],Table72916[Adjustment_Qty])</f>
        <v>0</v>
      </c>
      <c r="W6" s="35">
        <f>SUMIF(Table7291617[Product_ID],Table7[[#This Row],[Product_ID]],Table7291617[Transfer_Qty])</f>
        <v>0</v>
      </c>
      <c r="X6" s="36"/>
      <c r="Y6" s="36"/>
      <c r="Z6" s="35">
        <f>IFERROR((Table7[[#This Row],[Total Stock In]]-Table7[[#This Row],[Total Stock Out]]+Table7[[#This Row],[Stock Adjustment Qty]]-Table7[[#This Row],[Stock Transfer Qty]])*VLOOKUP(Table7[[#This Row],[Product_ID]],Table4[#All],22,0),"")</f>
        <v>9000</v>
      </c>
      <c r="AA6" s="35">
        <f>IFERROR(VLOOKUP(Table7[[#This Row],[Product_ID]],Table4[#All],17,0),"")</f>
        <v>15</v>
      </c>
      <c r="AB6" s="41">
        <v>45778</v>
      </c>
      <c r="AC6" s="41">
        <v>45768</v>
      </c>
      <c r="AD6" s="41">
        <v>45768</v>
      </c>
      <c r="AE6" s="36"/>
      <c r="AF6" s="36" t="s">
        <v>116</v>
      </c>
      <c r="AG6" s="36" t="s">
        <v>122</v>
      </c>
      <c r="AH6" s="36" t="s">
        <v>122</v>
      </c>
      <c r="AI6" s="36" t="s">
        <v>57</v>
      </c>
      <c r="AJ6" s="36"/>
      <c r="AK6" s="36"/>
      <c r="AL6" s="36" t="s">
        <v>326</v>
      </c>
    </row>
    <row r="7" spans="2:38" x14ac:dyDescent="0.4">
      <c r="B7" s="14"/>
      <c r="D7" s="36" t="str">
        <f t="shared" si="0"/>
        <v>INVENT0002</v>
      </c>
      <c r="E7" s="36" t="s">
        <v>584</v>
      </c>
      <c r="F7" s="36" t="str">
        <f>IFERROR(VLOOKUP(Table7[[#This Row],[Product_ID]],Table4[#All],7,0),"")</f>
        <v>PRODCAT0047PROD0047IHC0001SKU</v>
      </c>
      <c r="G7" s="36"/>
      <c r="H7" s="36" t="s">
        <v>609</v>
      </c>
      <c r="I7" s="36" t="str">
        <f>IFERROR(VLOOKUP(Table7[[#This Row],[Warehouse_ID]],Table4101112[#All],2,0),"")</f>
        <v>DAKSHINESWAR</v>
      </c>
      <c r="J7" s="35">
        <v>4200</v>
      </c>
      <c r="K7" s="35">
        <f>IFERROR(SUMIF(purchase[Product_ID],Table7[[#This Row],[Product_ID]],purchase[Received Quantity]),0)-IFERROR(SUMIF(sales[Product_ID],Table7[[#This Row],[Product_ID]],sales[Quantity Sold]),0)</f>
        <v>4200</v>
      </c>
      <c r="L7" s="36">
        <f>IFERROR(SUMIFS(Table4101115[Quantity],Table4101115[Product_ID],Table7[Product_ID],Table4101115[Order Type],"Sales Order",Table4101115[Order Status],"Pending"),"")</f>
        <v>0</v>
      </c>
      <c r="M7" s="36">
        <f>IFERROR(SUMIFS(Table4101115[Order Status],Table4101115[Product Name],Table7[SKU],Table4101115[Quantity],"Purchase Order",Table4101115[Expected Delivery Date],"Pending"),"")</f>
        <v>0</v>
      </c>
      <c r="N7" s="37" t="str">
        <f ca="1">IFERROR((Table4[[#This Row],[Average_Daily_Usage]]*Table4[[#This Row],[Lead_Time_Days]])-(Table4[[#This Row],[Average_Daily_Usage]]*Table4[[#This Row],[Buffer_Days]]),"")</f>
        <v/>
      </c>
      <c r="O7" s="35" t="str">
        <f ca="1">IFERROR(Table4[[#This Row],[Expected_Demand_During_Lead_Time]]+Table4[[#This Row],[Safety_Stock]],"")</f>
        <v/>
      </c>
      <c r="P7" s="35" t="str">
        <f ca="1">IFERROR(Table7[[#This Row],[Reorder Level]]-Table7[[#This Row],[Current Stock]],"")</f>
        <v/>
      </c>
      <c r="Q7" s="35" t="str">
        <f ca="1">IFERROR(Table7[[#This Row],[Reorder Level]]+Table4[[#This Row],[Safety_Stock]]+Table4[[#This Row],[Expected_Demand_During_Lead_Time]],"")</f>
        <v/>
      </c>
      <c r="R7" s="41">
        <f>MAX(IF((purchase[Product_ID]=Table7[[#This Row],[Product_ID]])*(purchase[Delivery Status]="Completed"),purchase[Received Date]))</f>
        <v>45768</v>
      </c>
      <c r="S7" s="41">
        <f>MAX(IF((sales[Product_ID]=Table7[[#This Row],[Product_ID]])*(sales[Sales Status]="Confirmed"),sales[Delivery Date]))</f>
        <v>0</v>
      </c>
      <c r="T7" s="35">
        <f>SUMIFS(purchase[Received Quantity],purchase[Product_ID],Table7[[#This Row],[Product_ID]],purchase[Delivery Status],"Completed")</f>
        <v>4200</v>
      </c>
      <c r="U7" s="35">
        <f>SUMIFS(sales[Quantity Sold],sales[Product_ID],Table7[[#This Row],[Product_ID]],sales[Sales Status],"Confirmed")</f>
        <v>0</v>
      </c>
      <c r="V7" s="35">
        <f>SUMIF(Table72916[Product_ID],Table7[[#This Row],[Product_ID]],Table72916[Adjustment_Qty])</f>
        <v>0</v>
      </c>
      <c r="W7" s="35">
        <f>SUMIF(Table7291617[Product_ID],Table7[[#This Row],[Product_ID]],Table7291617[Transfer_Qty])</f>
        <v>0</v>
      </c>
      <c r="X7" s="36"/>
      <c r="Y7" s="36"/>
      <c r="Z7" s="35">
        <f>IFERROR((Table7[[#This Row],[Total Stock In]]-Table7[[#This Row],[Total Stock Out]]+Table7[[#This Row],[Stock Adjustment Qty]]-Table7[[#This Row],[Stock Transfer Qty]])*VLOOKUP(Table7[[#This Row],[Product_ID]],Table4[#All],22,0),"")</f>
        <v>0</v>
      </c>
      <c r="AA7" s="35">
        <f>IFERROR(VLOOKUP(Table7[[#This Row],[Product_ID]],Table4[#All],17,0),"")</f>
        <v>15</v>
      </c>
      <c r="AB7" s="41">
        <v>45778</v>
      </c>
      <c r="AC7" s="41">
        <v>45768</v>
      </c>
      <c r="AD7" s="41">
        <v>45768</v>
      </c>
      <c r="AE7" s="36"/>
      <c r="AF7" s="36" t="s">
        <v>116</v>
      </c>
      <c r="AG7" s="36" t="s">
        <v>122</v>
      </c>
      <c r="AH7" s="36" t="s">
        <v>122</v>
      </c>
      <c r="AI7" s="36" t="s">
        <v>57</v>
      </c>
      <c r="AJ7" s="36"/>
      <c r="AK7" s="36"/>
      <c r="AL7" s="36" t="s">
        <v>322</v>
      </c>
    </row>
    <row r="8" spans="2:38" x14ac:dyDescent="0.4">
      <c r="B8" s="14"/>
      <c r="D8" s="36" t="str">
        <f t="shared" si="0"/>
        <v>INVENT0003</v>
      </c>
      <c r="E8" s="36"/>
      <c r="F8" s="36" t="str">
        <f>IFERROR(VLOOKUP(Table7[[#This Row],[Product_ID]],Table4[#All],7,0),"")</f>
        <v/>
      </c>
      <c r="G8" s="36"/>
      <c r="H8" s="36"/>
      <c r="I8" s="36" t="str">
        <f>IFERROR(VLOOKUP(Table7[[#This Row],[Warehouse_ID]],Table4101112[#All],2,0),"")</f>
        <v/>
      </c>
      <c r="J8" s="35"/>
      <c r="K8" s="35">
        <f>IFERROR(SUMIF(purchase[Product_ID],Table7[[#This Row],[Product_ID]],purchase[Received Quantity]),0)-IFERROR(SUMIF(sales[Product_ID],Table7[[#This Row],[Product_ID]],sales[Quantity Sold]),0)</f>
        <v>0</v>
      </c>
      <c r="L8" s="36">
        <f>IFERROR(SUMIFS(Table4101115[Quantity],Table4101115[Product_ID],Table7[Product_ID],Table4101115[Order Type],"Sales Order",Table4101115[Order Status],"Pending"),"")</f>
        <v>0</v>
      </c>
      <c r="M8" s="36">
        <f>IFERROR(SUMIFS(Table4101115[Order Status],Table4101115[Product Name],Table7[SKU],Table4101115[Quantity],"Purchase Order",Table4101115[Expected Delivery Date],"Pending"),"")</f>
        <v>0</v>
      </c>
      <c r="N8" s="37" t="str">
        <f ca="1">IFERROR((Table4[[#This Row],[Average_Daily_Usage]]*Table4[[#This Row],[Lead_Time_Days]])-(Table4[[#This Row],[Average_Daily_Usage]]*Table4[[#This Row],[Buffer_Days]]),"")</f>
        <v/>
      </c>
      <c r="O8" s="35" t="str">
        <f ca="1">IFERROR(Table4[[#This Row],[Expected_Demand_During_Lead_Time]]+Table4[[#This Row],[Safety_Stock]],"")</f>
        <v/>
      </c>
      <c r="P8" s="35" t="str">
        <f ca="1">IFERROR(Table7[[#This Row],[Reorder Level]]-Table7[[#This Row],[Current Stock]],"")</f>
        <v/>
      </c>
      <c r="Q8" s="35" t="str">
        <f ca="1">IFERROR(Table7[[#This Row],[Reorder Level]]+Table4[[#This Row],[Safety_Stock]]+Table4[[#This Row],[Expected_Demand_During_Lead_Time]],"")</f>
        <v/>
      </c>
      <c r="R8" s="41">
        <f>MAX(IF((purchase[Product_ID]=Table7[[#This Row],[Product_ID]])*(purchase[Delivery Status]="Completed"),purchase[Received Date]))</f>
        <v>0</v>
      </c>
      <c r="S8" s="41">
        <f>MAX(IF((sales[Product_ID]=Table7[[#This Row],[Product_ID]])*(sales[Sales Status]="Confirmed"),sales[Delivery Date]))</f>
        <v>0</v>
      </c>
      <c r="T8" s="35">
        <f>SUMIFS(purchase[Received Quantity],purchase[Product_ID],Table7[[#This Row],[Product_ID]],purchase[Delivery Status],"Completed")</f>
        <v>0</v>
      </c>
      <c r="U8" s="35">
        <f>SUMIFS(sales[Quantity Sold],sales[Product_ID],Table7[[#This Row],[Product_ID]],sales[Sales Status],"Confirmed")</f>
        <v>0</v>
      </c>
      <c r="V8" s="35">
        <f>SUMIF(Table72916[Product_ID],Table7[[#This Row],[Product_ID]],Table72916[Adjustment_Qty])</f>
        <v>0</v>
      </c>
      <c r="W8" s="35">
        <f>SUMIF(Table7291617[Product_ID],Table7[[#This Row],[Product_ID]],Table7291617[Transfer_Qty])</f>
        <v>0</v>
      </c>
      <c r="X8" s="36"/>
      <c r="Y8" s="36"/>
      <c r="Z8" s="35" t="str">
        <f>IFERROR((Table7[[#This Row],[Total Stock In]]-Table7[[#This Row],[Total Stock Out]]+Table7[[#This Row],[Stock Adjustment Qty]]-Table7[[#This Row],[Stock Transfer Qty]])*VLOOKUP(Table7[[#This Row],[Product_ID]],Table4[#All],22,0),"")</f>
        <v/>
      </c>
      <c r="AA8" s="35" t="str">
        <f>IFERROR(VLOOKUP(Table7[[#This Row],[Product_ID]],Table4[#All],17,0),"")</f>
        <v/>
      </c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</row>
    <row r="9" spans="2:38" x14ac:dyDescent="0.4">
      <c r="B9" s="14"/>
      <c r="D9" s="36" t="str">
        <f t="shared" si="0"/>
        <v>INVENT0004</v>
      </c>
      <c r="E9" s="36"/>
      <c r="F9" s="36" t="str">
        <f>IFERROR(VLOOKUP(Table7[[#This Row],[Product_ID]],Table4[#All],7,0),"")</f>
        <v/>
      </c>
      <c r="G9" s="36"/>
      <c r="H9" s="36"/>
      <c r="I9" s="36" t="str">
        <f>IFERROR(VLOOKUP(Table7[[#This Row],[Warehouse_ID]],Table4101112[#All],2,0),"")</f>
        <v/>
      </c>
      <c r="J9" s="35"/>
      <c r="K9" s="35">
        <f>IFERROR(SUMIF(purchase[Product_ID],Table7[[#This Row],[Product_ID]],purchase[Received Quantity]),0)-IFERROR(SUMIF(sales[Product_ID],Table7[[#This Row],[Product_ID]],sales[Quantity Sold]),0)</f>
        <v>0</v>
      </c>
      <c r="L9" s="36">
        <f>IFERROR(SUMIFS(Table4101115[Quantity],Table4101115[Product_ID],Table7[Product_ID],Table4101115[Order Type],"Sales Order",Table4101115[Order Status],"Pending"),"")</f>
        <v>0</v>
      </c>
      <c r="M9" s="36">
        <f>IFERROR(SUMIFS(Table4101115[Order Status],Table4101115[Product Name],Table7[SKU],Table4101115[Quantity],"Purchase Order",Table4101115[Expected Delivery Date],"Pending"),"")</f>
        <v>0</v>
      </c>
      <c r="N9" s="37" t="str">
        <f ca="1">IFERROR((Table4[[#This Row],[Average_Daily_Usage]]*Table4[[#This Row],[Lead_Time_Days]])-(Table4[[#This Row],[Average_Daily_Usage]]*Table4[[#This Row],[Buffer_Days]]),"")</f>
        <v/>
      </c>
      <c r="O9" s="35" t="str">
        <f ca="1">IFERROR(Table4[[#This Row],[Expected_Demand_During_Lead_Time]]+Table4[[#This Row],[Safety_Stock]],"")</f>
        <v/>
      </c>
      <c r="P9" s="35" t="str">
        <f ca="1">IFERROR(Table7[[#This Row],[Reorder Level]]-Table7[[#This Row],[Current Stock]],"")</f>
        <v/>
      </c>
      <c r="Q9" s="35" t="str">
        <f ca="1">IFERROR(Table7[[#This Row],[Reorder Level]]+Table4[[#This Row],[Safety_Stock]]+Table4[[#This Row],[Expected_Demand_During_Lead_Time]],"")</f>
        <v/>
      </c>
      <c r="R9" s="41">
        <f>MAX(IF((purchase[Product_ID]=Table7[[#This Row],[Product_ID]])*(purchase[Delivery Status]="Completed"),purchase[Received Date]))</f>
        <v>0</v>
      </c>
      <c r="S9" s="41">
        <f>MAX(IF((sales[Product_ID]=Table7[[#This Row],[Product_ID]])*(sales[Sales Status]="Confirmed"),sales[Delivery Date]))</f>
        <v>0</v>
      </c>
      <c r="T9" s="35">
        <f>SUMIFS(purchase[Received Quantity],purchase[Product_ID],Table7[[#This Row],[Product_ID]],purchase[Delivery Status],"Completed")</f>
        <v>0</v>
      </c>
      <c r="U9" s="35">
        <f>SUMIFS(sales[Quantity Sold],sales[Product_ID],Table7[[#This Row],[Product_ID]],sales[Sales Status],"Confirmed")</f>
        <v>0</v>
      </c>
      <c r="V9" s="35">
        <f>SUMIF(Table72916[Product_ID],Table7[[#This Row],[Product_ID]],Table72916[Adjustment_Qty])</f>
        <v>0</v>
      </c>
      <c r="W9" s="35">
        <f>SUMIF(Table7291617[Product_ID],Table7[[#This Row],[Product_ID]],Table7291617[Transfer_Qty])</f>
        <v>0</v>
      </c>
      <c r="X9" s="36"/>
      <c r="Y9" s="36"/>
      <c r="Z9" s="35" t="str">
        <f>IFERROR((Table7[[#This Row],[Total Stock In]]-Table7[[#This Row],[Total Stock Out]]+Table7[[#This Row],[Stock Adjustment Qty]]-Table7[[#This Row],[Stock Transfer Qty]])*VLOOKUP(Table7[[#This Row],[Product_ID]],Table4[#All],22,0),"")</f>
        <v/>
      </c>
      <c r="AA9" s="35" t="str">
        <f>IFERROR(VLOOKUP(Table7[[#This Row],[Product_ID]],Table4[#All],17,0),"")</f>
        <v/>
      </c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</row>
    <row r="10" spans="2:38" x14ac:dyDescent="0.4">
      <c r="B10" s="14" t="s">
        <v>0</v>
      </c>
      <c r="D10" s="36" t="str">
        <f t="shared" si="0"/>
        <v>INVENT0005</v>
      </c>
      <c r="E10" s="36"/>
      <c r="F10" s="36" t="str">
        <f>IFERROR(VLOOKUP(Table7[[#This Row],[Product_ID]],Table4[#All],7,0),"")</f>
        <v/>
      </c>
      <c r="G10" s="36"/>
      <c r="H10" s="36"/>
      <c r="I10" s="36" t="str">
        <f>IFERROR(VLOOKUP(Table7[[#This Row],[Warehouse_ID]],Table4101112[#All],2,0),"")</f>
        <v/>
      </c>
      <c r="J10" s="35"/>
      <c r="K10" s="35">
        <f>IFERROR(SUMIF(purchase[Product_ID],Table7[[#This Row],[Product_ID]],purchase[Received Quantity]),0)-IFERROR(SUMIF(sales[Product_ID],Table7[[#This Row],[Product_ID]],sales[Quantity Sold]),0)</f>
        <v>0</v>
      </c>
      <c r="L10" s="36">
        <f>IFERROR(SUMIFS(Table4101115[Quantity],Table4101115[Product_ID],Table7[Product_ID],Table4101115[Order Type],"Sales Order",Table4101115[Order Status],"Pending"),"")</f>
        <v>0</v>
      </c>
      <c r="M10" s="36">
        <f>IFERROR(SUMIFS(Table4101115[Order Status],Table4101115[Product Name],Table7[SKU],Table4101115[Quantity],"Purchase Order",Table4101115[Expected Delivery Date],"Pending"),"")</f>
        <v>0</v>
      </c>
      <c r="N10" s="37" t="str">
        <f ca="1">IFERROR((Table4[[#This Row],[Average_Daily_Usage]]*Table4[[#This Row],[Lead_Time_Days]])-(Table4[[#This Row],[Average_Daily_Usage]]*Table4[[#This Row],[Buffer_Days]]),"")</f>
        <v/>
      </c>
      <c r="O10" s="35" t="str">
        <f ca="1">IFERROR(Table4[[#This Row],[Expected_Demand_During_Lead_Time]]+Table4[[#This Row],[Safety_Stock]],"")</f>
        <v/>
      </c>
      <c r="P10" s="35" t="str">
        <f ca="1">IFERROR(Table7[[#This Row],[Reorder Level]]-Table7[[#This Row],[Current Stock]],"")</f>
        <v/>
      </c>
      <c r="Q10" s="35" t="str">
        <f ca="1">IFERROR(Table7[[#This Row],[Reorder Level]]+Table4[[#This Row],[Safety_Stock]]+Table4[[#This Row],[Expected_Demand_During_Lead_Time]],"")</f>
        <v/>
      </c>
      <c r="R10" s="41">
        <f>MAX(IF((purchase[Product_ID]=Table7[[#This Row],[Product_ID]])*(purchase[Delivery Status]="Completed"),purchase[Received Date]))</f>
        <v>0</v>
      </c>
      <c r="S10" s="41">
        <f>MAX(IF((sales[Product_ID]=Table7[[#This Row],[Product_ID]])*(sales[Sales Status]="Confirmed"),sales[Delivery Date]))</f>
        <v>0</v>
      </c>
      <c r="T10" s="35">
        <f>SUMIFS(purchase[Received Quantity],purchase[Product_ID],Table7[[#This Row],[Product_ID]],purchase[Delivery Status],"Completed")</f>
        <v>0</v>
      </c>
      <c r="U10" s="35">
        <f>SUMIFS(sales[Quantity Sold],sales[Product_ID],Table7[[#This Row],[Product_ID]],sales[Sales Status],"Confirmed")</f>
        <v>0</v>
      </c>
      <c r="V10" s="35">
        <f>SUMIF(Table72916[Product_ID],Table7[[#This Row],[Product_ID]],Table72916[Adjustment_Qty])</f>
        <v>0</v>
      </c>
      <c r="W10" s="35">
        <f>SUMIF(Table7291617[Product_ID],Table7[[#This Row],[Product_ID]],Table7291617[Transfer_Qty])</f>
        <v>0</v>
      </c>
      <c r="X10" s="36"/>
      <c r="Y10" s="36"/>
      <c r="Z10" s="35" t="str">
        <f>IFERROR((Table7[[#This Row],[Total Stock In]]-Table7[[#This Row],[Total Stock Out]]+Table7[[#This Row],[Stock Adjustment Qty]]-Table7[[#This Row],[Stock Transfer Qty]])*VLOOKUP(Table7[[#This Row],[Product_ID]],Table4[#All],22,0),"")</f>
        <v/>
      </c>
      <c r="AA10" s="35" t="str">
        <f>IFERROR(VLOOKUP(Table7[[#This Row],[Product_ID]],Table4[#All],17,0),"")</f>
        <v/>
      </c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</row>
    <row r="11" spans="2:38" x14ac:dyDescent="0.4">
      <c r="B11" s="14"/>
      <c r="D11" s="36" t="str">
        <f t="shared" si="0"/>
        <v>INVENT0006</v>
      </c>
      <c r="E11" s="36"/>
      <c r="F11" s="36" t="str">
        <f>IFERROR(VLOOKUP(Table7[[#This Row],[Product_ID]],Table4[#All],7,0),"")</f>
        <v/>
      </c>
      <c r="G11" s="36"/>
      <c r="H11" s="36"/>
      <c r="I11" s="36" t="str">
        <f>IFERROR(VLOOKUP(Table7[[#This Row],[Warehouse_ID]],Table4101112[#All],2,0),"")</f>
        <v/>
      </c>
      <c r="J11" s="35"/>
      <c r="K11" s="35">
        <f>IFERROR(SUMIF(purchase[Product_ID],Table7[[#This Row],[Product_ID]],purchase[Received Quantity]),0)-IFERROR(SUMIF(sales[Product_ID],Table7[[#This Row],[Product_ID]],sales[Quantity Sold]),0)</f>
        <v>0</v>
      </c>
      <c r="L11" s="36">
        <f>IFERROR(SUMIFS(Table4101115[Quantity],Table4101115[Product_ID],Table7[Product_ID],Table4101115[Order Type],"Sales Order",Table4101115[Order Status],"Pending"),"")</f>
        <v>0</v>
      </c>
      <c r="M11" s="36">
        <f>IFERROR(SUMIFS(Table4101115[Order Status],Table4101115[Product Name],Table7[SKU],Table4101115[Quantity],"Purchase Order",Table4101115[Expected Delivery Date],"Pending"),"")</f>
        <v>0</v>
      </c>
      <c r="N11" s="37" t="str">
        <f ca="1">IFERROR((Table4[[#This Row],[Average_Daily_Usage]]*Table4[[#This Row],[Lead_Time_Days]])-(Table4[[#This Row],[Average_Daily_Usage]]*Table4[[#This Row],[Buffer_Days]]),"")</f>
        <v/>
      </c>
      <c r="O11" s="35" t="str">
        <f ca="1">IFERROR(Table4[[#This Row],[Expected_Demand_During_Lead_Time]]+Table4[[#This Row],[Safety_Stock]],"")</f>
        <v/>
      </c>
      <c r="P11" s="35" t="str">
        <f ca="1">IFERROR(Table7[[#This Row],[Reorder Level]]-Table7[[#This Row],[Current Stock]],"")</f>
        <v/>
      </c>
      <c r="Q11" s="35" t="str">
        <f ca="1">IFERROR(Table7[[#This Row],[Reorder Level]]+Table4[[#This Row],[Safety_Stock]]+Table4[[#This Row],[Expected_Demand_During_Lead_Time]],"")</f>
        <v/>
      </c>
      <c r="R11" s="41">
        <f>MAX(IF((purchase[Product_ID]=Table7[[#This Row],[Product_ID]])*(purchase[Delivery Status]="Completed"),purchase[Received Date]))</f>
        <v>0</v>
      </c>
      <c r="S11" s="41">
        <f>MAX(IF((sales[Product_ID]=Table7[[#This Row],[Product_ID]])*(sales[Sales Status]="Confirmed"),sales[Delivery Date]))</f>
        <v>0</v>
      </c>
      <c r="T11" s="35">
        <f>SUMIFS(purchase[Received Quantity],purchase[Product_ID],Table7[[#This Row],[Product_ID]],purchase[Delivery Status],"Completed")</f>
        <v>0</v>
      </c>
      <c r="U11" s="35">
        <f>SUMIFS(sales[Quantity Sold],sales[Product_ID],Table7[[#This Row],[Product_ID]],sales[Sales Status],"Confirmed")</f>
        <v>0</v>
      </c>
      <c r="V11" s="35">
        <f>SUMIF(Table72916[Product_ID],Table7[[#This Row],[Product_ID]],Table72916[Adjustment_Qty])</f>
        <v>0</v>
      </c>
      <c r="W11" s="35">
        <f>SUMIF(Table7291617[Product_ID],Table7[[#This Row],[Product_ID]],Table7291617[Transfer_Qty])</f>
        <v>0</v>
      </c>
      <c r="X11" s="36"/>
      <c r="Y11" s="36"/>
      <c r="Z11" s="35" t="str">
        <f>IFERROR((Table7[[#This Row],[Total Stock In]]-Table7[[#This Row],[Total Stock Out]]+Table7[[#This Row],[Stock Adjustment Qty]]-Table7[[#This Row],[Stock Transfer Qty]])*VLOOKUP(Table7[[#This Row],[Product_ID]],Table4[#All],22,0),"")</f>
        <v/>
      </c>
      <c r="AA11" s="35" t="str">
        <f>IFERROR(VLOOKUP(Table7[[#This Row],[Product_ID]],Table4[#All],17,0),"")</f>
        <v/>
      </c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</row>
    <row r="12" spans="2:38" x14ac:dyDescent="0.4">
      <c r="B12" s="14"/>
      <c r="D12" s="36" t="str">
        <f t="shared" si="0"/>
        <v>INVENT0007</v>
      </c>
      <c r="E12" s="36"/>
      <c r="F12" s="36" t="str">
        <f>IFERROR(VLOOKUP(Table7[[#This Row],[Product_ID]],Table4[#All],7,0),"")</f>
        <v/>
      </c>
      <c r="G12" s="36"/>
      <c r="H12" s="36"/>
      <c r="I12" s="36" t="str">
        <f>IFERROR(VLOOKUP(Table7[[#This Row],[Warehouse_ID]],Table4101112[#All],2,0),"")</f>
        <v/>
      </c>
      <c r="J12" s="35"/>
      <c r="K12" s="35">
        <f>IFERROR(SUMIF(purchase[Product_ID],Table7[[#This Row],[Product_ID]],purchase[Received Quantity]),0)-IFERROR(SUMIF(sales[Product_ID],Table7[[#This Row],[Product_ID]],sales[Quantity Sold]),0)</f>
        <v>0</v>
      </c>
      <c r="L12" s="36">
        <f>IFERROR(SUMIFS(Table4101115[Quantity],Table4101115[Product_ID],Table7[Product_ID],Table4101115[Order Type],"Sales Order",Table4101115[Order Status],"Pending"),"")</f>
        <v>0</v>
      </c>
      <c r="M12" s="36">
        <f>IFERROR(SUMIFS(Table4101115[Order Status],Table4101115[Product Name],Table7[SKU],Table4101115[Quantity],"Purchase Order",Table4101115[Expected Delivery Date],"Pending"),"")</f>
        <v>0</v>
      </c>
      <c r="N12" s="37" t="str">
        <f ca="1">IFERROR((Table4[[#This Row],[Average_Daily_Usage]]*Table4[[#This Row],[Lead_Time_Days]])-(Table4[[#This Row],[Average_Daily_Usage]]*Table4[[#This Row],[Buffer_Days]]),"")</f>
        <v/>
      </c>
      <c r="O12" s="35" t="str">
        <f ca="1">IFERROR(Table4[[#This Row],[Expected_Demand_During_Lead_Time]]+Table4[[#This Row],[Safety_Stock]],"")</f>
        <v/>
      </c>
      <c r="P12" s="35" t="str">
        <f ca="1">IFERROR(Table7[[#This Row],[Reorder Level]]-Table7[[#This Row],[Current Stock]],"")</f>
        <v/>
      </c>
      <c r="Q12" s="35" t="str">
        <f ca="1">IFERROR(Table7[[#This Row],[Reorder Level]]+Table4[[#This Row],[Safety_Stock]]+Table4[[#This Row],[Expected_Demand_During_Lead_Time]],"")</f>
        <v/>
      </c>
      <c r="R12" s="41">
        <f>MAX(IF((purchase[Product_ID]=Table7[[#This Row],[Product_ID]])*(purchase[Delivery Status]="Completed"),purchase[Received Date]))</f>
        <v>0</v>
      </c>
      <c r="S12" s="41">
        <f>MAX(IF((sales[Product_ID]=Table7[[#This Row],[Product_ID]])*(sales[Sales Status]="Confirmed"),sales[Delivery Date]))</f>
        <v>0</v>
      </c>
      <c r="T12" s="35">
        <f>SUMIFS(purchase[Received Quantity],purchase[Product_ID],Table7[[#This Row],[Product_ID]],purchase[Delivery Status],"Completed")</f>
        <v>0</v>
      </c>
      <c r="U12" s="35">
        <f>SUMIFS(sales[Quantity Sold],sales[Product_ID],Table7[[#This Row],[Product_ID]],sales[Sales Status],"Confirmed")</f>
        <v>0</v>
      </c>
      <c r="V12" s="35">
        <f>SUMIF(Table72916[Product_ID],Table7[[#This Row],[Product_ID]],Table72916[Adjustment_Qty])</f>
        <v>0</v>
      </c>
      <c r="W12" s="35">
        <f>SUMIF(Table7291617[Product_ID],Table7[[#This Row],[Product_ID]],Table7291617[Transfer_Qty])</f>
        <v>0</v>
      </c>
      <c r="X12" s="36"/>
      <c r="Y12" s="36"/>
      <c r="Z12" s="35" t="str">
        <f>IFERROR((Table7[[#This Row],[Total Stock In]]-Table7[[#This Row],[Total Stock Out]]+Table7[[#This Row],[Stock Adjustment Qty]]-Table7[[#This Row],[Stock Transfer Qty]])*VLOOKUP(Table7[[#This Row],[Product_ID]],Table4[#All],22,0),"")</f>
        <v/>
      </c>
      <c r="AA12" s="35" t="str">
        <f>IFERROR(VLOOKUP(Table7[[#This Row],[Product_ID]],Table4[#All],17,0),"")</f>
        <v/>
      </c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</row>
    <row r="13" spans="2:38" x14ac:dyDescent="0.4">
      <c r="B13" s="14"/>
      <c r="D13" s="36" t="str">
        <f t="shared" si="0"/>
        <v>INVENT0008</v>
      </c>
      <c r="E13" s="36"/>
      <c r="F13" s="36" t="str">
        <f>IFERROR(VLOOKUP(Table7[[#This Row],[Product_ID]],Table4[#All],7,0),"")</f>
        <v/>
      </c>
      <c r="G13" s="36"/>
      <c r="H13" s="36"/>
      <c r="I13" s="36" t="str">
        <f>IFERROR(VLOOKUP(Table7[[#This Row],[Warehouse_ID]],Table4101112[#All],2,0),"")</f>
        <v/>
      </c>
      <c r="J13" s="35"/>
      <c r="K13" s="35">
        <f>IFERROR(SUMIF(purchase[Product_ID],Table7[[#This Row],[Product_ID]],purchase[Received Quantity]),0)-IFERROR(SUMIF(sales[Product_ID],Table7[[#This Row],[Product_ID]],sales[Quantity Sold]),0)</f>
        <v>0</v>
      </c>
      <c r="L13" s="36">
        <f>IFERROR(SUMIFS(Table4101115[Quantity],Table4101115[Product_ID],Table7[Product_ID],Table4101115[Order Type],"Sales Order",Table4101115[Order Status],"Pending"),"")</f>
        <v>0</v>
      </c>
      <c r="M13" s="36">
        <f>IFERROR(SUMIFS(Table4101115[Order Status],Table4101115[Product Name],Table7[SKU],Table4101115[Quantity],"Purchase Order",Table4101115[Expected Delivery Date],"Pending"),"")</f>
        <v>0</v>
      </c>
      <c r="N13" s="37" t="str">
        <f ca="1">IFERROR((Table4[[#This Row],[Average_Daily_Usage]]*Table4[[#This Row],[Lead_Time_Days]])-(Table4[[#This Row],[Average_Daily_Usage]]*Table4[[#This Row],[Buffer_Days]]),"")</f>
        <v/>
      </c>
      <c r="O13" s="35" t="str">
        <f ca="1">IFERROR(Table4[[#This Row],[Expected_Demand_During_Lead_Time]]+Table4[[#This Row],[Safety_Stock]],"")</f>
        <v/>
      </c>
      <c r="P13" s="35" t="str">
        <f ca="1">IFERROR(Table7[[#This Row],[Reorder Level]]-Table7[[#This Row],[Current Stock]],"")</f>
        <v/>
      </c>
      <c r="Q13" s="35" t="str">
        <f ca="1">IFERROR(Table7[[#This Row],[Reorder Level]]+Table4[[#This Row],[Safety_Stock]]+Table4[[#This Row],[Expected_Demand_During_Lead_Time]],"")</f>
        <v/>
      </c>
      <c r="R13" s="41">
        <f>MAX(IF((purchase[Product_ID]=Table7[[#This Row],[Product_ID]])*(purchase[Delivery Status]="Completed"),purchase[Received Date]))</f>
        <v>0</v>
      </c>
      <c r="S13" s="41">
        <f>MAX(IF((sales[Product_ID]=Table7[[#This Row],[Product_ID]])*(sales[Sales Status]="Confirmed"),sales[Delivery Date]))</f>
        <v>0</v>
      </c>
      <c r="T13" s="35">
        <f>SUMIFS(purchase[Received Quantity],purchase[Product_ID],Table7[[#This Row],[Product_ID]],purchase[Delivery Status],"Completed")</f>
        <v>0</v>
      </c>
      <c r="U13" s="35">
        <f>SUMIFS(sales[Quantity Sold],sales[Product_ID],Table7[[#This Row],[Product_ID]],sales[Sales Status],"Confirmed")</f>
        <v>0</v>
      </c>
      <c r="V13" s="35">
        <f>SUMIF(Table72916[Product_ID],Table7[[#This Row],[Product_ID]],Table72916[Adjustment_Qty])</f>
        <v>0</v>
      </c>
      <c r="W13" s="35">
        <f>SUMIF(Table7291617[Product_ID],Table7[[#This Row],[Product_ID]],Table7291617[Transfer_Qty])</f>
        <v>0</v>
      </c>
      <c r="X13" s="36"/>
      <c r="Y13" s="36"/>
      <c r="Z13" s="35" t="str">
        <f>IFERROR((Table7[[#This Row],[Total Stock In]]-Table7[[#This Row],[Total Stock Out]]+Table7[[#This Row],[Stock Adjustment Qty]]-Table7[[#This Row],[Stock Transfer Qty]])*VLOOKUP(Table7[[#This Row],[Product_ID]],Table4[#All],22,0),"")</f>
        <v/>
      </c>
      <c r="AA13" s="35" t="str">
        <f>IFERROR(VLOOKUP(Table7[[#This Row],[Product_ID]],Table4[#All],17,0),"")</f>
        <v/>
      </c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</row>
    <row r="14" spans="2:38" x14ac:dyDescent="0.4">
      <c r="B14" s="14"/>
      <c r="D14" s="36" t="str">
        <f t="shared" si="0"/>
        <v>INVENT0009</v>
      </c>
      <c r="E14" s="36"/>
      <c r="F14" s="36" t="str">
        <f>IFERROR(VLOOKUP(Table7[[#This Row],[Product_ID]],Table4[#All],7,0),"")</f>
        <v/>
      </c>
      <c r="G14" s="36"/>
      <c r="H14" s="36"/>
      <c r="I14" s="36" t="str">
        <f>IFERROR(VLOOKUP(Table7[[#This Row],[Warehouse_ID]],Table4101112[#All],2,0),"")</f>
        <v/>
      </c>
      <c r="J14" s="35"/>
      <c r="K14" s="35">
        <f>IFERROR(SUMIF(purchase[Product_ID],Table7[[#This Row],[Product_ID]],purchase[Received Quantity]),0)-IFERROR(SUMIF(sales[Product_ID],Table7[[#This Row],[Product_ID]],sales[Quantity Sold]),0)</f>
        <v>0</v>
      </c>
      <c r="L14" s="36">
        <f>IFERROR(SUMIFS(Table4101115[Quantity],Table4101115[Product_ID],Table7[Product_ID],Table4101115[Order Type],"Sales Order",Table4101115[Order Status],"Pending"),"")</f>
        <v>0</v>
      </c>
      <c r="M14" s="36">
        <f>IFERROR(SUMIFS(Table4101115[Order Status],Table4101115[Product Name],Table7[SKU],Table4101115[Quantity],"Purchase Order",Table4101115[Expected Delivery Date],"Pending"),"")</f>
        <v>0</v>
      </c>
      <c r="N14" s="37" t="str">
        <f ca="1">IFERROR((Table4[[#This Row],[Average_Daily_Usage]]*Table4[[#This Row],[Lead_Time_Days]])-(Table4[[#This Row],[Average_Daily_Usage]]*Table4[[#This Row],[Buffer_Days]]),"")</f>
        <v/>
      </c>
      <c r="O14" s="35" t="str">
        <f ca="1">IFERROR(Table4[[#This Row],[Expected_Demand_During_Lead_Time]]+Table4[[#This Row],[Safety_Stock]],"")</f>
        <v/>
      </c>
      <c r="P14" s="35" t="str">
        <f ca="1">IFERROR(Table7[[#This Row],[Reorder Level]]-Table7[[#This Row],[Current Stock]],"")</f>
        <v/>
      </c>
      <c r="Q14" s="35" t="str">
        <f ca="1">IFERROR(Table7[[#This Row],[Reorder Level]]+Table4[[#This Row],[Safety_Stock]]+Table4[[#This Row],[Expected_Demand_During_Lead_Time]],"")</f>
        <v/>
      </c>
      <c r="R14" s="41">
        <f>MAX(IF((purchase[Product_ID]=Table7[[#This Row],[Product_ID]])*(purchase[Delivery Status]="Completed"),purchase[Received Date]))</f>
        <v>0</v>
      </c>
      <c r="S14" s="41">
        <f>MAX(IF((sales[Product_ID]=Table7[[#This Row],[Product_ID]])*(sales[Sales Status]="Confirmed"),sales[Delivery Date]))</f>
        <v>0</v>
      </c>
      <c r="T14" s="35">
        <f>SUMIFS(purchase[Received Quantity],purchase[Product_ID],Table7[[#This Row],[Product_ID]],purchase[Delivery Status],"Completed")</f>
        <v>0</v>
      </c>
      <c r="U14" s="35">
        <f>SUMIFS(sales[Quantity Sold],sales[Product_ID],Table7[[#This Row],[Product_ID]],sales[Sales Status],"Confirmed")</f>
        <v>0</v>
      </c>
      <c r="V14" s="35">
        <f>SUMIF(Table72916[Product_ID],Table7[[#This Row],[Product_ID]],Table72916[Adjustment_Qty])</f>
        <v>0</v>
      </c>
      <c r="W14" s="35">
        <f>SUMIF(Table7291617[Product_ID],Table7[[#This Row],[Product_ID]],Table7291617[Transfer_Qty])</f>
        <v>0</v>
      </c>
      <c r="X14" s="36"/>
      <c r="Y14" s="36"/>
      <c r="Z14" s="35" t="str">
        <f>IFERROR((Table7[[#This Row],[Total Stock In]]-Table7[[#This Row],[Total Stock Out]]+Table7[[#This Row],[Stock Adjustment Qty]]-Table7[[#This Row],[Stock Transfer Qty]])*VLOOKUP(Table7[[#This Row],[Product_ID]],Table4[#All],22,0),"")</f>
        <v/>
      </c>
      <c r="AA14" s="35" t="str">
        <f>IFERROR(VLOOKUP(Table7[[#This Row],[Product_ID]],Table4[#All],17,0),"")</f>
        <v/>
      </c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</row>
    <row r="15" spans="2:38" x14ac:dyDescent="0.4">
      <c r="B15" s="14"/>
      <c r="D15" s="36" t="str">
        <f t="shared" si="0"/>
        <v>INVENT0010</v>
      </c>
      <c r="E15" s="36"/>
      <c r="F15" s="36" t="str">
        <f>IFERROR(VLOOKUP(Table7[[#This Row],[Product_ID]],Table4[#All],7,0),"")</f>
        <v/>
      </c>
      <c r="G15" s="36"/>
      <c r="H15" s="36"/>
      <c r="I15" s="36" t="str">
        <f>IFERROR(VLOOKUP(Table7[[#This Row],[Warehouse_ID]],Table4101112[#All],2,0),"")</f>
        <v/>
      </c>
      <c r="J15" s="35"/>
      <c r="K15" s="35">
        <f>IFERROR(SUMIF(purchase[Product_ID],Table7[[#This Row],[Product_ID]],purchase[Received Quantity]),0)-IFERROR(SUMIF(sales[Product_ID],Table7[[#This Row],[Product_ID]],sales[Quantity Sold]),0)</f>
        <v>0</v>
      </c>
      <c r="L15" s="36">
        <f>IFERROR(SUMIFS(Table4101115[Quantity],Table4101115[Product_ID],Table7[Product_ID],Table4101115[Order Type],"Sales Order",Table4101115[Order Status],"Pending"),"")</f>
        <v>0</v>
      </c>
      <c r="M15" s="36">
        <f>IFERROR(SUMIFS(Table4101115[Order Status],Table4101115[Product Name],Table7[SKU],Table4101115[Quantity],"Purchase Order",Table4101115[Expected Delivery Date],"Pending"),"")</f>
        <v>0</v>
      </c>
      <c r="N15" s="37" t="str">
        <f ca="1">IFERROR((Table4[[#This Row],[Average_Daily_Usage]]*Table4[[#This Row],[Lead_Time_Days]])-(Table4[[#This Row],[Average_Daily_Usage]]*Table4[[#This Row],[Buffer_Days]]),"")</f>
        <v/>
      </c>
      <c r="O15" s="35" t="str">
        <f ca="1">IFERROR(Table4[[#This Row],[Expected_Demand_During_Lead_Time]]+Table4[[#This Row],[Safety_Stock]],"")</f>
        <v/>
      </c>
      <c r="P15" s="35" t="str">
        <f ca="1">IFERROR(Table7[[#This Row],[Reorder Level]]-Table7[[#This Row],[Current Stock]],"")</f>
        <v/>
      </c>
      <c r="Q15" s="35" t="str">
        <f ca="1">IFERROR(Table7[[#This Row],[Reorder Level]]+Table4[[#This Row],[Safety_Stock]]+Table4[[#This Row],[Expected_Demand_During_Lead_Time]],"")</f>
        <v/>
      </c>
      <c r="R15" s="41">
        <f>MAX(IF((purchase[Product_ID]=Table7[[#This Row],[Product_ID]])*(purchase[Delivery Status]="Completed"),purchase[Received Date]))</f>
        <v>0</v>
      </c>
      <c r="S15" s="41">
        <f>MAX(IF((sales[Product_ID]=Table7[[#This Row],[Product_ID]])*(sales[Sales Status]="Confirmed"),sales[Delivery Date]))</f>
        <v>0</v>
      </c>
      <c r="T15" s="35">
        <f>SUMIFS(purchase[Received Quantity],purchase[Product_ID],Table7[[#This Row],[Product_ID]],purchase[Delivery Status],"Completed")</f>
        <v>0</v>
      </c>
      <c r="U15" s="35">
        <f>SUMIFS(sales[Quantity Sold],sales[Product_ID],Table7[[#This Row],[Product_ID]],sales[Sales Status],"Confirmed")</f>
        <v>0</v>
      </c>
      <c r="V15" s="35">
        <f>SUMIF(Table72916[Product_ID],Table7[[#This Row],[Product_ID]],Table72916[Adjustment_Qty])</f>
        <v>0</v>
      </c>
      <c r="W15" s="35">
        <f>SUMIF(Table7291617[Product_ID],Table7[[#This Row],[Product_ID]],Table7291617[Transfer_Qty])</f>
        <v>0</v>
      </c>
      <c r="X15" s="36"/>
      <c r="Y15" s="36"/>
      <c r="Z15" s="35" t="str">
        <f>IFERROR((Table7[[#This Row],[Total Stock In]]-Table7[[#This Row],[Total Stock Out]]+Table7[[#This Row],[Stock Adjustment Qty]]-Table7[[#This Row],[Stock Transfer Qty]])*VLOOKUP(Table7[[#This Row],[Product_ID]],Table4[#All],22,0),"")</f>
        <v/>
      </c>
      <c r="AA15" s="35" t="str">
        <f>IFERROR(VLOOKUP(Table7[[#This Row],[Product_ID]],Table4[#All],17,0),"")</f>
        <v/>
      </c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</row>
    <row r="16" spans="2:38" x14ac:dyDescent="0.4">
      <c r="B16" s="14"/>
      <c r="D16" s="36" t="str">
        <f t="shared" si="0"/>
        <v>INVENT0011</v>
      </c>
      <c r="E16" s="36"/>
      <c r="F16" s="36" t="str">
        <f>IFERROR(VLOOKUP(Table7[[#This Row],[Product_ID]],Table4[#All],7,0),"")</f>
        <v/>
      </c>
      <c r="G16" s="36"/>
      <c r="H16" s="36"/>
      <c r="I16" s="36" t="str">
        <f>IFERROR(VLOOKUP(Table7[[#This Row],[Warehouse_ID]],Table4101112[#All],2,0),"")</f>
        <v/>
      </c>
      <c r="J16" s="35"/>
      <c r="K16" s="35">
        <f>IFERROR(SUMIF(purchase[Product_ID],Table7[[#This Row],[Product_ID]],purchase[Received Quantity]),0)-IFERROR(SUMIF(sales[Product_ID],Table7[[#This Row],[Product_ID]],sales[Quantity Sold]),0)</f>
        <v>0</v>
      </c>
      <c r="L16" s="36">
        <f>IFERROR(SUMIFS(Table4101115[Quantity],Table4101115[Product_ID],Table7[Product_ID],Table4101115[Order Type],"Sales Order",Table4101115[Order Status],"Pending"),"")</f>
        <v>0</v>
      </c>
      <c r="M16" s="36">
        <f>IFERROR(SUMIFS(Table4101115[Order Status],Table4101115[Product Name],Table7[SKU],Table4101115[Quantity],"Purchase Order",Table4101115[Expected Delivery Date],"Pending"),"")</f>
        <v>0</v>
      </c>
      <c r="N16" s="37" t="str">
        <f ca="1">IFERROR((Table4[[#This Row],[Average_Daily_Usage]]*Table4[[#This Row],[Lead_Time_Days]])-(Table4[[#This Row],[Average_Daily_Usage]]*Table4[[#This Row],[Buffer_Days]]),"")</f>
        <v/>
      </c>
      <c r="O16" s="35" t="str">
        <f ca="1">IFERROR(Table4[[#This Row],[Expected_Demand_During_Lead_Time]]+Table4[[#This Row],[Safety_Stock]],"")</f>
        <v/>
      </c>
      <c r="P16" s="35" t="str">
        <f ca="1">IFERROR(Table7[[#This Row],[Reorder Level]]-Table7[[#This Row],[Current Stock]],"")</f>
        <v/>
      </c>
      <c r="Q16" s="35" t="str">
        <f ca="1">IFERROR(Table7[[#This Row],[Reorder Level]]+Table4[[#This Row],[Safety_Stock]]+Table4[[#This Row],[Expected_Demand_During_Lead_Time]],"")</f>
        <v/>
      </c>
      <c r="R16" s="41">
        <f>MAX(IF((purchase[Product_ID]=Table7[[#This Row],[Product_ID]])*(purchase[Delivery Status]="Completed"),purchase[Received Date]))</f>
        <v>0</v>
      </c>
      <c r="S16" s="41">
        <f>MAX(IF((sales[Product_ID]=Table7[[#This Row],[Product_ID]])*(sales[Sales Status]="Confirmed"),sales[Delivery Date]))</f>
        <v>0</v>
      </c>
      <c r="T16" s="35">
        <f>SUMIFS(purchase[Received Quantity],purchase[Product_ID],Table7[[#This Row],[Product_ID]],purchase[Delivery Status],"Completed")</f>
        <v>0</v>
      </c>
      <c r="U16" s="35">
        <f>SUMIFS(sales[Quantity Sold],sales[Product_ID],Table7[[#This Row],[Product_ID]],sales[Sales Status],"Confirmed")</f>
        <v>0</v>
      </c>
      <c r="V16" s="35">
        <f>SUMIF(Table72916[Product_ID],Table7[[#This Row],[Product_ID]],Table72916[Adjustment_Qty])</f>
        <v>0</v>
      </c>
      <c r="W16" s="35">
        <f>SUMIF(Table7291617[Product_ID],Table7[[#This Row],[Product_ID]],Table7291617[Transfer_Qty])</f>
        <v>0</v>
      </c>
      <c r="X16" s="36"/>
      <c r="Y16" s="36"/>
      <c r="Z16" s="35" t="str">
        <f>IFERROR((Table7[[#This Row],[Total Stock In]]-Table7[[#This Row],[Total Stock Out]]+Table7[[#This Row],[Stock Adjustment Qty]]-Table7[[#This Row],[Stock Transfer Qty]])*VLOOKUP(Table7[[#This Row],[Product_ID]],Table4[#All],22,0),"")</f>
        <v/>
      </c>
      <c r="AA16" s="35" t="str">
        <f>IFERROR(VLOOKUP(Table7[[#This Row],[Product_ID]],Table4[#All],17,0),"")</f>
        <v/>
      </c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</row>
    <row r="17" spans="2:38" x14ac:dyDescent="0.4">
      <c r="B17" s="14"/>
      <c r="D17" s="36" t="str">
        <f t="shared" si="0"/>
        <v>INVENT0012</v>
      </c>
      <c r="E17" s="36"/>
      <c r="F17" s="36" t="str">
        <f>IFERROR(VLOOKUP(Table7[[#This Row],[Product_ID]],Table4[#All],7,0),"")</f>
        <v/>
      </c>
      <c r="G17" s="36"/>
      <c r="H17" s="36"/>
      <c r="I17" s="36" t="str">
        <f>IFERROR(VLOOKUP(Table7[[#This Row],[Warehouse_ID]],Table4101112[#All],2,0),"")</f>
        <v/>
      </c>
      <c r="J17" s="35"/>
      <c r="K17" s="35">
        <f>IFERROR(SUMIF(purchase[Product_ID],Table7[[#This Row],[Product_ID]],purchase[Received Quantity]),0)-IFERROR(SUMIF(sales[Product_ID],Table7[[#This Row],[Product_ID]],sales[Quantity Sold]),0)</f>
        <v>0</v>
      </c>
      <c r="L17" s="36">
        <f>IFERROR(SUMIFS(Table4101115[Quantity],Table4101115[Product_ID],Table7[Product_ID],Table4101115[Order Type],"Sales Order",Table4101115[Order Status],"Pending"),"")</f>
        <v>0</v>
      </c>
      <c r="M17" s="36">
        <f>IFERROR(SUMIFS(Table4101115[Order Status],Table4101115[Product Name],Table7[SKU],Table4101115[Quantity],"Purchase Order",Table4101115[Expected Delivery Date],"Pending"),"")</f>
        <v>0</v>
      </c>
      <c r="N17" s="37" t="str">
        <f ca="1">IFERROR((Table4[[#This Row],[Average_Daily_Usage]]*Table4[[#This Row],[Lead_Time_Days]])-(Table4[[#This Row],[Average_Daily_Usage]]*Table4[[#This Row],[Buffer_Days]]),"")</f>
        <v/>
      </c>
      <c r="O17" s="35" t="str">
        <f ca="1">IFERROR(Table4[[#This Row],[Expected_Demand_During_Lead_Time]]+Table4[[#This Row],[Safety_Stock]],"")</f>
        <v/>
      </c>
      <c r="P17" s="35" t="str">
        <f ca="1">IFERROR(Table7[[#This Row],[Reorder Level]]-Table7[[#This Row],[Current Stock]],"")</f>
        <v/>
      </c>
      <c r="Q17" s="35" t="str">
        <f ca="1">IFERROR(Table7[[#This Row],[Reorder Level]]+Table4[[#This Row],[Safety_Stock]]+Table4[[#This Row],[Expected_Demand_During_Lead_Time]],"")</f>
        <v/>
      </c>
      <c r="R17" s="41">
        <f>MAX(IF((purchase[Product_ID]=Table7[[#This Row],[Product_ID]])*(purchase[Delivery Status]="Completed"),purchase[Received Date]))</f>
        <v>0</v>
      </c>
      <c r="S17" s="41">
        <f>MAX(IF((sales[Product_ID]=Table7[[#This Row],[Product_ID]])*(sales[Sales Status]="Confirmed"),sales[Delivery Date]))</f>
        <v>0</v>
      </c>
      <c r="T17" s="35">
        <f>SUMIFS(purchase[Received Quantity],purchase[Product_ID],Table7[[#This Row],[Product_ID]],purchase[Delivery Status],"Completed")</f>
        <v>0</v>
      </c>
      <c r="U17" s="35">
        <f>SUMIFS(sales[Quantity Sold],sales[Product_ID],Table7[[#This Row],[Product_ID]],sales[Sales Status],"Confirmed")</f>
        <v>0</v>
      </c>
      <c r="V17" s="35">
        <f>SUMIF(Table72916[Product_ID],Table7[[#This Row],[Product_ID]],Table72916[Adjustment_Qty])</f>
        <v>0</v>
      </c>
      <c r="W17" s="35">
        <f>SUMIF(Table7291617[Product_ID],Table7[[#This Row],[Product_ID]],Table7291617[Transfer_Qty])</f>
        <v>0</v>
      </c>
      <c r="X17" s="36"/>
      <c r="Y17" s="36"/>
      <c r="Z17" s="35" t="str">
        <f>IFERROR((Table7[[#This Row],[Total Stock In]]-Table7[[#This Row],[Total Stock Out]]+Table7[[#This Row],[Stock Adjustment Qty]]-Table7[[#This Row],[Stock Transfer Qty]])*VLOOKUP(Table7[[#This Row],[Product_ID]],Table4[#All],22,0),"")</f>
        <v/>
      </c>
      <c r="AA17" s="35" t="str">
        <f>IFERROR(VLOOKUP(Table7[[#This Row],[Product_ID]],Table4[#All],17,0),"")</f>
        <v/>
      </c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</row>
    <row r="18" spans="2:38" x14ac:dyDescent="0.4">
      <c r="B18" s="14"/>
      <c r="D18" s="36" t="str">
        <f t="shared" si="0"/>
        <v>INVENT0013</v>
      </c>
      <c r="E18" s="36"/>
      <c r="F18" s="36" t="str">
        <f>IFERROR(VLOOKUP(Table7[[#This Row],[Product_ID]],Table4[#All],7,0),"")</f>
        <v/>
      </c>
      <c r="G18" s="36"/>
      <c r="H18" s="36"/>
      <c r="I18" s="36" t="str">
        <f>IFERROR(VLOOKUP(Table7[[#This Row],[Warehouse_ID]],Table4101112[#All],2,0),"")</f>
        <v/>
      </c>
      <c r="J18" s="35"/>
      <c r="K18" s="35">
        <f>IFERROR(SUMIF(purchase[Product_ID],Table7[[#This Row],[Product_ID]],purchase[Received Quantity]),0)-IFERROR(SUMIF(sales[Product_ID],Table7[[#This Row],[Product_ID]],sales[Quantity Sold]),0)</f>
        <v>0</v>
      </c>
      <c r="L18" s="36">
        <f>IFERROR(SUMIFS(Table4101115[Quantity],Table4101115[Product_ID],Table7[Product_ID],Table4101115[Order Type],"Sales Order",Table4101115[Order Status],"Pending"),"")</f>
        <v>0</v>
      </c>
      <c r="M18" s="36">
        <f>IFERROR(SUMIFS(Table4101115[Order Status],Table4101115[Product Name],Table7[SKU],Table4101115[Quantity],"Purchase Order",Table4101115[Expected Delivery Date],"Pending"),"")</f>
        <v>0</v>
      </c>
      <c r="N18" s="37" t="str">
        <f ca="1">IFERROR((Table4[[#This Row],[Average_Daily_Usage]]*Table4[[#This Row],[Lead_Time_Days]])-(Table4[[#This Row],[Average_Daily_Usage]]*Table4[[#This Row],[Buffer_Days]]),"")</f>
        <v/>
      </c>
      <c r="O18" s="35" t="str">
        <f ca="1">IFERROR(Table4[[#This Row],[Expected_Demand_During_Lead_Time]]+Table4[[#This Row],[Safety_Stock]],"")</f>
        <v/>
      </c>
      <c r="P18" s="35" t="str">
        <f ca="1">IFERROR(Table7[[#This Row],[Reorder Level]]-Table7[[#This Row],[Current Stock]],"")</f>
        <v/>
      </c>
      <c r="Q18" s="35" t="str">
        <f ca="1">IFERROR(Table7[[#This Row],[Reorder Level]]+Table4[[#This Row],[Safety_Stock]]+Table4[[#This Row],[Expected_Demand_During_Lead_Time]],"")</f>
        <v/>
      </c>
      <c r="R18" s="41">
        <f>MAX(IF((purchase[Product_ID]=Table7[[#This Row],[Product_ID]])*(purchase[Delivery Status]="Completed"),purchase[Received Date]))</f>
        <v>0</v>
      </c>
      <c r="S18" s="41">
        <f>MAX(IF((sales[Product_ID]=Table7[[#This Row],[Product_ID]])*(sales[Sales Status]="Confirmed"),sales[Delivery Date]))</f>
        <v>0</v>
      </c>
      <c r="T18" s="35">
        <f>SUMIFS(purchase[Received Quantity],purchase[Product_ID],Table7[[#This Row],[Product_ID]],purchase[Delivery Status],"Completed")</f>
        <v>0</v>
      </c>
      <c r="U18" s="35">
        <f>SUMIFS(sales[Quantity Sold],sales[Product_ID],Table7[[#This Row],[Product_ID]],sales[Sales Status],"Confirmed")</f>
        <v>0</v>
      </c>
      <c r="V18" s="35">
        <f>SUMIF(Table72916[Product_ID],Table7[[#This Row],[Product_ID]],Table72916[Adjustment_Qty])</f>
        <v>0</v>
      </c>
      <c r="W18" s="35">
        <f>SUMIF(Table7291617[Product_ID],Table7[[#This Row],[Product_ID]],Table7291617[Transfer_Qty])</f>
        <v>0</v>
      </c>
      <c r="X18" s="36"/>
      <c r="Y18" s="36"/>
      <c r="Z18" s="35" t="str">
        <f>IFERROR((Table7[[#This Row],[Total Stock In]]-Table7[[#This Row],[Total Stock Out]]+Table7[[#This Row],[Stock Adjustment Qty]]-Table7[[#This Row],[Stock Transfer Qty]])*VLOOKUP(Table7[[#This Row],[Product_ID]],Table4[#All],22,0),"")</f>
        <v/>
      </c>
      <c r="AA18" s="35" t="str">
        <f>IFERROR(VLOOKUP(Table7[[#This Row],[Product_ID]],Table4[#All],17,0),"")</f>
        <v/>
      </c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</row>
    <row r="19" spans="2:38" x14ac:dyDescent="0.4">
      <c r="B19" s="15"/>
      <c r="D19" s="4"/>
      <c r="E19" s="4"/>
      <c r="F19" s="4"/>
      <c r="G19" s="4"/>
      <c r="H19" s="4"/>
      <c r="I19" s="4"/>
      <c r="J19" s="4"/>
    </row>
    <row r="20" spans="2:38" x14ac:dyDescent="0.4">
      <c r="B20" s="8"/>
      <c r="D20" s="4"/>
      <c r="E20" s="4"/>
      <c r="F20" s="4"/>
      <c r="G20" s="4"/>
      <c r="H20" s="4"/>
      <c r="I20" s="4"/>
      <c r="J20" s="4"/>
    </row>
    <row r="21" spans="2:38" x14ac:dyDescent="0.4">
      <c r="B21" s="8"/>
      <c r="D21" s="4"/>
      <c r="E21" s="4"/>
      <c r="F21" s="4"/>
      <c r="G21" s="4"/>
      <c r="H21" s="4"/>
      <c r="I21" s="4"/>
      <c r="J21" s="4"/>
    </row>
    <row r="22" spans="2:38" x14ac:dyDescent="0.4">
      <c r="B22" s="8"/>
      <c r="D22" s="4"/>
      <c r="E22" s="4"/>
      <c r="F22" s="4"/>
      <c r="G22" s="4"/>
      <c r="H22" s="4"/>
      <c r="I22" s="4"/>
      <c r="J22" s="4"/>
    </row>
    <row r="23" spans="2:38" x14ac:dyDescent="0.4">
      <c r="B23" s="8"/>
      <c r="D23" s="4"/>
      <c r="E23" s="4"/>
      <c r="F23" s="4"/>
      <c r="G23" s="4"/>
      <c r="H23" s="4"/>
      <c r="I23" s="4"/>
      <c r="J23" s="4"/>
    </row>
  </sheetData>
  <mergeCells count="7">
    <mergeCell ref="AI4:AL4"/>
    <mergeCell ref="D4:I4"/>
    <mergeCell ref="J4:Q4"/>
    <mergeCell ref="R4:W4"/>
    <mergeCell ref="X4:AA4"/>
    <mergeCell ref="AB4:AE4"/>
    <mergeCell ref="AF4:AH4"/>
  </mergeCells>
  <dataValidations count="7">
    <dataValidation type="list" allowBlank="1" showInputMessage="1" showErrorMessage="1" sqref="Y6:Y18" xr:uid="{8460B951-56D6-4638-91F4-A72871C9191A}">
      <formula1>costmethod</formula1>
    </dataValidation>
    <dataValidation type="list" allowBlank="1" showInputMessage="1" showErrorMessage="1" sqref="AF6:AF18" xr:uid="{7374534F-FE0F-4413-9129-D52EC875E8B8}">
      <formula1>inventorystatus</formula1>
    </dataValidation>
    <dataValidation type="list" allowBlank="1" showInputMessage="1" showErrorMessage="1" sqref="AG6:AG18" xr:uid="{2D3FDE04-8017-494A-9995-707F60BC9648}">
      <formula1>isdamgdstock</formula1>
    </dataValidation>
    <dataValidation type="list" allowBlank="1" showInputMessage="1" showErrorMessage="1" sqref="AH6:AH18" xr:uid="{CA67E2DE-16F5-430E-903A-06959190E3A3}">
      <formula1>isreturnable</formula1>
    </dataValidation>
    <dataValidation type="list" allowBlank="1" showInputMessage="1" showErrorMessage="1" sqref="AL6:AL18" xr:uid="{E872D232-4170-430E-8A05-713B96EAC8B0}">
      <formula1>unitofmeasure</formula1>
    </dataValidation>
    <dataValidation type="list" allowBlank="1" showInputMessage="1" showErrorMessage="1" sqref="E6:E18" xr:uid="{25936AFE-BB36-4C88-87AB-B9FD6FEA1C15}">
      <formula1>productid</formula1>
    </dataValidation>
    <dataValidation type="list" allowBlank="1" showInputMessage="1" showErrorMessage="1" sqref="H6:H18" xr:uid="{3B7F5ADE-9522-4171-BD1E-C612F089933E}">
      <formula1>warehouseid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960F1-F837-4418-98D9-5D345B57454E}">
  <dimension ref="A1:M86"/>
  <sheetViews>
    <sheetView topLeftCell="A28" zoomScale="59" zoomScaleNormal="59" workbookViewId="0">
      <selection activeCell="G38" sqref="G38"/>
    </sheetView>
  </sheetViews>
  <sheetFormatPr defaultRowHeight="26.25" x14ac:dyDescent="0.4"/>
  <cols>
    <col min="1" max="1" width="14.640625" bestFit="1" customWidth="1"/>
    <col min="3" max="3" width="20.35546875" bestFit="1" customWidth="1"/>
    <col min="5" max="5" width="22.5" bestFit="1" customWidth="1"/>
    <col min="7" max="7" width="22.5" bestFit="1" customWidth="1"/>
    <col min="9" max="9" width="13.78515625" bestFit="1" customWidth="1"/>
    <col min="11" max="11" width="16.78515625" bestFit="1" customWidth="1"/>
    <col min="13" max="13" width="16.78515625" bestFit="1" customWidth="1"/>
  </cols>
  <sheetData>
    <row r="1" spans="1:13" x14ac:dyDescent="0.4">
      <c r="A1" s="20" t="s">
        <v>28</v>
      </c>
      <c r="C1" s="20" t="s">
        <v>29</v>
      </c>
      <c r="E1" s="20" t="s">
        <v>34</v>
      </c>
      <c r="G1" s="20" t="s">
        <v>43</v>
      </c>
      <c r="I1" s="20" t="s">
        <v>35</v>
      </c>
      <c r="K1" s="20" t="s">
        <v>90</v>
      </c>
      <c r="M1" s="20" t="s">
        <v>98</v>
      </c>
    </row>
    <row r="2" spans="1:13" x14ac:dyDescent="0.4">
      <c r="A2" t="s">
        <v>61</v>
      </c>
      <c r="C2" t="s">
        <v>65</v>
      </c>
      <c r="E2" t="s">
        <v>69</v>
      </c>
      <c r="G2" t="s">
        <v>72</v>
      </c>
      <c r="I2" t="s">
        <v>78</v>
      </c>
      <c r="K2" t="s">
        <v>114</v>
      </c>
      <c r="M2" t="s">
        <v>116</v>
      </c>
    </row>
    <row r="3" spans="1:13" x14ac:dyDescent="0.4">
      <c r="A3" t="s">
        <v>62</v>
      </c>
      <c r="C3" t="s">
        <v>66</v>
      </c>
      <c r="E3" t="s">
        <v>70</v>
      </c>
      <c r="G3" t="s">
        <v>73</v>
      </c>
      <c r="I3" t="s">
        <v>77</v>
      </c>
      <c r="K3" t="s">
        <v>115</v>
      </c>
      <c r="M3" t="s">
        <v>117</v>
      </c>
    </row>
    <row r="4" spans="1:13" x14ac:dyDescent="0.4">
      <c r="A4" t="s">
        <v>63</v>
      </c>
      <c r="C4" t="s">
        <v>67</v>
      </c>
      <c r="E4" t="s">
        <v>71</v>
      </c>
      <c r="I4" t="s">
        <v>79</v>
      </c>
      <c r="M4" t="s">
        <v>118</v>
      </c>
    </row>
    <row r="5" spans="1:13" x14ac:dyDescent="0.4">
      <c r="A5" t="s">
        <v>64</v>
      </c>
      <c r="E5" t="s">
        <v>276</v>
      </c>
      <c r="I5" t="s">
        <v>80</v>
      </c>
    </row>
    <row r="6" spans="1:13" x14ac:dyDescent="0.4">
      <c r="A6" t="s">
        <v>68</v>
      </c>
      <c r="E6" t="s">
        <v>277</v>
      </c>
    </row>
    <row r="7" spans="1:13" x14ac:dyDescent="0.4">
      <c r="E7" t="s">
        <v>278</v>
      </c>
    </row>
    <row r="8" spans="1:13" x14ac:dyDescent="0.4">
      <c r="A8" s="20" t="s">
        <v>108</v>
      </c>
      <c r="C8" s="20" t="s">
        <v>109</v>
      </c>
      <c r="E8" s="20" t="s">
        <v>89</v>
      </c>
      <c r="G8" s="20" t="s">
        <v>110</v>
      </c>
      <c r="I8" s="20" t="s">
        <v>129</v>
      </c>
      <c r="K8" s="20" t="s">
        <v>177</v>
      </c>
      <c r="M8" s="20" t="s">
        <v>168</v>
      </c>
    </row>
    <row r="9" spans="1:13" x14ac:dyDescent="0.4">
      <c r="A9" t="s">
        <v>119</v>
      </c>
      <c r="C9" t="s">
        <v>121</v>
      </c>
      <c r="E9" t="s">
        <v>123</v>
      </c>
      <c r="G9" t="s">
        <v>2</v>
      </c>
      <c r="I9" t="s">
        <v>130</v>
      </c>
      <c r="K9" s="12">
        <v>5</v>
      </c>
      <c r="M9" t="s">
        <v>178</v>
      </c>
    </row>
    <row r="10" spans="1:13" x14ac:dyDescent="0.4">
      <c r="A10" t="s">
        <v>120</v>
      </c>
      <c r="C10" t="s">
        <v>122</v>
      </c>
      <c r="E10" t="s">
        <v>124</v>
      </c>
      <c r="G10" t="s">
        <v>126</v>
      </c>
      <c r="I10" t="s">
        <v>131</v>
      </c>
      <c r="K10" s="12">
        <v>10</v>
      </c>
      <c r="M10" t="s">
        <v>179</v>
      </c>
    </row>
    <row r="11" spans="1:13" x14ac:dyDescent="0.4">
      <c r="E11" t="s">
        <v>125</v>
      </c>
      <c r="G11" t="s">
        <v>127</v>
      </c>
      <c r="I11" t="s">
        <v>132</v>
      </c>
      <c r="K11" s="12">
        <v>12</v>
      </c>
      <c r="M11" t="s">
        <v>180</v>
      </c>
    </row>
    <row r="12" spans="1:13" x14ac:dyDescent="0.4">
      <c r="G12" t="s">
        <v>128</v>
      </c>
      <c r="I12" t="s">
        <v>133</v>
      </c>
      <c r="K12" s="12">
        <v>15</v>
      </c>
    </row>
    <row r="13" spans="1:13" x14ac:dyDescent="0.4">
      <c r="I13" t="s">
        <v>134</v>
      </c>
      <c r="K13" s="12">
        <v>18</v>
      </c>
    </row>
    <row r="14" spans="1:13" x14ac:dyDescent="0.4">
      <c r="I14" t="s">
        <v>135</v>
      </c>
      <c r="K14" s="12">
        <v>25</v>
      </c>
    </row>
    <row r="15" spans="1:13" x14ac:dyDescent="0.4">
      <c r="I15" t="s">
        <v>136</v>
      </c>
      <c r="K15" s="12">
        <v>0</v>
      </c>
    </row>
    <row r="16" spans="1:13" x14ac:dyDescent="0.4">
      <c r="I16" t="s">
        <v>127</v>
      </c>
    </row>
    <row r="18" spans="1:13" x14ac:dyDescent="0.4">
      <c r="A18" s="20" t="s">
        <v>181</v>
      </c>
    </row>
    <row r="19" spans="1:13" x14ac:dyDescent="0.4">
      <c r="A19" t="s">
        <v>121</v>
      </c>
      <c r="C19" s="20" t="s">
        <v>188</v>
      </c>
      <c r="E19" s="20" t="s">
        <v>201</v>
      </c>
      <c r="G19" s="20" t="s">
        <v>207</v>
      </c>
      <c r="I19" s="20" t="s">
        <v>209</v>
      </c>
      <c r="K19" s="20" t="s">
        <v>213</v>
      </c>
      <c r="M19" s="20" t="s">
        <v>220</v>
      </c>
    </row>
    <row r="20" spans="1:13" x14ac:dyDescent="0.4">
      <c r="A20" t="s">
        <v>122</v>
      </c>
      <c r="C20" t="s">
        <v>224</v>
      </c>
      <c r="E20" t="s">
        <v>227</v>
      </c>
      <c r="G20" t="s">
        <v>230</v>
      </c>
      <c r="I20" t="s">
        <v>232</v>
      </c>
      <c r="K20" t="s">
        <v>235</v>
      </c>
      <c r="M20" t="s">
        <v>180</v>
      </c>
    </row>
    <row r="21" spans="1:13" x14ac:dyDescent="0.4">
      <c r="C21" t="s">
        <v>225</v>
      </c>
      <c r="E21" t="s">
        <v>228</v>
      </c>
      <c r="G21" t="s">
        <v>231</v>
      </c>
      <c r="I21" t="s">
        <v>233</v>
      </c>
      <c r="K21" t="s">
        <v>236</v>
      </c>
      <c r="M21" t="s">
        <v>238</v>
      </c>
    </row>
    <row r="22" spans="1:13" x14ac:dyDescent="0.4">
      <c r="C22" t="s">
        <v>226</v>
      </c>
      <c r="E22" t="s">
        <v>229</v>
      </c>
      <c r="I22" t="s">
        <v>234</v>
      </c>
      <c r="K22" t="s">
        <v>237</v>
      </c>
      <c r="M22" t="s">
        <v>239</v>
      </c>
    </row>
    <row r="23" spans="1:13" x14ac:dyDescent="0.4">
      <c r="I23" t="s">
        <v>241</v>
      </c>
      <c r="K23" t="s">
        <v>389</v>
      </c>
      <c r="M23" t="s">
        <v>240</v>
      </c>
    </row>
    <row r="24" spans="1:13" x14ac:dyDescent="0.4">
      <c r="K24" t="s">
        <v>390</v>
      </c>
      <c r="M24" t="s">
        <v>241</v>
      </c>
    </row>
    <row r="26" spans="1:13" x14ac:dyDescent="0.4">
      <c r="A26" s="20" t="s">
        <v>245</v>
      </c>
      <c r="C26" s="20" t="s">
        <v>260</v>
      </c>
      <c r="E26" s="20" t="s">
        <v>264</v>
      </c>
      <c r="G26" s="20" t="s">
        <v>265</v>
      </c>
      <c r="I26" s="20" t="s">
        <v>246</v>
      </c>
      <c r="K26" s="20" t="s">
        <v>305</v>
      </c>
      <c r="M26" s="20" t="s">
        <v>310</v>
      </c>
    </row>
    <row r="27" spans="1:13" x14ac:dyDescent="0.4">
      <c r="A27" t="s">
        <v>273</v>
      </c>
      <c r="C27" t="s">
        <v>279</v>
      </c>
      <c r="E27" t="s">
        <v>180</v>
      </c>
      <c r="G27" t="s">
        <v>229</v>
      </c>
      <c r="I27" t="s">
        <v>283</v>
      </c>
      <c r="K27" t="s">
        <v>318</v>
      </c>
      <c r="M27" t="s">
        <v>116</v>
      </c>
    </row>
    <row r="28" spans="1:13" x14ac:dyDescent="0.4">
      <c r="A28" t="s">
        <v>274</v>
      </c>
      <c r="C28" t="s">
        <v>280</v>
      </c>
      <c r="E28" t="s">
        <v>281</v>
      </c>
      <c r="G28" t="s">
        <v>233</v>
      </c>
      <c r="I28" t="s">
        <v>284</v>
      </c>
      <c r="K28" t="s">
        <v>319</v>
      </c>
      <c r="M28" t="s">
        <v>117</v>
      </c>
    </row>
    <row r="29" spans="1:13" x14ac:dyDescent="0.4">
      <c r="A29" t="s">
        <v>275</v>
      </c>
      <c r="E29" t="s">
        <v>240</v>
      </c>
      <c r="G29" t="s">
        <v>282</v>
      </c>
      <c r="K29" t="s">
        <v>320</v>
      </c>
      <c r="M29" t="s">
        <v>321</v>
      </c>
    </row>
    <row r="30" spans="1:13" x14ac:dyDescent="0.4">
      <c r="E30" t="s">
        <v>241</v>
      </c>
    </row>
    <row r="32" spans="1:13" x14ac:dyDescent="0.4">
      <c r="A32" s="20" t="s">
        <v>311</v>
      </c>
      <c r="C32" s="20" t="s">
        <v>312</v>
      </c>
      <c r="E32" s="20" t="s">
        <v>316</v>
      </c>
      <c r="G32" s="20" t="s">
        <v>384</v>
      </c>
      <c r="I32" s="20" t="s">
        <v>385</v>
      </c>
      <c r="K32" s="20" t="s">
        <v>391</v>
      </c>
      <c r="M32" s="20" t="s">
        <v>392</v>
      </c>
    </row>
    <row r="33" spans="1:13" x14ac:dyDescent="0.4">
      <c r="A33" t="s">
        <v>121</v>
      </c>
      <c r="C33" t="s">
        <v>121</v>
      </c>
      <c r="E33" t="s">
        <v>322</v>
      </c>
      <c r="G33" t="s">
        <v>239</v>
      </c>
      <c r="I33" t="s">
        <v>386</v>
      </c>
      <c r="K33" t="s">
        <v>121</v>
      </c>
      <c r="M33" t="s">
        <v>121</v>
      </c>
    </row>
    <row r="34" spans="1:13" x14ac:dyDescent="0.4">
      <c r="A34" t="s">
        <v>122</v>
      </c>
      <c r="C34" t="s">
        <v>122</v>
      </c>
      <c r="E34" t="s">
        <v>323</v>
      </c>
      <c r="G34" t="s">
        <v>235</v>
      </c>
      <c r="I34" t="s">
        <v>387</v>
      </c>
      <c r="K34" t="s">
        <v>122</v>
      </c>
      <c r="M34" t="s">
        <v>122</v>
      </c>
    </row>
    <row r="35" spans="1:13" x14ac:dyDescent="0.4">
      <c r="E35" t="s">
        <v>324</v>
      </c>
      <c r="G35" t="s">
        <v>588</v>
      </c>
      <c r="I35" t="s">
        <v>388</v>
      </c>
    </row>
    <row r="36" spans="1:13" x14ac:dyDescent="0.4">
      <c r="E36" t="s">
        <v>325</v>
      </c>
      <c r="G36" t="s">
        <v>589</v>
      </c>
    </row>
    <row r="37" spans="1:13" x14ac:dyDescent="0.4">
      <c r="E37" t="s">
        <v>326</v>
      </c>
    </row>
    <row r="39" spans="1:13" x14ac:dyDescent="0.4">
      <c r="A39" s="20" t="s">
        <v>393</v>
      </c>
      <c r="C39" s="20" t="s">
        <v>402</v>
      </c>
      <c r="E39" s="20" t="s">
        <v>443</v>
      </c>
      <c r="G39" s="20" t="s">
        <v>145</v>
      </c>
      <c r="I39" s="20" t="s">
        <v>551</v>
      </c>
      <c r="K39" s="20" t="s">
        <v>552</v>
      </c>
      <c r="M39" s="20" t="s">
        <v>707</v>
      </c>
    </row>
    <row r="40" spans="1:13" x14ac:dyDescent="0.4">
      <c r="A40" t="s">
        <v>394</v>
      </c>
      <c r="C40" t="s">
        <v>403</v>
      </c>
      <c r="E40" t="s">
        <v>444</v>
      </c>
      <c r="G40" t="s">
        <v>121</v>
      </c>
      <c r="I40" t="s">
        <v>276</v>
      </c>
      <c r="K40" t="s">
        <v>557</v>
      </c>
      <c r="M40" t="s">
        <v>708</v>
      </c>
    </row>
    <row r="41" spans="1:13" x14ac:dyDescent="0.4">
      <c r="A41" t="s">
        <v>395</v>
      </c>
      <c r="E41" t="s">
        <v>445</v>
      </c>
      <c r="G41" t="s">
        <v>122</v>
      </c>
      <c r="I41" t="s">
        <v>386</v>
      </c>
      <c r="K41" t="s">
        <v>558</v>
      </c>
      <c r="M41" t="s">
        <v>709</v>
      </c>
    </row>
    <row r="42" spans="1:13" x14ac:dyDescent="0.4">
      <c r="A42" t="s">
        <v>396</v>
      </c>
      <c r="E42" t="s">
        <v>58</v>
      </c>
      <c r="I42" t="s">
        <v>556</v>
      </c>
      <c r="K42" t="s">
        <v>559</v>
      </c>
      <c r="M42" t="s">
        <v>710</v>
      </c>
    </row>
    <row r="43" spans="1:13" x14ac:dyDescent="0.4">
      <c r="A43" t="s">
        <v>397</v>
      </c>
      <c r="E43" t="s">
        <v>446</v>
      </c>
      <c r="K43" t="s">
        <v>560</v>
      </c>
    </row>
    <row r="44" spans="1:13" x14ac:dyDescent="0.4">
      <c r="A44" t="s">
        <v>398</v>
      </c>
      <c r="E44" t="s">
        <v>447</v>
      </c>
      <c r="K44" t="s">
        <v>561</v>
      </c>
    </row>
    <row r="45" spans="1:13" x14ac:dyDescent="0.4">
      <c r="A45" t="s">
        <v>399</v>
      </c>
      <c r="E45" t="s">
        <v>446</v>
      </c>
    </row>
    <row r="46" spans="1:13" x14ac:dyDescent="0.4">
      <c r="A46" t="s">
        <v>400</v>
      </c>
      <c r="E46" t="s">
        <v>448</v>
      </c>
      <c r="G46" s="20" t="s">
        <v>611</v>
      </c>
      <c r="I46" s="20" t="s">
        <v>98</v>
      </c>
      <c r="K46" s="20" t="s">
        <v>613</v>
      </c>
    </row>
    <row r="47" spans="1:13" x14ac:dyDescent="0.4">
      <c r="A47" t="s">
        <v>80</v>
      </c>
      <c r="E47" t="s">
        <v>449</v>
      </c>
      <c r="G47" t="s">
        <v>614</v>
      </c>
      <c r="I47" t="s">
        <v>116</v>
      </c>
      <c r="K47" t="s">
        <v>232</v>
      </c>
    </row>
    <row r="48" spans="1:13" ht="52.5" x14ac:dyDescent="0.4">
      <c r="E48" s="25" t="s">
        <v>450</v>
      </c>
      <c r="G48" t="s">
        <v>615</v>
      </c>
      <c r="I48" t="s">
        <v>117</v>
      </c>
      <c r="K48" t="s">
        <v>234</v>
      </c>
    </row>
    <row r="49" spans="1:5" x14ac:dyDescent="0.4">
      <c r="A49" s="20" t="s">
        <v>405</v>
      </c>
      <c r="E49" t="s">
        <v>451</v>
      </c>
    </row>
    <row r="50" spans="1:5" x14ac:dyDescent="0.4">
      <c r="A50" s="24" t="s">
        <v>406</v>
      </c>
      <c r="E50" t="s">
        <v>452</v>
      </c>
    </row>
    <row r="51" spans="1:5" x14ac:dyDescent="0.4">
      <c r="A51" s="24" t="s">
        <v>407</v>
      </c>
      <c r="E51" t="s">
        <v>453</v>
      </c>
    </row>
    <row r="52" spans="1:5" ht="52.5" x14ac:dyDescent="0.4">
      <c r="A52" s="24" t="s">
        <v>408</v>
      </c>
      <c r="E52" s="25" t="s">
        <v>454</v>
      </c>
    </row>
    <row r="53" spans="1:5" x14ac:dyDescent="0.4">
      <c r="A53" s="24" t="s">
        <v>409</v>
      </c>
    </row>
    <row r="54" spans="1:5" x14ac:dyDescent="0.4">
      <c r="A54" s="24" t="s">
        <v>410</v>
      </c>
    </row>
    <row r="55" spans="1:5" x14ac:dyDescent="0.4">
      <c r="A55" s="24" t="s">
        <v>411</v>
      </c>
    </row>
    <row r="56" spans="1:5" x14ac:dyDescent="0.4">
      <c r="A56" s="24" t="s">
        <v>412</v>
      </c>
    </row>
    <row r="57" spans="1:5" x14ac:dyDescent="0.4">
      <c r="A57" s="24" t="s">
        <v>413</v>
      </c>
    </row>
    <row r="58" spans="1:5" x14ac:dyDescent="0.4">
      <c r="A58" s="24" t="s">
        <v>414</v>
      </c>
    </row>
    <row r="59" spans="1:5" x14ac:dyDescent="0.4">
      <c r="A59" s="24" t="s">
        <v>415</v>
      </c>
    </row>
    <row r="60" spans="1:5" x14ac:dyDescent="0.4">
      <c r="A60" s="24" t="s">
        <v>416</v>
      </c>
    </row>
    <row r="61" spans="1:5" x14ac:dyDescent="0.4">
      <c r="A61" s="24" t="s">
        <v>417</v>
      </c>
    </row>
    <row r="62" spans="1:5" x14ac:dyDescent="0.4">
      <c r="A62" s="24" t="s">
        <v>418</v>
      </c>
    </row>
    <row r="63" spans="1:5" x14ac:dyDescent="0.4">
      <c r="A63" s="24" t="s">
        <v>419</v>
      </c>
    </row>
    <row r="64" spans="1:5" x14ac:dyDescent="0.4">
      <c r="A64" s="24" t="s">
        <v>420</v>
      </c>
    </row>
    <row r="65" spans="1:1" x14ac:dyDescent="0.4">
      <c r="A65" s="24" t="s">
        <v>421</v>
      </c>
    </row>
    <row r="66" spans="1:1" x14ac:dyDescent="0.4">
      <c r="A66" s="24" t="s">
        <v>422</v>
      </c>
    </row>
    <row r="67" spans="1:1" x14ac:dyDescent="0.4">
      <c r="A67" s="24" t="s">
        <v>423</v>
      </c>
    </row>
    <row r="68" spans="1:1" x14ac:dyDescent="0.4">
      <c r="A68" s="24" t="s">
        <v>424</v>
      </c>
    </row>
    <row r="69" spans="1:1" x14ac:dyDescent="0.4">
      <c r="A69" s="24" t="s">
        <v>425</v>
      </c>
    </row>
    <row r="70" spans="1:1" x14ac:dyDescent="0.4">
      <c r="A70" s="24" t="s">
        <v>426</v>
      </c>
    </row>
    <row r="71" spans="1:1" x14ac:dyDescent="0.4">
      <c r="A71" s="24" t="s">
        <v>427</v>
      </c>
    </row>
    <row r="72" spans="1:1" x14ac:dyDescent="0.4">
      <c r="A72" s="24" t="s">
        <v>428</v>
      </c>
    </row>
    <row r="73" spans="1:1" x14ac:dyDescent="0.4">
      <c r="A73" s="24" t="s">
        <v>429</v>
      </c>
    </row>
    <row r="74" spans="1:1" x14ac:dyDescent="0.4">
      <c r="A74" s="24" t="s">
        <v>430</v>
      </c>
    </row>
    <row r="75" spans="1:1" x14ac:dyDescent="0.4">
      <c r="A75" s="24" t="s">
        <v>431</v>
      </c>
    </row>
    <row r="76" spans="1:1" x14ac:dyDescent="0.4">
      <c r="A76" s="24" t="s">
        <v>432</v>
      </c>
    </row>
    <row r="77" spans="1:1" x14ac:dyDescent="0.4">
      <c r="A77" s="24" t="s">
        <v>433</v>
      </c>
    </row>
    <row r="78" spans="1:1" x14ac:dyDescent="0.4">
      <c r="A78" s="24" t="s">
        <v>434</v>
      </c>
    </row>
    <row r="79" spans="1:1" x14ac:dyDescent="0.4">
      <c r="A79" s="24" t="s">
        <v>435</v>
      </c>
    </row>
    <row r="80" spans="1:1" x14ac:dyDescent="0.4">
      <c r="A80" s="24" t="s">
        <v>436</v>
      </c>
    </row>
    <row r="81" spans="1:1" x14ac:dyDescent="0.4">
      <c r="A81" s="24" t="s">
        <v>437</v>
      </c>
    </row>
    <row r="82" spans="1:1" x14ac:dyDescent="0.4">
      <c r="A82" s="24" t="s">
        <v>438</v>
      </c>
    </row>
    <row r="83" spans="1:1" ht="32.25" x14ac:dyDescent="0.4">
      <c r="A83" s="24" t="s">
        <v>439</v>
      </c>
    </row>
    <row r="84" spans="1:1" x14ac:dyDescent="0.4">
      <c r="A84" s="24" t="s">
        <v>440</v>
      </c>
    </row>
    <row r="85" spans="1:1" x14ac:dyDescent="0.4">
      <c r="A85" s="24" t="s">
        <v>441</v>
      </c>
    </row>
    <row r="86" spans="1:1" x14ac:dyDescent="0.4">
      <c r="A86" s="24" t="s">
        <v>442</v>
      </c>
    </row>
  </sheetData>
  <phoneticPr fontId="6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166</vt:i4>
      </vt:variant>
    </vt:vector>
  </HeadingPairs>
  <TitlesOfParts>
    <vt:vector size="186" baseType="lpstr">
      <vt:lpstr>Dashboard</vt:lpstr>
      <vt:lpstr>Sheet9</vt:lpstr>
      <vt:lpstr>Customers</vt:lpstr>
      <vt:lpstr>Vendors</vt:lpstr>
      <vt:lpstr>Products_Category</vt:lpstr>
      <vt:lpstr>Products_Brand</vt:lpstr>
      <vt:lpstr>Products</vt:lpstr>
      <vt:lpstr>Company Info</vt:lpstr>
      <vt:lpstr>Warehouse</vt:lpstr>
      <vt:lpstr>Ledger</vt:lpstr>
      <vt:lpstr>Orders</vt:lpstr>
      <vt:lpstr>New Entry</vt:lpstr>
      <vt:lpstr>Purchase</vt:lpstr>
      <vt:lpstr>Sales</vt:lpstr>
      <vt:lpstr>Payment Entry</vt:lpstr>
      <vt:lpstr>Voucher Entry</vt:lpstr>
      <vt:lpstr>Adjustment</vt:lpstr>
      <vt:lpstr>Transfer</vt:lpstr>
      <vt:lpstr>Inventory</vt:lpstr>
      <vt:lpstr>Drop Down List</vt:lpstr>
      <vt:lpstr>Adjustment!accountid</vt:lpstr>
      <vt:lpstr>Orders!accountid</vt:lpstr>
      <vt:lpstr>Transfer!accountid</vt:lpstr>
      <vt:lpstr>accountid</vt:lpstr>
      <vt:lpstr>accountname</vt:lpstr>
      <vt:lpstr>accountstatus</vt:lpstr>
      <vt:lpstr>accounttype</vt:lpstr>
      <vt:lpstr>Adjustment!acctransid</vt:lpstr>
      <vt:lpstr>'Company Info'!acctransid</vt:lpstr>
      <vt:lpstr>Orders!acctransid</vt:lpstr>
      <vt:lpstr>Transfer!acctransid</vt:lpstr>
      <vt:lpstr>acctransid</vt:lpstr>
      <vt:lpstr>acctstatus</vt:lpstr>
      <vt:lpstr>adjustmentreson</vt:lpstr>
      <vt:lpstr>backorderallow</vt:lpstr>
      <vt:lpstr>Adjustment!brandname</vt:lpstr>
      <vt:lpstr>'Company Info'!brandname</vt:lpstr>
      <vt:lpstr>Ledger!brandname</vt:lpstr>
      <vt:lpstr>Orders!brandname</vt:lpstr>
      <vt:lpstr>Transfer!brandname</vt:lpstr>
      <vt:lpstr>Warehouse!brandname</vt:lpstr>
      <vt:lpstr>brandname</vt:lpstr>
      <vt:lpstr>businesstype</vt:lpstr>
      <vt:lpstr>Adjustment!categoryname</vt:lpstr>
      <vt:lpstr>'Company Info'!categoryname</vt:lpstr>
      <vt:lpstr>Ledger!categoryname</vt:lpstr>
      <vt:lpstr>Orders!categoryname</vt:lpstr>
      <vt:lpstr>Products_Brand!categoryname</vt:lpstr>
      <vt:lpstr>Transfer!categoryname</vt:lpstr>
      <vt:lpstr>Warehouse!categoryname</vt:lpstr>
      <vt:lpstr>categoryname</vt:lpstr>
      <vt:lpstr>Adjustment!CategoryTbl</vt:lpstr>
      <vt:lpstr>'Company Info'!CategoryTbl</vt:lpstr>
      <vt:lpstr>Ledger!CategoryTbl</vt:lpstr>
      <vt:lpstr>Orders!CategoryTbl</vt:lpstr>
      <vt:lpstr>Products_Brand!CategoryTbl</vt:lpstr>
      <vt:lpstr>Transfer!CategoryTbl</vt:lpstr>
      <vt:lpstr>Warehouse!CategoryTbl</vt:lpstr>
      <vt:lpstr>CategoryTbl</vt:lpstr>
      <vt:lpstr>compstatus</vt:lpstr>
      <vt:lpstr>costmethod</vt:lpstr>
      <vt:lpstr>countrylist</vt:lpstr>
      <vt:lpstr>Adjustment!Cust_ID</vt:lpstr>
      <vt:lpstr>'Company Info'!Cust_ID</vt:lpstr>
      <vt:lpstr>Ledger!Cust_ID</vt:lpstr>
      <vt:lpstr>Orders!Cust_ID</vt:lpstr>
      <vt:lpstr>'Payment Entry'!Cust_ID</vt:lpstr>
      <vt:lpstr>Products_Brand!Cust_ID</vt:lpstr>
      <vt:lpstr>Products_Category!Cust_ID</vt:lpstr>
      <vt:lpstr>Transfer!Cust_ID</vt:lpstr>
      <vt:lpstr>'Voucher Entry'!Cust_ID</vt:lpstr>
      <vt:lpstr>Warehouse!Cust_ID</vt:lpstr>
      <vt:lpstr>Cust_ID</vt:lpstr>
      <vt:lpstr>Adjustment!custid</vt:lpstr>
      <vt:lpstr>'Company Info'!custid</vt:lpstr>
      <vt:lpstr>Ledger!custid</vt:lpstr>
      <vt:lpstr>Orders!custid</vt:lpstr>
      <vt:lpstr>Transfer!custid</vt:lpstr>
      <vt:lpstr>Warehouse!custid</vt:lpstr>
      <vt:lpstr>custid</vt:lpstr>
      <vt:lpstr>custnotes</vt:lpstr>
      <vt:lpstr>custtype</vt:lpstr>
      <vt:lpstr>delivrtstatus</vt:lpstr>
      <vt:lpstr>delivryterms</vt:lpstr>
      <vt:lpstr>Featured_Product</vt:lpstr>
      <vt:lpstr>gender</vt:lpstr>
      <vt:lpstr>Adjustment!HSNCode</vt:lpstr>
      <vt:lpstr>'Payment Entry'!HSNCode</vt:lpstr>
      <vt:lpstr>Transfer!HSNCode</vt:lpstr>
      <vt:lpstr>'Voucher Entry'!HSNCode</vt:lpstr>
      <vt:lpstr>HSNCode</vt:lpstr>
      <vt:lpstr>inventorystatus</vt:lpstr>
      <vt:lpstr>isadvancepayment</vt:lpstr>
      <vt:lpstr>isdamgdstock</vt:lpstr>
      <vt:lpstr>isreturnable</vt:lpstr>
      <vt:lpstr>legalentitytype</vt:lpstr>
      <vt:lpstr>newslatersubs</vt:lpstr>
      <vt:lpstr>orderstatus</vt:lpstr>
      <vt:lpstr>Adjustment!orderTbl</vt:lpstr>
      <vt:lpstr>Transfer!orderTbl</vt:lpstr>
      <vt:lpstr>orderTbl</vt:lpstr>
      <vt:lpstr>ordertype</vt:lpstr>
      <vt:lpstr>paymentstatus</vt:lpstr>
      <vt:lpstr>paymentterms</vt:lpstr>
      <vt:lpstr>paymentype</vt:lpstr>
      <vt:lpstr>ppmethod</vt:lpstr>
      <vt:lpstr>prefedcnctchnl</vt:lpstr>
      <vt:lpstr>Adjustment!prodbrandid</vt:lpstr>
      <vt:lpstr>'Company Info'!prodbrandid</vt:lpstr>
      <vt:lpstr>Ledger!prodbrandid</vt:lpstr>
      <vt:lpstr>Orders!prodbrandid</vt:lpstr>
      <vt:lpstr>Transfer!prodbrandid</vt:lpstr>
      <vt:lpstr>Warehouse!prodbrandid</vt:lpstr>
      <vt:lpstr>prodbrandid</vt:lpstr>
      <vt:lpstr>Adjustment!prodcateid</vt:lpstr>
      <vt:lpstr>'Company Info'!prodcateid</vt:lpstr>
      <vt:lpstr>Ledger!prodcateid</vt:lpstr>
      <vt:lpstr>Orders!prodcateid</vt:lpstr>
      <vt:lpstr>Transfer!prodcateid</vt:lpstr>
      <vt:lpstr>Warehouse!prodcateid</vt:lpstr>
      <vt:lpstr>prodcateid</vt:lpstr>
      <vt:lpstr>Adjustment!Product_Name</vt:lpstr>
      <vt:lpstr>'Company Info'!Product_Name</vt:lpstr>
      <vt:lpstr>Ledger!Product_Name</vt:lpstr>
      <vt:lpstr>Orders!Product_Name</vt:lpstr>
      <vt:lpstr>Products_Brand!Product_Name</vt:lpstr>
      <vt:lpstr>Transfer!Product_Name</vt:lpstr>
      <vt:lpstr>Warehouse!Product_Name</vt:lpstr>
      <vt:lpstr>Product_Name</vt:lpstr>
      <vt:lpstr>Adjustment!productid</vt:lpstr>
      <vt:lpstr>'Company Info'!productid</vt:lpstr>
      <vt:lpstr>Ledger!productid</vt:lpstr>
      <vt:lpstr>Orders!productid</vt:lpstr>
      <vt:lpstr>Transfer!productid</vt:lpstr>
      <vt:lpstr>Warehouse!productid</vt:lpstr>
      <vt:lpstr>productid</vt:lpstr>
      <vt:lpstr>publishedstatus</vt:lpstr>
      <vt:lpstr>purchasestatus</vt:lpstr>
      <vt:lpstr>purchasetype</vt:lpstr>
      <vt:lpstr>purchsdfrm</vt:lpstr>
      <vt:lpstr>returnstatus</vt:lpstr>
      <vt:lpstr>saleschannel</vt:lpstr>
      <vt:lpstr>salesstatus</vt:lpstr>
      <vt:lpstr>salestype</vt:lpstr>
      <vt:lpstr>shippingmethod</vt:lpstr>
      <vt:lpstr>statelist</vt:lpstr>
      <vt:lpstr>Tax_GST</vt:lpstr>
      <vt:lpstr>taxtype</vt:lpstr>
      <vt:lpstr>transType</vt:lpstr>
      <vt:lpstr>unitofmeasure</vt:lpstr>
      <vt:lpstr>usernamenrole</vt:lpstr>
      <vt:lpstr>Adjustment!vendid</vt:lpstr>
      <vt:lpstr>'Company Info'!vendid</vt:lpstr>
      <vt:lpstr>Ledger!vendid</vt:lpstr>
      <vt:lpstr>Orders!vendid</vt:lpstr>
      <vt:lpstr>Transfer!vendid</vt:lpstr>
      <vt:lpstr>Warehouse!vendid</vt:lpstr>
      <vt:lpstr>vendid</vt:lpstr>
      <vt:lpstr>Adjustment!vendorid</vt:lpstr>
      <vt:lpstr>'Company Info'!vendorid</vt:lpstr>
      <vt:lpstr>Ledger!vendorid</vt:lpstr>
      <vt:lpstr>Orders!vendorid</vt:lpstr>
      <vt:lpstr>'Payment Entry'!vendorid</vt:lpstr>
      <vt:lpstr>Products_Brand!vendorid</vt:lpstr>
      <vt:lpstr>Products_Category!vendorid</vt:lpstr>
      <vt:lpstr>Transfer!vendorid</vt:lpstr>
      <vt:lpstr>'Voucher Entry'!vendorid</vt:lpstr>
      <vt:lpstr>Warehouse!vendorid</vt:lpstr>
      <vt:lpstr>vendorid</vt:lpstr>
      <vt:lpstr>Adjustment!voucherid</vt:lpstr>
      <vt:lpstr>Orders!voucherid</vt:lpstr>
      <vt:lpstr>Transfer!voucherid</vt:lpstr>
      <vt:lpstr>voucherid</vt:lpstr>
      <vt:lpstr>vouchertype</vt:lpstr>
      <vt:lpstr>Adjustment!warehouseid</vt:lpstr>
      <vt:lpstr>'Company Info'!warehouseid</vt:lpstr>
      <vt:lpstr>Ledger!warehouseid</vt:lpstr>
      <vt:lpstr>Orders!warehouseid</vt:lpstr>
      <vt:lpstr>Transfer!warehouseid</vt:lpstr>
      <vt:lpstr>warehouseid</vt:lpstr>
      <vt:lpstr>Adjustment!warehousename</vt:lpstr>
      <vt:lpstr>'Company Info'!warehousename</vt:lpstr>
      <vt:lpstr>Ledger!warehousename</vt:lpstr>
      <vt:lpstr>Orders!warehousename</vt:lpstr>
      <vt:lpstr>Transfer!warehousename</vt:lpstr>
      <vt:lpstr>warehousename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 nehra</dc:creator>
  <cp:lastModifiedBy>Asish Das</cp:lastModifiedBy>
  <cp:lastPrinted>2025-04-27T19:05:34Z</cp:lastPrinted>
  <dcterms:created xsi:type="dcterms:W3CDTF">2024-12-16T07:21:07Z</dcterms:created>
  <dcterms:modified xsi:type="dcterms:W3CDTF">2025-05-12T04:28:48Z</dcterms:modified>
</cp:coreProperties>
</file>