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rn-cons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'corn-cons'!$A$1:$N$120</definedName>
    <definedName function="false" hidden="false" localSheetId="0" name="_xlnm.Print_Area" vbProcedure="false">'corn-cons'!$A$1:$N$120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<sst xmlns="http://schemas.openxmlformats.org/spreadsheetml/2006/main" count="209" uniqueCount="174">
  <si>
    <t xml:space="preserve">CORN PRODUCTION BUDGET- 2013</t>
  </si>
  <si>
    <t xml:space="preserve"> Conservation Tillage Practices: N-Source - NH3</t>
  </si>
  <si>
    <t xml:space="preserve">Reflects 2000 acres, Conservation Tillage 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</si>
  <si>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</si>
  <si>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</si>
  <si>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</si>
  <si>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</si>
  <si>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</si>
  <si>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r>
      <rPr>
        <b val="true"/>
        <sz val="10"/>
        <rFont val="Arial"/>
        <family val="2"/>
        <charset val="1"/>
      </rPr>
      <t xml:space="preserve">YIELD (bu/A)</t>
    </r>
    <r>
      <rPr>
        <b val="true"/>
        <vertAlign val="superscript"/>
        <sz val="10"/>
        <rFont val="Arial"/>
        <family val="2"/>
        <charset val="1"/>
      </rPr>
      <t xml:space="preserve">1</t>
    </r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</si>
  <si>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</si>
  <si>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</si>
  <si>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</si>
  <si>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</si>
  <si>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</si>
  <si>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Corn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</si>
  <si>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</si>
  <si>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t xml:space="preserve">Grower or Market Premium</t>
  </si>
  <si>
    <t xml:space="preserve">TOTAL RECEIPTS</t>
  </si>
  <si>
    <t xml:space="preserve">VARIABLE  COSTS</t>
  </si>
  <si>
    <r>
      <rPr>
        <sz val="10"/>
        <rFont val="Arial"/>
        <family val="2"/>
        <charset val="1"/>
      </rPr>
      <t xml:space="preserve">Seed (kernels)</t>
    </r>
    <r>
      <rPr>
        <vertAlign val="superscript"/>
        <sz val="10"/>
        <rFont val="Arial"/>
        <family val="2"/>
        <charset val="1"/>
      </rPr>
      <t xml:space="preserve">3</t>
    </r>
  </si>
  <si>
    <t xml:space="preserve">/1000</t>
  </si>
  <si>
    <t xml:space="preserve">Seed Cost Per Bag</t>
  </si>
  <si>
    <t xml:space="preserve">/bag</t>
  </si>
  <si>
    <r>
      <rPr>
        <sz val="10"/>
        <rFont val="Arial"/>
        <family val="2"/>
        <charset val="1"/>
      </rPr>
      <t xml:space="preserve">Fertilizer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</si>
  <si>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</si>
  <si>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</si>
  <si>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</si>
  <si>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</si>
  <si>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</si>
  <si>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</si>
  <si>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5</t>
    </r>
  </si>
  <si>
    <t xml:space="preserve">Herbicide</t>
  </si>
  <si>
    <t xml:space="preserve">Fungicide</t>
  </si>
  <si>
    <t xml:space="preserve">Insecticide</t>
  </si>
  <si>
    <r>
      <rPr>
        <sz val="10"/>
        <rFont val="Arial"/>
        <family val="2"/>
        <charset val="1"/>
      </rPr>
      <t xml:space="preserve">Drying - Fuel &amp; Electric only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</si>
  <si>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/gal LP</t>
  </si>
  <si>
    <r>
      <rPr>
        <sz val="10"/>
        <rFont val="Arial"/>
        <family val="2"/>
        <charset val="1"/>
      </rPr>
      <t xml:space="preserve">Trucking - Fuel Only </t>
    </r>
    <r>
      <rPr>
        <vertAlign val="superscript"/>
        <sz val="10"/>
        <rFont val="Arial"/>
        <family val="2"/>
        <charset val="1"/>
      </rPr>
      <t xml:space="preserve">7</t>
    </r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</si>
  <si>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</si>
  <si>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</si>
  <si>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</t>
    </r>
    <r>
      <rPr>
        <vertAlign val="superscript"/>
        <sz val="10"/>
        <rFont val="Arial"/>
        <family val="2"/>
        <charset val="1"/>
      </rPr>
      <t xml:space="preserve"> 8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</si>
  <si>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9</t>
    </r>
  </si>
  <si>
    <r>
      <rPr>
        <sz val="10"/>
        <rFont val="Arial"/>
        <family val="2"/>
        <charset val="1"/>
      </rPr>
      <t xml:space="preserve">Crop Insurance </t>
    </r>
    <r>
      <rPr>
        <vertAlign val="superscript"/>
        <sz val="10"/>
        <rFont val="Arial"/>
        <family val="2"/>
        <charset val="1"/>
      </rPr>
      <t xml:space="preserve">10</t>
    </r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</si>
  <si>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11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</si>
  <si>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12</t>
    </r>
  </si>
  <si>
    <t xml:space="preserve">mo. 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</si>
  <si>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13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</si>
  <si>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</si>
  <si>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</si>
  <si>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</si>
  <si>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</si>
  <si>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</t>
    </r>
    <r>
      <rPr>
        <vertAlign val="superscript"/>
        <sz val="10"/>
        <rFont val="Arial"/>
        <family val="2"/>
        <charset val="1"/>
      </rPr>
      <t xml:space="preserve"> 14</t>
    </r>
  </si>
  <si>
    <t xml:space="preserve">hours</t>
  </si>
  <si>
    <t xml:space="preserve">/hr</t>
  </si>
  <si>
    <r>
      <rPr>
        <sz val="10"/>
        <rFont val="Arial"/>
        <family val="2"/>
        <charset val="1"/>
      </rPr>
      <t xml:space="preserve">Management Charge </t>
    </r>
    <r>
      <rPr>
        <vertAlign val="superscript"/>
        <sz val="10"/>
        <rFont val="Arial"/>
        <family val="2"/>
        <charset val="1"/>
      </rPr>
      <t xml:space="preserve">17</t>
    </r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</si>
  <si>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</si>
  <si>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15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</si>
  <si>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16</t>
    </r>
  </si>
  <si>
    <t xml:space="preserve">Rent</t>
  </si>
  <si>
    <t xml:space="preserve">TOTAL FIXED COSTS</t>
  </si>
  <si>
    <t xml:space="preserve">TOTAL COSTS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</si>
  <si>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18</t>
    </r>
  </si>
  <si>
    <t xml:space="preserve">RETURN TO LAND</t>
  </si>
  <si>
    <t xml:space="preserve">RETURN ABOVE VARIABLE COSTS</t>
  </si>
  <si>
    <t xml:space="preserve">RETURN ABOVE TOTAL COSTS</t>
  </si>
  <si>
    <t xml:space="preserve">RETURN TO LAND, LABOR AND MANAGEMENT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</si>
  <si>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</si>
  <si>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</si>
  <si>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calculated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</si>
  <si>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</si>
  <si>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</si>
  <si>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Yield is based on Ohio Ag Stats Trend Yield for Ohio (1970-Present), plus and minus 20%</t>
  </si>
  <si>
    <t xml:space="preserve">Price is based on up-to-date December Futures </t>
  </si>
  <si>
    <t xml:space="preserve">Seed price based on traited seed corn, 80,000 kernals/bag.</t>
  </si>
  <si>
    <t xml:space="preserve"> Includes seed treatment at low level.</t>
  </si>
  <si>
    <t xml:space="preserve">Assumes only maintenance application of fertilizer needed, corn-soybean rotation, 3.8 O.M., 20 CEC, </t>
  </si>
  <si>
    <t xml:space="preserve">and soil test values of 25 ppm P/A and 150 ppm K/A.</t>
  </si>
  <si>
    <t xml:space="preserve">Fertilizer prices vary over time and by area.  Check with local sources for current prices. N cost includes N-serve.</t>
  </si>
  <si>
    <t xml:space="preserve">Assumes NH3(82-0-0):</t>
  </si>
  <si>
    <t xml:space="preserve">/ton     MAP(11-52-0):</t>
  </si>
  <si>
    <t xml:space="preserve">/ton     Potash(0-0-60):</t>
  </si>
  <si>
    <t xml:space="preserve">N cost includes cost of N-Serve.</t>
  </si>
  <si>
    <t xml:space="preserve">Based on use of: fall applied Basis plus 2,4-D, preplant Cinch ATZ plus Instigate, post glyphosate (with adjuvant and AMS).</t>
  </si>
  <si>
    <t xml:space="preserve">Drying costs are based on 2.5% moisture removed (0.02 gal of LP per % point of moisture removed).</t>
  </si>
  <si>
    <t xml:space="preserve">An additional $0.01 is added per bushel for electricity</t>
  </si>
  <si>
    <t xml:space="preserve">Trucking based on 900 bushel loads, 6 mpg, oil and lube - 10% of fuel cost, Enter on road diesel price and total miles trucked</t>
  </si>
  <si>
    <t xml:space="preserve">See table below for specific calculations.  Lubrications costs are assumed to be 10% of fuel costs</t>
  </si>
  <si>
    <t xml:space="preserve">See table below for specific calculations.</t>
  </si>
  <si>
    <t xml:space="preserve">Crop Insurance cost is based on Revenue Protection at 75% coverage level and 100% Price Protection Level.</t>
  </si>
  <si>
    <t xml:space="preserve">Includes supplies, utilities, soil tests, small tools, software/hardware, transport of supplies and equipment, etc…</t>
  </si>
  <si>
    <t xml:space="preserve">Interest on all variable costs, except drying and trucking</t>
  </si>
  <si>
    <t xml:space="preserve">Part or all of labor may be a variable cost if paid labor varies with acres farmed. It’s considered a fixed cost </t>
  </si>
  <si>
    <t xml:space="preserve">if labor costs do not change with acres farmed.</t>
  </si>
  <si>
    <t xml:space="preserve">Labor rate includes cash wages plus benefits. </t>
  </si>
  <si>
    <t xml:space="preserve">Reflects 2000 acres, conservation tillage corn/no-till RR soybean rotation. See table below for specific calculations.</t>
  </si>
  <si>
    <t xml:space="preserve">Average based on "Ohio Cropland Values and Cash Rents" Factsheet</t>
  </si>
  <si>
    <t xml:space="preserve">Land charges vary throughout the state, check your local rates.</t>
  </si>
  <si>
    <t xml:space="preserve">Management Charge is calculated as 5% of Total Receipts.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</si>
  <si>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</si>
  <si>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</si>
  <si>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Machinery Inventory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</si>
  <si>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</si>
  <si>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</si>
  <si>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</si>
  <si>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</si>
  <si>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</si>
  <si>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</si>
  <si>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</si>
  <si>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</si>
  <si>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</si>
  <si>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</si>
  <si>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 Prop.</t>
  </si>
  <si>
    <t xml:space="preserve">16 Row Planter</t>
  </si>
  <si>
    <t xml:space="preserve">Combine 440 HP</t>
  </si>
  <si>
    <t xml:space="preserve">-----</t>
  </si>
  <si>
    <t xml:space="preserve">Corn Head 8 Row</t>
  </si>
  <si>
    <t xml:space="preserve">Anhydrous Applic. 32.5'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</si>
  <si>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</si>
  <si>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</si>
  <si>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</si>
  <si>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</si>
  <si>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</si>
  <si>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</si>
  <si>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(1/2)**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</si>
  <si>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</si>
  <si>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</si>
  <si>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</si>
  <si>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</si>
  <si>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</si>
  <si>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</si>
  <si>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</si>
  <si>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</si>
  <si>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</si>
  <si>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</si>
  <si>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</si>
  <si>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</si>
  <si>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 Trailer and Pickup 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</si>
  <si>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</si>
  <si>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</si>
  <si>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</si>
  <si>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</si>
  <si>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Prepared by: Barry Ward, Leader, Production Business Management; Peter Thomison, Extension Corn Specialist, </t>
  </si>
  <si>
    <t xml:space="preserve">Mark Loux, Extension Specialist - Weed Management in Field Crops</t>
  </si>
  <si>
    <t xml:space="preserve">Machine</t>
  </si>
  <si>
    <t xml:space="preserve">Average Value</t>
  </si>
  <si>
    <t xml:space="preserve">Depreciation</t>
  </si>
  <si>
    <t xml:space="preserve">Cost Capital</t>
  </si>
  <si>
    <t xml:space="preserve">Insurance</t>
  </si>
  <si>
    <t xml:space="preserve">Housing</t>
  </si>
  <si>
    <t xml:space="preserve">Total</t>
  </si>
  <si>
    <t xml:space="preserve">Acres/Year</t>
  </si>
  <si>
    <t xml:space="preserve">Cost/acre</t>
  </si>
  <si>
    <t xml:space="preserve">Combine 340 HP</t>
  </si>
  <si>
    <t xml:space="preserve">CORN SELECTED BUDGET STATS - 2013</t>
  </si>
  <si>
    <t xml:space="preserve">Item</t>
  </si>
  <si>
    <t xml:space="preserve">Input</t>
  </si>
  <si>
    <t xml:space="preserve">Yield in bushels/acre</t>
  </si>
  <si>
    <t xml:space="preserve">Receipts</t>
  </si>
  <si>
    <t xml:space="preserve">Corn Price</t>
  </si>
  <si>
    <t xml:space="preserve">/bushel</t>
  </si>
  <si>
    <t xml:space="preserve">Variable Costs</t>
  </si>
  <si>
    <t xml:space="preserve">Seed Cost</t>
  </si>
  <si>
    <r>
      <rPr>
        <sz val="16"/>
        <rFont val="Arial"/>
        <family val="2"/>
        <charset val="1"/>
      </rPr>
      <t xml:space="preserve">Nitrogen (NH</t>
    </r>
    <r>
      <rPr>
        <vertAlign val="subscript"/>
        <sz val="16"/>
        <rFont val="Arial"/>
        <family val="2"/>
        <charset val="1"/>
      </rPr>
      <t xml:space="preserve">3</t>
    </r>
    <r>
      <rPr>
        <sz val="16"/>
        <rFont val="Arial"/>
        <family val="2"/>
        <charset val="1"/>
      </rPr>
      <t xml:space="preserve">)</t>
    </r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</si>
  <si>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</si>
  <si>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</si>
  <si>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</si>
  <si>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</si>
  <si>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</si>
  <si>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Fixed Costs</t>
  </si>
  <si>
    <t xml:space="preserve">Labor and Management</t>
  </si>
  <si>
    <t xml:space="preserve">Land Rent</t>
  </si>
  <si>
    <t xml:space="preserve">Breakeven Cost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</si>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</sst>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0.0"/>
    <numFmt numFmtId="171" formatCode="#,##0.000"/>
    <numFmt numFmtId="172" formatCode="#,##0.0000"/>
    <numFmt numFmtId="173" formatCode="#,##0"/>
    <numFmt numFmtId="174" formatCode="0.00%"/>
    <numFmt numFmtId="175" formatCode="@"/>
    <numFmt numFmtId="176" formatCode="0%"/>
    <numFmt numFmtId="177" formatCode="\$#,##0"/>
    <numFmt numFmtId="178" formatCode="_(\$* #,##0.00_);_(\$* \(#,##0.00\);_(\$* \-??_);_(@_)"/>
    <numFmt numFmtId="179" formatCode="#,##0.00_);\(#,##0.00\)"/>
    <numFmt numFmtId="180" formatCode="_(* #,##0.00_);_(* \(#,##0.00\);_(* \-??_);_(@_)"/>
    <numFmt numFmtId="181" formatCode="_(* #,##0_);_(* \(#,##0\);_(* \-??_);_(@_)"/>
    <numFmt numFmtId="182" formatCode="\$#,##0.00_);&quot;($&quot;#,##0.00\)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8"/>
      <name val="Arial"/>
      <family val="2"/>
      <charset val="1"/>
    </font>
    <font>
      <vertAlign val="subscript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99CCFF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7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1" fillId="2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6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1" fontId="1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2" fontId="12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5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158760</xdr:colOff>
      <xdr:row>0</xdr:row>
      <xdr:rowOff>76320</xdr:rowOff>
    </xdr:from>
    <xdr:to>
      <xdr:col>2</xdr:col>
      <xdr:colOff>437760</xdr:colOff>
      <xdr:row>4</xdr:row>
      <xdr:rowOff>44280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58760" y="76320"/>
          <a:ext cx="640800" cy="717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aculty.apec.umn.edu/wlazarus/documents/machdata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120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5"/>
  <cols>
    <col collapsed="false" hidden="false" max="1" min="1" style="0" width="2.69897959183673"/>
    <col collapsed="false" hidden="false" max="2" min="2" style="0" width="2.42857142857143"/>
    <col collapsed="false" hidden="false" max="3" min="3" style="0" width="8.50510204081633"/>
    <col collapsed="false" hidden="false" max="4" min="4" style="0" width="6.88265306122449"/>
    <col collapsed="false" hidden="false" max="5" min="5" style="0" width="8.36734693877551"/>
    <col collapsed="false" hidden="false" max="7" min="6" style="0" width="8.50510204081633"/>
    <col collapsed="false" hidden="false" max="8" min="8" style="0" width="8.63775510204082"/>
    <col collapsed="false" hidden="false" max="9" min="9" style="0" width="9.71938775510204"/>
    <col collapsed="false" hidden="false" max="10" min="10" style="0" width="6.88265306122449"/>
    <col collapsed="false" hidden="false" max="11" min="11" style="0" width="7.69387755102041"/>
    <col collapsed="false" hidden="false" max="12" min="12" style="1" width="7.83163265306122"/>
    <col collapsed="false" hidden="false" max="13" min="13" style="1" width="7.69387755102041"/>
    <col collapsed="false" hidden="false" max="14" min="14" style="1" width="7.83163265306122"/>
    <col collapsed="false" hidden="false" max="1025" min="15" style="0" width="8.50510204081633"/>
  </cols>
  <sheetData>
    <row r="1" customFormat="false" ht="15.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2"/>
    </row>
    <row r="2" customFormat="false" ht="15.5" hidden="false" customHeight="false" outlineLevel="0" collapsed="false">
      <c r="A2" s="2"/>
      <c r="B2" s="2"/>
      <c r="C2" s="5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2"/>
    </row>
    <row r="3" customFormat="false" ht="12.5" hidden="false" customHeight="false" outlineLevel="0" collapsed="false">
      <c r="A3" s="2"/>
      <c r="B3" s="2"/>
      <c r="C3" s="2"/>
      <c r="D3" s="2"/>
      <c r="E3" s="7" t="s">
        <v>2</v>
      </c>
      <c r="F3" s="7"/>
      <c r="G3" s="7"/>
      <c r="H3" s="7"/>
      <c r="I3" s="7"/>
      <c r="J3" s="7"/>
      <c r="K3" s="7"/>
      <c r="L3" s="6"/>
      <c r="M3" s="0"/>
      <c r="N3" s="4"/>
      <c r="O3" s="2"/>
    </row>
    <row r="4" customFormat="false" ht="15.5" hidden="false" customHeight="false" outlineLevel="0" collapsed="false">
      <c r="A4" s="2"/>
      <c r="B4" s="2"/>
      <c r="C4" s="2"/>
      <c r="D4" s="2"/>
      <c r="F4" s="2"/>
      <c r="G4" s="8"/>
      <c r="I4" s="9"/>
      <c r="J4" s="2"/>
      <c r="K4" s="6"/>
      <c r="L4" s="10" t="s">
        <v>3</v>
      </c>
      <c r="M4" s="11" t="n">
        <v>41409</v>
      </c>
      <c r="N4" s="11"/>
      <c r="O4" s="2"/>
    </row>
    <row r="5" customFormat="false" ht="15.5" hidden="false" customHeight="false" outlineLevel="0" collapsed="false">
      <c r="A5" s="2"/>
      <c r="B5" s="2"/>
      <c r="C5" s="2"/>
      <c r="D5" s="2"/>
      <c r="E5" s="8"/>
      <c r="F5" s="8"/>
      <c r="G5" s="2"/>
      <c r="H5" s="2"/>
      <c r="I5" s="9"/>
      <c r="J5" s="2"/>
      <c r="K5" s="12"/>
      <c r="L5" s="6"/>
      <c r="M5" s="6"/>
      <c r="N5" s="6"/>
      <c r="O5" s="2"/>
    </row>
    <row r="6" customFormat="false" ht="15" hidden="false" customHeight="false" outlineLevel="0" collapsed="false">
      <c r="A6" s="13" t="s">
        <v>4</v>
      </c>
      <c r="B6" s="13"/>
      <c r="C6" s="13"/>
      <c r="D6" s="13"/>
      <c r="E6" s="14" t="s">
        <v>5</v>
      </c>
      <c r="F6" s="14"/>
      <c r="G6" s="14"/>
      <c r="H6" s="14" t="s">
        <v>6</v>
      </c>
      <c r="I6" s="15" t="s">
        <v>7</v>
      </c>
      <c r="J6" s="13"/>
      <c r="L6" s="16" t="s">
        <v>8</v>
      </c>
      <c r="M6" s="16"/>
      <c r="N6" s="13" t="s">
        <v>6</v>
      </c>
    </row>
    <row r="7" customFormat="false" ht="13" hidden="false" customHeight="false" outlineLevel="0" collapsed="false">
      <c r="A7" s="17"/>
      <c r="B7" s="17"/>
      <c r="C7" s="17"/>
      <c r="D7" s="17"/>
      <c r="E7" s="17"/>
      <c r="F7" s="17"/>
      <c r="G7" s="17"/>
      <c r="H7" s="18" t="s">
        <v>9</v>
      </c>
      <c r="I7" s="18" t="s">
        <v>10</v>
      </c>
      <c r="J7" s="18"/>
      <c r="K7" s="19"/>
      <c r="L7" s="19"/>
      <c r="M7" s="19"/>
      <c r="N7" s="18" t="s">
        <v>11</v>
      </c>
    </row>
    <row r="8" customFormat="false" ht="13" hidden="false" customHeight="false" outlineLevel="0" collapsed="false">
      <c r="A8" s="20"/>
      <c r="B8" s="20"/>
      <c r="C8" s="20"/>
      <c r="D8" s="20"/>
      <c r="E8" s="20"/>
      <c r="F8" s="20"/>
      <c r="G8" s="20"/>
      <c r="H8" s="21" t="s">
        <v>12</v>
      </c>
      <c r="I8" s="20"/>
      <c r="J8" s="20"/>
      <c r="K8" s="22" t="n">
        <v>125.2</v>
      </c>
      <c r="L8" s="22" t="n">
        <v>156.5</v>
      </c>
      <c r="M8" s="22" t="n">
        <v>187.8</v>
      </c>
      <c r="N8" s="23" t="n">
        <v>200</v>
      </c>
    </row>
    <row r="9" customFormat="false" ht="13" hidden="false" customHeight="false" outlineLevel="0" collapsed="false">
      <c r="A9" s="24" t="s">
        <v>13</v>
      </c>
      <c r="B9" s="2"/>
      <c r="C9" s="2"/>
      <c r="D9" s="2"/>
      <c r="F9" s="2"/>
      <c r="G9" s="2"/>
      <c r="H9" s="2"/>
      <c r="I9" s="2"/>
      <c r="J9" s="2"/>
      <c r="K9" s="25"/>
      <c r="L9" s="25"/>
      <c r="M9" s="25"/>
      <c r="N9" s="25"/>
    </row>
    <row r="10" customFormat="false" ht="15" hidden="false" customHeight="false" outlineLevel="0" collapsed="false">
      <c r="A10" s="2"/>
      <c r="B10" s="2" t="s">
        <v>14</v>
      </c>
      <c r="C10" s="2"/>
      <c r="D10" s="2"/>
      <c r="F10" s="2"/>
      <c r="G10" s="2"/>
      <c r="H10" s="2"/>
      <c r="I10" s="26" t="n">
        <v>5</v>
      </c>
      <c r="J10" s="2" t="s">
        <v>15</v>
      </c>
      <c r="K10" s="27" t="n">
        <f aca="false">+$I$10*K8</f>
        <v>626</v>
      </c>
      <c r="L10" s="27" t="n">
        <f aca="false">+$I$10*L8</f>
        <v>782.5</v>
      </c>
      <c r="M10" s="27" t="n">
        <f aca="false">+$I$10*M8</f>
        <v>939</v>
      </c>
      <c r="N10" s="28" t="n">
        <f aca="false">+$I$10*N8</f>
        <v>1000</v>
      </c>
    </row>
    <row r="11" customFormat="false" ht="13" hidden="false" customHeight="false" outlineLevel="0" collapsed="false">
      <c r="A11" s="2"/>
      <c r="B11" s="2" t="s">
        <v>16</v>
      </c>
      <c r="D11" s="2"/>
      <c r="E11" s="2"/>
      <c r="F11" s="29"/>
      <c r="G11" s="30"/>
      <c r="H11" s="30"/>
      <c r="I11" s="29"/>
      <c r="J11" s="2"/>
      <c r="K11" s="27" t="n">
        <v>0</v>
      </c>
      <c r="L11" s="27" t="n">
        <v>0</v>
      </c>
      <c r="M11" s="27" t="n">
        <v>0</v>
      </c>
      <c r="N11" s="31" t="n">
        <v>0</v>
      </c>
    </row>
    <row r="12" customFormat="false" ht="13" hidden="false" customHeight="false" outlineLevel="0" collapsed="false">
      <c r="A12" s="2"/>
      <c r="B12" s="2"/>
      <c r="C12" s="2"/>
      <c r="D12" s="2"/>
      <c r="E12" s="32"/>
      <c r="F12" s="32"/>
      <c r="G12" s="32"/>
      <c r="H12" s="32"/>
      <c r="I12" s="33"/>
      <c r="J12" s="32"/>
      <c r="K12" s="27"/>
      <c r="L12" s="27"/>
      <c r="M12" s="27"/>
      <c r="N12" s="34"/>
    </row>
    <row r="13" customFormat="false" ht="13" hidden="false" customHeight="false" outlineLevel="0" collapsed="false">
      <c r="A13" s="24" t="s">
        <v>17</v>
      </c>
      <c r="B13" s="2"/>
      <c r="C13" s="2"/>
      <c r="D13" s="2"/>
      <c r="E13" s="2"/>
      <c r="F13" s="2"/>
      <c r="G13" s="2"/>
      <c r="H13" s="2"/>
      <c r="I13" s="33"/>
      <c r="J13" s="2"/>
      <c r="K13" s="27" t="n">
        <f aca="false">SUM(K10:K11)</f>
        <v>626</v>
      </c>
      <c r="L13" s="27" t="n">
        <f aca="false">SUM(L10:L11)</f>
        <v>782.5</v>
      </c>
      <c r="M13" s="27" t="n">
        <f aca="false">SUM(M10:M11)</f>
        <v>939</v>
      </c>
      <c r="N13" s="28" t="n">
        <f aca="false">SUM(N10:N11)</f>
        <v>1000</v>
      </c>
    </row>
    <row r="14" customFormat="false" ht="4.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5"/>
      <c r="L14" s="25"/>
      <c r="M14" s="25"/>
      <c r="N14" s="35"/>
    </row>
    <row r="15" customFormat="false" ht="13" hidden="false" customHeight="false" outlineLevel="0" collapsed="false">
      <c r="A15" s="24" t="s">
        <v>18</v>
      </c>
      <c r="B15" s="2"/>
      <c r="C15" s="2"/>
      <c r="D15" s="2"/>
      <c r="E15" s="2"/>
      <c r="F15" s="2"/>
      <c r="G15" s="2"/>
      <c r="H15" s="2"/>
      <c r="I15" s="2"/>
      <c r="J15" s="33"/>
      <c r="K15" s="25"/>
      <c r="L15" s="25"/>
      <c r="M15" s="25"/>
      <c r="N15" s="35"/>
    </row>
    <row r="16" customFormat="false" ht="15" hidden="false" customHeight="false" outlineLevel="0" collapsed="false">
      <c r="A16" s="2"/>
      <c r="B16" s="2" t="s">
        <v>19</v>
      </c>
      <c r="C16" s="2"/>
      <c r="D16" s="2"/>
      <c r="E16" s="2" t="n">
        <v>28000</v>
      </c>
      <c r="F16" s="2" t="n">
        <v>32000</v>
      </c>
      <c r="G16" s="2" t="n">
        <v>34000</v>
      </c>
      <c r="H16" s="36" t="n">
        <v>34000</v>
      </c>
      <c r="I16" s="26" t="n">
        <f aca="false">I17/80</f>
        <v>3.28125</v>
      </c>
      <c r="J16" s="2" t="s">
        <v>20</v>
      </c>
      <c r="K16" s="6" t="n">
        <f aca="false">+$I$16*E16/1000</f>
        <v>91.875</v>
      </c>
      <c r="L16" s="6" t="n">
        <f aca="false">+$I$16*F16/1000</f>
        <v>105</v>
      </c>
      <c r="M16" s="6" t="n">
        <f aca="false">+$I$16*G16/1000</f>
        <v>111.5625</v>
      </c>
      <c r="N16" s="37" t="n">
        <f aca="false">+$I$16*H16/1000</f>
        <v>111.5625</v>
      </c>
    </row>
    <row r="17" customFormat="false" ht="13" hidden="false" customHeight="false" outlineLevel="0" collapsed="false">
      <c r="A17" s="2"/>
      <c r="B17" s="2"/>
      <c r="C17" s="2"/>
      <c r="D17" s="2"/>
      <c r="E17" s="2" t="s">
        <v>21</v>
      </c>
      <c r="F17" s="2"/>
      <c r="G17" s="2"/>
      <c r="H17" s="38"/>
      <c r="I17" s="26" t="n">
        <v>262.5</v>
      </c>
      <c r="J17" s="2" t="s">
        <v>22</v>
      </c>
      <c r="K17" s="6"/>
      <c r="L17" s="6"/>
      <c r="M17" s="6"/>
      <c r="N17" s="39"/>
    </row>
    <row r="18" customFormat="false" ht="15" hidden="false" customHeight="false" outlineLevel="0" collapsed="false">
      <c r="A18" s="2"/>
      <c r="B18" s="2" t="s">
        <v>23</v>
      </c>
      <c r="C18" s="2"/>
      <c r="D18" s="2"/>
      <c r="E18" s="2"/>
      <c r="F18" s="2"/>
      <c r="G18" s="2"/>
      <c r="H18" s="30"/>
      <c r="I18" s="40"/>
      <c r="J18" s="41"/>
      <c r="K18" s="6"/>
      <c r="L18" s="6"/>
      <c r="M18" s="6"/>
      <c r="N18" s="10"/>
    </row>
    <row r="19" customFormat="false" ht="13" hidden="false" customHeight="false" outlineLevel="0" collapsed="false">
      <c r="A19" s="2"/>
      <c r="B19" s="2"/>
      <c r="C19" s="2" t="s">
        <v>24</v>
      </c>
      <c r="D19" s="2"/>
      <c r="E19" s="42" t="n">
        <v>130</v>
      </c>
      <c r="F19" s="42" t="n">
        <v>160</v>
      </c>
      <c r="G19" s="42" t="n">
        <v>190</v>
      </c>
      <c r="H19" s="43" t="n">
        <v>190</v>
      </c>
      <c r="I19" s="44" t="n">
        <f aca="false">F67/1640</f>
        <v>0.554878048780488</v>
      </c>
      <c r="J19" s="2" t="s">
        <v>25</v>
      </c>
      <c r="K19" s="6" t="n">
        <f aca="false">($I$19*E19)+7</f>
        <v>79.1341463414634</v>
      </c>
      <c r="L19" s="6" t="n">
        <f aca="false">($I$19*F19)+7</f>
        <v>95.7804878048781</v>
      </c>
      <c r="M19" s="6" t="n">
        <f aca="false">($I$19*G19)+7</f>
        <v>112.426829268293</v>
      </c>
      <c r="N19" s="37" t="n">
        <f aca="false">($I$19*H19)+7</f>
        <v>112.426829268293</v>
      </c>
    </row>
    <row r="20" customFormat="false" ht="15.5" hidden="false" customHeight="false" outlineLevel="0" collapsed="false">
      <c r="A20" s="2"/>
      <c r="B20" s="2"/>
      <c r="C20" s="2" t="s">
        <v>26</v>
      </c>
      <c r="D20" s="2"/>
      <c r="E20" s="42" t="n">
        <f aca="false">K8*0.37</f>
        <v>46.324</v>
      </c>
      <c r="F20" s="42" t="n">
        <f aca="false">L8*0.37</f>
        <v>57.905</v>
      </c>
      <c r="G20" s="42" t="n">
        <f aca="false">M8*0.37</f>
        <v>69.486</v>
      </c>
      <c r="H20" s="45" t="n">
        <f aca="false">N8*0.37</f>
        <v>74</v>
      </c>
      <c r="I20" s="46" t="n">
        <f aca="false">I67/1040</f>
        <v>0.625</v>
      </c>
      <c r="J20" s="2" t="s">
        <v>25</v>
      </c>
      <c r="K20" s="6" t="n">
        <f aca="false">+$I$20*E20</f>
        <v>28.9525</v>
      </c>
      <c r="L20" s="6" t="n">
        <f aca="false">+$I$20*F20</f>
        <v>36.190625</v>
      </c>
      <c r="M20" s="6" t="n">
        <f aca="false">+$I$20*G20</f>
        <v>43.42875</v>
      </c>
      <c r="N20" s="37" t="n">
        <f aca="false">+$I$20*H20</f>
        <v>46.25</v>
      </c>
    </row>
    <row r="21" customFormat="false" ht="15.5" hidden="false" customHeight="false" outlineLevel="0" collapsed="false">
      <c r="A21" s="2"/>
      <c r="B21" s="2"/>
      <c r="C21" s="2" t="s">
        <v>27</v>
      </c>
      <c r="D21" s="2"/>
      <c r="E21" s="42" t="n">
        <f aca="false">(K8*0.27)</f>
        <v>33.804</v>
      </c>
      <c r="F21" s="42" t="n">
        <f aca="false">(L8*0.27)</f>
        <v>42.255</v>
      </c>
      <c r="G21" s="42" t="n">
        <f aca="false">(M8*0.27)</f>
        <v>50.706</v>
      </c>
      <c r="H21" s="43" t="n">
        <f aca="false">(N8*0.27)</f>
        <v>54</v>
      </c>
      <c r="I21" s="46" t="n">
        <f aca="false">M67/1200</f>
        <v>0.479166666666667</v>
      </c>
      <c r="J21" s="2" t="s">
        <v>25</v>
      </c>
      <c r="K21" s="6" t="n">
        <f aca="false">+$I$21*E21</f>
        <v>16.19775</v>
      </c>
      <c r="L21" s="6" t="n">
        <f aca="false">+$I$21*F21</f>
        <v>20.2471875</v>
      </c>
      <c r="M21" s="6" t="n">
        <f aca="false">+$I$21*G21</f>
        <v>24.296625</v>
      </c>
      <c r="N21" s="37" t="n">
        <f aca="false">+$I$21*H21</f>
        <v>25.875</v>
      </c>
      <c r="O21" s="1"/>
      <c r="P21" s="1"/>
      <c r="Q21" s="1"/>
      <c r="R21" s="1"/>
    </row>
    <row r="22" customFormat="false" ht="13" hidden="false" customHeight="false" outlineLevel="0" collapsed="false">
      <c r="A22" s="2"/>
      <c r="B22" s="2"/>
      <c r="C22" s="2" t="s">
        <v>28</v>
      </c>
      <c r="D22" s="2"/>
      <c r="E22" s="2"/>
      <c r="F22" s="2" t="n">
        <v>0.25</v>
      </c>
      <c r="G22" s="2"/>
      <c r="H22" s="47" t="n">
        <v>0.25</v>
      </c>
      <c r="I22" s="36" t="n">
        <v>25</v>
      </c>
      <c r="J22" s="2" t="s">
        <v>29</v>
      </c>
      <c r="K22" s="6" t="n">
        <f aca="false">+F22*I22</f>
        <v>6.25</v>
      </c>
      <c r="L22" s="6" t="n">
        <f aca="false">+F22*I22</f>
        <v>6.25</v>
      </c>
      <c r="M22" s="6" t="n">
        <f aca="false">+F22*I22</f>
        <v>6.25</v>
      </c>
      <c r="N22" s="37" t="n">
        <f aca="false">+H22*I22</f>
        <v>6.25</v>
      </c>
    </row>
    <row r="23" customFormat="false" ht="15" hidden="false" customHeight="false" outlineLevel="0" collapsed="false">
      <c r="A23" s="2"/>
      <c r="B23" s="2" t="s">
        <v>30</v>
      </c>
      <c r="C23" s="2"/>
      <c r="D23" s="2" t="s">
        <v>31</v>
      </c>
      <c r="E23" s="2"/>
      <c r="F23" s="2"/>
      <c r="G23" s="2"/>
      <c r="H23" s="2"/>
      <c r="I23" s="2"/>
      <c r="J23" s="2"/>
      <c r="K23" s="6" t="n">
        <v>50.98</v>
      </c>
      <c r="L23" s="6" t="n">
        <v>50.98</v>
      </c>
      <c r="M23" s="6" t="n">
        <v>50.98</v>
      </c>
      <c r="N23" s="48" t="n">
        <v>50.98</v>
      </c>
    </row>
    <row r="24" customFormat="false" ht="13" hidden="false" customHeight="false" outlineLevel="0" collapsed="false">
      <c r="A24" s="2"/>
      <c r="B24" s="2"/>
      <c r="C24" s="2"/>
      <c r="D24" s="2" t="s">
        <v>32</v>
      </c>
      <c r="E24" s="2"/>
      <c r="F24" s="2"/>
      <c r="G24" s="2"/>
      <c r="H24" s="2"/>
      <c r="I24" s="2"/>
      <c r="J24" s="2"/>
      <c r="K24" s="6" t="n">
        <v>0</v>
      </c>
      <c r="L24" s="6" t="n">
        <v>0</v>
      </c>
      <c r="M24" s="6" t="n">
        <v>0</v>
      </c>
      <c r="N24" s="48" t="n">
        <v>0</v>
      </c>
    </row>
    <row r="25" customFormat="false" ht="13" hidden="false" customHeight="false" outlineLevel="0" collapsed="false">
      <c r="A25" s="2"/>
      <c r="B25" s="2"/>
      <c r="C25" s="2"/>
      <c r="D25" s="2" t="s">
        <v>33</v>
      </c>
      <c r="E25" s="2"/>
      <c r="F25" s="2"/>
      <c r="G25" s="2"/>
      <c r="H25" s="2"/>
      <c r="I25" s="2"/>
      <c r="J25" s="2"/>
      <c r="K25" s="6" t="n">
        <v>0</v>
      </c>
      <c r="L25" s="6" t="n">
        <v>0</v>
      </c>
      <c r="M25" s="6" t="n">
        <v>0</v>
      </c>
      <c r="N25" s="48" t="n">
        <v>0</v>
      </c>
    </row>
    <row r="26" customFormat="false" ht="15" hidden="false" customHeight="false" outlineLevel="0" collapsed="false">
      <c r="A26" s="2"/>
      <c r="B26" s="2" t="s">
        <v>34</v>
      </c>
      <c r="C26" s="2"/>
      <c r="D26" s="2"/>
      <c r="E26" s="2"/>
      <c r="F26" s="26" t="n">
        <v>2</v>
      </c>
      <c r="G26" s="2" t="s">
        <v>35</v>
      </c>
      <c r="H26" s="2"/>
      <c r="I26" s="49" t="n">
        <f aca="false">(5*0.02*F26)+0.01</f>
        <v>0.21</v>
      </c>
      <c r="J26" s="2" t="s">
        <v>15</v>
      </c>
      <c r="K26" s="6" t="n">
        <f aca="false">+$I$26*K8</f>
        <v>26.292</v>
      </c>
      <c r="L26" s="6" t="n">
        <f aca="false">+$I$26*L8</f>
        <v>32.865</v>
      </c>
      <c r="M26" s="6" t="n">
        <f aca="false">+$I$26*M8</f>
        <v>39.438</v>
      </c>
      <c r="N26" s="37" t="n">
        <f aca="false">+$I$26*N8</f>
        <v>42</v>
      </c>
    </row>
    <row r="27" customFormat="false" ht="15" hidden="false" customHeight="false" outlineLevel="0" collapsed="false">
      <c r="A27" s="2"/>
      <c r="B27" s="2" t="s">
        <v>36</v>
      </c>
      <c r="C27" s="2"/>
      <c r="D27" s="2"/>
      <c r="E27" s="2"/>
      <c r="F27" s="50" t="n">
        <v>4</v>
      </c>
      <c r="G27" s="2" t="s">
        <v>37</v>
      </c>
      <c r="H27" s="2"/>
      <c r="I27" s="51" t="n">
        <v>30</v>
      </c>
      <c r="J27" s="2" t="s">
        <v>38</v>
      </c>
      <c r="K27" s="6" t="n">
        <f aca="false">(((($I$27/6)*$F$27)/900)*K8)+(((($I$27/6)*$F$27)/900)*K8)*0.1</f>
        <v>3.06044444444444</v>
      </c>
      <c r="L27" s="6" t="n">
        <f aca="false">(((($I$27/6)*$F$27)/900)*L8)+(((($I$27/6)*$F$27)/900)*L8)*0.1</f>
        <v>3.82555555555556</v>
      </c>
      <c r="M27" s="6" t="n">
        <f aca="false">(((($I$27/6)*$F$27)/900)*M8)+(((($I$27/6)*$F$27)/900)*M8)*0.1</f>
        <v>4.59066666666667</v>
      </c>
      <c r="N27" s="37" t="n">
        <f aca="false">(((($I$27/6)*$F$27)/900)*N8)+(((($I$27/6)*$F$27)/900)*N8)*0.1</f>
        <v>4.88888888888889</v>
      </c>
    </row>
    <row r="28" customFormat="false" ht="15" hidden="false" customHeight="false" outlineLevel="0" collapsed="false">
      <c r="A28" s="2"/>
      <c r="B28" s="2" t="s">
        <v>39</v>
      </c>
      <c r="C28" s="2"/>
      <c r="D28" s="2"/>
      <c r="E28" s="2"/>
      <c r="F28" s="2"/>
      <c r="G28" s="2"/>
      <c r="H28" s="2"/>
      <c r="I28" s="2"/>
      <c r="J28" s="2"/>
      <c r="K28" s="6" t="n">
        <f aca="false">+$K$104</f>
        <v>19.3309010309278</v>
      </c>
      <c r="L28" s="6" t="n">
        <f aca="false">+$K$104</f>
        <v>19.3309010309278</v>
      </c>
      <c r="M28" s="6" t="n">
        <f aca="false">+$K$104</f>
        <v>19.3309010309278</v>
      </c>
      <c r="N28" s="37" t="n">
        <f aca="false">+$K$104</f>
        <v>19.3309010309278</v>
      </c>
    </row>
    <row r="29" customFormat="false" ht="15" hidden="false" customHeight="false" outlineLevel="0" collapsed="false">
      <c r="A29" s="2"/>
      <c r="B29" s="2" t="s">
        <v>40</v>
      </c>
      <c r="C29" s="2"/>
      <c r="D29" s="2"/>
      <c r="E29" s="2"/>
      <c r="F29" s="2"/>
      <c r="G29" s="2"/>
      <c r="H29" s="2"/>
      <c r="I29" s="2"/>
      <c r="J29" s="2"/>
      <c r="K29" s="6" t="n">
        <f aca="false">+$M$104</f>
        <v>22.6632117347013</v>
      </c>
      <c r="L29" s="6" t="n">
        <f aca="false">+$M$104</f>
        <v>22.6632117347013</v>
      </c>
      <c r="M29" s="6" t="n">
        <f aca="false">+$M$104</f>
        <v>22.6632117347013</v>
      </c>
      <c r="N29" s="37" t="n">
        <f aca="false">+$M$104</f>
        <v>22.6632117347013</v>
      </c>
    </row>
    <row r="30" customFormat="false" ht="15" hidden="false" customHeight="false" outlineLevel="0" collapsed="false">
      <c r="A30" s="2"/>
      <c r="B30" s="2" t="s">
        <v>41</v>
      </c>
      <c r="C30" s="2"/>
      <c r="D30" s="2"/>
      <c r="E30" s="2"/>
      <c r="F30" s="2"/>
      <c r="G30" s="2"/>
      <c r="H30" s="2"/>
      <c r="I30" s="2"/>
      <c r="J30" s="2"/>
      <c r="K30" s="6" t="n">
        <v>29.35</v>
      </c>
      <c r="L30" s="6" t="n">
        <v>29.35</v>
      </c>
      <c r="M30" s="6" t="n">
        <v>29.35</v>
      </c>
      <c r="N30" s="48" t="n">
        <v>29.35</v>
      </c>
    </row>
    <row r="31" customFormat="false" ht="15" hidden="false" customHeight="false" outlineLevel="0" collapsed="false">
      <c r="A31" s="2"/>
      <c r="B31" s="2" t="s">
        <v>42</v>
      </c>
      <c r="C31" s="2"/>
      <c r="D31" s="2"/>
      <c r="E31" s="2"/>
      <c r="F31" s="2"/>
      <c r="G31" s="2"/>
      <c r="H31" s="2"/>
      <c r="I31" s="2"/>
      <c r="J31" s="2"/>
      <c r="K31" s="6" t="n">
        <v>12</v>
      </c>
      <c r="L31" s="6" t="n">
        <v>12</v>
      </c>
      <c r="M31" s="6" t="n">
        <v>12</v>
      </c>
      <c r="N31" s="48" t="n">
        <v>12</v>
      </c>
    </row>
    <row r="32" customFormat="false" ht="15" hidden="false" customHeight="false" outlineLevel="0" collapsed="false">
      <c r="A32" s="2"/>
      <c r="B32" s="2" t="s">
        <v>43</v>
      </c>
      <c r="C32" s="2"/>
      <c r="D32" s="2"/>
      <c r="E32" s="2"/>
      <c r="F32" s="52" t="n">
        <v>7</v>
      </c>
      <c r="G32" s="2" t="s">
        <v>44</v>
      </c>
      <c r="H32" s="2"/>
      <c r="I32" s="53" t="n">
        <v>0.04</v>
      </c>
      <c r="J32" s="2"/>
      <c r="K32" s="6" t="n">
        <f aca="false">(SUM(K16:K31)-K26-K27)*$I$32*($F$32/12)</f>
        <v>8.32378187916549</v>
      </c>
      <c r="L32" s="6" t="n">
        <f aca="false">(SUM(L16:L31)-L26-L27)*$I$32*($F$32/12)</f>
        <v>9.28182297164517</v>
      </c>
      <c r="M32" s="6" t="n">
        <f aca="false">(SUM(M16:M31)-M26-M27)*$I$32*($F$32/12)</f>
        <v>10.0867390641248</v>
      </c>
      <c r="N32" s="37" t="n">
        <f aca="false">(SUM(N16:N31)-N26-N27)*$I$32*($F$32/12)</f>
        <v>10.1893969807915</v>
      </c>
    </row>
    <row r="33" customFormat="false" ht="15" hidden="false" customHeight="false" outlineLevel="0" collapsed="false">
      <c r="A33" s="2"/>
      <c r="B33" s="2" t="s">
        <v>45</v>
      </c>
      <c r="C33" s="2"/>
      <c r="D33" s="2"/>
      <c r="E33" s="2"/>
      <c r="F33" s="2"/>
      <c r="G33" s="2"/>
      <c r="H33" s="2"/>
      <c r="I33" s="2"/>
      <c r="J33" s="2"/>
      <c r="K33" s="54" t="n">
        <v>0</v>
      </c>
      <c r="L33" s="54" t="n">
        <v>0</v>
      </c>
      <c r="M33" s="54" t="n">
        <v>0</v>
      </c>
      <c r="N33" s="55" t="n">
        <v>0</v>
      </c>
    </row>
    <row r="34" customFormat="false" ht="3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6"/>
      <c r="L34" s="6"/>
      <c r="M34" s="6"/>
      <c r="N34" s="10"/>
    </row>
    <row r="35" customFormat="false" ht="13" hidden="false" customHeight="false" outlineLevel="0" collapsed="false">
      <c r="A35" s="24" t="s">
        <v>46</v>
      </c>
      <c r="B35" s="2"/>
      <c r="C35" s="2"/>
      <c r="D35" s="2"/>
      <c r="E35" s="2"/>
      <c r="G35" s="56" t="s">
        <v>47</v>
      </c>
      <c r="H35" s="56"/>
      <c r="I35" s="2"/>
      <c r="J35" s="2"/>
      <c r="K35" s="6" t="n">
        <f aca="false">SUM(K16:K34)</f>
        <v>394.409735430703</v>
      </c>
      <c r="L35" s="6" t="n">
        <f aca="false">SUM(L16:L34)</f>
        <v>443.764791597708</v>
      </c>
      <c r="M35" s="6" t="n">
        <f aca="false">SUM(M16:M34)</f>
        <v>486.404222764713</v>
      </c>
      <c r="N35" s="37" t="n">
        <f aca="false">SUM(N16:N34)</f>
        <v>493.766727903602</v>
      </c>
    </row>
    <row r="36" customFormat="false" ht="13" hidden="false" customHeight="false" outlineLevel="0" collapsed="false">
      <c r="A36" s="2"/>
      <c r="B36" s="2"/>
      <c r="C36" s="2"/>
      <c r="D36" s="2"/>
      <c r="E36" s="2"/>
      <c r="G36" s="56" t="s">
        <v>48</v>
      </c>
      <c r="H36" s="56"/>
      <c r="I36" s="2"/>
      <c r="J36" s="2"/>
      <c r="K36" s="6" t="n">
        <f aca="false">+K35/K8</f>
        <v>3.15023750344012</v>
      </c>
      <c r="L36" s="6" t="n">
        <f aca="false">+L35/L8</f>
        <v>2.83555777378727</v>
      </c>
      <c r="M36" s="6" t="n">
        <f aca="false">+M35/M8</f>
        <v>2.59001183580785</v>
      </c>
      <c r="N36" s="37" t="n">
        <f aca="false">+N35/N8</f>
        <v>2.46883363951801</v>
      </c>
    </row>
    <row r="37" customFormat="false" ht="3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5"/>
      <c r="L37" s="25"/>
      <c r="M37" s="25"/>
      <c r="N37" s="35"/>
    </row>
    <row r="38" customFormat="false" ht="13" hidden="false" customHeight="false" outlineLevel="0" collapsed="false">
      <c r="A38" s="24" t="s">
        <v>49</v>
      </c>
      <c r="B38" s="2"/>
      <c r="C38" s="2"/>
      <c r="D38" s="2"/>
      <c r="E38" s="2"/>
      <c r="F38" s="2"/>
      <c r="G38" s="2"/>
      <c r="H38" s="2"/>
      <c r="I38" s="2"/>
      <c r="J38" s="2"/>
      <c r="K38" s="25"/>
      <c r="L38" s="25"/>
      <c r="M38" s="25"/>
      <c r="N38" s="35"/>
    </row>
    <row r="39" customFormat="false" ht="15" hidden="false" customHeight="false" outlineLevel="0" collapsed="false">
      <c r="A39" s="2"/>
      <c r="B39" s="2" t="s">
        <v>50</v>
      </c>
      <c r="C39" s="2"/>
      <c r="D39" s="2"/>
      <c r="E39" s="2"/>
      <c r="F39" s="57" t="n">
        <v>3</v>
      </c>
      <c r="G39" s="2" t="s">
        <v>51</v>
      </c>
      <c r="H39" s="2"/>
      <c r="I39" s="47" t="n">
        <v>15</v>
      </c>
      <c r="J39" s="2" t="s">
        <v>52</v>
      </c>
      <c r="K39" s="27" t="n">
        <f aca="false">+$F$39*$I$39</f>
        <v>45</v>
      </c>
      <c r="L39" s="27" t="n">
        <f aca="false">+$F$39*$I$39</f>
        <v>45</v>
      </c>
      <c r="M39" s="27" t="n">
        <f aca="false">+$F$39*$I$39</f>
        <v>45</v>
      </c>
      <c r="N39" s="28" t="n">
        <f aca="false">+$F$39*$I$39</f>
        <v>45</v>
      </c>
    </row>
    <row r="40" customFormat="false" ht="15" hidden="false" customHeight="false" outlineLevel="0" collapsed="false">
      <c r="A40" s="2"/>
      <c r="B40" s="2" t="s">
        <v>53</v>
      </c>
      <c r="C40" s="2"/>
      <c r="D40" s="2"/>
      <c r="E40" s="2"/>
      <c r="F40" s="58" t="n">
        <v>0.05</v>
      </c>
      <c r="G40" s="2" t="s">
        <v>54</v>
      </c>
      <c r="H40" s="2"/>
      <c r="I40" s="2"/>
      <c r="J40" s="2"/>
      <c r="K40" s="59" t="n">
        <f aca="false">$F$40*K13</f>
        <v>31.3</v>
      </c>
      <c r="L40" s="59" t="n">
        <f aca="false">$F$40*L13</f>
        <v>39.125</v>
      </c>
      <c r="M40" s="59" t="n">
        <f aca="false">$F$40*M13</f>
        <v>46.95</v>
      </c>
      <c r="N40" s="60" t="n">
        <f aca="false">$F$40*N13</f>
        <v>50</v>
      </c>
    </row>
    <row r="41" customFormat="false" ht="15" hidden="false" customHeight="false" outlineLevel="0" collapsed="false">
      <c r="A41" s="2"/>
      <c r="B41" s="2" t="s">
        <v>55</v>
      </c>
      <c r="C41" s="2"/>
      <c r="D41" s="2"/>
      <c r="E41" s="2"/>
      <c r="F41" s="32"/>
      <c r="G41" s="2"/>
      <c r="H41" s="2"/>
      <c r="I41" s="2"/>
      <c r="J41" s="2"/>
      <c r="K41" s="27" t="n">
        <f aca="false">$I$104</f>
        <v>115.923565625</v>
      </c>
      <c r="L41" s="27" t="n">
        <f aca="false">$I$104</f>
        <v>115.923565625</v>
      </c>
      <c r="M41" s="27" t="n">
        <f aca="false">$I$104</f>
        <v>115.923565625</v>
      </c>
      <c r="N41" s="28" t="n">
        <f aca="false">$I$104</f>
        <v>115.923565625</v>
      </c>
    </row>
    <row r="42" customFormat="false" ht="15" hidden="false" customHeight="false" outlineLevel="0" collapsed="false">
      <c r="A42" s="2"/>
      <c r="B42" s="2" t="s">
        <v>56</v>
      </c>
      <c r="C42" s="2"/>
      <c r="D42" s="2"/>
      <c r="E42" s="2"/>
      <c r="F42" s="32" t="s">
        <v>57</v>
      </c>
      <c r="G42" s="2"/>
      <c r="H42" s="2"/>
      <c r="I42" s="2"/>
      <c r="J42" s="2"/>
      <c r="K42" s="27" t="n">
        <v>150</v>
      </c>
      <c r="L42" s="27" t="n">
        <v>195</v>
      </c>
      <c r="M42" s="27" t="n">
        <v>250</v>
      </c>
      <c r="N42" s="61" t="n">
        <v>250</v>
      </c>
    </row>
    <row r="43" customFormat="false" ht="5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7"/>
      <c r="L43" s="27"/>
      <c r="M43" s="27"/>
      <c r="N43" s="34"/>
    </row>
    <row r="44" customFormat="false" ht="13" hidden="false" customHeight="false" outlineLevel="0" collapsed="false">
      <c r="A44" s="24" t="s">
        <v>58</v>
      </c>
      <c r="B44" s="2"/>
      <c r="C44" s="2"/>
      <c r="D44" s="2"/>
      <c r="E44" s="2"/>
      <c r="F44" s="2"/>
      <c r="G44" s="2"/>
      <c r="H44" s="2"/>
      <c r="I44" s="2"/>
      <c r="J44" s="2"/>
      <c r="K44" s="27" t="n">
        <f aca="false">SUM(K39:K43)</f>
        <v>342.223565625</v>
      </c>
      <c r="L44" s="27" t="n">
        <f aca="false">SUM(L39:L43)</f>
        <v>395.048565625</v>
      </c>
      <c r="M44" s="27" t="n">
        <f aca="false">SUM(M39:M43)</f>
        <v>457.873565625</v>
      </c>
      <c r="N44" s="28" t="n">
        <f aca="false">SUM(N39:N43)</f>
        <v>460.923565625</v>
      </c>
    </row>
    <row r="45" customFormat="false" ht="5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7"/>
      <c r="L45" s="27"/>
      <c r="M45" s="27"/>
      <c r="N45" s="34"/>
    </row>
    <row r="46" customFormat="false" ht="13" hidden="false" customHeight="false" outlineLevel="0" collapsed="false">
      <c r="A46" s="24" t="s">
        <v>59</v>
      </c>
      <c r="B46" s="2"/>
      <c r="C46" s="2"/>
      <c r="D46" s="2"/>
      <c r="E46" s="2"/>
      <c r="F46" s="2"/>
      <c r="G46" s="56" t="s">
        <v>47</v>
      </c>
      <c r="H46" s="56"/>
      <c r="I46" s="2"/>
      <c r="J46" s="2"/>
      <c r="K46" s="27" t="n">
        <f aca="false">+K35+K44</f>
        <v>736.633301055703</v>
      </c>
      <c r="L46" s="27" t="n">
        <f aca="false">+L35+L44</f>
        <v>838.813357222708</v>
      </c>
      <c r="M46" s="27" t="n">
        <f aca="false">+M35+M44</f>
        <v>944.277788389713</v>
      </c>
      <c r="N46" s="28" t="n">
        <f aca="false">+N35+N44</f>
        <v>954.690293528602</v>
      </c>
    </row>
    <row r="47" customFormat="false" ht="13" hidden="false" customHeight="false" outlineLevel="0" collapsed="false">
      <c r="A47" s="24"/>
      <c r="B47" s="2"/>
      <c r="C47" s="2"/>
      <c r="D47" s="2"/>
      <c r="E47" s="2"/>
      <c r="F47" s="2"/>
      <c r="G47" s="56" t="s">
        <v>48</v>
      </c>
      <c r="H47" s="56"/>
      <c r="I47" s="2"/>
      <c r="J47" s="2"/>
      <c r="K47" s="27" t="n">
        <f aca="false">+K46/K8</f>
        <v>5.88365256434267</v>
      </c>
      <c r="L47" s="27" t="n">
        <f aca="false">+L46/L8</f>
        <v>5.35982975861155</v>
      </c>
      <c r="M47" s="27" t="n">
        <f aca="false">+M46/M8</f>
        <v>5.02810323956184</v>
      </c>
      <c r="N47" s="28" t="n">
        <f aca="false">+N46/N8</f>
        <v>4.77345146764301</v>
      </c>
    </row>
    <row r="48" customFormat="false" ht="5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7"/>
      <c r="L48" s="27"/>
      <c r="M48" s="27"/>
      <c r="N48" s="34"/>
    </row>
    <row r="49" customFormat="false" ht="15" hidden="false" customHeight="false" outlineLevel="0" collapsed="false">
      <c r="A49" s="62" t="s">
        <v>60</v>
      </c>
      <c r="B49" s="17"/>
      <c r="C49" s="2"/>
      <c r="D49" s="2"/>
      <c r="E49" s="2"/>
      <c r="F49" s="2"/>
      <c r="G49" s="2"/>
      <c r="H49" s="2"/>
      <c r="I49" s="2"/>
      <c r="J49" s="2"/>
      <c r="K49" s="27" t="n">
        <f aca="false">+K52+K39+K40</f>
        <v>-34.3333010557025</v>
      </c>
      <c r="L49" s="27" t="n">
        <f aca="false">+L52+L39+L40</f>
        <v>27.811642777292</v>
      </c>
      <c r="M49" s="27" t="n">
        <f aca="false">+M52+M39+M40</f>
        <v>86.6722116102867</v>
      </c>
      <c r="N49" s="28" t="n">
        <f aca="false">+N52+N39+N40</f>
        <v>140.309706471398</v>
      </c>
    </row>
    <row r="50" customFormat="false" ht="13" hidden="false" customHeight="false" outlineLevel="0" collapsed="false">
      <c r="A50" s="62" t="s">
        <v>61</v>
      </c>
      <c r="B50" s="17"/>
      <c r="C50" s="2"/>
      <c r="D50" s="2"/>
      <c r="E50" s="2"/>
      <c r="F50" s="2"/>
      <c r="G50" s="2"/>
      <c r="H50" s="2"/>
      <c r="I50" s="2"/>
      <c r="J50" s="2"/>
      <c r="K50" s="6" t="n">
        <f aca="false">K52+K42</f>
        <v>39.3666989442975</v>
      </c>
      <c r="L50" s="6" t="n">
        <f aca="false">L52+L42</f>
        <v>138.686642777292</v>
      </c>
      <c r="M50" s="6" t="n">
        <f aca="false">M52+M42</f>
        <v>244.722211610287</v>
      </c>
      <c r="N50" s="37" t="n">
        <f aca="false">N52+N42</f>
        <v>295.309706471398</v>
      </c>
    </row>
    <row r="51" customFormat="false" ht="13" hidden="false" customHeight="false" outlineLevel="0" collapsed="false">
      <c r="A51" s="24" t="s">
        <v>62</v>
      </c>
      <c r="B51" s="2"/>
      <c r="C51" s="2"/>
      <c r="D51" s="2"/>
      <c r="E51" s="2"/>
      <c r="F51" s="2"/>
      <c r="G51" s="2"/>
      <c r="H51" s="2"/>
      <c r="I51" s="2"/>
      <c r="J51" s="2"/>
      <c r="K51" s="27" t="n">
        <f aca="false">+K13-K35</f>
        <v>231.590264569297</v>
      </c>
      <c r="L51" s="27" t="n">
        <f aca="false">+L13-L35</f>
        <v>338.735208402292</v>
      </c>
      <c r="M51" s="27" t="n">
        <f aca="false">+M13-M35</f>
        <v>452.595777235287</v>
      </c>
      <c r="N51" s="28" t="n">
        <f aca="false">+N13-N35</f>
        <v>506.233272096398</v>
      </c>
    </row>
    <row r="52" customFormat="false" ht="13" hidden="false" customHeight="false" outlineLevel="0" collapsed="false">
      <c r="A52" s="24" t="s">
        <v>63</v>
      </c>
      <c r="B52" s="2"/>
      <c r="C52" s="2"/>
      <c r="D52" s="2"/>
      <c r="E52" s="2"/>
      <c r="F52" s="2"/>
      <c r="G52" s="2"/>
      <c r="H52" s="2"/>
      <c r="I52" s="2"/>
      <c r="J52" s="2"/>
      <c r="K52" s="27" t="n">
        <f aca="false">+K13-K46</f>
        <v>-110.633301055703</v>
      </c>
      <c r="L52" s="27" t="n">
        <f aca="false">+L13-L46</f>
        <v>-56.313357222708</v>
      </c>
      <c r="M52" s="27" t="n">
        <f aca="false">+M13-M46</f>
        <v>-5.27778838971335</v>
      </c>
      <c r="N52" s="28" t="n">
        <f aca="false">+N13-N46</f>
        <v>45.3097064713977</v>
      </c>
    </row>
    <row r="53" customFormat="false" ht="12.75" hidden="false" customHeight="true" outlineLevel="0" collapsed="false">
      <c r="A53" s="63" t="s">
        <v>64</v>
      </c>
      <c r="B53" s="20"/>
      <c r="C53" s="20"/>
      <c r="D53" s="20"/>
      <c r="E53" s="20"/>
      <c r="F53" s="20"/>
      <c r="G53" s="63"/>
      <c r="H53" s="64"/>
      <c r="I53" s="20"/>
      <c r="J53" s="20"/>
      <c r="K53" s="65" t="n">
        <f aca="false">K52+K39+K40+K42</f>
        <v>115.666698944297</v>
      </c>
      <c r="L53" s="65" t="n">
        <f aca="false">L52+L39+L40+L42</f>
        <v>222.811642777292</v>
      </c>
      <c r="M53" s="65" t="n">
        <f aca="false">M52+M39+M40+M42</f>
        <v>336.672211610287</v>
      </c>
      <c r="N53" s="65" t="n">
        <f aca="false">N52+N39+N40+N42</f>
        <v>390.309706471398</v>
      </c>
      <c r="O53" s="17"/>
    </row>
    <row r="54" customFormat="false" ht="6.75" hidden="false" customHeight="true" outlineLevel="0" collapsed="false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9"/>
      <c r="M54" s="19"/>
      <c r="N54" s="19"/>
      <c r="O54" s="17"/>
    </row>
    <row r="55" customFormat="false" ht="12.5" hidden="false" customHeight="false" outlineLevel="0" collapsed="false">
      <c r="A55" s="66" t="s">
        <v>65</v>
      </c>
      <c r="B55" s="66"/>
      <c r="C55" s="66"/>
      <c r="D55" s="67"/>
      <c r="E55" s="66"/>
      <c r="F55" s="66"/>
      <c r="G55" s="66"/>
      <c r="H55" s="66"/>
      <c r="I55" s="66"/>
      <c r="J55" s="66"/>
      <c r="K55" s="66"/>
      <c r="L55" s="68"/>
      <c r="M55" s="68"/>
      <c r="N55" s="68"/>
      <c r="O55" s="2"/>
    </row>
    <row r="56" customFormat="false" ht="12.5" hidden="false" customHeight="false" outlineLevel="0" collapsed="false">
      <c r="B56" s="66" t="s">
        <v>66</v>
      </c>
      <c r="C56" s="66"/>
      <c r="D56" s="66"/>
      <c r="E56" s="66"/>
      <c r="F56" s="66"/>
      <c r="G56" s="66"/>
      <c r="H56" s="66"/>
      <c r="I56" s="66"/>
      <c r="J56" s="66"/>
      <c r="K56" s="66"/>
      <c r="L56" s="68"/>
      <c r="M56" s="68"/>
      <c r="N56" s="68"/>
      <c r="O56" s="2"/>
    </row>
    <row r="57" customFormat="false" ht="12.5" hidden="false" customHeight="false" outlineLevel="0" collapsed="false">
      <c r="A57" s="66" t="s">
        <v>67</v>
      </c>
      <c r="B57" s="66"/>
      <c r="C57" s="66"/>
      <c r="D57" s="69"/>
      <c r="E57" s="70"/>
      <c r="F57" s="66"/>
      <c r="G57" s="66"/>
      <c r="H57" s="66"/>
      <c r="I57" s="66"/>
      <c r="J57" s="66"/>
      <c r="K57" s="66"/>
      <c r="L57" s="68"/>
      <c r="M57" s="68"/>
      <c r="N57" s="68"/>
      <c r="O57" s="2"/>
    </row>
    <row r="58" customFormat="false" ht="12.5" hidden="false" customHeight="false" outlineLevel="0" collapsed="false">
      <c r="A58" s="66"/>
      <c r="B58" s="66" t="s">
        <v>68</v>
      </c>
      <c r="C58" s="66"/>
      <c r="D58" s="70"/>
      <c r="E58" s="70"/>
      <c r="F58" s="66"/>
      <c r="G58" s="66"/>
      <c r="H58" s="66"/>
      <c r="I58" s="66"/>
      <c r="J58" s="66"/>
      <c r="K58" s="66"/>
      <c r="L58" s="68"/>
      <c r="M58" s="68"/>
      <c r="N58" s="68"/>
      <c r="O58" s="2"/>
    </row>
    <row r="59" customFormat="false" ht="12.5" hidden="false" customHeight="false" outlineLevel="0" collapsed="false">
      <c r="A59" s="66" t="s">
        <v>69</v>
      </c>
      <c r="B59" s="66"/>
      <c r="C59" s="66"/>
      <c r="D59" s="71"/>
      <c r="E59" s="66"/>
      <c r="F59" s="66"/>
      <c r="G59" s="66"/>
      <c r="H59" s="66"/>
      <c r="I59" s="66"/>
      <c r="J59" s="66"/>
      <c r="K59" s="66"/>
      <c r="L59" s="68"/>
      <c r="M59" s="68"/>
      <c r="N59" s="68"/>
      <c r="O59" s="2"/>
    </row>
    <row r="60" customFormat="false" ht="13.5" hidden="false" customHeight="false" outlineLevel="0" collapsed="false">
      <c r="A60" s="66" t="n">
        <v>1</v>
      </c>
      <c r="B60" s="66" t="s">
        <v>70</v>
      </c>
      <c r="C60" s="66"/>
      <c r="D60" s="70"/>
      <c r="E60" s="66"/>
      <c r="F60" s="66"/>
      <c r="G60" s="66"/>
      <c r="H60" s="66"/>
      <c r="I60" s="66"/>
      <c r="J60" s="66"/>
      <c r="K60" s="66"/>
      <c r="L60" s="68"/>
      <c r="M60" s="68"/>
      <c r="N60" s="68"/>
      <c r="O60" s="2"/>
    </row>
    <row r="61" customFormat="false" ht="12.5" hidden="false" customHeight="false" outlineLevel="0" collapsed="false">
      <c r="B61" s="66" t="s">
        <v>71</v>
      </c>
      <c r="C61" s="66"/>
      <c r="D61" s="66"/>
      <c r="E61" s="66"/>
      <c r="F61" s="66"/>
      <c r="G61" s="66"/>
      <c r="H61" s="66"/>
      <c r="I61" s="66"/>
      <c r="J61" s="66"/>
      <c r="K61" s="66"/>
      <c r="L61" s="68"/>
      <c r="M61" s="68"/>
      <c r="N61" s="68"/>
      <c r="O61" s="2"/>
    </row>
    <row r="62" customFormat="false" ht="13.5" hidden="false" customHeight="false" outlineLevel="0" collapsed="false">
      <c r="A62" s="66" t="n">
        <v>3</v>
      </c>
      <c r="B62" s="66" t="s">
        <v>72</v>
      </c>
      <c r="C62" s="66"/>
      <c r="D62" s="66"/>
      <c r="E62" s="66"/>
      <c r="F62" s="66"/>
      <c r="G62" s="66"/>
      <c r="H62" s="66"/>
      <c r="I62" s="66"/>
      <c r="J62" s="66"/>
      <c r="K62" s="66"/>
      <c r="L62" s="68"/>
      <c r="M62" s="68"/>
      <c r="N62" s="68"/>
      <c r="O62" s="66"/>
    </row>
    <row r="63" customFormat="false" ht="13.5" hidden="false" customHeight="false" outlineLevel="0" collapsed="false">
      <c r="A63" s="66"/>
      <c r="B63" s="66"/>
      <c r="C63" s="66" t="s">
        <v>73</v>
      </c>
      <c r="D63" s="66"/>
      <c r="E63" s="66"/>
      <c r="F63" s="66"/>
      <c r="G63" s="66"/>
      <c r="H63" s="66"/>
      <c r="I63" s="66"/>
      <c r="J63" s="66"/>
      <c r="K63" s="66"/>
      <c r="L63" s="68"/>
      <c r="M63" s="68"/>
      <c r="N63" s="68"/>
      <c r="O63" s="66"/>
    </row>
    <row r="64" customFormat="false" ht="13.5" hidden="false" customHeight="false" outlineLevel="0" collapsed="false">
      <c r="A64" s="66" t="n">
        <v>4</v>
      </c>
      <c r="B64" s="66" t="s">
        <v>74</v>
      </c>
      <c r="C64" s="66"/>
      <c r="D64" s="66"/>
      <c r="E64" s="66"/>
      <c r="F64" s="66"/>
      <c r="G64" s="66"/>
      <c r="H64" s="66"/>
      <c r="I64" s="66"/>
      <c r="J64" s="66"/>
      <c r="K64" s="66"/>
      <c r="L64" s="68"/>
      <c r="M64" s="68"/>
      <c r="N64" s="68"/>
      <c r="O64" s="66"/>
    </row>
    <row r="65" customFormat="false" ht="12.5" hidden="false" customHeight="false" outlineLevel="0" collapsed="false">
      <c r="A65" s="66"/>
      <c r="B65" s="66"/>
      <c r="C65" s="66" t="s">
        <v>75</v>
      </c>
      <c r="D65" s="66"/>
      <c r="E65" s="66"/>
      <c r="F65" s="66"/>
      <c r="G65" s="66"/>
      <c r="H65" s="66"/>
      <c r="I65" s="66"/>
      <c r="J65" s="66"/>
      <c r="K65" s="66"/>
      <c r="L65" s="68"/>
      <c r="M65" s="68"/>
      <c r="N65" s="68"/>
      <c r="O65" s="66"/>
    </row>
    <row r="66" customFormat="false" ht="12.5" hidden="false" customHeight="false" outlineLevel="0" collapsed="false">
      <c r="A66" s="66"/>
      <c r="B66" s="66"/>
      <c r="C66" s="66" t="s">
        <v>76</v>
      </c>
      <c r="D66" s="66"/>
      <c r="E66" s="66"/>
      <c r="F66" s="66"/>
      <c r="G66" s="66"/>
      <c r="H66" s="66"/>
      <c r="I66" s="66"/>
      <c r="J66" s="66"/>
      <c r="K66" s="66"/>
      <c r="L66" s="68"/>
      <c r="M66" s="68"/>
      <c r="N66" s="68"/>
      <c r="O66" s="66"/>
    </row>
    <row r="67" customFormat="false" ht="12.5" hidden="false" customHeight="false" outlineLevel="0" collapsed="false">
      <c r="A67" s="66"/>
      <c r="B67" s="66"/>
      <c r="C67" s="66" t="s">
        <v>77</v>
      </c>
      <c r="D67" s="66"/>
      <c r="E67" s="66"/>
      <c r="F67" s="67" t="n">
        <v>910</v>
      </c>
      <c r="G67" s="66" t="s">
        <v>78</v>
      </c>
      <c r="H67" s="66"/>
      <c r="I67" s="67" t="n">
        <v>650</v>
      </c>
      <c r="J67" s="66" t="s">
        <v>79</v>
      </c>
      <c r="K67" s="66"/>
      <c r="L67" s="68"/>
      <c r="M67" s="72" t="n">
        <v>575</v>
      </c>
      <c r="N67" s="68" t="s">
        <v>29</v>
      </c>
      <c r="O67" s="66"/>
    </row>
    <row r="68" customFormat="false" ht="12.5" hidden="false" customHeight="false" outlineLevel="0" collapsed="false">
      <c r="A68" s="66"/>
      <c r="B68" s="66"/>
      <c r="C68" s="66" t="s">
        <v>80</v>
      </c>
      <c r="D68" s="66"/>
      <c r="E68" s="66"/>
      <c r="F68" s="70"/>
      <c r="G68" s="66"/>
      <c r="H68" s="66"/>
      <c r="I68" s="70"/>
      <c r="J68" s="66"/>
      <c r="K68" s="66"/>
      <c r="L68" s="68"/>
      <c r="M68" s="73"/>
      <c r="N68" s="68"/>
      <c r="O68" s="66"/>
    </row>
    <row r="69" customFormat="false" ht="13.5" hidden="false" customHeight="false" outlineLevel="0" collapsed="false">
      <c r="A69" s="66" t="n">
        <v>5</v>
      </c>
      <c r="B69" s="66" t="s">
        <v>81</v>
      </c>
      <c r="C69" s="66"/>
      <c r="D69" s="66"/>
      <c r="E69" s="66"/>
      <c r="F69" s="66"/>
      <c r="G69" s="66"/>
      <c r="H69" s="66"/>
      <c r="I69" s="66"/>
      <c r="J69" s="66"/>
      <c r="K69" s="66"/>
      <c r="L69" s="68"/>
      <c r="M69" s="68"/>
      <c r="N69" s="68"/>
      <c r="O69" s="66"/>
    </row>
    <row r="70" customFormat="false" ht="13.5" hidden="false" customHeight="false" outlineLevel="0" collapsed="false">
      <c r="A70" s="74" t="n">
        <v>6</v>
      </c>
      <c r="B70" s="74" t="s">
        <v>82</v>
      </c>
      <c r="C70" s="74"/>
      <c r="D70" s="74"/>
      <c r="E70" s="74"/>
      <c r="F70" s="66"/>
      <c r="G70" s="66"/>
      <c r="H70" s="66"/>
      <c r="I70" s="66"/>
      <c r="J70" s="66"/>
      <c r="K70" s="66"/>
      <c r="L70" s="68"/>
      <c r="M70" s="68"/>
      <c r="N70" s="68"/>
      <c r="O70" s="66"/>
    </row>
    <row r="71" customFormat="false" ht="13.5" hidden="false" customHeight="false" outlineLevel="0" collapsed="false">
      <c r="A71" s="74"/>
      <c r="B71" s="74"/>
      <c r="C71" s="74" t="s">
        <v>83</v>
      </c>
      <c r="D71" s="74"/>
      <c r="E71" s="74"/>
      <c r="F71" s="66"/>
      <c r="G71" s="66"/>
      <c r="H71" s="66"/>
      <c r="I71" s="66"/>
      <c r="J71" s="66"/>
      <c r="K71" s="66"/>
      <c r="L71" s="68"/>
      <c r="M71" s="68"/>
      <c r="N71" s="68"/>
      <c r="O71" s="66"/>
    </row>
    <row r="72" customFormat="false" ht="13.5" hidden="false" customHeight="false" outlineLevel="0" collapsed="false">
      <c r="A72" s="75" t="n">
        <v>7</v>
      </c>
      <c r="B72" s="74" t="s">
        <v>84</v>
      </c>
      <c r="C72" s="74"/>
      <c r="D72" s="74"/>
      <c r="E72" s="74"/>
      <c r="F72" s="66"/>
      <c r="G72" s="66"/>
      <c r="H72" s="66"/>
      <c r="I72" s="66"/>
      <c r="J72" s="66"/>
      <c r="K72" s="66"/>
      <c r="L72" s="68"/>
      <c r="M72" s="68"/>
      <c r="N72" s="68"/>
      <c r="O72" s="66"/>
    </row>
    <row r="73" customFormat="false" ht="13.5" hidden="false" customHeight="false" outlineLevel="0" collapsed="false">
      <c r="A73" s="66" t="n">
        <v>8</v>
      </c>
      <c r="B73" s="66" t="s">
        <v>85</v>
      </c>
      <c r="C73" s="66"/>
      <c r="D73" s="66"/>
      <c r="E73" s="66"/>
      <c r="F73" s="66"/>
      <c r="G73" s="66"/>
      <c r="H73" s="66"/>
      <c r="I73" s="66"/>
      <c r="J73" s="66"/>
      <c r="K73" s="66"/>
      <c r="L73" s="68"/>
      <c r="M73" s="68"/>
      <c r="N73" s="68"/>
      <c r="O73" s="66"/>
    </row>
    <row r="74" customFormat="false" ht="13.5" hidden="false" customHeight="false" outlineLevel="0" collapsed="false">
      <c r="A74" s="66" t="n">
        <v>9</v>
      </c>
      <c r="B74" s="66" t="s">
        <v>86</v>
      </c>
      <c r="C74" s="66"/>
      <c r="D74" s="66"/>
      <c r="E74" s="66"/>
      <c r="F74" s="66"/>
      <c r="G74" s="66"/>
      <c r="H74" s="66"/>
      <c r="I74" s="66"/>
      <c r="J74" s="66"/>
      <c r="K74" s="66"/>
      <c r="L74" s="68"/>
      <c r="M74" s="68"/>
      <c r="N74" s="68"/>
      <c r="O74" s="66"/>
    </row>
    <row r="75" customFormat="false" ht="13.5" hidden="false" customHeight="false" outlineLevel="0" collapsed="false">
      <c r="A75" s="66" t="n">
        <v>10</v>
      </c>
      <c r="B75" s="66" t="s">
        <v>87</v>
      </c>
      <c r="C75" s="66"/>
      <c r="D75" s="66"/>
      <c r="E75" s="66"/>
      <c r="F75" s="66"/>
      <c r="G75" s="66"/>
      <c r="H75" s="66"/>
      <c r="I75" s="66"/>
      <c r="J75" s="66"/>
      <c r="K75" s="66"/>
      <c r="L75" s="68"/>
      <c r="M75" s="68"/>
      <c r="N75" s="68"/>
      <c r="O75" s="66"/>
    </row>
    <row r="76" customFormat="false" ht="13.5" hidden="false" customHeight="false" outlineLevel="0" collapsed="false">
      <c r="A76" s="66" t="n">
        <v>11</v>
      </c>
      <c r="B76" s="66" t="s">
        <v>88</v>
      </c>
      <c r="C76" s="66"/>
      <c r="D76" s="66"/>
      <c r="E76" s="66"/>
      <c r="F76" s="66"/>
      <c r="G76" s="66"/>
      <c r="H76" s="66"/>
      <c r="I76" s="66"/>
      <c r="J76" s="66"/>
      <c r="K76" s="66"/>
      <c r="L76" s="68"/>
      <c r="M76" s="68"/>
      <c r="N76" s="68"/>
      <c r="O76" s="66"/>
    </row>
    <row r="77" customFormat="false" ht="13.5" hidden="false" customHeight="false" outlineLevel="0" collapsed="false">
      <c r="A77" s="66" t="n">
        <v>12</v>
      </c>
      <c r="B77" s="66" t="s">
        <v>89</v>
      </c>
      <c r="C77" s="66"/>
      <c r="D77" s="66"/>
      <c r="E77" s="66"/>
      <c r="F77" s="66"/>
      <c r="G77" s="66"/>
      <c r="H77" s="66"/>
      <c r="I77" s="66"/>
      <c r="J77" s="66"/>
      <c r="K77" s="66"/>
      <c r="L77" s="68"/>
      <c r="M77" s="68"/>
      <c r="N77" s="68"/>
      <c r="O77" s="66"/>
    </row>
    <row r="78" customFormat="false" ht="13.5" hidden="false" customHeight="false" outlineLevel="0" collapsed="false">
      <c r="A78" s="66" t="n">
        <v>13</v>
      </c>
      <c r="B78" s="66" t="s">
        <v>90</v>
      </c>
      <c r="C78" s="66"/>
      <c r="D78" s="66"/>
      <c r="E78" s="66"/>
      <c r="F78" s="66"/>
      <c r="G78" s="66"/>
      <c r="H78" s="66"/>
      <c r="I78" s="66"/>
      <c r="J78" s="66"/>
      <c r="K78" s="66"/>
      <c r="L78" s="68"/>
      <c r="M78" s="68"/>
      <c r="N78" s="68"/>
      <c r="O78" s="66"/>
    </row>
    <row r="79" customFormat="false" ht="12.5" hidden="false" customHeight="false" outlineLevel="0" collapsed="false">
      <c r="A79" s="66"/>
      <c r="B79" s="66"/>
      <c r="C79" s="66" t="s">
        <v>91</v>
      </c>
      <c r="D79" s="66"/>
      <c r="E79" s="66"/>
      <c r="F79" s="66"/>
      <c r="G79" s="66"/>
      <c r="H79" s="66"/>
      <c r="I79" s="66"/>
      <c r="J79" s="66"/>
      <c r="K79" s="66"/>
      <c r="L79" s="68"/>
      <c r="M79" s="68"/>
      <c r="N79" s="68"/>
      <c r="O79" s="66"/>
    </row>
    <row r="80" customFormat="false" ht="13.5" hidden="false" customHeight="false" outlineLevel="0" collapsed="false">
      <c r="A80" s="66" t="n">
        <v>14</v>
      </c>
      <c r="B80" s="66" t="s">
        <v>92</v>
      </c>
      <c r="C80" s="66"/>
      <c r="D80" s="66"/>
      <c r="E80" s="66"/>
      <c r="F80" s="66"/>
      <c r="G80" s="66"/>
      <c r="H80" s="66"/>
      <c r="I80" s="66"/>
      <c r="J80" s="66"/>
      <c r="K80" s="66"/>
      <c r="L80" s="68"/>
      <c r="M80" s="68"/>
      <c r="N80" s="68"/>
      <c r="O80" s="66"/>
    </row>
    <row r="81" customFormat="false" ht="13.5" hidden="false" customHeight="false" outlineLevel="0" collapsed="false">
      <c r="A81" s="66"/>
      <c r="B81" s="66"/>
      <c r="C81" s="66" t="s">
        <v>93</v>
      </c>
      <c r="D81" s="66"/>
      <c r="E81" s="66"/>
      <c r="F81" s="66"/>
      <c r="G81" s="66"/>
      <c r="H81" s="66"/>
      <c r="I81" s="66"/>
      <c r="J81" s="66"/>
      <c r="K81" s="66"/>
      <c r="L81" s="68"/>
      <c r="M81" s="68"/>
      <c r="N81" s="68"/>
      <c r="O81" s="66"/>
    </row>
    <row r="82" customFormat="false" ht="13.5" hidden="false" customHeight="false" outlineLevel="0" collapsed="false">
      <c r="A82" s="66" t="n">
        <v>15</v>
      </c>
      <c r="B82" s="66" t="s">
        <v>93</v>
      </c>
      <c r="C82" s="66"/>
      <c r="D82" s="66"/>
      <c r="E82" s="66"/>
      <c r="F82" s="66"/>
      <c r="G82" s="66"/>
      <c r="H82" s="66"/>
      <c r="I82" s="66"/>
      <c r="J82" s="66"/>
      <c r="K82" s="66"/>
      <c r="L82" s="68"/>
      <c r="M82" s="68"/>
      <c r="N82" s="68"/>
      <c r="O82" s="66"/>
    </row>
    <row r="83" customFormat="false" ht="13.5" hidden="false" customHeight="false" outlineLevel="0" collapsed="false">
      <c r="A83" s="66" t="n">
        <v>16</v>
      </c>
      <c r="B83" s="2" t="s">
        <v>94</v>
      </c>
      <c r="C83" s="2"/>
      <c r="D83" s="2"/>
      <c r="E83" s="2"/>
      <c r="F83" s="2"/>
      <c r="G83" s="2"/>
      <c r="H83" s="2"/>
      <c r="I83" s="2"/>
      <c r="J83" s="2"/>
      <c r="K83" s="2"/>
      <c r="L83" s="6"/>
      <c r="M83" s="6"/>
      <c r="N83" s="68"/>
      <c r="O83" s="66"/>
    </row>
    <row r="84" customFormat="false" ht="13.5" hidden="false" customHeight="false" outlineLevel="0" collapsed="false">
      <c r="A84" s="66"/>
      <c r="B84" s="2" t="s">
        <v>95</v>
      </c>
      <c r="C84" s="2"/>
      <c r="D84" s="2"/>
      <c r="E84" s="2"/>
      <c r="F84" s="2"/>
      <c r="G84" s="2"/>
      <c r="H84" s="2"/>
      <c r="I84" s="2"/>
      <c r="J84" s="2"/>
      <c r="K84" s="2"/>
      <c r="L84" s="6"/>
      <c r="M84" s="6"/>
      <c r="N84" s="68"/>
      <c r="O84" s="66"/>
    </row>
    <row r="85" customFormat="false" ht="13.5" hidden="false" customHeight="false" outlineLevel="0" collapsed="false">
      <c r="A85" s="66" t="n">
        <v>17</v>
      </c>
      <c r="B85" s="66" t="s">
        <v>96</v>
      </c>
      <c r="C85" s="66"/>
      <c r="D85" s="66"/>
      <c r="E85" s="66"/>
      <c r="F85" s="66"/>
      <c r="G85" s="66"/>
      <c r="H85" s="66"/>
      <c r="I85" s="66"/>
      <c r="J85" s="66"/>
      <c r="K85" s="66"/>
      <c r="L85" s="68"/>
      <c r="M85" s="68"/>
      <c r="N85" s="68"/>
      <c r="O85" s="66"/>
    </row>
    <row r="86" customFormat="false" ht="13.5" hidden="false" customHeight="false" outlineLevel="0" collapsed="false">
      <c r="A86" s="66" t="n">
        <v>18</v>
      </c>
      <c r="B86" s="66" t="s">
        <v>97</v>
      </c>
      <c r="C86" s="66"/>
      <c r="D86" s="66"/>
      <c r="E86" s="66"/>
      <c r="F86" s="66"/>
      <c r="G86" s="66"/>
      <c r="H86" s="66"/>
      <c r="I86" s="66"/>
      <c r="J86" s="66"/>
      <c r="K86" s="66"/>
      <c r="L86" s="68"/>
      <c r="M86" s="68"/>
      <c r="N86" s="68"/>
      <c r="O86" s="66"/>
    </row>
    <row r="87" customFormat="false" ht="13.5" hidden="false" customHeight="false" outlineLevel="0" collapsed="false">
      <c r="A87" s="66"/>
      <c r="B87" s="66"/>
      <c r="C87" s="66" t="s">
        <v>98</v>
      </c>
      <c r="D87" s="66"/>
      <c r="E87" s="66"/>
      <c r="F87" s="66"/>
      <c r="G87" s="66"/>
      <c r="H87" s="66"/>
      <c r="I87" s="66"/>
      <c r="J87" s="66"/>
      <c r="K87" s="66"/>
      <c r="L87" s="68"/>
      <c r="M87" s="68"/>
      <c r="N87" s="68"/>
      <c r="O87" s="66"/>
    </row>
    <row r="88" customFormat="false" ht="12.5" hidden="false" customHeight="false" outlineLevel="0" collapsed="false">
      <c r="A88" s="76"/>
      <c r="B88" s="76"/>
      <c r="C88" s="77"/>
      <c r="D88" s="76"/>
      <c r="E88" s="76"/>
      <c r="F88" s="76"/>
      <c r="G88" s="78" t="s">
        <v>99</v>
      </c>
      <c r="H88" s="76"/>
      <c r="I88" s="76"/>
      <c r="J88" s="76"/>
      <c r="K88" s="76"/>
      <c r="L88" s="79"/>
      <c r="M88" s="79"/>
      <c r="N88" s="80"/>
      <c r="O88" s="81"/>
    </row>
    <row r="89" customFormat="false" ht="25.5" hidden="false" customHeight="true" outlineLevel="0" collapsed="false">
      <c r="A89" s="66"/>
      <c r="B89" s="66"/>
      <c r="C89" s="66"/>
      <c r="D89" s="66"/>
      <c r="E89" s="82" t="s">
        <v>100</v>
      </c>
      <c r="F89" s="83" t="s">
        <v>101</v>
      </c>
      <c r="G89" s="82" t="s">
        <v>102</v>
      </c>
      <c r="H89" s="82"/>
      <c r="I89" s="84" t="s">
        <v>103</v>
      </c>
      <c r="J89" s="83" t="s">
        <v>104</v>
      </c>
      <c r="K89" s="83" t="s">
        <v>105</v>
      </c>
      <c r="L89" s="85" t="s">
        <v>106</v>
      </c>
      <c r="M89" s="83" t="s">
        <v>107</v>
      </c>
      <c r="N89" s="68"/>
      <c r="O89" s="66"/>
    </row>
    <row r="90" customFormat="false" ht="12.5" hidden="false" customHeight="false" outlineLevel="0" collapsed="false">
      <c r="A90" s="66"/>
      <c r="B90" s="86" t="s">
        <v>108</v>
      </c>
      <c r="C90" s="86"/>
      <c r="D90" s="86"/>
      <c r="E90" s="87" t="n">
        <v>1</v>
      </c>
      <c r="F90" s="88" t="n">
        <v>45000</v>
      </c>
      <c r="G90" s="89" t="n">
        <v>1000</v>
      </c>
      <c r="H90" s="90"/>
      <c r="I90" s="91" t="n">
        <f aca="false">'machinery costs'!K2</f>
        <v>5.79290625</v>
      </c>
      <c r="J90" s="92" t="n">
        <v>20.97</v>
      </c>
      <c r="K90" s="93" t="n">
        <f aca="false">0.64*E90</f>
        <v>0.64</v>
      </c>
      <c r="L90" s="93" t="n">
        <f aca="false">(G90*E90)/J90</f>
        <v>47.6871721506915</v>
      </c>
      <c r="M90" s="93" t="n">
        <f aca="false">0.66*E90</f>
        <v>0.66</v>
      </c>
      <c r="N90" s="68"/>
      <c r="O90" s="66"/>
    </row>
    <row r="91" customFormat="false" ht="12.5" hidden="false" customHeight="false" outlineLevel="0" collapsed="false">
      <c r="A91" s="66"/>
      <c r="B91" s="67" t="s">
        <v>109</v>
      </c>
      <c r="C91" s="67"/>
      <c r="D91" s="67"/>
      <c r="E91" s="94" t="n">
        <v>1</v>
      </c>
      <c r="F91" s="95" t="n">
        <v>71000</v>
      </c>
      <c r="G91" s="96" t="n">
        <v>1000</v>
      </c>
      <c r="H91" s="97"/>
      <c r="I91" s="91" t="n">
        <f aca="false">'machinery costs'!K3</f>
        <v>9.13991875</v>
      </c>
      <c r="J91" s="98" t="n">
        <v>43.27</v>
      </c>
      <c r="K91" s="99" t="n">
        <f aca="false">0.34*E91</f>
        <v>0.34</v>
      </c>
      <c r="L91" s="99" t="n">
        <f aca="false">(G91*E91)/J91</f>
        <v>23.1107002542177</v>
      </c>
      <c r="M91" s="99" t="n">
        <f aca="false">0.53*E91</f>
        <v>0.53</v>
      </c>
      <c r="N91" s="68"/>
      <c r="O91" s="66"/>
    </row>
    <row r="92" customFormat="false" ht="12.5" hidden="false" customHeight="false" outlineLevel="0" collapsed="false">
      <c r="A92" s="66"/>
      <c r="B92" s="67" t="s">
        <v>110</v>
      </c>
      <c r="C92" s="67"/>
      <c r="D92" s="67"/>
      <c r="E92" s="94" t="n">
        <v>2</v>
      </c>
      <c r="F92" s="95" t="n">
        <v>220000</v>
      </c>
      <c r="G92" s="96" t="n">
        <v>2000</v>
      </c>
      <c r="H92" s="97"/>
      <c r="I92" s="91" t="n">
        <f aca="false">'machinery costs'!K4</f>
        <v>14.1604375</v>
      </c>
      <c r="J92" s="98" t="n">
        <v>44.12</v>
      </c>
      <c r="K92" s="99" t="n">
        <f aca="false">0.07*E92</f>
        <v>0.14</v>
      </c>
      <c r="L92" s="99" t="n">
        <f aca="false">(G92*E92)/J92</f>
        <v>90.6618313689937</v>
      </c>
      <c r="M92" s="99" t="n">
        <f aca="false">E92*2.4</f>
        <v>4.8</v>
      </c>
      <c r="N92" s="68"/>
      <c r="O92" s="66"/>
    </row>
    <row r="93" customFormat="false" ht="12.5" hidden="false" customHeight="false" outlineLevel="0" collapsed="false">
      <c r="A93" s="66"/>
      <c r="B93" s="67" t="s">
        <v>111</v>
      </c>
      <c r="C93" s="67"/>
      <c r="D93" s="67"/>
      <c r="E93" s="94" t="n">
        <v>1</v>
      </c>
      <c r="F93" s="95" t="n">
        <v>87000</v>
      </c>
      <c r="G93" s="96" t="n">
        <v>1000</v>
      </c>
      <c r="H93" s="97"/>
      <c r="I93" s="91" t="n">
        <f aca="false">'machinery costs'!K5</f>
        <v>10.359525</v>
      </c>
      <c r="J93" s="98" t="n">
        <v>14</v>
      </c>
      <c r="K93" s="99" t="n">
        <f aca="false">0.32*E93</f>
        <v>0.32</v>
      </c>
      <c r="L93" s="99" t="n">
        <f aca="false">(G93*E93)/J93</f>
        <v>71.4285714285714</v>
      </c>
      <c r="M93" s="99" t="n">
        <f aca="false">1.37*E93</f>
        <v>1.37</v>
      </c>
      <c r="N93" s="68"/>
      <c r="O93" s="66"/>
    </row>
    <row r="94" customFormat="false" ht="12.5" hidden="false" customHeight="false" outlineLevel="0" collapsed="false">
      <c r="A94" s="66"/>
      <c r="B94" s="67" t="s">
        <v>112</v>
      </c>
      <c r="C94" s="67"/>
      <c r="D94" s="67"/>
      <c r="E94" s="94" t="n">
        <v>1</v>
      </c>
      <c r="F94" s="95" t="n">
        <v>352000</v>
      </c>
      <c r="G94" s="96" t="n">
        <v>2000</v>
      </c>
      <c r="H94" s="97"/>
      <c r="I94" s="91" t="n">
        <f aca="false">'machinery costs'!K6</f>
        <v>23.50645</v>
      </c>
      <c r="J94" s="100" t="s">
        <v>113</v>
      </c>
      <c r="K94" s="101" t="s">
        <v>113</v>
      </c>
      <c r="L94" s="102" t="n">
        <f aca="false">L95</f>
        <v>147.275405007364</v>
      </c>
      <c r="M94" s="102" t="n">
        <f aca="false">(L94*58.72)/1000</f>
        <v>8.6480117820324</v>
      </c>
      <c r="N94" s="68"/>
      <c r="O94" s="66"/>
    </row>
    <row r="95" customFormat="false" ht="12.5" hidden="false" customHeight="false" outlineLevel="0" collapsed="false">
      <c r="A95" s="66"/>
      <c r="B95" s="67"/>
      <c r="C95" s="67" t="s">
        <v>114</v>
      </c>
      <c r="D95" s="67"/>
      <c r="E95" s="94" t="n">
        <v>1</v>
      </c>
      <c r="F95" s="95" t="n">
        <v>57000</v>
      </c>
      <c r="G95" s="96" t="n">
        <v>1000</v>
      </c>
      <c r="H95" s="97"/>
      <c r="I95" s="91" t="n">
        <f aca="false">'machinery costs'!K7</f>
        <v>7.612884375</v>
      </c>
      <c r="J95" s="103" t="n">
        <v>6.79</v>
      </c>
      <c r="K95" s="99" t="n">
        <f aca="false">1.88*E95</f>
        <v>1.88</v>
      </c>
      <c r="L95" s="99" t="n">
        <f aca="false">(G95*E95)/J95</f>
        <v>147.275405007364</v>
      </c>
      <c r="M95" s="102" t="n">
        <f aca="false">0.98*E95</f>
        <v>0.98</v>
      </c>
      <c r="N95" s="68"/>
      <c r="O95" s="66"/>
    </row>
    <row r="96" customFormat="false" ht="12.5" hidden="false" customHeight="false" outlineLevel="0" collapsed="false">
      <c r="A96" s="66"/>
      <c r="B96" s="67" t="s">
        <v>115</v>
      </c>
      <c r="C96" s="67"/>
      <c r="D96" s="67"/>
      <c r="E96" s="94" t="n">
        <v>1</v>
      </c>
      <c r="F96" s="95" t="n">
        <v>21000</v>
      </c>
      <c r="G96" s="96" t="n">
        <v>1000</v>
      </c>
      <c r="H96" s="97"/>
      <c r="I96" s="91" t="n">
        <f aca="false">'machinery costs'!K8</f>
        <v>2.70335625</v>
      </c>
      <c r="J96" s="103" t="n">
        <v>18</v>
      </c>
      <c r="K96" s="99" t="n">
        <f aca="false">0.6*E96</f>
        <v>0.6</v>
      </c>
      <c r="L96" s="99" t="n">
        <f aca="false">(G96*E96)/J96</f>
        <v>55.5555555555556</v>
      </c>
      <c r="M96" s="102" t="n">
        <f aca="false">0.21*E96</f>
        <v>0.21</v>
      </c>
      <c r="N96" s="68"/>
      <c r="O96" s="66"/>
    </row>
    <row r="97" customFormat="false" ht="12.5" hidden="false" customHeight="false" outlineLevel="0" collapsed="false">
      <c r="A97" s="66"/>
      <c r="B97" s="67" t="s">
        <v>116</v>
      </c>
      <c r="C97" s="67"/>
      <c r="D97" s="67"/>
      <c r="E97" s="94" t="n">
        <v>1</v>
      </c>
      <c r="F97" s="95" t="n">
        <v>12000</v>
      </c>
      <c r="G97" s="96" t="n">
        <v>2000</v>
      </c>
      <c r="H97" s="97"/>
      <c r="I97" s="91" t="n">
        <f aca="false">'machinery costs'!K9</f>
        <v>0.7723875</v>
      </c>
      <c r="J97" s="103" t="n">
        <v>34</v>
      </c>
      <c r="K97" s="99" t="n">
        <f aca="false">0.12*E97</f>
        <v>0.12</v>
      </c>
      <c r="L97" s="99" t="n">
        <f aca="false">(G97*E97)/J97</f>
        <v>58.8235294117647</v>
      </c>
      <c r="M97" s="102" t="n">
        <v>0.15</v>
      </c>
      <c r="N97" s="68"/>
      <c r="O97" s="66"/>
    </row>
    <row r="98" customFormat="false" ht="12.5" hidden="false" customHeight="false" outlineLevel="0" collapsed="false">
      <c r="A98" s="66"/>
      <c r="B98" s="67" t="s">
        <v>117</v>
      </c>
      <c r="C98" s="67"/>
      <c r="D98" s="67"/>
      <c r="E98" s="94" t="n">
        <v>1</v>
      </c>
      <c r="F98" s="95" t="n">
        <v>70000</v>
      </c>
      <c r="G98" s="96" t="n">
        <v>2000</v>
      </c>
      <c r="H98" s="97"/>
      <c r="I98" s="91" t="n">
        <f aca="false">'machinery costs'!K10</f>
        <v>4.438</v>
      </c>
      <c r="J98" s="100" t="s">
        <v>113</v>
      </c>
      <c r="K98" s="101" t="s">
        <v>118</v>
      </c>
      <c r="L98" s="104" t="s">
        <v>113</v>
      </c>
      <c r="M98" s="102" t="n">
        <v>3.5</v>
      </c>
      <c r="N98" s="68"/>
      <c r="O98" s="66"/>
    </row>
    <row r="99" customFormat="false" ht="12.5" hidden="false" customHeight="false" outlineLevel="0" collapsed="false">
      <c r="A99" s="66"/>
      <c r="B99" s="67" t="s">
        <v>119</v>
      </c>
      <c r="C99" s="67"/>
      <c r="D99" s="67"/>
      <c r="E99" s="94" t="n">
        <v>1</v>
      </c>
      <c r="F99" s="95" t="n">
        <v>62500</v>
      </c>
      <c r="G99" s="96" t="n">
        <v>2000</v>
      </c>
      <c r="H99" s="97"/>
      <c r="I99" s="91" t="n">
        <f aca="false">'machinery costs'!K11</f>
        <v>3.9625</v>
      </c>
      <c r="J99" s="100" t="s">
        <v>113</v>
      </c>
      <c r="K99" s="99" t="n">
        <f aca="false">(L99*9.9)/1000</f>
        <v>0.729013254786451</v>
      </c>
      <c r="L99" s="102" t="n">
        <f aca="false">L95*0.5</f>
        <v>73.6377025036819</v>
      </c>
      <c r="M99" s="102" t="n">
        <v>1</v>
      </c>
      <c r="N99" s="68"/>
      <c r="O99" s="66"/>
    </row>
    <row r="100" customFormat="false" ht="12.5" hidden="false" customHeight="false" outlineLevel="0" collapsed="false">
      <c r="A100" s="66"/>
      <c r="B100" s="67" t="s">
        <v>120</v>
      </c>
      <c r="C100" s="67"/>
      <c r="D100" s="67"/>
      <c r="E100" s="94" t="n">
        <v>3</v>
      </c>
      <c r="F100" s="95" t="n">
        <v>259000</v>
      </c>
      <c r="G100" s="96" t="n">
        <v>2000</v>
      </c>
      <c r="H100" s="97"/>
      <c r="I100" s="91" t="n">
        <f aca="false">'machinery costs'!K12</f>
        <v>16.4206</v>
      </c>
      <c r="J100" s="105" t="s">
        <v>113</v>
      </c>
      <c r="K100" s="106" t="s">
        <v>113</v>
      </c>
      <c r="L100" s="102" t="n">
        <f aca="false">L90+L96+L99</f>
        <v>176.880430209929</v>
      </c>
      <c r="M100" s="102" t="n">
        <f aca="false">(L100*4.14)/G100</f>
        <v>0.366142490534553</v>
      </c>
      <c r="N100" s="68"/>
      <c r="O100" s="66"/>
    </row>
    <row r="101" customFormat="false" ht="12.5" hidden="false" customHeight="false" outlineLevel="0" collapsed="false">
      <c r="A101" s="66"/>
      <c r="B101" s="67" t="s">
        <v>121</v>
      </c>
      <c r="C101" s="67"/>
      <c r="D101" s="67"/>
      <c r="E101" s="94" t="n">
        <v>3</v>
      </c>
      <c r="F101" s="95" t="n">
        <v>244000</v>
      </c>
      <c r="G101" s="96" t="n">
        <v>2000</v>
      </c>
      <c r="H101" s="97"/>
      <c r="I101" s="91" t="n">
        <f aca="false">'machinery costs'!K13</f>
        <v>15.4696</v>
      </c>
      <c r="J101" s="105" t="s">
        <v>113</v>
      </c>
      <c r="K101" s="106" t="s">
        <v>113</v>
      </c>
      <c r="L101" s="102" t="n">
        <f aca="false">L91+L93+L97</f>
        <v>153.362801094554</v>
      </c>
      <c r="M101" s="102" t="n">
        <f aca="false">(L101*3.9)/G101</f>
        <v>0.29905746213438</v>
      </c>
      <c r="N101" s="68"/>
      <c r="O101" s="66"/>
    </row>
    <row r="102" customFormat="false" ht="12.5" hidden="false" customHeight="false" outlineLevel="0" collapsed="false">
      <c r="A102" s="66"/>
      <c r="B102" s="107" t="s">
        <v>122</v>
      </c>
      <c r="C102" s="107"/>
      <c r="D102" s="107"/>
      <c r="E102" s="108" t="n">
        <v>1</v>
      </c>
      <c r="F102" s="109" t="n">
        <v>25000</v>
      </c>
      <c r="G102" s="110" t="n">
        <v>2000</v>
      </c>
      <c r="H102" s="111"/>
      <c r="I102" s="112" t="n">
        <f aca="false">'machinery costs'!K14</f>
        <v>1.585</v>
      </c>
      <c r="J102" s="113" t="s">
        <v>113</v>
      </c>
      <c r="K102" s="114" t="n">
        <f aca="false">0.21*E102</f>
        <v>0.21</v>
      </c>
      <c r="L102" s="115" t="s">
        <v>113</v>
      </c>
      <c r="M102" s="116" t="n">
        <v>0.15</v>
      </c>
      <c r="N102" s="68"/>
      <c r="O102" s="66"/>
    </row>
    <row r="103" customFormat="false" ht="12.5" hidden="false" customHeight="false" outlineLevel="0" collapsed="false">
      <c r="A103" s="66"/>
      <c r="C103" s="66"/>
      <c r="D103" s="66"/>
      <c r="E103" s="117"/>
      <c r="F103" s="118"/>
      <c r="G103" s="118"/>
      <c r="H103" s="118"/>
      <c r="I103" s="119"/>
      <c r="J103" s="120" t="s">
        <v>123</v>
      </c>
      <c r="K103" s="121" t="n">
        <f aca="false">SUM(K90:K101)*M106+(K102*M106*1.2)</f>
        <v>17.5735463917526</v>
      </c>
      <c r="L103" s="0"/>
      <c r="M103" s="122"/>
      <c r="N103" s="68"/>
      <c r="O103" s="66"/>
    </row>
    <row r="104" customFormat="false" ht="13" hidden="false" customHeight="false" outlineLevel="0" collapsed="false">
      <c r="A104" s="66"/>
      <c r="B104" s="123" t="s">
        <v>124</v>
      </c>
      <c r="C104" s="123"/>
      <c r="D104" s="123"/>
      <c r="E104" s="123"/>
      <c r="F104" s="124"/>
      <c r="G104" s="124"/>
      <c r="H104" s="124"/>
      <c r="I104" s="125" t="n">
        <f aca="false">SUM(I90:I102)</f>
        <v>115.923565625</v>
      </c>
      <c r="J104" s="120" t="s">
        <v>125</v>
      </c>
      <c r="K104" s="121" t="n">
        <f aca="false">(K103*0.1)+K103</f>
        <v>19.3309010309278</v>
      </c>
      <c r="L104" s="126" t="s">
        <v>126</v>
      </c>
      <c r="M104" s="121" t="n">
        <f aca="false">SUM(M90:M102)</f>
        <v>22.6632117347013</v>
      </c>
      <c r="N104" s="68"/>
      <c r="O104" s="66"/>
    </row>
    <row r="105" customFormat="false" ht="12.5" hidden="false" customHeight="false" outlineLevel="0" collapsed="false">
      <c r="A105" s="66"/>
      <c r="B105" s="123"/>
      <c r="C105" s="66"/>
      <c r="D105" s="66"/>
      <c r="E105" s="66"/>
      <c r="F105" s="127"/>
      <c r="G105" s="128"/>
      <c r="H105" s="128"/>
      <c r="I105" s="129"/>
      <c r="J105" s="123"/>
      <c r="K105" s="130"/>
      <c r="L105" s="130"/>
      <c r="M105" s="131"/>
      <c r="N105" s="68"/>
      <c r="O105" s="66"/>
    </row>
    <row r="106" customFormat="false" ht="12.5" hidden="false" customHeight="false" outlineLevel="0" collapsed="false">
      <c r="A106" s="66"/>
      <c r="B106" s="66"/>
      <c r="C106" s="123"/>
      <c r="D106" s="123"/>
      <c r="E106" s="123"/>
      <c r="F106" s="132"/>
      <c r="G106" s="132"/>
      <c r="H106" s="132"/>
      <c r="I106" s="132"/>
      <c r="J106" s="133" t="s">
        <v>127</v>
      </c>
      <c r="K106" s="133"/>
      <c r="L106" s="133"/>
      <c r="M106" s="134" t="n">
        <v>3.5</v>
      </c>
      <c r="N106" s="68"/>
      <c r="O106" s="66"/>
    </row>
    <row r="107" customFormat="false" ht="12.5" hidden="false" customHeight="false" outlineLevel="0" collapsed="false">
      <c r="A107" s="66" t="s">
        <v>128</v>
      </c>
      <c r="B107" s="123"/>
      <c r="C107" s="123"/>
      <c r="D107" s="123"/>
      <c r="E107" s="123"/>
      <c r="F107" s="132"/>
      <c r="G107" s="132"/>
      <c r="H107" s="132"/>
      <c r="I107" s="129"/>
      <c r="J107" s="123"/>
      <c r="K107" s="131"/>
      <c r="L107" s="131"/>
      <c r="M107" s="131"/>
      <c r="N107" s="68"/>
      <c r="O107" s="66"/>
    </row>
    <row r="108" customFormat="false" ht="12.5" hidden="false" customHeight="false" outlineLevel="0" collapsed="false">
      <c r="A108" s="66" t="s">
        <v>129</v>
      </c>
      <c r="B108" s="123"/>
      <c r="C108" s="123"/>
      <c r="D108" s="123"/>
      <c r="E108" s="123"/>
      <c r="F108" s="132"/>
      <c r="G108" s="132"/>
      <c r="H108" s="132"/>
      <c r="I108" s="129"/>
      <c r="J108" s="123"/>
      <c r="K108" s="131"/>
      <c r="L108" s="131"/>
      <c r="M108" s="131"/>
      <c r="N108" s="68"/>
      <c r="O108" s="66"/>
    </row>
    <row r="109" customFormat="false" ht="12.5" hidden="false" customHeight="false" outlineLevel="0" collapsed="false">
      <c r="A109" s="135" t="s">
        <v>130</v>
      </c>
      <c r="B109" s="123"/>
      <c r="C109" s="123"/>
      <c r="D109" s="123"/>
      <c r="E109" s="123"/>
      <c r="F109" s="132"/>
      <c r="G109" s="132"/>
      <c r="H109" s="132"/>
      <c r="I109" s="129"/>
      <c r="J109" s="123"/>
      <c r="K109" s="131"/>
      <c r="L109" s="131"/>
      <c r="M109" s="131"/>
      <c r="N109" s="68"/>
      <c r="O109" s="66"/>
    </row>
    <row r="110" customFormat="false" ht="12.5" hidden="false" customHeight="false" outlineLevel="0" collapsed="false">
      <c r="A110" s="66" t="s">
        <v>131</v>
      </c>
      <c r="B110" s="66"/>
      <c r="C110" s="66"/>
      <c r="D110" s="66"/>
      <c r="E110" s="66"/>
      <c r="F110" s="136"/>
      <c r="G110" s="136"/>
      <c r="H110" s="136"/>
      <c r="I110" s="129"/>
      <c r="J110" s="66"/>
      <c r="K110" s="68"/>
      <c r="L110" s="68"/>
      <c r="M110" s="68"/>
      <c r="N110" s="68"/>
      <c r="O110" s="66"/>
    </row>
    <row r="111" customFormat="false" ht="12.5" hidden="false" customHeight="false" outlineLevel="0" collapsed="false">
      <c r="A111" s="66" t="s">
        <v>132</v>
      </c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137"/>
      <c r="M111" s="68"/>
      <c r="N111" s="68"/>
      <c r="O111" s="66"/>
    </row>
    <row r="112" customFormat="false" ht="12.5" hidden="false" customHeight="false" outlineLevel="0" collapsed="false">
      <c r="A112" s="66" t="s">
        <v>133</v>
      </c>
      <c r="B112" s="66"/>
      <c r="C112" s="66"/>
      <c r="D112" s="66"/>
      <c r="E112" s="70"/>
      <c r="F112" s="70"/>
      <c r="G112" s="70"/>
      <c r="H112" s="70"/>
      <c r="I112" s="70"/>
      <c r="J112" s="66"/>
      <c r="K112" s="66"/>
      <c r="L112" s="68"/>
      <c r="M112" s="68"/>
      <c r="N112" s="68"/>
      <c r="O112" s="66"/>
    </row>
    <row r="113" customFormat="false" ht="12.5" hidden="false" customHeight="false" outlineLevel="0" collapsed="false">
      <c r="A113" s="138" t="s">
        <v>134</v>
      </c>
      <c r="B113" s="66"/>
      <c r="C113" s="138"/>
      <c r="D113" s="66"/>
      <c r="E113" s="70"/>
      <c r="F113" s="70"/>
      <c r="G113" s="70"/>
      <c r="H113" s="70"/>
      <c r="I113" s="70"/>
      <c r="J113" s="66"/>
      <c r="K113" s="66"/>
      <c r="L113" s="68"/>
      <c r="M113" s="68"/>
      <c r="N113" s="68"/>
      <c r="O113" s="66"/>
    </row>
    <row r="114" customFormat="false" ht="12.5" hidden="false" customHeight="false" outlineLevel="0" collapsed="false">
      <c r="A114" s="66" t="s">
        <v>135</v>
      </c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8"/>
      <c r="M114" s="68"/>
      <c r="N114" s="68"/>
      <c r="O114" s="66"/>
    </row>
    <row r="115" customFormat="false" ht="12.5" hidden="false" customHeight="false" outlineLevel="0" collapsed="false">
      <c r="A115" s="66" t="s">
        <v>136</v>
      </c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8"/>
      <c r="M115" s="68"/>
      <c r="N115" s="68"/>
      <c r="O115" s="66"/>
    </row>
    <row r="116" customFormat="false" ht="12.5" hidden="false" customHeight="false" outlineLevel="0" collapsed="false">
      <c r="A116" s="66" t="s">
        <v>137</v>
      </c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8"/>
      <c r="M116" s="68"/>
      <c r="N116" s="68"/>
      <c r="O116" s="66"/>
    </row>
    <row r="117" customFormat="false" ht="12.5" hidden="false" customHeight="false" outlineLevel="0" collapsed="false">
      <c r="A117" s="66" t="s">
        <v>138</v>
      </c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8"/>
      <c r="M117" s="68"/>
      <c r="N117" s="68"/>
      <c r="O117" s="66"/>
    </row>
    <row r="118" customFormat="false" ht="12.5" hidden="false" customHeight="false" outlineLevel="0" collapsed="false">
      <c r="A118" s="66" t="s">
        <v>139</v>
      </c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8"/>
      <c r="M118" s="68"/>
      <c r="N118" s="68"/>
      <c r="O118" s="66"/>
    </row>
    <row r="119" customFormat="false" ht="12.5" hidden="false" customHeight="false" outlineLevel="0" collapsed="false">
      <c r="A119" s="66" t="s">
        <v>140</v>
      </c>
    </row>
    <row r="120" customFormat="false" ht="12.5" hidden="false" customHeight="false" outlineLevel="0" collapsed="false">
      <c r="A120" s="0" t="s">
        <v>141</v>
      </c>
    </row>
  </sheetData>
  <mergeCells count="7">
    <mergeCell ref="C1:M1"/>
    <mergeCell ref="C2:M2"/>
    <mergeCell ref="E3:K3"/>
    <mergeCell ref="M4:N4"/>
    <mergeCell ref="A6:D6"/>
    <mergeCell ref="E6:G6"/>
    <mergeCell ref="J106:L106"/>
  </mergeCells>
  <hyperlinks>
    <hyperlink ref="A109" r:id="rId1" display="http://faculty.apec.umn.edu/wlazarus/documents/machdata.pdf"/>
  </hyperlinks>
  <printOptions headings="false" gridLines="false" gridLinesSet="true" horizontalCentered="true" verticalCentered="false"/>
  <pageMargins left="0.320138888888889" right="0.270138888888889" top="0.5" bottom="0.5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2" man="true" max="16383" min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Q9" activeCellId="0" sqref="Q9"/>
    </sheetView>
  </sheetViews>
  <sheetFormatPr defaultRowHeight="12.5"/>
  <cols>
    <col collapsed="false" hidden="false" max="1" min="1" style="0" width="3.37244897959184"/>
    <col collapsed="false" hidden="false" max="2" min="2" style="0" width="7.69387755102041"/>
    <col collapsed="false" hidden="false" max="3" min="3" style="0" width="14.4438775510204"/>
    <col collapsed="false" hidden="false" max="4" min="4" style="0" width="16.7397959183673"/>
    <col collapsed="false" hidden="false" max="5" min="5" style="0" width="13.0918367346939"/>
    <col collapsed="false" hidden="false" max="6" min="6" style="0" width="13.6326530612245"/>
    <col collapsed="false" hidden="false" max="7" min="7" style="0" width="8.50510204081633"/>
    <col collapsed="false" hidden="false" max="8" min="8" style="0" width="11.6071428571429"/>
    <col collapsed="false" hidden="false" max="10" min="9" style="0" width="12.4183673469388"/>
    <col collapsed="false" hidden="false" max="11" min="11" style="0" width="11.4744897959184"/>
    <col collapsed="false" hidden="false" max="1025" min="12" style="0" width="8.50510204081633"/>
  </cols>
  <sheetData>
    <row r="1" customFormat="false" ht="12.5" hidden="false" customHeight="false" outlineLevel="0" collapsed="false">
      <c r="A1" s="0" t="s">
        <v>142</v>
      </c>
      <c r="D1" s="0" t="s">
        <v>143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  <c r="J1" s="32" t="s">
        <v>149</v>
      </c>
      <c r="K1" s="139" t="s">
        <v>150</v>
      </c>
    </row>
    <row r="2" customFormat="false" ht="12.5" hidden="false" customHeight="false" outlineLevel="0" collapsed="false">
      <c r="A2" s="86" t="s">
        <v>108</v>
      </c>
      <c r="B2" s="86"/>
      <c r="C2" s="86"/>
      <c r="D2" s="140" t="n">
        <f aca="false">('corn-cons'!F90+('corn-cons'!F90*0.34)+E2)/2</f>
        <v>32006.25</v>
      </c>
      <c r="E2" s="140" t="n">
        <f aca="false">('corn-cons'!F90-('corn-cons'!F90*0.34))/8</f>
        <v>3712.5</v>
      </c>
      <c r="F2" s="141" t="n">
        <f aca="false">0.05*D2</f>
        <v>1600.3125</v>
      </c>
      <c r="G2" s="140" t="n">
        <f aca="false">0.005*D2</f>
        <v>160.03125</v>
      </c>
      <c r="H2" s="140" t="n">
        <f aca="false">0.01*D2</f>
        <v>320.0625</v>
      </c>
      <c r="I2" s="140" t="n">
        <f aca="false">SUM(E2:H2)</f>
        <v>5792.90625</v>
      </c>
      <c r="J2" s="141" t="n">
        <v>1000</v>
      </c>
      <c r="K2" s="142" t="n">
        <f aca="false">I2/J2</f>
        <v>5.79290625</v>
      </c>
      <c r="L2" s="143"/>
      <c r="N2" s="144"/>
      <c r="P2" s="144"/>
    </row>
    <row r="3" customFormat="false" ht="12.5" hidden="false" customHeight="false" outlineLevel="0" collapsed="false">
      <c r="A3" s="67" t="s">
        <v>109</v>
      </c>
      <c r="B3" s="67"/>
      <c r="C3" s="145"/>
      <c r="D3" s="143" t="n">
        <f aca="false">('corn-cons'!F91+('corn-cons'!F91*0.34)+E3)/2</f>
        <v>50498.75</v>
      </c>
      <c r="E3" s="143" t="n">
        <f aca="false">('corn-cons'!F91-('corn-cons'!F91*0.34))/8</f>
        <v>5857.5</v>
      </c>
      <c r="F3" s="143" t="n">
        <f aca="false">0.05*D3</f>
        <v>2524.9375</v>
      </c>
      <c r="G3" s="143" t="n">
        <f aca="false">0.005*D3</f>
        <v>252.49375</v>
      </c>
      <c r="H3" s="143" t="n">
        <f aca="false">0.01*D3</f>
        <v>504.9875</v>
      </c>
      <c r="I3" s="143" t="n">
        <f aca="false">SUM(E3:H3)</f>
        <v>9139.91875</v>
      </c>
      <c r="J3" s="143" t="n">
        <v>1000</v>
      </c>
      <c r="K3" s="146" t="n">
        <f aca="false">I3/J3</f>
        <v>9.13991875</v>
      </c>
      <c r="L3" s="143"/>
      <c r="N3" s="144"/>
      <c r="P3" s="144"/>
    </row>
    <row r="4" customFormat="false" ht="12.5" hidden="false" customHeight="false" outlineLevel="0" collapsed="false">
      <c r="A4" s="67" t="s">
        <v>110</v>
      </c>
      <c r="B4" s="67"/>
      <c r="C4" s="145"/>
      <c r="D4" s="143" t="n">
        <f aca="false">('corn-cons'!F92+('corn-cons'!F92*0.34)+E4)/2</f>
        <v>156475</v>
      </c>
      <c r="E4" s="143" t="n">
        <f aca="false">('corn-cons'!F92-('corn-cons'!F92*0.34))/8</f>
        <v>18150</v>
      </c>
      <c r="F4" s="143" t="n">
        <f aca="false">0.05*D4</f>
        <v>7823.75</v>
      </c>
      <c r="G4" s="143" t="n">
        <f aca="false">0.005*D4</f>
        <v>782.375</v>
      </c>
      <c r="H4" s="143" t="n">
        <f aca="false">0.01*D4</f>
        <v>1564.75</v>
      </c>
      <c r="I4" s="143" t="n">
        <f aca="false">SUM(E4:H4)</f>
        <v>28320.875</v>
      </c>
      <c r="J4" s="143" t="n">
        <v>2000</v>
      </c>
      <c r="K4" s="146" t="n">
        <f aca="false">I4/J4</f>
        <v>14.1604375</v>
      </c>
      <c r="L4" s="143"/>
      <c r="N4" s="144"/>
      <c r="P4" s="144"/>
    </row>
    <row r="5" customFormat="false" ht="12.5" hidden="false" customHeight="false" outlineLevel="0" collapsed="false">
      <c r="A5" s="67" t="s">
        <v>111</v>
      </c>
      <c r="B5" s="67"/>
      <c r="C5" s="145"/>
      <c r="D5" s="143" t="n">
        <f aca="false">('corn-cons'!F93+('corn-cons'!F93*0.44)+E5)/2</f>
        <v>65685</v>
      </c>
      <c r="E5" s="143" t="n">
        <f aca="false">('corn-cons'!F93-('corn-cons'!F93*0.44))/8</f>
        <v>6090</v>
      </c>
      <c r="F5" s="143" t="n">
        <f aca="false">0.05*D5</f>
        <v>3284.25</v>
      </c>
      <c r="G5" s="143" t="n">
        <f aca="false">0.005*D5</f>
        <v>328.425</v>
      </c>
      <c r="H5" s="143" t="n">
        <f aca="false">0.01*D5</f>
        <v>656.85</v>
      </c>
      <c r="I5" s="143" t="n">
        <f aca="false">SUM(E5:H5)</f>
        <v>10359.525</v>
      </c>
      <c r="J5" s="143" t="n">
        <v>1000</v>
      </c>
      <c r="K5" s="146" t="n">
        <f aca="false">I5/J5</f>
        <v>10.359525</v>
      </c>
      <c r="L5" s="143"/>
      <c r="N5" s="144"/>
      <c r="P5" s="144"/>
    </row>
    <row r="6" customFormat="false" ht="12.5" hidden="false" customHeight="false" outlineLevel="0" collapsed="false">
      <c r="A6" s="67" t="s">
        <v>151</v>
      </c>
      <c r="B6" s="67"/>
      <c r="C6" s="145"/>
      <c r="D6" s="143" t="n">
        <f aca="false">('corn-cons'!F94+('corn-cons'!F94*0.29)+E6)/2</f>
        <v>242660</v>
      </c>
      <c r="E6" s="143" t="n">
        <f aca="false">('corn-cons'!F94-('corn-cons'!F94*0.29))/8</f>
        <v>31240</v>
      </c>
      <c r="F6" s="143" t="n">
        <f aca="false">0.05*D6</f>
        <v>12133</v>
      </c>
      <c r="G6" s="147" t="n">
        <f aca="false">0.005*D6</f>
        <v>1213.3</v>
      </c>
      <c r="H6" s="143" t="n">
        <f aca="false">0.01*D6</f>
        <v>2426.6</v>
      </c>
      <c r="I6" s="143" t="n">
        <f aca="false">SUM(E6:H6)</f>
        <v>47012.9</v>
      </c>
      <c r="J6" s="143" t="n">
        <v>2000</v>
      </c>
      <c r="K6" s="146" t="n">
        <f aca="false">I6/J6</f>
        <v>23.50645</v>
      </c>
      <c r="L6" s="143"/>
      <c r="N6" s="144"/>
      <c r="P6" s="144"/>
    </row>
    <row r="7" customFormat="false" ht="12.5" hidden="false" customHeight="false" outlineLevel="0" collapsed="false">
      <c r="A7" s="67"/>
      <c r="B7" s="67" t="s">
        <v>114</v>
      </c>
      <c r="C7" s="145"/>
      <c r="D7" s="143" t="n">
        <f aca="false">('corn-cons'!F95+('corn-cons'!F95*0.29)+E7)/2</f>
        <v>39294.375</v>
      </c>
      <c r="E7" s="143" t="n">
        <f aca="false">('corn-cons'!F95-('corn-cons'!F95*0.29))/8</f>
        <v>5058.75</v>
      </c>
      <c r="F7" s="143" t="n">
        <f aca="false">0.05*D7</f>
        <v>1964.71875</v>
      </c>
      <c r="G7" s="143" t="n">
        <f aca="false">0.005*D7</f>
        <v>196.471875</v>
      </c>
      <c r="H7" s="143" t="n">
        <f aca="false">0.01*D7</f>
        <v>392.94375</v>
      </c>
      <c r="I7" s="143" t="n">
        <f aca="false">SUM(E7:H7)</f>
        <v>7612.884375</v>
      </c>
      <c r="J7" s="143" t="n">
        <v>1000</v>
      </c>
      <c r="K7" s="146" t="n">
        <f aca="false">I7/J7</f>
        <v>7.612884375</v>
      </c>
      <c r="L7" s="143"/>
      <c r="N7" s="144"/>
      <c r="P7" s="144"/>
    </row>
    <row r="8" customFormat="false" ht="12.5" hidden="false" customHeight="false" outlineLevel="0" collapsed="false">
      <c r="A8" s="67" t="s">
        <v>115</v>
      </c>
      <c r="B8" s="67"/>
      <c r="C8" s="145"/>
      <c r="D8" s="143" t="n">
        <f aca="false">('corn-cons'!F96+('corn-cons'!F96*0.34)+E8)/2</f>
        <v>14936.25</v>
      </c>
      <c r="E8" s="143" t="n">
        <f aca="false">('corn-cons'!F96-('corn-cons'!F96*0.34))/8</f>
        <v>1732.5</v>
      </c>
      <c r="F8" s="143" t="n">
        <f aca="false">0.05*D8</f>
        <v>746.8125</v>
      </c>
      <c r="G8" s="143" t="n">
        <f aca="false">0.005*D8</f>
        <v>74.68125</v>
      </c>
      <c r="H8" s="143" t="n">
        <f aca="false">0.01*D8</f>
        <v>149.3625</v>
      </c>
      <c r="I8" s="143" t="n">
        <f aca="false">SUM(E8:H8)</f>
        <v>2703.35625</v>
      </c>
      <c r="J8" s="143" t="n">
        <v>1000</v>
      </c>
      <c r="K8" s="146" t="n">
        <f aca="false">I8/J8</f>
        <v>2.70335625</v>
      </c>
      <c r="L8" s="143"/>
      <c r="N8" s="144"/>
      <c r="P8" s="144"/>
    </row>
    <row r="9" customFormat="false" ht="12.5" hidden="false" customHeight="false" outlineLevel="0" collapsed="false">
      <c r="A9" s="67" t="s">
        <v>116</v>
      </c>
      <c r="B9" s="67"/>
      <c r="C9" s="145"/>
      <c r="D9" s="143" t="n">
        <f aca="false">('corn-cons'!F97+('corn-cons'!F97*0.34)+E9)/2</f>
        <v>8535</v>
      </c>
      <c r="E9" s="143" t="n">
        <f aca="false">('corn-cons'!F97-('corn-cons'!F97*0.34))/8</f>
        <v>990</v>
      </c>
      <c r="F9" s="143" t="n">
        <f aca="false">0.05*D9</f>
        <v>426.75</v>
      </c>
      <c r="G9" s="143" t="n">
        <f aca="false">0.005*D9</f>
        <v>42.675</v>
      </c>
      <c r="H9" s="143" t="n">
        <f aca="false">0.01*D9</f>
        <v>85.35</v>
      </c>
      <c r="I9" s="143" t="n">
        <f aca="false">SUM(E9:H9)</f>
        <v>1544.775</v>
      </c>
      <c r="J9" s="143" t="n">
        <v>2000</v>
      </c>
      <c r="K9" s="146" t="n">
        <f aca="false">I9/J9</f>
        <v>0.7723875</v>
      </c>
      <c r="L9" s="143"/>
      <c r="N9" s="144"/>
      <c r="P9" s="144"/>
    </row>
    <row r="10" customFormat="false" ht="12.5" hidden="false" customHeight="false" outlineLevel="0" collapsed="false">
      <c r="A10" s="67" t="s">
        <v>117</v>
      </c>
      <c r="B10" s="67"/>
      <c r="C10" s="145"/>
      <c r="D10" s="143" t="n">
        <f aca="false">('corn-cons'!F98+('corn-cons'!F98*0.36)+E10)/2</f>
        <v>50400</v>
      </c>
      <c r="E10" s="143" t="n">
        <f aca="false">('corn-cons'!F98-('corn-cons'!F98*0.36))/8</f>
        <v>5600</v>
      </c>
      <c r="F10" s="143" t="n">
        <f aca="false">0.05*D10</f>
        <v>2520</v>
      </c>
      <c r="G10" s="143" t="n">
        <f aca="false">0.005*D10</f>
        <v>252</v>
      </c>
      <c r="H10" s="143" t="n">
        <f aca="false">0.01*D10</f>
        <v>504</v>
      </c>
      <c r="I10" s="143" t="n">
        <f aca="false">SUM(E10:H10)</f>
        <v>8876</v>
      </c>
      <c r="J10" s="143" t="n">
        <v>2000</v>
      </c>
      <c r="K10" s="146" t="n">
        <f aca="false">I10/J10</f>
        <v>4.438</v>
      </c>
      <c r="L10" s="143"/>
      <c r="N10" s="144"/>
      <c r="P10" s="144"/>
    </row>
    <row r="11" customFormat="false" ht="12.5" hidden="false" customHeight="false" outlineLevel="0" collapsed="false">
      <c r="A11" s="67" t="s">
        <v>119</v>
      </c>
      <c r="B11" s="67"/>
      <c r="C11" s="145"/>
      <c r="D11" s="143" t="n">
        <f aca="false">('corn-cons'!F99+('corn-cons'!F99*0.36)+E11)/2</f>
        <v>45000</v>
      </c>
      <c r="E11" s="143" t="n">
        <f aca="false">('corn-cons'!F99-('corn-cons'!F99*0.36))/8</f>
        <v>5000</v>
      </c>
      <c r="F11" s="143" t="n">
        <f aca="false">0.05*D11</f>
        <v>2250</v>
      </c>
      <c r="G11" s="143" t="n">
        <f aca="false">0.005*D11</f>
        <v>225</v>
      </c>
      <c r="H11" s="143" t="n">
        <f aca="false">0.01*D11</f>
        <v>450</v>
      </c>
      <c r="I11" s="143" t="n">
        <f aca="false">SUM(E11:H11)</f>
        <v>7925</v>
      </c>
      <c r="J11" s="143" t="n">
        <v>2000</v>
      </c>
      <c r="K11" s="146" t="n">
        <f aca="false">I11/J11</f>
        <v>3.9625</v>
      </c>
      <c r="L11" s="143"/>
      <c r="N11" s="144"/>
      <c r="P11" s="144"/>
    </row>
    <row r="12" customFormat="false" ht="12.5" hidden="false" customHeight="false" outlineLevel="0" collapsed="false">
      <c r="A12" s="67" t="s">
        <v>120</v>
      </c>
      <c r="B12" s="67"/>
      <c r="C12" s="145"/>
      <c r="D12" s="143" t="n">
        <f aca="false">('corn-cons'!F100+('corn-cons'!F100*0.36)+E12)/2</f>
        <v>186480</v>
      </c>
      <c r="E12" s="143" t="n">
        <f aca="false">('corn-cons'!F100-('corn-cons'!F100*0.36))/8</f>
        <v>20720</v>
      </c>
      <c r="F12" s="143" t="n">
        <f aca="false">0.05*D12</f>
        <v>9324</v>
      </c>
      <c r="G12" s="143" t="n">
        <f aca="false">0.005*D12</f>
        <v>932.4</v>
      </c>
      <c r="H12" s="143" t="n">
        <f aca="false">0.01*D12</f>
        <v>1864.8</v>
      </c>
      <c r="I12" s="143" t="n">
        <f aca="false">SUM(E12:H12)</f>
        <v>32841.2</v>
      </c>
      <c r="J12" s="143" t="n">
        <v>2000</v>
      </c>
      <c r="K12" s="146" t="n">
        <f aca="false">I12/J12</f>
        <v>16.4206</v>
      </c>
      <c r="L12" s="143"/>
      <c r="N12" s="144"/>
      <c r="P12" s="144"/>
    </row>
    <row r="13" customFormat="false" ht="12.5" hidden="false" customHeight="false" outlineLevel="0" collapsed="false">
      <c r="A13" s="67" t="s">
        <v>121</v>
      </c>
      <c r="B13" s="67"/>
      <c r="C13" s="145"/>
      <c r="D13" s="143" t="n">
        <f aca="false">('corn-cons'!F101+('corn-cons'!F101*0.36)+E13)/2</f>
        <v>175680</v>
      </c>
      <c r="E13" s="143" t="n">
        <f aca="false">('corn-cons'!F101-('corn-cons'!F101*0.36))/8</f>
        <v>19520</v>
      </c>
      <c r="F13" s="143" t="n">
        <f aca="false">0.05*D13</f>
        <v>8784</v>
      </c>
      <c r="G13" s="143" t="n">
        <f aca="false">0.005*D13</f>
        <v>878.4</v>
      </c>
      <c r="H13" s="143" t="n">
        <f aca="false">0.01*D13</f>
        <v>1756.8</v>
      </c>
      <c r="I13" s="143" t="n">
        <f aca="false">SUM(E13:H13)</f>
        <v>30939.2</v>
      </c>
      <c r="J13" s="143" t="n">
        <v>2000</v>
      </c>
      <c r="K13" s="146" t="n">
        <f aca="false">I13/J13</f>
        <v>15.4696</v>
      </c>
      <c r="L13" s="143"/>
      <c r="N13" s="144"/>
      <c r="P13" s="144"/>
    </row>
    <row r="14" customFormat="false" ht="12.5" hidden="false" customHeight="false" outlineLevel="0" collapsed="false">
      <c r="A14" s="107" t="s">
        <v>122</v>
      </c>
      <c r="B14" s="107"/>
      <c r="C14" s="107"/>
      <c r="D14" s="148" t="n">
        <f aca="false">('corn-cons'!F102+('corn-cons'!F102*0.36)+E14)/2</f>
        <v>18000</v>
      </c>
      <c r="E14" s="148" t="n">
        <f aca="false">('corn-cons'!F102-('corn-cons'!F102*0.36))/8</f>
        <v>2000</v>
      </c>
      <c r="F14" s="143" t="n">
        <f aca="false">0.05*D14</f>
        <v>900</v>
      </c>
      <c r="G14" s="148" t="n">
        <f aca="false">0.005*D14</f>
        <v>90</v>
      </c>
      <c r="H14" s="148" t="n">
        <f aca="false">0.01*D14</f>
        <v>180</v>
      </c>
      <c r="I14" s="148" t="n">
        <f aca="false">SUM(E14:H14)</f>
        <v>3170</v>
      </c>
      <c r="J14" s="148" t="n">
        <v>2000</v>
      </c>
      <c r="K14" s="149" t="n">
        <f aca="false">I14/J14</f>
        <v>1.585</v>
      </c>
      <c r="L14" s="143"/>
      <c r="N14" s="144"/>
      <c r="P14" s="144"/>
    </row>
    <row r="15" customFormat="false" ht="12.5" hidden="false" customHeight="false" outlineLevel="0" collapsed="false">
      <c r="E15" s="144" t="n">
        <f aca="false">SUM(E2:E14)</f>
        <v>125671.25</v>
      </c>
      <c r="F15" s="144" t="n">
        <f aca="false">SUM(F2:F14)</f>
        <v>54282.53125</v>
      </c>
      <c r="G15" s="144" t="n">
        <f aca="false">SUM(G2:G14)</f>
        <v>5428.253125</v>
      </c>
      <c r="H15" s="144" t="n">
        <f aca="false">SUM(H2:H14)</f>
        <v>10856.50625</v>
      </c>
      <c r="I15" s="144" t="n">
        <f aca="false">SUM(I2:I14)</f>
        <v>196238.540625</v>
      </c>
      <c r="J15" s="144"/>
      <c r="K15" s="150" t="n">
        <f aca="false">SUM(K2:K14)</f>
        <v>115.923565625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22" activeCellId="0" sqref="A22"/>
    </sheetView>
  </sheetViews>
  <sheetFormatPr defaultRowHeight="12.5"/>
  <cols>
    <col collapsed="false" hidden="false" max="3" min="1" style="0" width="8.50510204081633"/>
    <col collapsed="false" hidden="false" max="4" min="4" style="0" width="11.4744897959184"/>
    <col collapsed="false" hidden="false" max="5" min="5" style="0" width="8.50510204081633"/>
    <col collapsed="false" hidden="false" max="6" min="6" style="0" width="6.3469387755102"/>
    <col collapsed="false" hidden="false" max="7" min="7" style="0" width="15.1173469387755"/>
    <col collapsed="false" hidden="false" max="8" min="8" style="0" width="10.1224489795918"/>
    <col collapsed="false" hidden="false" max="9" min="9" style="0" width="14.8469387755102"/>
    <col collapsed="false" hidden="false" max="1025" min="10" style="0" width="8.50510204081633"/>
  </cols>
  <sheetData>
    <row r="1" customFormat="false" ht="12.5" hidden="false" customHeight="false" outlineLevel="0" collapsed="false">
      <c r="A1" s="151" t="s">
        <v>152</v>
      </c>
      <c r="B1" s="151"/>
      <c r="C1" s="151"/>
      <c r="D1" s="151"/>
      <c r="E1" s="151"/>
      <c r="F1" s="151"/>
      <c r="G1" s="151"/>
      <c r="H1" s="151"/>
      <c r="I1" s="151"/>
    </row>
    <row r="2" customFormat="false" ht="13" hidden="false" customHeight="false" outlineLevel="0" collapsed="false">
      <c r="A2" s="151"/>
      <c r="B2" s="151"/>
      <c r="C2" s="151"/>
      <c r="D2" s="151"/>
      <c r="E2" s="151"/>
      <c r="F2" s="151"/>
      <c r="G2" s="151"/>
      <c r="H2" s="151"/>
      <c r="I2" s="151"/>
    </row>
    <row r="3" customFormat="false" ht="20.5" hidden="false" customHeight="false" outlineLevel="0" collapsed="false">
      <c r="A3" s="152" t="s">
        <v>153</v>
      </c>
      <c r="B3" s="152"/>
      <c r="C3" s="152"/>
      <c r="D3" s="152" t="s">
        <v>154</v>
      </c>
      <c r="E3" s="152"/>
      <c r="F3" s="152"/>
      <c r="G3" s="153" t="s">
        <v>155</v>
      </c>
      <c r="H3" s="153"/>
      <c r="I3" s="153"/>
    </row>
    <row r="4" customFormat="false" ht="20" hidden="false" customHeight="false" outlineLevel="0" collapsed="false">
      <c r="A4" s="154" t="s">
        <v>156</v>
      </c>
      <c r="B4" s="155"/>
      <c r="C4" s="156"/>
      <c r="D4" s="156"/>
      <c r="E4" s="156"/>
      <c r="F4" s="156"/>
      <c r="G4" s="157" t="n">
        <f aca="false">'corn-cons'!$L$8</f>
        <v>156.5</v>
      </c>
      <c r="H4" s="158"/>
      <c r="I4" s="159" t="n">
        <f aca="false">'corn-cons'!$M$8</f>
        <v>187.8</v>
      </c>
    </row>
    <row r="5" customFormat="false" ht="20" hidden="false" customHeight="false" outlineLevel="0" collapsed="false">
      <c r="A5" s="160" t="s">
        <v>157</v>
      </c>
      <c r="B5" s="160"/>
      <c r="C5" s="161"/>
      <c r="D5" s="162" t="n">
        <f aca="false">'corn-cons'!I10</f>
        <v>5</v>
      </c>
      <c r="E5" s="161" t="s">
        <v>158</v>
      </c>
      <c r="F5" s="163"/>
      <c r="G5" s="164" t="n">
        <f aca="false">'corn-cons'!$L$10</f>
        <v>782.5</v>
      </c>
      <c r="H5" s="164"/>
      <c r="I5" s="165" t="n">
        <f aca="false">'corn-cons'!$M$10</f>
        <v>939</v>
      </c>
    </row>
    <row r="6" customFormat="false" ht="7.5" hidden="false" customHeight="true" outlineLevel="0" collapsed="false">
      <c r="F6" s="166"/>
      <c r="G6" s="167"/>
      <c r="H6" s="167"/>
      <c r="I6" s="167"/>
    </row>
    <row r="7" customFormat="false" ht="20" hidden="false" customHeight="false" outlineLevel="0" collapsed="false">
      <c r="A7" s="168" t="s">
        <v>159</v>
      </c>
      <c r="B7" s="169"/>
      <c r="C7" s="155"/>
      <c r="D7" s="170"/>
      <c r="E7" s="156"/>
      <c r="F7" s="156"/>
      <c r="G7" s="170"/>
      <c r="H7" s="170"/>
      <c r="I7" s="170"/>
    </row>
    <row r="8" customFormat="false" ht="20" hidden="false" customHeight="false" outlineLevel="0" collapsed="false">
      <c r="A8" s="171" t="s">
        <v>160</v>
      </c>
      <c r="B8" s="171"/>
      <c r="C8" s="171"/>
      <c r="D8" s="172" t="n">
        <f aca="false">'corn-cons'!$I$17</f>
        <v>262.5</v>
      </c>
      <c r="E8" s="163" t="s">
        <v>22</v>
      </c>
      <c r="F8" s="163"/>
      <c r="G8" s="164" t="n">
        <f aca="false">'corn-cons'!$L$16</f>
        <v>105</v>
      </c>
      <c r="H8" s="164"/>
      <c r="I8" s="165" t="n">
        <f aca="false">'corn-cons'!$M$16</f>
        <v>111.5625</v>
      </c>
    </row>
    <row r="9" customFormat="false" ht="24" hidden="false" customHeight="false" outlineLevel="0" collapsed="false">
      <c r="A9" s="171" t="s">
        <v>161</v>
      </c>
      <c r="B9" s="171"/>
      <c r="C9" s="171"/>
      <c r="D9" s="173" t="n">
        <f aca="false">'corn-cons'!$F$67</f>
        <v>910</v>
      </c>
      <c r="E9" s="171" t="s">
        <v>29</v>
      </c>
      <c r="F9" s="171"/>
      <c r="G9" s="174" t="n">
        <f aca="false">'corn-cons'!$L$19</f>
        <v>95.7804878048781</v>
      </c>
      <c r="H9" s="174"/>
      <c r="I9" s="175" t="n">
        <f aca="false">'corn-cons'!$M$19</f>
        <v>112.426829268293</v>
      </c>
    </row>
    <row r="10" customFormat="false" ht="24" hidden="false" customHeight="false" outlineLevel="0" collapsed="false">
      <c r="A10" s="171" t="s">
        <v>162</v>
      </c>
      <c r="B10" s="171"/>
      <c r="C10" s="171"/>
      <c r="D10" s="173" t="n">
        <f aca="false">'corn-cons'!$I$67</f>
        <v>650</v>
      </c>
      <c r="E10" s="171" t="s">
        <v>29</v>
      </c>
      <c r="F10" s="171"/>
      <c r="G10" s="174" t="n">
        <f aca="false">'corn-cons'!$L$20</f>
        <v>36.190625</v>
      </c>
      <c r="H10" s="174"/>
      <c r="I10" s="175" t="n">
        <f aca="false">'corn-cons'!$M$20</f>
        <v>43.42875</v>
      </c>
    </row>
    <row r="11" customFormat="false" ht="24" hidden="false" customHeight="false" outlineLevel="0" collapsed="false">
      <c r="A11" s="171" t="s">
        <v>163</v>
      </c>
      <c r="B11" s="171"/>
      <c r="C11" s="171"/>
      <c r="D11" s="173" t="n">
        <f aca="false">'corn-cons'!$M$67</f>
        <v>575</v>
      </c>
      <c r="E11" s="171" t="s">
        <v>29</v>
      </c>
      <c r="F11" s="171"/>
      <c r="G11" s="174" t="n">
        <f aca="false">'corn-cons'!$L$21</f>
        <v>20.2471875</v>
      </c>
      <c r="H11" s="174"/>
      <c r="I11" s="175" t="n">
        <f aca="false">'corn-cons'!$M$21</f>
        <v>24.296625</v>
      </c>
    </row>
    <row r="12" customFormat="false" ht="20" hidden="false" customHeight="false" outlineLevel="0" collapsed="false">
      <c r="A12" s="171" t="s">
        <v>164</v>
      </c>
      <c r="B12" s="171"/>
      <c r="C12" s="171"/>
      <c r="D12" s="171"/>
      <c r="E12" s="171"/>
      <c r="F12" s="171"/>
      <c r="G12" s="174" t="n">
        <f aca="false">SUM('corn-cons'!$L$23:$L$25)</f>
        <v>50.98</v>
      </c>
      <c r="H12" s="174"/>
      <c r="I12" s="175" t="n">
        <f aca="false">SUM('corn-cons'!$N$23:$N$25)</f>
        <v>50.98</v>
      </c>
    </row>
    <row r="13" customFormat="false" ht="20" hidden="false" customHeight="false" outlineLevel="0" collapsed="false">
      <c r="A13" s="160" t="s">
        <v>165</v>
      </c>
      <c r="B13" s="160"/>
      <c r="C13" s="160"/>
      <c r="D13" s="176" t="n">
        <f aca="false">'corn-cons'!$M$106</f>
        <v>3.5</v>
      </c>
      <c r="E13" s="160" t="s">
        <v>166</v>
      </c>
      <c r="F13" s="160"/>
      <c r="G13" s="177"/>
      <c r="H13" s="177"/>
      <c r="I13" s="178"/>
    </row>
    <row r="14" customFormat="false" ht="6.75" hidden="false" customHeight="true" outlineLevel="0" collapsed="false">
      <c r="G14" s="119"/>
      <c r="H14" s="119"/>
      <c r="I14" s="119"/>
    </row>
    <row r="15" customFormat="false" ht="20" hidden="false" customHeight="false" outlineLevel="0" collapsed="false">
      <c r="A15" s="168" t="s">
        <v>167</v>
      </c>
      <c r="B15" s="155"/>
      <c r="C15" s="156"/>
      <c r="D15" s="156"/>
      <c r="E15" s="156"/>
      <c r="F15" s="179"/>
      <c r="G15" s="180"/>
      <c r="H15" s="180"/>
      <c r="I15" s="180"/>
    </row>
    <row r="16" customFormat="false" ht="20" hidden="false" customHeight="false" outlineLevel="0" collapsed="false">
      <c r="A16" s="181" t="s">
        <v>168</v>
      </c>
      <c r="B16" s="181"/>
      <c r="C16" s="181"/>
      <c r="D16" s="181"/>
      <c r="E16" s="181"/>
      <c r="F16" s="181"/>
      <c r="G16" s="164" t="n">
        <f aca="false">'corn-cons'!$L$39+'corn-cons'!L$40</f>
        <v>84.125</v>
      </c>
      <c r="H16" s="182"/>
      <c r="I16" s="165" t="n">
        <f aca="false">'corn-cons'!$M$39+'corn-cons'!$M$40</f>
        <v>91.95</v>
      </c>
    </row>
    <row r="17" customFormat="false" ht="20" hidden="false" customHeight="false" outlineLevel="0" collapsed="false">
      <c r="A17" s="183" t="s">
        <v>101</v>
      </c>
      <c r="B17" s="183"/>
      <c r="C17" s="183"/>
      <c r="D17" s="183"/>
      <c r="E17" s="183"/>
      <c r="F17" s="183"/>
      <c r="G17" s="174" t="n">
        <f aca="false">'corn-cons'!$L$41</f>
        <v>115.923565625</v>
      </c>
      <c r="H17" s="174"/>
      <c r="I17" s="175" t="n">
        <f aca="false">'corn-cons'!$M$41</f>
        <v>115.923565625</v>
      </c>
    </row>
    <row r="18" customFormat="false" ht="20" hidden="false" customHeight="false" outlineLevel="0" collapsed="false">
      <c r="A18" s="160" t="s">
        <v>169</v>
      </c>
      <c r="B18" s="160"/>
      <c r="C18" s="160"/>
      <c r="D18" s="160"/>
      <c r="E18" s="160"/>
      <c r="F18" s="160"/>
      <c r="G18" s="177" t="n">
        <f aca="false">'corn-cons'!$L$42</f>
        <v>195</v>
      </c>
      <c r="H18" s="177"/>
      <c r="I18" s="178" t="n">
        <f aca="false">'corn-cons'!$M$42</f>
        <v>250</v>
      </c>
    </row>
    <row r="19" customFormat="false" ht="21" hidden="false" customHeight="true" outlineLevel="0" collapsed="false">
      <c r="C19" s="184" t="s">
        <v>170</v>
      </c>
      <c r="G19" s="164" t="n">
        <f aca="false">'corn-cons'!$L$47</f>
        <v>5.35982975861155</v>
      </c>
      <c r="H19" s="119"/>
      <c r="I19" s="164" t="n">
        <f aca="false">'corn-cons'!$M$47</f>
        <v>5.02810323956184</v>
      </c>
    </row>
    <row r="20" customFormat="false" ht="20" hidden="false" customHeight="false" outlineLevel="0" collapsed="false">
      <c r="A20" s="168" t="s">
        <v>171</v>
      </c>
      <c r="B20" s="155"/>
      <c r="C20" s="156"/>
      <c r="D20" s="156"/>
      <c r="E20" s="156"/>
      <c r="F20" s="156"/>
      <c r="G20" s="170"/>
      <c r="H20" s="170"/>
      <c r="I20" s="170"/>
    </row>
    <row r="21" customFormat="false" ht="20" hidden="false" customHeight="false" outlineLevel="0" collapsed="false">
      <c r="A21" s="181" t="s">
        <v>172</v>
      </c>
      <c r="B21" s="181"/>
      <c r="C21" s="181"/>
      <c r="D21" s="181"/>
      <c r="E21" s="181"/>
      <c r="F21" s="181"/>
      <c r="G21" s="164" t="n">
        <f aca="false">'corn-cons'!$L$52</f>
        <v>-56.313357222708</v>
      </c>
      <c r="H21" s="164"/>
      <c r="I21" s="165" t="n">
        <f aca="false">'corn-cons'!$M$52</f>
        <v>-5.27778838971335</v>
      </c>
    </row>
    <row r="22" customFormat="false" ht="20" hidden="false" customHeight="false" outlineLevel="0" collapsed="false">
      <c r="A22" s="160" t="s">
        <v>173</v>
      </c>
      <c r="B22" s="160"/>
      <c r="C22" s="160"/>
      <c r="D22" s="160"/>
      <c r="E22" s="160"/>
      <c r="F22" s="171"/>
      <c r="G22" s="174" t="n">
        <f aca="false">'corn-cons'!$L$50</f>
        <v>138.686642777292</v>
      </c>
      <c r="H22" s="174"/>
      <c r="I22" s="175" t="n">
        <f aca="false">'corn-cons'!$M$50</f>
        <v>244.722211610287</v>
      </c>
    </row>
    <row r="23" customFormat="false" ht="15.5" hidden="false" customHeight="false" outlineLevel="0" collapsed="false">
      <c r="A23" s="185"/>
      <c r="B23" s="185"/>
      <c r="C23" s="185"/>
      <c r="D23" s="185"/>
      <c r="E23" s="185"/>
      <c r="F23" s="186"/>
      <c r="G23" s="186"/>
      <c r="H23" s="186"/>
      <c r="I23" s="186"/>
    </row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2002-12-27T15:34:03Z</dcterms:created>
  <dc:creator>Robert Moore</dc:creator>
  <dc:description/>
  <dc:language>en-US</dc:language>
  <cp:lastModifiedBy>Julie Moose</cp:lastModifiedBy>
  <cp:lastPrinted>2012-08-28T18:25:53Z</cp:lastPrinted>
  <dcterms:modified xsi:type="dcterms:W3CDTF">2016-12-01T16:39:34Z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