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rn-cons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'corn-cons'!$A$1:$N$122</definedName>
    <definedName function="false" hidden="false" localSheetId="1" name="_xlnm.Print_Area" vbProcedure="false">'machinery costs'!$A$1:$K$15</definedName>
    <definedName function="false" hidden="false" localSheetId="0" name="_xlnm.Print_Area" vbProcedure="false">'corn-cons'!$A$1:$N$122</definedName>
    <definedName function="false" hidden="false" localSheetId="1" name="_xlnm.Print_Area" vbProcedure="false">'machinery costs'!$A$1:$K$15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<sst xmlns="http://schemas.openxmlformats.org/spreadsheetml/2006/main" count="213" uniqueCount="178">
  <si>
    <t xml:space="preserve">CORN PRODUCTION BUDGET- 2014</t>
  </si>
  <si>
    <t xml:space="preserve"> Conservation Tillage Practices: N-Source - NH3</t>
  </si>
  <si>
    <t xml:space="preserve">Reflects 2000 acres, Conservation Tillage Corn/No-Till RR Soybeans</t>
  </si>
  <si>
    <t xml:space="preserve">Updated:</t>
  </si>
  <si>
    <t xml:space="preserve">5/15/2014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</si>
  <si>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</si>
  <si>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</si>
  <si>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</si>
  <si>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</si>
  <si>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</si>
  <si>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</si>
  <si>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</si>
  <si>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</si>
  <si>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</si>
  <si>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</si>
  <si>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Corn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</si>
  <si>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</si>
  <si>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</si>
  <si>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</si>
  <si>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</si>
  <si>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(kernels)</t>
    </r>
    <r>
      <rPr>
        <vertAlign val="superscript"/>
        <sz val="10"/>
        <rFont val="Arial"/>
        <family val="2"/>
        <charset val="1"/>
      </rPr>
      <t xml:space="preserve">3</t>
    </r>
  </si>
  <si>
    <t xml:space="preserve">/1000</t>
  </si>
  <si>
    <t xml:space="preserve">Seed Cost Per Bag</t>
  </si>
  <si>
    <t xml:space="preserve">/bag</t>
  </si>
  <si>
    <r>
      <rPr>
        <sz val="10"/>
        <rFont val="Arial"/>
        <family val="2"/>
        <charset val="1"/>
      </rPr>
      <t xml:space="preserve">Fertilizer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</si>
  <si>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Starter Fertilizer</t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</si>
  <si>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</si>
  <si>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</si>
  <si>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</si>
  <si>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</si>
  <si>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</si>
  <si>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</si>
  <si>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</si>
  <si>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</si>
  <si>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Fungicide</t>
  </si>
  <si>
    <t xml:space="preserve">Insecticide</t>
  </si>
  <si>
    <r>
      <rPr>
        <sz val="10"/>
        <rFont val="Arial"/>
        <family val="2"/>
        <charset val="1"/>
      </rPr>
      <t xml:space="preserve">Drying - Fuel &amp; Electric only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</si>
  <si>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LP</t>
  </si>
  <si>
    <r>
      <rPr>
        <sz val="10"/>
        <rFont val="Arial"/>
        <family val="2"/>
        <charset val="1"/>
      </rPr>
      <t xml:space="preserve">Trucking - Fuel Only </t>
    </r>
    <r>
      <rPr>
        <vertAlign val="superscript"/>
        <sz val="10"/>
        <rFont val="Arial"/>
        <family val="2"/>
        <charset val="1"/>
      </rPr>
      <t xml:space="preserve">7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</si>
  <si>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</si>
  <si>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</si>
  <si>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8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</si>
  <si>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</si>
  <si>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</si>
  <si>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</si>
  <si>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</si>
  <si>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mo. 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</si>
  <si>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</si>
  <si>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</si>
  <si>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</si>
  <si>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</si>
  <si>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</si>
  <si>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14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</si>
  <si>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</si>
  <si>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</si>
  <si>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 </t>
    </r>
    <r>
      <rPr>
        <vertAlign val="superscript"/>
        <sz val="10"/>
        <rFont val="Arial"/>
        <family val="2"/>
        <charset val="1"/>
      </rPr>
      <t xml:space="preserve">17</t>
    </r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</si>
  <si>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</si>
  <si>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15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</si>
  <si>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16</t>
    </r>
  </si>
  <si>
    <t xml:space="preserve">Rent</t>
  </si>
  <si>
    <t xml:space="preserve">TOTAL FIXED COSTS</t>
  </si>
  <si>
    <t xml:space="preserve">TOTAL COSTS</t>
  </si>
  <si>
    <t xml:space="preserve">RETURN ABOVE VARIABLE COSTS</t>
  </si>
  <si>
    <t xml:space="preserve">RETURN ABOVE VARIABLE AND LAND COSTS</t>
  </si>
  <si>
    <t xml:space="preserve">RETURN ABOVE TOTAL COSTS</t>
  </si>
  <si>
    <t xml:space="preserve">RETURN TO LAND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</si>
  <si>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18</t>
    </r>
  </si>
  <si>
    <t xml:space="preserve">RETURN TO LAND, LABOR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</si>
  <si>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</si>
  <si>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</si>
  <si>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</si>
  <si>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</si>
  <si>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</si>
  <si>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</si>
  <si>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up-to-date December Futures less 0.25 basis</t>
  </si>
  <si>
    <t xml:space="preserve">Seed price based on traited seed corn, 80,000 kernals/bag.</t>
  </si>
  <si>
    <t xml:space="preserve"> Includes seed treatment at low level.</t>
  </si>
  <si>
    <t xml:space="preserve">Assumes only maintenance application of fertilizer needed, corn-soybean rotation, 3.8 O.M., 20 CEC, </t>
  </si>
  <si>
    <t xml:space="preserve">and soil test values of 25 ppm P/A and 150 ppm K/A.</t>
  </si>
  <si>
    <t xml:space="preserve">Fertilizer prices vary over time and by area.  Check with local sources for current prices. N cost includes N-serve.</t>
  </si>
  <si>
    <t xml:space="preserve">Assumes NH3(82-0-0):</t>
  </si>
  <si>
    <t xml:space="preserve">/ton     MAP(11-52-0):</t>
  </si>
  <si>
    <t xml:space="preserve">/ton     Potash(0-0-60):</t>
  </si>
  <si>
    <t xml:space="preserve">N cost includes cost of N-Serve.</t>
  </si>
  <si>
    <t xml:space="preserve">Based on use of: fall applied Basis plus 2,4-D, preplant Cinch ATZ plus Instigate, post glyphosate (with adjuvant and AMS).</t>
  </si>
  <si>
    <t xml:space="preserve">Drying costs are based on 2.5% moisture removed (0.02 gal of LP per % point of moisture removed).</t>
  </si>
  <si>
    <t xml:space="preserve">An additional $0.01 is added per bushel for electricity</t>
  </si>
  <si>
    <t xml:space="preserve">Trucking based on 900 bushel loads, 6 mpg, oil and lube - 10% of fuel cost, Enter on road diesel price and total miles trucked</t>
  </si>
  <si>
    <t xml:space="preserve">See table below for specific calculations.  Lubrications costs are assumed to be 10% of fuel costs</t>
  </si>
  <si>
    <t xml:space="preserve">See table below for specific calculations.</t>
  </si>
  <si>
    <t xml:space="preserve">Crop Insurance cost is based on Revenue Protection at 75% coverage level and 100% Price Protection Level.</t>
  </si>
  <si>
    <t xml:space="preserve">Includes supplies, utilities, soil tests, small tools, 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</si>
  <si>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</si>
  <si>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It’s considered a fixed cost </t>
  </si>
  <si>
    <t xml:space="preserve">if labor costs do not change with acres farmed.</t>
  </si>
  <si>
    <t xml:space="preserve">Labor rate includes cash wages plus benefits. </t>
  </si>
  <si>
    <t xml:space="preserve">Reflects 2000 acres, conservation tillage corn/no-till RR soybean rotation. See table below for specific calculations.</t>
  </si>
  <si>
    <t xml:space="preserve">Average based on "Ohio Cropland Values and Cash Rents" Factsheet</t>
  </si>
  <si>
    <t xml:space="preserve">Land charges vary throughout the state, check your local rates.</t>
  </si>
  <si>
    <t xml:space="preserve">Management Charge is calculated as 5% of Total Receipts.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</si>
  <si>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</si>
  <si>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</si>
  <si>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</si>
  <si>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</si>
  <si>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</si>
  <si>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</si>
  <si>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</si>
  <si>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</si>
  <si>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</si>
  <si>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</si>
  <si>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</si>
  <si>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</si>
  <si>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</si>
  <si>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 Prop.</t>
  </si>
  <si>
    <t xml:space="preserve">16 Row Planter</t>
  </si>
  <si>
    <t xml:space="preserve">Combine 440 HP</t>
  </si>
  <si>
    <t xml:space="preserve">-----</t>
  </si>
  <si>
    <t xml:space="preserve">Corn Head 8 Row</t>
  </si>
  <si>
    <t xml:space="preserve">Anhydrous Applic. 32.5'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</si>
  <si>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</si>
  <si>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</si>
  <si>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</si>
  <si>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</si>
  <si>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</si>
  <si>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</si>
  <si>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</si>
  <si>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</si>
  <si>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</si>
  <si>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</si>
  <si>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</si>
  <si>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</si>
  <si>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</si>
  <si>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</si>
  <si>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</si>
  <si>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</si>
  <si>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</si>
  <si>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</si>
  <si>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</si>
  <si>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</si>
  <si>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</si>
  <si>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</si>
  <si>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Trailers assumed to be used equipment.</t>
  </si>
  <si>
    <t xml:space="preserve">***Fuel for Semi is included in Budget as Trucking - Fuel Only</t>
  </si>
  <si>
    <t xml:space="preserve">Prepared by: Barry Ward, Leader, Production Business Management; Peter Thomison, Extension Corn Specialist, </t>
  </si>
  <si>
    <t xml:space="preserve">Mark Loux, Extension Specialist, Weed Management in Field Crops</t>
  </si>
  <si>
    <t xml:space="preserve">Machine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</si>
  <si>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</si>
  <si>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</si>
  <si>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</si>
  <si>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</si>
  <si>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</si>
  <si>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</si>
  <si>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</si>
  <si>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</si>
  <si>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Combine 340 HP</t>
  </si>
  <si>
    <t xml:space="preserve">Pickup Truck (1/2)**</t>
  </si>
  <si>
    <t xml:space="preserve">CORN SELECTED BUDGET STATS - 2014</t>
  </si>
  <si>
    <t xml:space="preserve">Item</t>
  </si>
  <si>
    <t xml:space="preserve">Input</t>
  </si>
  <si>
    <t xml:space="preserve">Yield in bushels/acre</t>
  </si>
  <si>
    <t xml:space="preserve">Receipts</t>
  </si>
  <si>
    <t xml:space="preserve">Corn Price</t>
  </si>
  <si>
    <t xml:space="preserve">/bushel</t>
  </si>
  <si>
    <t xml:space="preserve">Variable Costs</t>
  </si>
  <si>
    <t xml:space="preserve">Seed Cost</t>
  </si>
  <si>
    <r>
      <rPr>
        <sz val="16"/>
        <rFont val="Arial"/>
        <family val="2"/>
        <charset val="1"/>
      </rPr>
      <t xml:space="preserve">Nitrogen (NH</t>
    </r>
    <r>
      <rPr>
        <vertAlign val="subscript"/>
        <sz val="16"/>
        <rFont val="Arial"/>
        <family val="2"/>
        <charset val="1"/>
      </rPr>
      <t xml:space="preserve">3</t>
    </r>
    <r>
      <rPr>
        <sz val="16"/>
        <rFont val="Arial"/>
        <family val="2"/>
        <charset val="1"/>
      </rPr>
      <t xml:space="preserve">)</t>
    </r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</si>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</sst>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"/>
    <numFmt numFmtId="171" formatCode="#,##0.000"/>
    <numFmt numFmtId="172" formatCode="#,##0.0000"/>
    <numFmt numFmtId="173" formatCode="#,##0"/>
    <numFmt numFmtId="174" formatCode="0.00%"/>
    <numFmt numFmtId="175" formatCode="@"/>
    <numFmt numFmtId="176" formatCode="0%"/>
    <numFmt numFmtId="177" formatCode="\$#,##0"/>
    <numFmt numFmtId="178" formatCode="_(\$* #,##0.00_);_(\$* \(#,##0.00\);_(\$* \-??_);_(@_)"/>
    <numFmt numFmtId="179" formatCode="#,##0.00_);\(#,##0.00\)"/>
    <numFmt numFmtId="180" formatCode="_(* #,##0.00_);_(* \(#,##0.00\);_(* \-??_);_(@_)"/>
    <numFmt numFmtId="181" formatCode="_(* #,##0_);_(* \(#,##0\);_(* \-??_);_(@_)"/>
    <numFmt numFmtId="182" formatCode="\$#,##0.00_);&quot;($&quot;#,##0.00\)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  <font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7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12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158760</xdr:colOff>
      <xdr:row>0</xdr:row>
      <xdr:rowOff>76320</xdr:rowOff>
    </xdr:from>
    <xdr:to>
      <xdr:col>2</xdr:col>
      <xdr:colOff>437760</xdr:colOff>
      <xdr:row>4</xdr:row>
      <xdr:rowOff>44280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58760" y="76320"/>
          <a:ext cx="640800" cy="717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aculty.apec.umn.edu/wlazarus/documents/machdata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22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8.50510204081633"/>
    <col collapsed="false" hidden="false" max="4" min="4" style="0" width="6.88265306122449"/>
    <col collapsed="false" hidden="false" max="5" min="5" style="0" width="8.36734693877551"/>
    <col collapsed="false" hidden="false" max="7" min="6" style="0" width="8.50510204081633"/>
    <col collapsed="false" hidden="false" max="8" min="8" style="0" width="8.63775510204082"/>
    <col collapsed="false" hidden="false" max="9" min="9" style="0" width="9.71938775510204"/>
    <col collapsed="false" hidden="false" max="10" min="10" style="0" width="6.88265306122449"/>
    <col collapsed="false" hidden="false" max="11" min="11" style="0" width="7.69387755102041"/>
    <col collapsed="false" hidden="false" max="12" min="12" style="1" width="7.83163265306122"/>
    <col collapsed="false" hidden="false" max="13" min="13" style="1" width="7.69387755102041"/>
    <col collapsed="false" hidden="false" max="14" min="14" style="1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2"/>
    </row>
    <row r="2" customFormat="false" ht="15.5" hidden="false" customHeight="false" outlineLevel="0" collapsed="false">
      <c r="A2" s="2"/>
      <c r="B2" s="2"/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</row>
    <row r="3" customFormat="false" ht="12.5" hidden="false" customHeight="false" outlineLevel="0" collapsed="false">
      <c r="A3" s="2"/>
      <c r="B3" s="2"/>
      <c r="C3" s="2"/>
      <c r="D3" s="2"/>
      <c r="E3" s="7" t="s">
        <v>2</v>
      </c>
      <c r="F3" s="7"/>
      <c r="G3" s="7"/>
      <c r="H3" s="7"/>
      <c r="I3" s="7"/>
      <c r="J3" s="7"/>
      <c r="K3" s="7"/>
      <c r="L3" s="6"/>
      <c r="M3" s="0"/>
      <c r="N3" s="4"/>
      <c r="O3" s="2"/>
    </row>
    <row r="4" customFormat="false" ht="15.5" hidden="false" customHeight="false" outlineLevel="0" collapsed="false">
      <c r="A4" s="2"/>
      <c r="B4" s="2"/>
      <c r="C4" s="2"/>
      <c r="D4" s="2"/>
      <c r="F4" s="2"/>
      <c r="G4" s="8"/>
      <c r="I4" s="9"/>
      <c r="J4" s="2"/>
      <c r="K4" s="6"/>
      <c r="L4" s="10" t="s">
        <v>3</v>
      </c>
      <c r="M4" s="11" t="s">
        <v>4</v>
      </c>
      <c r="N4" s="11"/>
      <c r="O4" s="2"/>
    </row>
    <row r="5" customFormat="false" ht="15.5" hidden="false" customHeight="false" outlineLevel="0" collapsed="false">
      <c r="A5" s="2"/>
      <c r="B5" s="2"/>
      <c r="C5" s="2"/>
      <c r="D5" s="2"/>
      <c r="E5" s="8"/>
      <c r="F5" s="8"/>
      <c r="G5" s="2"/>
      <c r="H5" s="2"/>
      <c r="I5" s="9"/>
      <c r="J5" s="2"/>
      <c r="K5" s="12"/>
      <c r="L5" s="6"/>
      <c r="M5" s="6"/>
      <c r="N5" s="6"/>
      <c r="O5" s="2"/>
    </row>
    <row r="6" customFormat="false" ht="15" hidden="false" customHeight="false" outlineLevel="0" collapsed="false">
      <c r="A6" s="13" t="s">
        <v>5</v>
      </c>
      <c r="B6" s="13"/>
      <c r="C6" s="13"/>
      <c r="D6" s="13"/>
      <c r="E6" s="14" t="s">
        <v>6</v>
      </c>
      <c r="F6" s="14"/>
      <c r="G6" s="14"/>
      <c r="H6" s="14" t="s">
        <v>7</v>
      </c>
      <c r="I6" s="15" t="s">
        <v>8</v>
      </c>
      <c r="J6" s="13"/>
      <c r="L6" s="16" t="s">
        <v>9</v>
      </c>
      <c r="M6" s="16"/>
      <c r="N6" s="13" t="s">
        <v>7</v>
      </c>
    </row>
    <row r="7" customFormat="false" ht="13" hidden="false" customHeight="false" outlineLevel="0" collapsed="false">
      <c r="A7" s="17"/>
      <c r="B7" s="17"/>
      <c r="C7" s="17"/>
      <c r="D7" s="17"/>
      <c r="E7" s="17"/>
      <c r="F7" s="17"/>
      <c r="G7" s="17"/>
      <c r="H7" s="18" t="s">
        <v>10</v>
      </c>
      <c r="I7" s="18" t="s">
        <v>11</v>
      </c>
      <c r="J7" s="18"/>
      <c r="K7" s="19"/>
      <c r="L7" s="19"/>
      <c r="M7" s="19"/>
      <c r="N7" s="18" t="s">
        <v>12</v>
      </c>
    </row>
    <row r="8" customFormat="false" ht="13" hidden="false" customHeight="false" outlineLevel="0" collapsed="false">
      <c r="A8" s="20"/>
      <c r="B8" s="20"/>
      <c r="C8" s="20"/>
      <c r="D8" s="20"/>
      <c r="E8" s="20"/>
      <c r="F8" s="20"/>
      <c r="G8" s="20"/>
      <c r="H8" s="21" t="s">
        <v>13</v>
      </c>
      <c r="I8" s="20"/>
      <c r="J8" s="20"/>
      <c r="K8" s="22" t="n">
        <v>128</v>
      </c>
      <c r="L8" s="22" t="n">
        <v>160</v>
      </c>
      <c r="M8" s="22" t="n">
        <v>192</v>
      </c>
      <c r="N8" s="23" t="n">
        <v>200</v>
      </c>
    </row>
    <row r="9" customFormat="false" ht="13" hidden="false" customHeight="false" outlineLevel="0" collapsed="false">
      <c r="A9" s="24" t="s">
        <v>14</v>
      </c>
      <c r="B9" s="2"/>
      <c r="C9" s="2"/>
      <c r="D9" s="2"/>
      <c r="F9" s="2"/>
      <c r="G9" s="2"/>
      <c r="H9" s="2"/>
      <c r="I9" s="2"/>
      <c r="J9" s="2"/>
      <c r="K9" s="25"/>
      <c r="L9" s="25"/>
      <c r="M9" s="25"/>
      <c r="N9" s="25"/>
    </row>
    <row r="10" customFormat="false" ht="15" hidden="false" customHeight="false" outlineLevel="0" collapsed="false">
      <c r="A10" s="2"/>
      <c r="B10" s="2" t="s">
        <v>15</v>
      </c>
      <c r="C10" s="2"/>
      <c r="D10" s="2"/>
      <c r="F10" s="2"/>
      <c r="G10" s="2"/>
      <c r="H10" s="2"/>
      <c r="I10" s="26" t="n">
        <v>4.5</v>
      </c>
      <c r="J10" s="2" t="s">
        <v>16</v>
      </c>
      <c r="K10" s="27" t="n">
        <f aca="false">+$I$10*K8</f>
        <v>576</v>
      </c>
      <c r="L10" s="27" t="n">
        <f aca="false">+$I$10*L8</f>
        <v>720</v>
      </c>
      <c r="M10" s="27" t="n">
        <f aca="false">+$I$10*M8</f>
        <v>864</v>
      </c>
      <c r="N10" s="28" t="n">
        <f aca="false">+$I$10*N8</f>
        <v>900</v>
      </c>
    </row>
    <row r="11" customFormat="false" ht="13" hidden="false" customHeight="false" outlineLevel="0" collapsed="false">
      <c r="A11" s="2"/>
      <c r="B11" s="2" t="s">
        <v>17</v>
      </c>
      <c r="D11" s="2"/>
      <c r="E11" s="2"/>
      <c r="F11" s="29"/>
      <c r="G11" s="30"/>
      <c r="H11" s="30"/>
      <c r="I11" s="29"/>
      <c r="J11" s="2"/>
      <c r="K11" s="27" t="n">
        <v>0</v>
      </c>
      <c r="L11" s="27" t="n">
        <v>0</v>
      </c>
      <c r="M11" s="27" t="n">
        <v>0</v>
      </c>
      <c r="N11" s="31" t="n">
        <v>0</v>
      </c>
    </row>
    <row r="12" customFormat="false" ht="13" hidden="false" customHeight="false" outlineLevel="0" collapsed="false">
      <c r="A12" s="2"/>
      <c r="B12" s="2"/>
      <c r="C12" s="2"/>
      <c r="D12" s="2"/>
      <c r="E12" s="32"/>
      <c r="F12" s="32"/>
      <c r="G12" s="32"/>
      <c r="H12" s="32"/>
      <c r="I12" s="33"/>
      <c r="J12" s="32"/>
      <c r="K12" s="27"/>
      <c r="L12" s="27"/>
      <c r="M12" s="27"/>
      <c r="N12" s="34"/>
    </row>
    <row r="13" customFormat="false" ht="13" hidden="false" customHeight="false" outlineLevel="0" collapsed="false">
      <c r="A13" s="24" t="s">
        <v>18</v>
      </c>
      <c r="B13" s="2"/>
      <c r="C13" s="2"/>
      <c r="D13" s="2"/>
      <c r="E13" s="2"/>
      <c r="F13" s="2"/>
      <c r="G13" s="2"/>
      <c r="H13" s="2"/>
      <c r="I13" s="33"/>
      <c r="J13" s="2"/>
      <c r="K13" s="27" t="n">
        <f aca="false">SUM(K10:K11)</f>
        <v>576</v>
      </c>
      <c r="L13" s="27" t="n">
        <f aca="false">SUM(L10:L11)</f>
        <v>720</v>
      </c>
      <c r="M13" s="27" t="n">
        <f aca="false">SUM(M10:M11)</f>
        <v>864</v>
      </c>
      <c r="N13" s="28" t="n">
        <f aca="false">SUM(N10:N11)</f>
        <v>900</v>
      </c>
    </row>
    <row r="14" customFormat="false" ht="4.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5"/>
      <c r="L14" s="25"/>
      <c r="M14" s="25"/>
      <c r="N14" s="35"/>
    </row>
    <row r="15" customFormat="false" ht="13" hidden="false" customHeight="false" outlineLevel="0" collapsed="false">
      <c r="A15" s="24" t="s">
        <v>19</v>
      </c>
      <c r="B15" s="2"/>
      <c r="C15" s="2"/>
      <c r="D15" s="2"/>
      <c r="E15" s="2"/>
      <c r="F15" s="2"/>
      <c r="G15" s="2"/>
      <c r="H15" s="2"/>
      <c r="I15" s="2"/>
      <c r="J15" s="33"/>
      <c r="K15" s="25"/>
      <c r="L15" s="25"/>
      <c r="M15" s="25"/>
      <c r="N15" s="35"/>
    </row>
    <row r="16" customFormat="false" ht="15" hidden="false" customHeight="false" outlineLevel="0" collapsed="false">
      <c r="A16" s="2"/>
      <c r="B16" s="2" t="s">
        <v>20</v>
      </c>
      <c r="C16" s="2"/>
      <c r="D16" s="2"/>
      <c r="E16" s="2" t="n">
        <v>28000</v>
      </c>
      <c r="F16" s="2" t="n">
        <v>32000</v>
      </c>
      <c r="G16" s="2" t="n">
        <v>34000</v>
      </c>
      <c r="H16" s="36" t="n">
        <v>34000</v>
      </c>
      <c r="I16" s="26" t="n">
        <f aca="false">I17/80</f>
        <v>3.4375</v>
      </c>
      <c r="J16" s="2" t="s">
        <v>21</v>
      </c>
      <c r="K16" s="6" t="n">
        <f aca="false">+$I$16*E16/1000</f>
        <v>96.25</v>
      </c>
      <c r="L16" s="6" t="n">
        <f aca="false">+$I$16*F16/1000</f>
        <v>110</v>
      </c>
      <c r="M16" s="6" t="n">
        <f aca="false">+$I$16*G16/1000</f>
        <v>116.875</v>
      </c>
      <c r="N16" s="37" t="n">
        <f aca="false">+$I$16*H16/1000</f>
        <v>116.875</v>
      </c>
    </row>
    <row r="17" customFormat="false" ht="13" hidden="false" customHeight="false" outlineLevel="0" collapsed="false">
      <c r="A17" s="2"/>
      <c r="B17" s="2"/>
      <c r="C17" s="2"/>
      <c r="D17" s="2"/>
      <c r="E17" s="2" t="s">
        <v>22</v>
      </c>
      <c r="F17" s="2"/>
      <c r="G17" s="2"/>
      <c r="H17" s="38"/>
      <c r="I17" s="26" t="n">
        <v>275</v>
      </c>
      <c r="J17" s="2" t="s">
        <v>23</v>
      </c>
      <c r="K17" s="6"/>
      <c r="L17" s="6"/>
      <c r="M17" s="6"/>
      <c r="N17" s="39"/>
    </row>
    <row r="18" customFormat="false" ht="15" hidden="false" customHeight="false" outlineLevel="0" collapsed="false">
      <c r="A18" s="2"/>
      <c r="B18" s="2" t="s">
        <v>24</v>
      </c>
      <c r="C18" s="2"/>
      <c r="D18" s="2"/>
      <c r="E18" s="2"/>
      <c r="F18" s="2"/>
      <c r="G18" s="2"/>
      <c r="H18" s="30"/>
      <c r="I18" s="40"/>
      <c r="J18" s="41"/>
      <c r="K18" s="6"/>
      <c r="L18" s="6"/>
      <c r="M18" s="6"/>
      <c r="N18" s="10"/>
    </row>
    <row r="19" customFormat="false" ht="13" hidden="false" customHeight="false" outlineLevel="0" collapsed="false">
      <c r="A19" s="2"/>
      <c r="B19" s="2"/>
      <c r="C19" s="2" t="s">
        <v>25</v>
      </c>
      <c r="D19" s="2"/>
      <c r="E19" s="2"/>
      <c r="F19" s="2"/>
      <c r="G19" s="2"/>
      <c r="H19" s="30"/>
      <c r="I19" s="40"/>
      <c r="J19" s="41"/>
      <c r="K19" s="6" t="n">
        <v>0</v>
      </c>
      <c r="L19" s="6" t="n">
        <v>0</v>
      </c>
      <c r="M19" s="6" t="n">
        <v>0</v>
      </c>
      <c r="N19" s="42" t="n">
        <v>0</v>
      </c>
    </row>
    <row r="20" customFormat="false" ht="13" hidden="false" customHeight="false" outlineLevel="0" collapsed="false">
      <c r="A20" s="2"/>
      <c r="B20" s="2"/>
      <c r="C20" s="2" t="s">
        <v>26</v>
      </c>
      <c r="D20" s="2"/>
      <c r="E20" s="43" t="n">
        <v>130</v>
      </c>
      <c r="F20" s="43" t="n">
        <v>160</v>
      </c>
      <c r="G20" s="43" t="n">
        <v>190</v>
      </c>
      <c r="H20" s="44" t="n">
        <v>190</v>
      </c>
      <c r="I20" s="45" t="n">
        <f aca="false">F69/1640</f>
        <v>0.457317073170732</v>
      </c>
      <c r="J20" s="2" t="s">
        <v>27</v>
      </c>
      <c r="K20" s="6" t="n">
        <f aca="false">($I$20*E20)+7</f>
        <v>66.4512195121951</v>
      </c>
      <c r="L20" s="6" t="n">
        <f aca="false">($I$20*F20)+7</f>
        <v>80.1707317073171</v>
      </c>
      <c r="M20" s="6" t="n">
        <f aca="false">($I$20*G20)+7</f>
        <v>93.890243902439</v>
      </c>
      <c r="N20" s="37" t="n">
        <f aca="false">($I$20*H20)+7</f>
        <v>93.890243902439</v>
      </c>
    </row>
    <row r="21" customFormat="false" ht="15.5" hidden="false" customHeight="false" outlineLevel="0" collapsed="false">
      <c r="A21" s="2"/>
      <c r="B21" s="2"/>
      <c r="C21" s="2" t="s">
        <v>28</v>
      </c>
      <c r="D21" s="2"/>
      <c r="E21" s="43" t="n">
        <f aca="false">K8*0.37</f>
        <v>47.36</v>
      </c>
      <c r="F21" s="43" t="n">
        <f aca="false">L8*0.37</f>
        <v>59.2</v>
      </c>
      <c r="G21" s="43" t="n">
        <f aca="false">M8*0.37</f>
        <v>71.04</v>
      </c>
      <c r="H21" s="46" t="n">
        <f aca="false">N8*0.37</f>
        <v>74</v>
      </c>
      <c r="I21" s="47" t="n">
        <f aca="false">I69/1040</f>
        <v>0.596153846153846</v>
      </c>
      <c r="J21" s="2" t="s">
        <v>27</v>
      </c>
      <c r="K21" s="6" t="n">
        <f aca="false">+$I$21*E21</f>
        <v>28.2338461538462</v>
      </c>
      <c r="L21" s="6" t="n">
        <f aca="false">+$I$21*F21</f>
        <v>35.2923076923077</v>
      </c>
      <c r="M21" s="6" t="n">
        <f aca="false">+$I$21*G21</f>
        <v>42.3507692307692</v>
      </c>
      <c r="N21" s="37" t="n">
        <f aca="false">+$I$21*H21</f>
        <v>44.1153846153846</v>
      </c>
    </row>
    <row r="22" customFormat="false" ht="15.5" hidden="false" customHeight="false" outlineLevel="0" collapsed="false">
      <c r="A22" s="2"/>
      <c r="B22" s="2"/>
      <c r="C22" s="2" t="s">
        <v>29</v>
      </c>
      <c r="D22" s="2"/>
      <c r="E22" s="43" t="n">
        <f aca="false">(K8*0.27)</f>
        <v>34.56</v>
      </c>
      <c r="F22" s="43" t="n">
        <f aca="false">(L8*0.27)</f>
        <v>43.2</v>
      </c>
      <c r="G22" s="43" t="n">
        <f aca="false">(M8*0.27)</f>
        <v>51.84</v>
      </c>
      <c r="H22" s="44" t="n">
        <f aca="false">(N8*0.27)</f>
        <v>54</v>
      </c>
      <c r="I22" s="47" t="n">
        <f aca="false">M69/1200</f>
        <v>0.375</v>
      </c>
      <c r="J22" s="2" t="s">
        <v>27</v>
      </c>
      <c r="K22" s="6" t="n">
        <f aca="false">+$I$22*E22</f>
        <v>12.96</v>
      </c>
      <c r="L22" s="6" t="n">
        <f aca="false">+$I$22*F22</f>
        <v>16.2</v>
      </c>
      <c r="M22" s="6" t="n">
        <f aca="false">+$I$22*G22</f>
        <v>19.44</v>
      </c>
      <c r="N22" s="37" t="n">
        <f aca="false">+$I$22*H22</f>
        <v>20.25</v>
      </c>
      <c r="O22" s="1"/>
      <c r="P22" s="1"/>
      <c r="Q22" s="1"/>
      <c r="R22" s="1"/>
    </row>
    <row r="23" customFormat="false" ht="13" hidden="false" customHeight="false" outlineLevel="0" collapsed="false">
      <c r="A23" s="2"/>
      <c r="B23" s="2"/>
      <c r="C23" s="2" t="s">
        <v>30</v>
      </c>
      <c r="D23" s="2"/>
      <c r="E23" s="2"/>
      <c r="F23" s="2" t="n">
        <v>0.25</v>
      </c>
      <c r="G23" s="2"/>
      <c r="H23" s="48" t="n">
        <v>0.25</v>
      </c>
      <c r="I23" s="36" t="n">
        <v>25</v>
      </c>
      <c r="J23" s="2" t="s">
        <v>31</v>
      </c>
      <c r="K23" s="6" t="n">
        <f aca="false">+F23*I23</f>
        <v>6.25</v>
      </c>
      <c r="L23" s="6" t="n">
        <f aca="false">+F23*I23</f>
        <v>6.25</v>
      </c>
      <c r="M23" s="6" t="n">
        <f aca="false">+F23*I23</f>
        <v>6.25</v>
      </c>
      <c r="N23" s="37" t="n">
        <f aca="false">+H23*I23</f>
        <v>6.25</v>
      </c>
    </row>
    <row r="24" customFormat="false" ht="15" hidden="false" customHeight="false" outlineLevel="0" collapsed="false">
      <c r="A24" s="2"/>
      <c r="B24" s="2" t="s">
        <v>32</v>
      </c>
      <c r="C24" s="2"/>
      <c r="D24" s="2" t="s">
        <v>33</v>
      </c>
      <c r="E24" s="2"/>
      <c r="F24" s="2"/>
      <c r="G24" s="2"/>
      <c r="H24" s="2"/>
      <c r="I24" s="2"/>
      <c r="J24" s="2"/>
      <c r="K24" s="6" t="n">
        <v>55.93</v>
      </c>
      <c r="L24" s="6" t="n">
        <v>55.93</v>
      </c>
      <c r="M24" s="6" t="n">
        <v>55.93</v>
      </c>
      <c r="N24" s="49" t="n">
        <v>55.93</v>
      </c>
    </row>
    <row r="25" customFormat="false" ht="13" hidden="false" customHeight="false" outlineLevel="0" collapsed="false">
      <c r="A25" s="2"/>
      <c r="B25" s="2"/>
      <c r="C25" s="2"/>
      <c r="D25" s="2" t="s">
        <v>34</v>
      </c>
      <c r="E25" s="2"/>
      <c r="F25" s="2"/>
      <c r="G25" s="2"/>
      <c r="H25" s="2"/>
      <c r="I25" s="2"/>
      <c r="J25" s="2"/>
      <c r="K25" s="6" t="n">
        <v>0</v>
      </c>
      <c r="L25" s="6" t="n">
        <v>0</v>
      </c>
      <c r="M25" s="6" t="n">
        <v>0</v>
      </c>
      <c r="N25" s="49" t="n">
        <v>0</v>
      </c>
    </row>
    <row r="26" customFormat="false" ht="13" hidden="false" customHeight="false" outlineLevel="0" collapsed="false">
      <c r="A26" s="2"/>
      <c r="B26" s="2"/>
      <c r="C26" s="2"/>
      <c r="D26" s="2" t="s">
        <v>35</v>
      </c>
      <c r="E26" s="2"/>
      <c r="F26" s="2"/>
      <c r="G26" s="2"/>
      <c r="H26" s="2"/>
      <c r="I26" s="2"/>
      <c r="J26" s="2"/>
      <c r="K26" s="6" t="n">
        <v>0</v>
      </c>
      <c r="L26" s="6" t="n">
        <v>0</v>
      </c>
      <c r="M26" s="6" t="n">
        <v>0</v>
      </c>
      <c r="N26" s="49" t="n">
        <v>0</v>
      </c>
    </row>
    <row r="27" customFormat="false" ht="15" hidden="false" customHeight="false" outlineLevel="0" collapsed="false">
      <c r="A27" s="2"/>
      <c r="B27" s="2" t="s">
        <v>36</v>
      </c>
      <c r="C27" s="2"/>
      <c r="D27" s="2"/>
      <c r="E27" s="2"/>
      <c r="F27" s="26" t="n">
        <v>2</v>
      </c>
      <c r="G27" s="2" t="s">
        <v>37</v>
      </c>
      <c r="H27" s="2"/>
      <c r="I27" s="50" t="n">
        <f aca="false">(5*0.02*F27)+0.01</f>
        <v>0.21</v>
      </c>
      <c r="J27" s="2" t="s">
        <v>16</v>
      </c>
      <c r="K27" s="6" t="n">
        <f aca="false">+$I$27*K8</f>
        <v>26.88</v>
      </c>
      <c r="L27" s="6" t="n">
        <f aca="false">+$I$27*L8</f>
        <v>33.6</v>
      </c>
      <c r="M27" s="6" t="n">
        <f aca="false">+$I$27*M8</f>
        <v>40.32</v>
      </c>
      <c r="N27" s="37" t="n">
        <f aca="false">+$I$27*N8</f>
        <v>42</v>
      </c>
    </row>
    <row r="28" customFormat="false" ht="15" hidden="false" customHeight="false" outlineLevel="0" collapsed="false">
      <c r="A28" s="2"/>
      <c r="B28" s="2" t="s">
        <v>38</v>
      </c>
      <c r="C28" s="2"/>
      <c r="D28" s="2"/>
      <c r="E28" s="2"/>
      <c r="F28" s="51" t="n">
        <v>4</v>
      </c>
      <c r="G28" s="2" t="s">
        <v>39</v>
      </c>
      <c r="H28" s="2"/>
      <c r="I28" s="52" t="n">
        <v>30</v>
      </c>
      <c r="J28" s="2" t="s">
        <v>40</v>
      </c>
      <c r="K28" s="6" t="n">
        <f aca="false">(((($I$28/6)*$F$28)/900)*K8)+(((($I$28/6)*$F$28)/900)*K8)*0.1</f>
        <v>3.12888888888889</v>
      </c>
      <c r="L28" s="6" t="n">
        <f aca="false">(((($I$28/6)*$F$28)/900)*L8)+(((($I$28/6)*$F$28)/900)*L8)*0.1</f>
        <v>3.91111111111111</v>
      </c>
      <c r="M28" s="6" t="n">
        <f aca="false">(((($I$28/6)*$F$28)/900)*M8)+(((($I$28/6)*$F$28)/900)*M8)*0.1</f>
        <v>4.69333333333333</v>
      </c>
      <c r="N28" s="37" t="n">
        <f aca="false">(((($I$28/6)*$F$28)/900)*N8)+(((($I$28/6)*$F$28)/900)*N8)*0.1</f>
        <v>4.88888888888889</v>
      </c>
    </row>
    <row r="29" customFormat="false" ht="15" hidden="false" customHeight="false" outlineLevel="0" collapsed="false">
      <c r="A29" s="2"/>
      <c r="B29" s="2" t="s">
        <v>41</v>
      </c>
      <c r="C29" s="2"/>
      <c r="D29" s="2"/>
      <c r="E29" s="2"/>
      <c r="F29" s="2"/>
      <c r="G29" s="2"/>
      <c r="H29" s="2"/>
      <c r="I29" s="2"/>
      <c r="J29" s="2"/>
      <c r="K29" s="6" t="n">
        <f aca="false">+$K$106</f>
        <v>20.1394010309278</v>
      </c>
      <c r="L29" s="6" t="n">
        <f aca="false">+$K$106</f>
        <v>20.1394010309278</v>
      </c>
      <c r="M29" s="6" t="n">
        <f aca="false">+$K$106</f>
        <v>20.1394010309278</v>
      </c>
      <c r="N29" s="37" t="n">
        <f aca="false">+$K$106</f>
        <v>20.1394010309278</v>
      </c>
    </row>
    <row r="30" customFormat="false" ht="15" hidden="false" customHeight="false" outlineLevel="0" collapsed="false">
      <c r="A30" s="2"/>
      <c r="B30" s="2" t="s">
        <v>42</v>
      </c>
      <c r="C30" s="2"/>
      <c r="D30" s="2"/>
      <c r="E30" s="2"/>
      <c r="F30" s="2"/>
      <c r="G30" s="2"/>
      <c r="H30" s="2"/>
      <c r="I30" s="2"/>
      <c r="J30" s="2"/>
      <c r="K30" s="6" t="n">
        <f aca="false">+$M$106</f>
        <v>26.7793917332334</v>
      </c>
      <c r="L30" s="6" t="n">
        <f aca="false">+$M$106</f>
        <v>26.7793917332334</v>
      </c>
      <c r="M30" s="6" t="n">
        <f aca="false">+$M$106</f>
        <v>26.7793917332334</v>
      </c>
      <c r="N30" s="37" t="n">
        <f aca="false">+$M$106</f>
        <v>26.7793917332334</v>
      </c>
    </row>
    <row r="31" customFormat="false" ht="15" hidden="false" customHeight="false" outlineLevel="0" collapsed="false">
      <c r="A31" s="2"/>
      <c r="B31" s="2" t="s">
        <v>43</v>
      </c>
      <c r="C31" s="2"/>
      <c r="D31" s="2"/>
      <c r="E31" s="2"/>
      <c r="F31" s="2"/>
      <c r="G31" s="2"/>
      <c r="H31" s="2"/>
      <c r="I31" s="2"/>
      <c r="J31" s="2"/>
      <c r="K31" s="6" t="n">
        <v>20</v>
      </c>
      <c r="L31" s="6" t="n">
        <v>21</v>
      </c>
      <c r="M31" s="6" t="n">
        <v>21</v>
      </c>
      <c r="N31" s="49" t="n">
        <v>21</v>
      </c>
    </row>
    <row r="32" customFormat="false" ht="15" hidden="false" customHeight="false" outlineLevel="0" collapsed="false">
      <c r="A32" s="2"/>
      <c r="B32" s="2" t="s">
        <v>44</v>
      </c>
      <c r="C32" s="2"/>
      <c r="D32" s="2"/>
      <c r="E32" s="2"/>
      <c r="F32" s="2"/>
      <c r="G32" s="2"/>
      <c r="H32" s="2"/>
      <c r="I32" s="2"/>
      <c r="J32" s="2"/>
      <c r="K32" s="6" t="n">
        <v>12</v>
      </c>
      <c r="L32" s="6" t="n">
        <v>12</v>
      </c>
      <c r="M32" s="6" t="n">
        <v>12</v>
      </c>
      <c r="N32" s="49" t="n">
        <v>12</v>
      </c>
    </row>
    <row r="33" customFormat="false" ht="15" hidden="false" customHeight="false" outlineLevel="0" collapsed="false">
      <c r="A33" s="2"/>
      <c r="B33" s="2" t="s">
        <v>45</v>
      </c>
      <c r="C33" s="2"/>
      <c r="D33" s="2"/>
      <c r="E33" s="2"/>
      <c r="F33" s="53" t="n">
        <v>7</v>
      </c>
      <c r="G33" s="2" t="s">
        <v>46</v>
      </c>
      <c r="H33" s="2"/>
      <c r="I33" s="54" t="n">
        <v>0.04</v>
      </c>
      <c r="J33" s="2"/>
      <c r="K33" s="6" t="n">
        <f aca="false">(SUM(K16:K32)-K27-K28)*$I$33*($F$33/12)</f>
        <v>8.04985669670473</v>
      </c>
      <c r="L33" s="6" t="n">
        <f aca="false">(SUM(L16:L32)-L27-L28)*$I$33*($F$33/12)</f>
        <v>8.95444275048834</v>
      </c>
      <c r="M33" s="6" t="n">
        <f aca="false">(SUM(M16:M32)-M27-M28)*$I$33*($F$33/12)</f>
        <v>9.67527880427196</v>
      </c>
      <c r="N33" s="37" t="n">
        <f aca="false">(SUM(N16:N32)-N27-N28)*$I$33*($F$33/12)</f>
        <v>9.73535316324631</v>
      </c>
    </row>
    <row r="34" customFormat="false" ht="15" hidden="false" customHeight="false" outlineLevel="0" collapsed="false">
      <c r="A34" s="2"/>
      <c r="B34" s="2" t="s">
        <v>47</v>
      </c>
      <c r="C34" s="2"/>
      <c r="D34" s="2"/>
      <c r="E34" s="2"/>
      <c r="F34" s="2"/>
      <c r="G34" s="2"/>
      <c r="H34" s="2"/>
      <c r="I34" s="2"/>
      <c r="J34" s="2"/>
      <c r="K34" s="55" t="n">
        <v>0</v>
      </c>
      <c r="L34" s="55" t="n">
        <v>0</v>
      </c>
      <c r="M34" s="55" t="n">
        <v>0</v>
      </c>
      <c r="N34" s="56" t="n">
        <v>0</v>
      </c>
    </row>
    <row r="35" customFormat="false" ht="3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6"/>
      <c r="L35" s="6"/>
      <c r="M35" s="6"/>
      <c r="N35" s="10"/>
    </row>
    <row r="36" customFormat="false" ht="13" hidden="false" customHeight="false" outlineLevel="0" collapsed="false">
      <c r="A36" s="24" t="s">
        <v>48</v>
      </c>
      <c r="B36" s="2"/>
      <c r="C36" s="2"/>
      <c r="D36" s="2"/>
      <c r="E36" s="2"/>
      <c r="G36" s="57" t="s">
        <v>49</v>
      </c>
      <c r="H36" s="57"/>
      <c r="I36" s="2"/>
      <c r="J36" s="2"/>
      <c r="K36" s="6" t="n">
        <f aca="false">SUM(K16:K35)</f>
        <v>383.052604015796</v>
      </c>
      <c r="L36" s="6" t="n">
        <f aca="false">SUM(L16:L35)</f>
        <v>430.227386025386</v>
      </c>
      <c r="M36" s="6" t="n">
        <f aca="false">SUM(M16:M35)</f>
        <v>469.343418034975</v>
      </c>
      <c r="N36" s="37" t="n">
        <f aca="false">SUM(N16:N35)</f>
        <v>473.85366333412</v>
      </c>
    </row>
    <row r="37" customFormat="false" ht="13" hidden="false" customHeight="false" outlineLevel="0" collapsed="false">
      <c r="A37" s="2"/>
      <c r="B37" s="2"/>
      <c r="C37" s="2"/>
      <c r="D37" s="2"/>
      <c r="E37" s="2"/>
      <c r="G37" s="57" t="s">
        <v>50</v>
      </c>
      <c r="H37" s="57"/>
      <c r="I37" s="2"/>
      <c r="J37" s="2"/>
      <c r="K37" s="6" t="n">
        <f aca="false">+K36/K8</f>
        <v>2.99259846887341</v>
      </c>
      <c r="L37" s="6" t="n">
        <f aca="false">+L36/L8</f>
        <v>2.68892116265866</v>
      </c>
      <c r="M37" s="6" t="n">
        <f aca="false">+M36/M8</f>
        <v>2.44449696893216</v>
      </c>
      <c r="N37" s="37" t="n">
        <f aca="false">+N36/N8</f>
        <v>2.3692683166706</v>
      </c>
    </row>
    <row r="38" customFormat="false" ht="3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5"/>
      <c r="L38" s="25"/>
      <c r="M38" s="25"/>
      <c r="N38" s="35"/>
    </row>
    <row r="39" customFormat="false" ht="13" hidden="false" customHeight="false" outlineLevel="0" collapsed="false">
      <c r="A39" s="24" t="s">
        <v>51</v>
      </c>
      <c r="B39" s="2"/>
      <c r="C39" s="2"/>
      <c r="D39" s="2"/>
      <c r="E39" s="2"/>
      <c r="F39" s="2"/>
      <c r="G39" s="2"/>
      <c r="H39" s="2"/>
      <c r="I39" s="2"/>
      <c r="J39" s="2"/>
      <c r="K39" s="25"/>
      <c r="L39" s="25"/>
      <c r="M39" s="25"/>
      <c r="N39" s="35"/>
    </row>
    <row r="40" customFormat="false" ht="15" hidden="false" customHeight="false" outlineLevel="0" collapsed="false">
      <c r="A40" s="2"/>
      <c r="B40" s="2" t="s">
        <v>52</v>
      </c>
      <c r="C40" s="2"/>
      <c r="D40" s="2"/>
      <c r="E40" s="2"/>
      <c r="F40" s="58" t="n">
        <v>3</v>
      </c>
      <c r="G40" s="2" t="s">
        <v>53</v>
      </c>
      <c r="H40" s="2"/>
      <c r="I40" s="48" t="n">
        <v>15</v>
      </c>
      <c r="J40" s="2" t="s">
        <v>54</v>
      </c>
      <c r="K40" s="27" t="n">
        <f aca="false">+$F$40*$I$40</f>
        <v>45</v>
      </c>
      <c r="L40" s="27" t="n">
        <f aca="false">+$F$40*$I$40</f>
        <v>45</v>
      </c>
      <c r="M40" s="27" t="n">
        <f aca="false">+$F$40*$I$40</f>
        <v>45</v>
      </c>
      <c r="N40" s="28" t="n">
        <f aca="false">+$F$40*$I$40</f>
        <v>45</v>
      </c>
    </row>
    <row r="41" customFormat="false" ht="15" hidden="false" customHeight="false" outlineLevel="0" collapsed="false">
      <c r="A41" s="2"/>
      <c r="B41" s="2" t="s">
        <v>55</v>
      </c>
      <c r="C41" s="2"/>
      <c r="D41" s="2"/>
      <c r="E41" s="2"/>
      <c r="F41" s="59" t="n">
        <v>0.05</v>
      </c>
      <c r="G41" s="2" t="s">
        <v>56</v>
      </c>
      <c r="H41" s="2"/>
      <c r="I41" s="2"/>
      <c r="J41" s="2"/>
      <c r="K41" s="60" t="n">
        <f aca="false">$F$41*K13</f>
        <v>28.8</v>
      </c>
      <c r="L41" s="60" t="n">
        <f aca="false">$F$41*L13</f>
        <v>36</v>
      </c>
      <c r="M41" s="60" t="n">
        <f aca="false">$F$41*M13</f>
        <v>43.2</v>
      </c>
      <c r="N41" s="61" t="n">
        <f aca="false">$F$41*N13</f>
        <v>45</v>
      </c>
    </row>
    <row r="42" customFormat="false" ht="15" hidden="false" customHeight="false" outlineLevel="0" collapsed="false">
      <c r="A42" s="2"/>
      <c r="B42" s="2" t="s">
        <v>57</v>
      </c>
      <c r="C42" s="2"/>
      <c r="D42" s="2"/>
      <c r="E42" s="2"/>
      <c r="F42" s="32"/>
      <c r="G42" s="2"/>
      <c r="H42" s="2"/>
      <c r="I42" s="2"/>
      <c r="J42" s="2"/>
      <c r="K42" s="27" t="n">
        <f aca="false">$I$106</f>
        <v>123.5653484375</v>
      </c>
      <c r="L42" s="27" t="n">
        <f aca="false">$I$106</f>
        <v>123.5653484375</v>
      </c>
      <c r="M42" s="27" t="n">
        <f aca="false">$I$106</f>
        <v>123.5653484375</v>
      </c>
      <c r="N42" s="28" t="n">
        <f aca="false">$I$106</f>
        <v>123.5653484375</v>
      </c>
    </row>
    <row r="43" customFormat="false" ht="15" hidden="false" customHeight="false" outlineLevel="0" collapsed="false">
      <c r="A43" s="2"/>
      <c r="B43" s="2" t="s">
        <v>58</v>
      </c>
      <c r="C43" s="2"/>
      <c r="D43" s="2"/>
      <c r="E43" s="2"/>
      <c r="F43" s="32" t="s">
        <v>59</v>
      </c>
      <c r="G43" s="2"/>
      <c r="H43" s="2"/>
      <c r="I43" s="2"/>
      <c r="J43" s="2"/>
      <c r="K43" s="27" t="n">
        <v>150</v>
      </c>
      <c r="L43" s="27" t="n">
        <v>195</v>
      </c>
      <c r="M43" s="27" t="n">
        <v>250</v>
      </c>
      <c r="N43" s="62" t="n">
        <v>250</v>
      </c>
    </row>
    <row r="44" customFormat="false" ht="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7"/>
      <c r="L44" s="27"/>
      <c r="M44" s="27"/>
      <c r="N44" s="34"/>
    </row>
    <row r="45" customFormat="false" ht="13" hidden="false" customHeight="false" outlineLevel="0" collapsed="false">
      <c r="A45" s="24" t="s">
        <v>60</v>
      </c>
      <c r="B45" s="2"/>
      <c r="C45" s="2"/>
      <c r="D45" s="2"/>
      <c r="E45" s="2"/>
      <c r="F45" s="2"/>
      <c r="G45" s="2"/>
      <c r="H45" s="2"/>
      <c r="I45" s="2"/>
      <c r="J45" s="2"/>
      <c r="K45" s="27" t="n">
        <f aca="false">SUM(K40:K44)</f>
        <v>347.3653484375</v>
      </c>
      <c r="L45" s="27" t="n">
        <f aca="false">SUM(L40:L44)</f>
        <v>399.5653484375</v>
      </c>
      <c r="M45" s="27" t="n">
        <f aca="false">SUM(M40:M44)</f>
        <v>461.7653484375</v>
      </c>
      <c r="N45" s="28" t="n">
        <f aca="false">SUM(N40:N44)</f>
        <v>463.5653484375</v>
      </c>
    </row>
    <row r="46" customFormat="false" ht="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7"/>
      <c r="L46" s="27"/>
      <c r="M46" s="27"/>
      <c r="N46" s="34"/>
    </row>
    <row r="47" customFormat="false" ht="13" hidden="false" customHeight="false" outlineLevel="0" collapsed="false">
      <c r="A47" s="24" t="s">
        <v>61</v>
      </c>
      <c r="B47" s="2"/>
      <c r="C47" s="2"/>
      <c r="D47" s="2"/>
      <c r="E47" s="2"/>
      <c r="F47" s="2"/>
      <c r="G47" s="57" t="s">
        <v>49</v>
      </c>
      <c r="H47" s="57"/>
      <c r="I47" s="2"/>
      <c r="J47" s="2"/>
      <c r="K47" s="27" t="n">
        <f aca="false">+K36+K45</f>
        <v>730.417952453296</v>
      </c>
      <c r="L47" s="27" t="n">
        <f aca="false">+L36+L45</f>
        <v>829.792734462886</v>
      </c>
      <c r="M47" s="27" t="n">
        <f aca="false">+M36+M45</f>
        <v>931.108766472475</v>
      </c>
      <c r="N47" s="28" t="n">
        <f aca="false">+N36+N45</f>
        <v>937.41901177162</v>
      </c>
    </row>
    <row r="48" customFormat="false" ht="13" hidden="false" customHeight="false" outlineLevel="0" collapsed="false">
      <c r="A48" s="24"/>
      <c r="B48" s="2"/>
      <c r="C48" s="2"/>
      <c r="D48" s="2"/>
      <c r="E48" s="2"/>
      <c r="F48" s="2"/>
      <c r="G48" s="57" t="s">
        <v>50</v>
      </c>
      <c r="H48" s="57"/>
      <c r="I48" s="2"/>
      <c r="J48" s="2"/>
      <c r="K48" s="27" t="n">
        <f aca="false">+K47/K8</f>
        <v>5.70639025354138</v>
      </c>
      <c r="L48" s="27" t="n">
        <f aca="false">+L47/L8</f>
        <v>5.18620459039303</v>
      </c>
      <c r="M48" s="27" t="n">
        <f aca="false">+M47/M8</f>
        <v>4.84952482537747</v>
      </c>
      <c r="N48" s="28" t="n">
        <f aca="false">+N47/N8</f>
        <v>4.6870950588581</v>
      </c>
    </row>
    <row r="49" customFormat="false" ht="5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7"/>
      <c r="L49" s="27"/>
      <c r="M49" s="27"/>
      <c r="N49" s="34"/>
    </row>
    <row r="50" customFormat="false" ht="13" hidden="false" customHeight="false" outlineLevel="0" collapsed="false">
      <c r="A50" s="24" t="s">
        <v>62</v>
      </c>
      <c r="B50" s="2"/>
      <c r="C50" s="2"/>
      <c r="D50" s="2"/>
      <c r="E50" s="2"/>
      <c r="F50" s="2"/>
      <c r="G50" s="2"/>
      <c r="H50" s="2"/>
      <c r="I50" s="2"/>
      <c r="J50" s="2"/>
      <c r="K50" s="27" t="n">
        <f aca="false">+K13-K36</f>
        <v>192.947395984204</v>
      </c>
      <c r="L50" s="27" t="n">
        <f aca="false">+L13-L36</f>
        <v>289.772613974614</v>
      </c>
      <c r="M50" s="27" t="n">
        <f aca="false">+M13-M36</f>
        <v>394.656581965025</v>
      </c>
      <c r="N50" s="63" t="n">
        <f aca="false">+N13-N36</f>
        <v>426.14633666588</v>
      </c>
    </row>
    <row r="51" customFormat="false" ht="13" hidden="false" customHeight="false" outlineLevel="0" collapsed="false">
      <c r="A51" s="24" t="s">
        <v>63</v>
      </c>
      <c r="B51" s="2"/>
      <c r="C51" s="2"/>
      <c r="D51" s="2"/>
      <c r="E51" s="2"/>
      <c r="F51" s="2"/>
      <c r="G51" s="2"/>
      <c r="H51" s="2"/>
      <c r="I51" s="2"/>
      <c r="J51" s="2"/>
      <c r="K51" s="27" t="n">
        <f aca="false">K13-(K36+K43)</f>
        <v>42.9473959842039</v>
      </c>
      <c r="L51" s="27" t="n">
        <f aca="false">L13-(L36+L43)</f>
        <v>94.7726139746145</v>
      </c>
      <c r="M51" s="27" t="n">
        <f aca="false">M13-(M36+M43)</f>
        <v>144.656581965025</v>
      </c>
      <c r="N51" s="64" t="n">
        <f aca="false">N13-(N36+N43)</f>
        <v>176.14633666588</v>
      </c>
    </row>
    <row r="52" customFormat="false" ht="13" hidden="false" customHeight="false" outlineLevel="0" collapsed="false">
      <c r="A52" s="24" t="s">
        <v>64</v>
      </c>
      <c r="B52" s="2"/>
      <c r="C52" s="2"/>
      <c r="D52" s="2"/>
      <c r="E52" s="2"/>
      <c r="F52" s="2"/>
      <c r="G52" s="2"/>
      <c r="H52" s="2"/>
      <c r="I52" s="2"/>
      <c r="J52" s="2"/>
      <c r="K52" s="27" t="n">
        <f aca="false">+K13-K47</f>
        <v>-154.417952453296</v>
      </c>
      <c r="L52" s="27" t="n">
        <f aca="false">+L13-L47</f>
        <v>-109.792734462886</v>
      </c>
      <c r="M52" s="27" t="n">
        <f aca="false">+M13-M47</f>
        <v>-67.1087664724748</v>
      </c>
      <c r="N52" s="64" t="n">
        <f aca="false">+N13-N47</f>
        <v>-37.4190117716201</v>
      </c>
    </row>
    <row r="53" customFormat="false" ht="13" hidden="false" customHeight="false" outlineLevel="0" collapsed="false">
      <c r="A53" s="65" t="s">
        <v>65</v>
      </c>
      <c r="B53" s="2"/>
      <c r="C53" s="2"/>
      <c r="D53" s="2"/>
      <c r="E53" s="2"/>
      <c r="F53" s="2"/>
      <c r="G53" s="2"/>
      <c r="H53" s="2"/>
      <c r="I53" s="2"/>
      <c r="J53" s="2"/>
      <c r="K53" s="27" t="n">
        <f aca="false">K52+K43</f>
        <v>-4.41795245329604</v>
      </c>
      <c r="L53" s="27" t="n">
        <f aca="false">L52+L43</f>
        <v>85.2072655371145</v>
      </c>
      <c r="M53" s="27" t="n">
        <f aca="false">M52+M43</f>
        <v>182.891233527525</v>
      </c>
      <c r="N53" s="34" t="n">
        <f aca="false">N52+N43</f>
        <v>212.58098822838</v>
      </c>
    </row>
    <row r="54" customFormat="false" ht="15" hidden="false" customHeight="false" outlineLevel="0" collapsed="false">
      <c r="A54" s="65" t="s">
        <v>66</v>
      </c>
      <c r="B54" s="2"/>
      <c r="C54" s="2"/>
      <c r="D54" s="2"/>
      <c r="E54" s="2"/>
      <c r="F54" s="2"/>
      <c r="G54" s="2"/>
      <c r="H54" s="2"/>
      <c r="I54" s="2"/>
      <c r="J54" s="2"/>
      <c r="K54" s="27" t="n">
        <f aca="false">K52+K40+K41</f>
        <v>-80.617952453296</v>
      </c>
      <c r="L54" s="27" t="n">
        <f aca="false">L52+L40+L41</f>
        <v>-28.7927344628855</v>
      </c>
      <c r="M54" s="27" t="n">
        <f aca="false">M52+M40+M41</f>
        <v>21.0912335275252</v>
      </c>
      <c r="N54" s="34" t="n">
        <f aca="false">N52+N40+N41</f>
        <v>52.5809882283799</v>
      </c>
    </row>
    <row r="55" customFormat="false" ht="12.75" hidden="false" customHeight="true" outlineLevel="0" collapsed="false">
      <c r="A55" s="66" t="s">
        <v>67</v>
      </c>
      <c r="B55" s="20"/>
      <c r="C55" s="20"/>
      <c r="D55" s="20"/>
      <c r="E55" s="20"/>
      <c r="F55" s="20"/>
      <c r="G55" s="66"/>
      <c r="H55" s="67"/>
      <c r="I55" s="20"/>
      <c r="J55" s="20"/>
      <c r="K55" s="68" t="n">
        <f aca="false">K52+K40+K41+K43</f>
        <v>69.382047546704</v>
      </c>
      <c r="L55" s="68" t="n">
        <f aca="false">L52+L40+L41+L43</f>
        <v>166.207265537115</v>
      </c>
      <c r="M55" s="68" t="n">
        <f aca="false">M52+M40+M41+M43</f>
        <v>271.091233527525</v>
      </c>
      <c r="N55" s="69" t="n">
        <f aca="false">N52+N40+N41+N43</f>
        <v>302.58098822838</v>
      </c>
      <c r="O55" s="17"/>
    </row>
    <row r="56" customFormat="false" ht="15.7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9"/>
      <c r="M56" s="19"/>
      <c r="N56" s="19"/>
      <c r="O56" s="17"/>
    </row>
    <row r="57" customFormat="false" ht="12.5" hidden="false" customHeight="false" outlineLevel="0" collapsed="false">
      <c r="A57" s="70" t="s">
        <v>68</v>
      </c>
      <c r="B57" s="70"/>
      <c r="C57" s="70"/>
      <c r="D57" s="71"/>
      <c r="E57" s="70"/>
      <c r="F57" s="70"/>
      <c r="G57" s="70"/>
      <c r="H57" s="70"/>
      <c r="I57" s="70"/>
      <c r="J57" s="70"/>
      <c r="K57" s="70"/>
      <c r="L57" s="72"/>
      <c r="M57" s="72"/>
      <c r="N57" s="72"/>
      <c r="O57" s="2"/>
    </row>
    <row r="58" customFormat="false" ht="12.5" hidden="false" customHeight="false" outlineLevel="0" collapsed="false">
      <c r="B58" s="70" t="s">
        <v>69</v>
      </c>
      <c r="C58" s="70"/>
      <c r="D58" s="70"/>
      <c r="E58" s="70"/>
      <c r="F58" s="70"/>
      <c r="G58" s="70"/>
      <c r="H58" s="70"/>
      <c r="I58" s="70"/>
      <c r="J58" s="70"/>
      <c r="K58" s="70"/>
      <c r="L58" s="72"/>
      <c r="M58" s="72"/>
      <c r="N58" s="72"/>
      <c r="O58" s="2"/>
    </row>
    <row r="59" customFormat="false" ht="12.5" hidden="false" customHeight="false" outlineLevel="0" collapsed="false">
      <c r="A59" s="70" t="s">
        <v>70</v>
      </c>
      <c r="B59" s="70"/>
      <c r="C59" s="70"/>
      <c r="D59" s="73"/>
      <c r="E59" s="74"/>
      <c r="F59" s="70"/>
      <c r="G59" s="70"/>
      <c r="H59" s="70"/>
      <c r="I59" s="70"/>
      <c r="J59" s="70"/>
      <c r="K59" s="70"/>
      <c r="L59" s="72"/>
      <c r="M59" s="72"/>
      <c r="N59" s="72"/>
      <c r="O59" s="2"/>
    </row>
    <row r="60" customFormat="false" ht="12.5" hidden="false" customHeight="false" outlineLevel="0" collapsed="false">
      <c r="A60" s="70"/>
      <c r="B60" s="70" t="s">
        <v>71</v>
      </c>
      <c r="C60" s="70"/>
      <c r="D60" s="74"/>
      <c r="E60" s="74"/>
      <c r="F60" s="70"/>
      <c r="G60" s="70"/>
      <c r="H60" s="70"/>
      <c r="I60" s="70"/>
      <c r="J60" s="70"/>
      <c r="K60" s="70"/>
      <c r="L60" s="72"/>
      <c r="M60" s="72"/>
      <c r="N60" s="72"/>
      <c r="O60" s="2"/>
    </row>
    <row r="61" customFormat="false" ht="12.5" hidden="false" customHeight="false" outlineLevel="0" collapsed="false">
      <c r="A61" s="70" t="s">
        <v>72</v>
      </c>
      <c r="B61" s="70"/>
      <c r="C61" s="70"/>
      <c r="D61" s="75"/>
      <c r="E61" s="70"/>
      <c r="F61" s="70"/>
      <c r="G61" s="70"/>
      <c r="H61" s="70"/>
      <c r="I61" s="70"/>
      <c r="J61" s="70"/>
      <c r="K61" s="70"/>
      <c r="L61" s="72"/>
      <c r="M61" s="72"/>
      <c r="N61" s="72"/>
      <c r="O61" s="2"/>
    </row>
    <row r="62" customFormat="false" ht="13.5" hidden="false" customHeight="false" outlineLevel="0" collapsed="false">
      <c r="A62" s="70" t="n">
        <v>1</v>
      </c>
      <c r="B62" s="70" t="s">
        <v>73</v>
      </c>
      <c r="C62" s="70"/>
      <c r="D62" s="74"/>
      <c r="E62" s="70"/>
      <c r="F62" s="70"/>
      <c r="G62" s="70"/>
      <c r="H62" s="70"/>
      <c r="I62" s="70"/>
      <c r="J62" s="70"/>
      <c r="K62" s="70"/>
      <c r="L62" s="72"/>
      <c r="M62" s="72"/>
      <c r="N62" s="72"/>
      <c r="O62" s="2"/>
    </row>
    <row r="63" customFormat="false" ht="12.5" hidden="false" customHeight="false" outlineLevel="0" collapsed="false">
      <c r="B63" s="70" t="s">
        <v>74</v>
      </c>
      <c r="C63" s="70"/>
      <c r="D63" s="70"/>
      <c r="E63" s="70"/>
      <c r="F63" s="70"/>
      <c r="G63" s="70"/>
      <c r="H63" s="70"/>
      <c r="I63" s="70"/>
      <c r="J63" s="70"/>
      <c r="K63" s="70"/>
      <c r="L63" s="72"/>
      <c r="M63" s="72"/>
      <c r="N63" s="72"/>
      <c r="O63" s="2"/>
    </row>
    <row r="64" customFormat="false" ht="13.5" hidden="false" customHeight="false" outlineLevel="0" collapsed="false">
      <c r="A64" s="70" t="n">
        <v>3</v>
      </c>
      <c r="B64" s="70" t="s">
        <v>75</v>
      </c>
      <c r="C64" s="70"/>
      <c r="D64" s="70"/>
      <c r="E64" s="70"/>
      <c r="F64" s="70"/>
      <c r="G64" s="70"/>
      <c r="H64" s="70"/>
      <c r="I64" s="70"/>
      <c r="J64" s="70"/>
      <c r="K64" s="70"/>
      <c r="L64" s="72"/>
      <c r="M64" s="72"/>
      <c r="N64" s="72"/>
      <c r="O64" s="70"/>
    </row>
    <row r="65" customFormat="false" ht="13.5" hidden="false" customHeight="false" outlineLevel="0" collapsed="false">
      <c r="A65" s="70"/>
      <c r="B65" s="70"/>
      <c r="C65" s="70" t="s">
        <v>76</v>
      </c>
      <c r="D65" s="70"/>
      <c r="E65" s="70"/>
      <c r="F65" s="70"/>
      <c r="G65" s="70"/>
      <c r="H65" s="70"/>
      <c r="I65" s="70"/>
      <c r="J65" s="70"/>
      <c r="K65" s="70"/>
      <c r="L65" s="72"/>
      <c r="M65" s="72"/>
      <c r="N65" s="72"/>
      <c r="O65" s="70"/>
    </row>
    <row r="66" customFormat="false" ht="13.5" hidden="false" customHeight="false" outlineLevel="0" collapsed="false">
      <c r="A66" s="70" t="n">
        <v>4</v>
      </c>
      <c r="B66" s="70" t="s">
        <v>77</v>
      </c>
      <c r="C66" s="70"/>
      <c r="D66" s="70"/>
      <c r="E66" s="70"/>
      <c r="F66" s="70"/>
      <c r="G66" s="70"/>
      <c r="H66" s="70"/>
      <c r="I66" s="70"/>
      <c r="J66" s="70"/>
      <c r="K66" s="70"/>
      <c r="L66" s="72"/>
      <c r="M66" s="72"/>
      <c r="N66" s="72"/>
      <c r="O66" s="70"/>
    </row>
    <row r="67" customFormat="false" ht="12.5" hidden="false" customHeight="false" outlineLevel="0" collapsed="false">
      <c r="A67" s="70"/>
      <c r="B67" s="70"/>
      <c r="C67" s="70" t="s">
        <v>78</v>
      </c>
      <c r="D67" s="70"/>
      <c r="E67" s="70"/>
      <c r="F67" s="70"/>
      <c r="G67" s="70"/>
      <c r="H67" s="70"/>
      <c r="I67" s="70"/>
      <c r="J67" s="70"/>
      <c r="K67" s="70"/>
      <c r="L67" s="72"/>
      <c r="M67" s="72"/>
      <c r="N67" s="72"/>
      <c r="O67" s="70"/>
    </row>
    <row r="68" customFormat="false" ht="12.5" hidden="false" customHeight="false" outlineLevel="0" collapsed="false">
      <c r="A68" s="70"/>
      <c r="B68" s="70"/>
      <c r="C68" s="70" t="s">
        <v>79</v>
      </c>
      <c r="D68" s="70"/>
      <c r="E68" s="70"/>
      <c r="F68" s="70"/>
      <c r="G68" s="70"/>
      <c r="H68" s="70"/>
      <c r="I68" s="70"/>
      <c r="J68" s="70"/>
      <c r="K68" s="70"/>
      <c r="L68" s="72"/>
      <c r="M68" s="72"/>
      <c r="N68" s="72"/>
      <c r="O68" s="70"/>
    </row>
    <row r="69" customFormat="false" ht="12.5" hidden="false" customHeight="false" outlineLevel="0" collapsed="false">
      <c r="A69" s="70"/>
      <c r="B69" s="70"/>
      <c r="C69" s="70" t="s">
        <v>80</v>
      </c>
      <c r="D69" s="70"/>
      <c r="E69" s="70"/>
      <c r="F69" s="71" t="n">
        <v>750</v>
      </c>
      <c r="G69" s="70" t="s">
        <v>81</v>
      </c>
      <c r="H69" s="70"/>
      <c r="I69" s="71" t="n">
        <v>620</v>
      </c>
      <c r="J69" s="70" t="s">
        <v>82</v>
      </c>
      <c r="K69" s="70"/>
      <c r="L69" s="72"/>
      <c r="M69" s="76" t="n">
        <v>450</v>
      </c>
      <c r="N69" s="72" t="s">
        <v>31</v>
      </c>
      <c r="O69" s="70"/>
    </row>
    <row r="70" customFormat="false" ht="12.5" hidden="false" customHeight="false" outlineLevel="0" collapsed="false">
      <c r="A70" s="70"/>
      <c r="B70" s="70"/>
      <c r="C70" s="70" t="s">
        <v>83</v>
      </c>
      <c r="D70" s="70"/>
      <c r="E70" s="70"/>
      <c r="F70" s="74"/>
      <c r="G70" s="70"/>
      <c r="H70" s="70"/>
      <c r="I70" s="74"/>
      <c r="J70" s="70"/>
      <c r="K70" s="70"/>
      <c r="L70" s="72"/>
      <c r="M70" s="77"/>
      <c r="N70" s="72"/>
      <c r="O70" s="70"/>
    </row>
    <row r="71" customFormat="false" ht="13.5" hidden="false" customHeight="false" outlineLevel="0" collapsed="false">
      <c r="A71" s="70" t="n">
        <v>5</v>
      </c>
      <c r="B71" s="70" t="s">
        <v>84</v>
      </c>
      <c r="C71" s="70"/>
      <c r="D71" s="70"/>
      <c r="E71" s="70"/>
      <c r="F71" s="70"/>
      <c r="G71" s="70"/>
      <c r="H71" s="70"/>
      <c r="I71" s="70"/>
      <c r="J71" s="70"/>
      <c r="K71" s="70"/>
      <c r="L71" s="72"/>
      <c r="M71" s="72"/>
      <c r="N71" s="72"/>
      <c r="O71" s="70"/>
    </row>
    <row r="72" customFormat="false" ht="13.5" hidden="false" customHeight="false" outlineLevel="0" collapsed="false">
      <c r="A72" s="78" t="n">
        <v>6</v>
      </c>
      <c r="B72" s="78" t="s">
        <v>85</v>
      </c>
      <c r="C72" s="78"/>
      <c r="D72" s="78"/>
      <c r="E72" s="78"/>
      <c r="F72" s="70"/>
      <c r="G72" s="70"/>
      <c r="H72" s="70"/>
      <c r="I72" s="70"/>
      <c r="J72" s="70"/>
      <c r="K72" s="70"/>
      <c r="L72" s="72"/>
      <c r="M72" s="72"/>
      <c r="N72" s="72"/>
      <c r="O72" s="70"/>
    </row>
    <row r="73" customFormat="false" ht="13.5" hidden="false" customHeight="false" outlineLevel="0" collapsed="false">
      <c r="A73" s="78"/>
      <c r="B73" s="78"/>
      <c r="C73" s="78" t="s">
        <v>86</v>
      </c>
      <c r="D73" s="78"/>
      <c r="E73" s="78"/>
      <c r="F73" s="70"/>
      <c r="G73" s="70"/>
      <c r="H73" s="70"/>
      <c r="I73" s="70"/>
      <c r="J73" s="70"/>
      <c r="K73" s="70"/>
      <c r="L73" s="72"/>
      <c r="M73" s="72"/>
      <c r="N73" s="72"/>
      <c r="O73" s="70"/>
    </row>
    <row r="74" customFormat="false" ht="13.5" hidden="false" customHeight="false" outlineLevel="0" collapsed="false">
      <c r="A74" s="79" t="n">
        <v>7</v>
      </c>
      <c r="B74" s="78" t="s">
        <v>87</v>
      </c>
      <c r="C74" s="78"/>
      <c r="D74" s="78"/>
      <c r="E74" s="78"/>
      <c r="F74" s="70"/>
      <c r="G74" s="70"/>
      <c r="H74" s="70"/>
      <c r="I74" s="70"/>
      <c r="J74" s="70"/>
      <c r="K74" s="70"/>
      <c r="L74" s="72"/>
      <c r="M74" s="72"/>
      <c r="N74" s="72"/>
      <c r="O74" s="70"/>
    </row>
    <row r="75" customFormat="false" ht="13.5" hidden="false" customHeight="false" outlineLevel="0" collapsed="false">
      <c r="A75" s="70" t="n">
        <v>8</v>
      </c>
      <c r="B75" s="70" t="s">
        <v>88</v>
      </c>
      <c r="C75" s="70"/>
      <c r="D75" s="70"/>
      <c r="E75" s="70"/>
      <c r="F75" s="70"/>
      <c r="G75" s="70"/>
      <c r="H75" s="70"/>
      <c r="I75" s="70"/>
      <c r="J75" s="70"/>
      <c r="K75" s="70"/>
      <c r="L75" s="72"/>
      <c r="M75" s="72"/>
      <c r="N75" s="72"/>
      <c r="O75" s="70"/>
    </row>
    <row r="76" customFormat="false" ht="13.5" hidden="false" customHeight="false" outlineLevel="0" collapsed="false">
      <c r="A76" s="70" t="n">
        <v>9</v>
      </c>
      <c r="B76" s="70" t="s">
        <v>89</v>
      </c>
      <c r="C76" s="70"/>
      <c r="D76" s="70"/>
      <c r="E76" s="70"/>
      <c r="F76" s="70"/>
      <c r="G76" s="70"/>
      <c r="H76" s="70"/>
      <c r="I76" s="70"/>
      <c r="J76" s="70"/>
      <c r="K76" s="70"/>
      <c r="L76" s="72"/>
      <c r="M76" s="72"/>
      <c r="N76" s="72"/>
      <c r="O76" s="70"/>
    </row>
    <row r="77" customFormat="false" ht="13.5" hidden="false" customHeight="false" outlineLevel="0" collapsed="false">
      <c r="A77" s="70" t="n">
        <v>10</v>
      </c>
      <c r="B77" s="70" t="s">
        <v>90</v>
      </c>
      <c r="C77" s="70"/>
      <c r="D77" s="70"/>
      <c r="E77" s="70"/>
      <c r="F77" s="70"/>
      <c r="G77" s="70"/>
      <c r="H77" s="70"/>
      <c r="I77" s="70"/>
      <c r="J77" s="70"/>
      <c r="K77" s="70"/>
      <c r="L77" s="72"/>
      <c r="M77" s="72"/>
      <c r="N77" s="72"/>
      <c r="O77" s="70"/>
    </row>
    <row r="78" customFormat="false" ht="13.5" hidden="false" customHeight="false" outlineLevel="0" collapsed="false">
      <c r="A78" s="70" t="n">
        <v>11</v>
      </c>
      <c r="B78" s="70" t="s">
        <v>91</v>
      </c>
      <c r="C78" s="70"/>
      <c r="D78" s="70"/>
      <c r="E78" s="70"/>
      <c r="F78" s="70"/>
      <c r="G78" s="70"/>
      <c r="H78" s="70"/>
      <c r="I78" s="70"/>
      <c r="J78" s="70"/>
      <c r="K78" s="70"/>
      <c r="L78" s="72"/>
      <c r="M78" s="72"/>
      <c r="N78" s="72"/>
      <c r="O78" s="70"/>
    </row>
    <row r="79" customFormat="false" ht="13.5" hidden="false" customHeight="false" outlineLevel="0" collapsed="false">
      <c r="A79" s="70" t="n">
        <v>12</v>
      </c>
      <c r="B79" s="70" t="s">
        <v>92</v>
      </c>
      <c r="C79" s="70"/>
      <c r="D79" s="70"/>
      <c r="E79" s="70"/>
      <c r="F79" s="70"/>
      <c r="G79" s="70"/>
      <c r="H79" s="70"/>
      <c r="I79" s="70"/>
      <c r="J79" s="70"/>
      <c r="K79" s="70"/>
      <c r="L79" s="72"/>
      <c r="M79" s="72"/>
      <c r="N79" s="72"/>
      <c r="O79" s="70"/>
    </row>
    <row r="80" customFormat="false" ht="13.5" hidden="false" customHeight="false" outlineLevel="0" collapsed="false">
      <c r="A80" s="70" t="n">
        <v>13</v>
      </c>
      <c r="B80" s="70" t="s">
        <v>93</v>
      </c>
      <c r="C80" s="70"/>
      <c r="D80" s="70"/>
      <c r="E80" s="70"/>
      <c r="F80" s="70"/>
      <c r="G80" s="70"/>
      <c r="H80" s="70"/>
      <c r="I80" s="70"/>
      <c r="J80" s="70"/>
      <c r="K80" s="70"/>
      <c r="L80" s="72"/>
      <c r="M80" s="72"/>
      <c r="N80" s="72"/>
      <c r="O80" s="70"/>
    </row>
    <row r="81" customFormat="false" ht="12.5" hidden="false" customHeight="false" outlineLevel="0" collapsed="false">
      <c r="A81" s="70"/>
      <c r="B81" s="70"/>
      <c r="C81" s="70" t="s">
        <v>94</v>
      </c>
      <c r="D81" s="70"/>
      <c r="E81" s="70"/>
      <c r="F81" s="70"/>
      <c r="G81" s="70"/>
      <c r="H81" s="70"/>
      <c r="I81" s="70"/>
      <c r="J81" s="70"/>
      <c r="K81" s="70"/>
      <c r="L81" s="72"/>
      <c r="M81" s="72"/>
      <c r="N81" s="72"/>
      <c r="O81" s="70"/>
    </row>
    <row r="82" customFormat="false" ht="13.5" hidden="false" customHeight="false" outlineLevel="0" collapsed="false">
      <c r="A82" s="70" t="n">
        <v>14</v>
      </c>
      <c r="B82" s="70" t="s">
        <v>95</v>
      </c>
      <c r="C82" s="70"/>
      <c r="D82" s="70"/>
      <c r="E82" s="70"/>
      <c r="F82" s="70"/>
      <c r="G82" s="70"/>
      <c r="H82" s="70"/>
      <c r="I82" s="70"/>
      <c r="J82" s="70"/>
      <c r="K82" s="70"/>
      <c r="L82" s="72"/>
      <c r="M82" s="72"/>
      <c r="N82" s="72"/>
      <c r="O82" s="70"/>
    </row>
    <row r="83" customFormat="false" ht="13.5" hidden="false" customHeight="false" outlineLevel="0" collapsed="false">
      <c r="A83" s="70"/>
      <c r="B83" s="70"/>
      <c r="C83" s="70" t="s">
        <v>96</v>
      </c>
      <c r="D83" s="70"/>
      <c r="E83" s="70"/>
      <c r="F83" s="70"/>
      <c r="G83" s="70"/>
      <c r="H83" s="70"/>
      <c r="I83" s="70"/>
      <c r="J83" s="70"/>
      <c r="K83" s="70"/>
      <c r="L83" s="72"/>
      <c r="M83" s="72"/>
      <c r="N83" s="72"/>
      <c r="O83" s="70"/>
    </row>
    <row r="84" customFormat="false" ht="13.5" hidden="false" customHeight="false" outlineLevel="0" collapsed="false">
      <c r="A84" s="70" t="n">
        <v>15</v>
      </c>
      <c r="B84" s="70" t="s">
        <v>96</v>
      </c>
      <c r="C84" s="70"/>
      <c r="D84" s="70"/>
      <c r="E84" s="70"/>
      <c r="F84" s="70"/>
      <c r="G84" s="70"/>
      <c r="H84" s="70"/>
      <c r="I84" s="70"/>
      <c r="J84" s="70"/>
      <c r="K84" s="70"/>
      <c r="L84" s="72"/>
      <c r="M84" s="72"/>
      <c r="N84" s="72"/>
      <c r="O84" s="70"/>
    </row>
    <row r="85" customFormat="false" ht="13.5" hidden="false" customHeight="false" outlineLevel="0" collapsed="false">
      <c r="A85" s="70" t="n">
        <v>16</v>
      </c>
      <c r="B85" s="2" t="s">
        <v>97</v>
      </c>
      <c r="C85" s="2"/>
      <c r="D85" s="2"/>
      <c r="E85" s="2"/>
      <c r="F85" s="2"/>
      <c r="G85" s="2"/>
      <c r="H85" s="2"/>
      <c r="I85" s="2"/>
      <c r="J85" s="2"/>
      <c r="K85" s="2"/>
      <c r="L85" s="6"/>
      <c r="M85" s="6"/>
      <c r="N85" s="72"/>
      <c r="O85" s="70"/>
    </row>
    <row r="86" customFormat="false" ht="13.5" hidden="false" customHeight="false" outlineLevel="0" collapsed="false">
      <c r="A86" s="70"/>
      <c r="B86" s="2" t="s">
        <v>98</v>
      </c>
      <c r="C86" s="2"/>
      <c r="D86" s="2"/>
      <c r="E86" s="2"/>
      <c r="F86" s="2"/>
      <c r="G86" s="2"/>
      <c r="H86" s="2"/>
      <c r="I86" s="2"/>
      <c r="J86" s="2"/>
      <c r="K86" s="2"/>
      <c r="L86" s="6"/>
      <c r="M86" s="6"/>
      <c r="N86" s="72"/>
      <c r="O86" s="70"/>
    </row>
    <row r="87" customFormat="false" ht="13.5" hidden="false" customHeight="false" outlineLevel="0" collapsed="false">
      <c r="A87" s="70" t="n">
        <v>17</v>
      </c>
      <c r="B87" s="70" t="s">
        <v>99</v>
      </c>
      <c r="C87" s="70"/>
      <c r="D87" s="70"/>
      <c r="E87" s="70"/>
      <c r="F87" s="70"/>
      <c r="G87" s="70"/>
      <c r="H87" s="70"/>
      <c r="I87" s="70"/>
      <c r="J87" s="70"/>
      <c r="K87" s="70"/>
      <c r="L87" s="72"/>
      <c r="M87" s="72"/>
      <c r="N87" s="72"/>
      <c r="O87" s="70"/>
    </row>
    <row r="88" customFormat="false" ht="13.5" hidden="false" customHeight="false" outlineLevel="0" collapsed="false">
      <c r="A88" s="70" t="n">
        <v>18</v>
      </c>
      <c r="B88" s="70" t="s">
        <v>100</v>
      </c>
      <c r="C88" s="70"/>
      <c r="D88" s="70"/>
      <c r="E88" s="70"/>
      <c r="F88" s="70"/>
      <c r="G88" s="70"/>
      <c r="H88" s="70"/>
      <c r="I88" s="70"/>
      <c r="J88" s="70"/>
      <c r="K88" s="70"/>
      <c r="L88" s="72"/>
      <c r="M88" s="72"/>
      <c r="N88" s="72"/>
      <c r="O88" s="70"/>
    </row>
    <row r="89" customFormat="false" ht="13.5" hidden="false" customHeight="false" outlineLevel="0" collapsed="false">
      <c r="A89" s="70"/>
      <c r="B89" s="70"/>
      <c r="C89" s="70" t="s">
        <v>101</v>
      </c>
      <c r="D89" s="70"/>
      <c r="E89" s="70"/>
      <c r="F89" s="70"/>
      <c r="G89" s="70"/>
      <c r="H89" s="70"/>
      <c r="I89" s="70"/>
      <c r="J89" s="70"/>
      <c r="K89" s="70"/>
      <c r="L89" s="72"/>
      <c r="M89" s="72"/>
      <c r="N89" s="72"/>
      <c r="O89" s="70"/>
    </row>
    <row r="90" customFormat="false" ht="12.5" hidden="false" customHeight="false" outlineLevel="0" collapsed="false">
      <c r="A90" s="80"/>
      <c r="B90" s="80"/>
      <c r="C90" s="81"/>
      <c r="D90" s="80"/>
      <c r="E90" s="80"/>
      <c r="F90" s="80"/>
      <c r="G90" s="82" t="s">
        <v>102</v>
      </c>
      <c r="H90" s="80"/>
      <c r="I90" s="80"/>
      <c r="J90" s="80"/>
      <c r="K90" s="80"/>
      <c r="L90" s="83"/>
      <c r="M90" s="83"/>
      <c r="N90" s="84"/>
      <c r="O90" s="85"/>
    </row>
    <row r="91" customFormat="false" ht="25.5" hidden="false" customHeight="true" outlineLevel="0" collapsed="false">
      <c r="A91" s="70"/>
      <c r="B91" s="70"/>
      <c r="C91" s="70"/>
      <c r="D91" s="70"/>
      <c r="E91" s="86" t="s">
        <v>103</v>
      </c>
      <c r="F91" s="87" t="s">
        <v>104</v>
      </c>
      <c r="G91" s="86" t="s">
        <v>105</v>
      </c>
      <c r="H91" s="86"/>
      <c r="I91" s="88" t="s">
        <v>106</v>
      </c>
      <c r="J91" s="87" t="s">
        <v>107</v>
      </c>
      <c r="K91" s="87" t="s">
        <v>108</v>
      </c>
      <c r="L91" s="89" t="s">
        <v>109</v>
      </c>
      <c r="M91" s="87" t="s">
        <v>110</v>
      </c>
      <c r="N91" s="72"/>
      <c r="O91" s="70"/>
    </row>
    <row r="92" customFormat="false" ht="12.5" hidden="false" customHeight="false" outlineLevel="0" collapsed="false">
      <c r="A92" s="70"/>
      <c r="B92" s="90" t="s">
        <v>111</v>
      </c>
      <c r="C92" s="90"/>
      <c r="D92" s="90"/>
      <c r="E92" s="91" t="n">
        <v>1</v>
      </c>
      <c r="F92" s="92" t="n">
        <v>50500</v>
      </c>
      <c r="G92" s="93" t="n">
        <v>1000</v>
      </c>
      <c r="H92" s="94"/>
      <c r="I92" s="95" t="n">
        <f aca="false">'machinery costs'!K2</f>
        <v>6.500928125</v>
      </c>
      <c r="J92" s="96" t="n">
        <v>20.97</v>
      </c>
      <c r="K92" s="97" t="n">
        <f aca="false">0.64*E92</f>
        <v>0.64</v>
      </c>
      <c r="L92" s="97" t="n">
        <f aca="false">(G92*E92)/J92</f>
        <v>47.6871721506915</v>
      </c>
      <c r="M92" s="97" t="n">
        <f aca="false">0.74*E92</f>
        <v>0.74</v>
      </c>
      <c r="N92" s="72"/>
      <c r="O92" s="70"/>
    </row>
    <row r="93" customFormat="false" ht="12.5" hidden="false" customHeight="false" outlineLevel="0" collapsed="false">
      <c r="A93" s="70"/>
      <c r="B93" s="71" t="s">
        <v>112</v>
      </c>
      <c r="C93" s="71"/>
      <c r="D93" s="71"/>
      <c r="E93" s="98" t="n">
        <v>1</v>
      </c>
      <c r="F93" s="99" t="n">
        <v>75500</v>
      </c>
      <c r="G93" s="100" t="n">
        <v>1000</v>
      </c>
      <c r="H93" s="101"/>
      <c r="I93" s="95" t="n">
        <f aca="false">'machinery costs'!K3</f>
        <v>9.719209375</v>
      </c>
      <c r="J93" s="102" t="n">
        <v>43.27</v>
      </c>
      <c r="K93" s="103" t="n">
        <f aca="false">0.34*E93</f>
        <v>0.34</v>
      </c>
      <c r="L93" s="103" t="n">
        <f aca="false">(G93*E93)/J93</f>
        <v>23.1107002542177</v>
      </c>
      <c r="M93" s="103" t="n">
        <f aca="false">0.56*E93</f>
        <v>0.56</v>
      </c>
      <c r="N93" s="72"/>
      <c r="O93" s="70"/>
    </row>
    <row r="94" customFormat="false" ht="12.5" hidden="false" customHeight="false" outlineLevel="0" collapsed="false">
      <c r="A94" s="70"/>
      <c r="B94" s="71" t="s">
        <v>113</v>
      </c>
      <c r="C94" s="71"/>
      <c r="D94" s="71"/>
      <c r="E94" s="98" t="n">
        <v>2</v>
      </c>
      <c r="F94" s="99" t="n">
        <v>242500</v>
      </c>
      <c r="G94" s="100" t="n">
        <v>2000</v>
      </c>
      <c r="H94" s="101"/>
      <c r="I94" s="95" t="n">
        <f aca="false">'machinery costs'!K4</f>
        <v>15.6086640625</v>
      </c>
      <c r="J94" s="102" t="n">
        <v>44.12</v>
      </c>
      <c r="K94" s="103" t="n">
        <f aca="false">0.07*E94</f>
        <v>0.14</v>
      </c>
      <c r="L94" s="103" t="n">
        <f aca="false">(G94*E94)/J94</f>
        <v>90.6618313689937</v>
      </c>
      <c r="M94" s="103" t="n">
        <f aca="false">E94*3.15</f>
        <v>6.3</v>
      </c>
      <c r="N94" s="72"/>
      <c r="O94" s="70"/>
    </row>
    <row r="95" customFormat="false" ht="12.5" hidden="false" customHeight="false" outlineLevel="0" collapsed="false">
      <c r="A95" s="70"/>
      <c r="B95" s="71" t="s">
        <v>114</v>
      </c>
      <c r="C95" s="71"/>
      <c r="D95" s="71"/>
      <c r="E95" s="98" t="n">
        <v>1</v>
      </c>
      <c r="F95" s="99" t="n">
        <v>105500</v>
      </c>
      <c r="G95" s="100" t="n">
        <v>1000</v>
      </c>
      <c r="H95" s="101"/>
      <c r="I95" s="95" t="n">
        <f aca="false">'machinery costs'!K5</f>
        <v>12.5624125</v>
      </c>
      <c r="J95" s="102" t="n">
        <v>14</v>
      </c>
      <c r="K95" s="103" t="n">
        <f aca="false">0.53*E95</f>
        <v>0.53</v>
      </c>
      <c r="L95" s="103" t="n">
        <f aca="false">(G95*E95)/J95</f>
        <v>71.4285714285714</v>
      </c>
      <c r="M95" s="103" t="n">
        <f aca="false">3.6*E95</f>
        <v>3.6</v>
      </c>
      <c r="N95" s="72"/>
      <c r="O95" s="70"/>
    </row>
    <row r="96" customFormat="false" ht="12.5" hidden="false" customHeight="false" outlineLevel="0" collapsed="false">
      <c r="A96" s="70"/>
      <c r="B96" s="71" t="s">
        <v>115</v>
      </c>
      <c r="C96" s="71"/>
      <c r="D96" s="71"/>
      <c r="E96" s="98" t="n">
        <v>1</v>
      </c>
      <c r="F96" s="99" t="n">
        <v>360000</v>
      </c>
      <c r="G96" s="100" t="n">
        <v>2000</v>
      </c>
      <c r="H96" s="101"/>
      <c r="I96" s="95" t="n">
        <f aca="false">'machinery costs'!K6</f>
        <v>24.0406875</v>
      </c>
      <c r="J96" s="104" t="s">
        <v>116</v>
      </c>
      <c r="K96" s="105" t="s">
        <v>116</v>
      </c>
      <c r="L96" s="106" t="n">
        <f aca="false">L97</f>
        <v>147.275405007364</v>
      </c>
      <c r="M96" s="106" t="n">
        <f aca="false">(L96*60.06)/1000</f>
        <v>8.84536082474227</v>
      </c>
      <c r="N96" s="72"/>
      <c r="O96" s="70"/>
    </row>
    <row r="97" customFormat="false" ht="12.5" hidden="false" customHeight="false" outlineLevel="0" collapsed="false">
      <c r="A97" s="70"/>
      <c r="B97" s="71"/>
      <c r="C97" s="71" t="s">
        <v>117</v>
      </c>
      <c r="D97" s="71"/>
      <c r="E97" s="98" t="n">
        <v>1</v>
      </c>
      <c r="F97" s="99" t="n">
        <v>59000</v>
      </c>
      <c r="G97" s="100" t="n">
        <v>1000</v>
      </c>
      <c r="H97" s="101"/>
      <c r="I97" s="95" t="n">
        <f aca="false">'machinery costs'!K7</f>
        <v>7.880003125</v>
      </c>
      <c r="J97" s="107" t="n">
        <v>6.79</v>
      </c>
      <c r="K97" s="103" t="n">
        <f aca="false">1.88*E97</f>
        <v>1.88</v>
      </c>
      <c r="L97" s="103" t="n">
        <f aca="false">(G97*E97)/J97</f>
        <v>147.275405007364</v>
      </c>
      <c r="M97" s="106" t="n">
        <f aca="false">1.01*E97</f>
        <v>1.01</v>
      </c>
      <c r="N97" s="72"/>
      <c r="O97" s="70"/>
    </row>
    <row r="98" customFormat="false" ht="12.5" hidden="false" customHeight="false" outlineLevel="0" collapsed="false">
      <c r="A98" s="70"/>
      <c r="B98" s="71" t="s">
        <v>118</v>
      </c>
      <c r="C98" s="71"/>
      <c r="D98" s="71"/>
      <c r="E98" s="98" t="n">
        <v>1</v>
      </c>
      <c r="F98" s="99" t="n">
        <v>21000</v>
      </c>
      <c r="G98" s="100" t="n">
        <v>1000</v>
      </c>
      <c r="H98" s="101"/>
      <c r="I98" s="95" t="n">
        <f aca="false">'machinery costs'!K8</f>
        <v>2.70335625</v>
      </c>
      <c r="J98" s="107" t="n">
        <v>18</v>
      </c>
      <c r="K98" s="103" t="n">
        <f aca="false">0.6*E98</f>
        <v>0.6</v>
      </c>
      <c r="L98" s="103" t="n">
        <f aca="false">(G98*E98)/J98</f>
        <v>55.5555555555556</v>
      </c>
      <c r="M98" s="106" t="n">
        <f aca="false">0.21*E98</f>
        <v>0.21</v>
      </c>
      <c r="N98" s="72"/>
      <c r="O98" s="70"/>
    </row>
    <row r="99" customFormat="false" ht="12.5" hidden="false" customHeight="false" outlineLevel="0" collapsed="false">
      <c r="A99" s="70"/>
      <c r="B99" s="71" t="s">
        <v>119</v>
      </c>
      <c r="C99" s="71"/>
      <c r="D99" s="71"/>
      <c r="E99" s="98" t="n">
        <v>1</v>
      </c>
      <c r="F99" s="99" t="n">
        <v>12000</v>
      </c>
      <c r="G99" s="100" t="n">
        <v>2000</v>
      </c>
      <c r="H99" s="101"/>
      <c r="I99" s="95" t="n">
        <f aca="false">'machinery costs'!K9</f>
        <v>0.7723875</v>
      </c>
      <c r="J99" s="107" t="n">
        <v>34</v>
      </c>
      <c r="K99" s="103" t="n">
        <f aca="false">0.12*E99</f>
        <v>0.12</v>
      </c>
      <c r="L99" s="103" t="n">
        <f aca="false">(G99*E99)/J99</f>
        <v>58.8235294117647</v>
      </c>
      <c r="M99" s="106" t="n">
        <v>0.15</v>
      </c>
      <c r="N99" s="72"/>
      <c r="O99" s="70"/>
    </row>
    <row r="100" customFormat="false" ht="12.5" hidden="false" customHeight="false" outlineLevel="0" collapsed="false">
      <c r="A100" s="70"/>
      <c r="B100" s="71" t="s">
        <v>120</v>
      </c>
      <c r="C100" s="71"/>
      <c r="D100" s="71"/>
      <c r="E100" s="98" t="n">
        <v>1</v>
      </c>
      <c r="F100" s="99" t="n">
        <v>70000</v>
      </c>
      <c r="G100" s="100" t="n">
        <v>2000</v>
      </c>
      <c r="H100" s="101"/>
      <c r="I100" s="95" t="n">
        <f aca="false">'machinery costs'!K10</f>
        <v>4.438</v>
      </c>
      <c r="J100" s="104" t="s">
        <v>116</v>
      </c>
      <c r="K100" s="105" t="s">
        <v>121</v>
      </c>
      <c r="L100" s="108" t="s">
        <v>116</v>
      </c>
      <c r="M100" s="106" t="n">
        <v>3.5</v>
      </c>
      <c r="N100" s="72"/>
      <c r="O100" s="70"/>
    </row>
    <row r="101" customFormat="false" ht="12.5" hidden="false" customHeight="false" outlineLevel="0" collapsed="false">
      <c r="A101" s="70"/>
      <c r="B101" s="71" t="s">
        <v>122</v>
      </c>
      <c r="C101" s="71"/>
      <c r="D101" s="71"/>
      <c r="E101" s="98" t="n">
        <v>1</v>
      </c>
      <c r="F101" s="99" t="n">
        <v>50500</v>
      </c>
      <c r="G101" s="100" t="n">
        <v>2000</v>
      </c>
      <c r="H101" s="101"/>
      <c r="I101" s="95" t="n">
        <f aca="false">'machinery costs'!K11</f>
        <v>3.2017</v>
      </c>
      <c r="J101" s="104" t="s">
        <v>116</v>
      </c>
      <c r="K101" s="103" t="n">
        <f aca="false">(L101*9.9)/1000</f>
        <v>0.729013254786451</v>
      </c>
      <c r="L101" s="106" t="n">
        <f aca="false">L97*0.5</f>
        <v>73.6377025036819</v>
      </c>
      <c r="M101" s="106" t="n">
        <v>1</v>
      </c>
      <c r="N101" s="72"/>
      <c r="O101" s="70"/>
    </row>
    <row r="102" customFormat="false" ht="12.5" hidden="false" customHeight="false" outlineLevel="0" collapsed="false">
      <c r="A102" s="70"/>
      <c r="B102" s="71" t="s">
        <v>123</v>
      </c>
      <c r="C102" s="71"/>
      <c r="D102" s="71"/>
      <c r="E102" s="98" t="n">
        <v>3</v>
      </c>
      <c r="F102" s="99" t="n">
        <v>274000</v>
      </c>
      <c r="G102" s="100" t="n">
        <v>2000</v>
      </c>
      <c r="H102" s="101"/>
      <c r="I102" s="95" t="n">
        <f aca="false">'machinery costs'!K12</f>
        <v>17.3716</v>
      </c>
      <c r="J102" s="109" t="s">
        <v>116</v>
      </c>
      <c r="K102" s="110" t="s">
        <v>116</v>
      </c>
      <c r="L102" s="106" t="n">
        <f aca="false">L92+L98+L101</f>
        <v>176.880430209929</v>
      </c>
      <c r="M102" s="106" t="n">
        <f aca="false">(L102*4.38)/G102</f>
        <v>0.387368142159744</v>
      </c>
      <c r="N102" s="72"/>
      <c r="O102" s="70"/>
    </row>
    <row r="103" customFormat="false" ht="12.5" hidden="false" customHeight="false" outlineLevel="0" collapsed="false">
      <c r="A103" s="70"/>
      <c r="B103" s="71" t="s">
        <v>124</v>
      </c>
      <c r="C103" s="71"/>
      <c r="D103" s="71"/>
      <c r="E103" s="98" t="n">
        <v>3</v>
      </c>
      <c r="F103" s="99" t="n">
        <v>266000</v>
      </c>
      <c r="G103" s="100" t="n">
        <v>2000</v>
      </c>
      <c r="H103" s="101"/>
      <c r="I103" s="95" t="n">
        <f aca="false">'machinery costs'!K13</f>
        <v>16.8644</v>
      </c>
      <c r="J103" s="109" t="s">
        <v>116</v>
      </c>
      <c r="K103" s="110" t="s">
        <v>116</v>
      </c>
      <c r="L103" s="106" t="n">
        <f aca="false">L93+L95+L99</f>
        <v>153.362801094554</v>
      </c>
      <c r="M103" s="106" t="n">
        <f aca="false">(L103*4.26)/G103</f>
        <v>0.3266627663314</v>
      </c>
      <c r="N103" s="72"/>
      <c r="O103" s="70"/>
    </row>
    <row r="104" customFormat="false" ht="12.5" hidden="false" customHeight="false" outlineLevel="0" collapsed="false">
      <c r="A104" s="70"/>
      <c r="B104" s="111" t="s">
        <v>125</v>
      </c>
      <c r="C104" s="111"/>
      <c r="D104" s="111"/>
      <c r="E104" s="112" t="n">
        <v>1</v>
      </c>
      <c r="F104" s="113" t="n">
        <v>30000</v>
      </c>
      <c r="G104" s="114" t="n">
        <v>2000</v>
      </c>
      <c r="H104" s="115"/>
      <c r="I104" s="116" t="n">
        <f aca="false">'machinery costs'!K14</f>
        <v>1.902</v>
      </c>
      <c r="J104" s="117" t="s">
        <v>116</v>
      </c>
      <c r="K104" s="118" t="n">
        <f aca="false">0.21*E104</f>
        <v>0.21</v>
      </c>
      <c r="L104" s="119" t="s">
        <v>116</v>
      </c>
      <c r="M104" s="120" t="n">
        <v>0.15</v>
      </c>
      <c r="N104" s="72"/>
      <c r="O104" s="70"/>
    </row>
    <row r="105" customFormat="false" ht="12.5" hidden="false" customHeight="false" outlineLevel="0" collapsed="false">
      <c r="A105" s="70"/>
      <c r="C105" s="70"/>
      <c r="D105" s="70"/>
      <c r="E105" s="121"/>
      <c r="F105" s="122"/>
      <c r="G105" s="122"/>
      <c r="H105" s="122"/>
      <c r="I105" s="123"/>
      <c r="J105" s="124" t="s">
        <v>126</v>
      </c>
      <c r="K105" s="125" t="n">
        <f aca="false">SUM(K92:K103)*M108+(K104*M108*1.2)</f>
        <v>18.3085463917526</v>
      </c>
      <c r="L105" s="0"/>
      <c r="M105" s="126"/>
      <c r="N105" s="72"/>
      <c r="O105" s="70"/>
    </row>
    <row r="106" customFormat="false" ht="13" hidden="false" customHeight="false" outlineLevel="0" collapsed="false">
      <c r="A106" s="70"/>
      <c r="B106" s="127" t="s">
        <v>127</v>
      </c>
      <c r="C106" s="127"/>
      <c r="D106" s="127"/>
      <c r="E106" s="127"/>
      <c r="F106" s="128"/>
      <c r="G106" s="128"/>
      <c r="H106" s="128"/>
      <c r="I106" s="129" t="n">
        <f aca="false">SUM(I92:I104)</f>
        <v>123.5653484375</v>
      </c>
      <c r="J106" s="124" t="s">
        <v>128</v>
      </c>
      <c r="K106" s="125" t="n">
        <f aca="false">(K105*0.1)+K105</f>
        <v>20.1394010309278</v>
      </c>
      <c r="L106" s="130" t="s">
        <v>129</v>
      </c>
      <c r="M106" s="125" t="n">
        <f aca="false">SUM(M92:M104)</f>
        <v>26.7793917332334</v>
      </c>
      <c r="N106" s="72"/>
      <c r="O106" s="70"/>
    </row>
    <row r="107" customFormat="false" ht="12.5" hidden="false" customHeight="false" outlineLevel="0" collapsed="false">
      <c r="A107" s="70"/>
      <c r="B107" s="127"/>
      <c r="C107" s="70"/>
      <c r="D107" s="70"/>
      <c r="E107" s="70"/>
      <c r="F107" s="131"/>
      <c r="G107" s="132"/>
      <c r="H107" s="132"/>
      <c r="I107" s="133"/>
      <c r="J107" s="127"/>
      <c r="K107" s="134"/>
      <c r="L107" s="134"/>
      <c r="M107" s="135"/>
      <c r="N107" s="72"/>
      <c r="O107" s="70"/>
    </row>
    <row r="108" customFormat="false" ht="12.5" hidden="false" customHeight="false" outlineLevel="0" collapsed="false">
      <c r="A108" s="70"/>
      <c r="B108" s="70"/>
      <c r="C108" s="127"/>
      <c r="D108" s="127"/>
      <c r="E108" s="127"/>
      <c r="F108" s="136"/>
      <c r="G108" s="136"/>
      <c r="H108" s="136"/>
      <c r="I108" s="136"/>
      <c r="J108" s="137" t="s">
        <v>130</v>
      </c>
      <c r="K108" s="137"/>
      <c r="L108" s="137"/>
      <c r="M108" s="138" t="n">
        <v>3.5</v>
      </c>
      <c r="N108" s="72"/>
      <c r="O108" s="70"/>
    </row>
    <row r="109" customFormat="false" ht="12.5" hidden="false" customHeight="false" outlineLevel="0" collapsed="false">
      <c r="A109" s="70" t="s">
        <v>131</v>
      </c>
      <c r="B109" s="127"/>
      <c r="C109" s="127"/>
      <c r="D109" s="127"/>
      <c r="E109" s="127"/>
      <c r="F109" s="136"/>
      <c r="G109" s="136"/>
      <c r="H109" s="136"/>
      <c r="I109" s="133"/>
      <c r="J109" s="127"/>
      <c r="K109" s="135"/>
      <c r="L109" s="135"/>
      <c r="M109" s="135"/>
      <c r="N109" s="72"/>
      <c r="O109" s="70"/>
    </row>
    <row r="110" customFormat="false" ht="12.5" hidden="false" customHeight="false" outlineLevel="0" collapsed="false">
      <c r="A110" s="70" t="s">
        <v>132</v>
      </c>
      <c r="B110" s="127"/>
      <c r="C110" s="127"/>
      <c r="D110" s="127"/>
      <c r="E110" s="127"/>
      <c r="F110" s="136"/>
      <c r="G110" s="136"/>
      <c r="H110" s="136"/>
      <c r="I110" s="133"/>
      <c r="J110" s="127"/>
      <c r="K110" s="135"/>
      <c r="L110" s="135"/>
      <c r="M110" s="135"/>
      <c r="N110" s="72"/>
      <c r="O110" s="70"/>
    </row>
    <row r="111" customFormat="false" ht="12.5" hidden="false" customHeight="false" outlineLevel="0" collapsed="false">
      <c r="A111" s="139" t="s">
        <v>133</v>
      </c>
      <c r="B111" s="127"/>
      <c r="C111" s="127"/>
      <c r="D111" s="127"/>
      <c r="E111" s="127"/>
      <c r="F111" s="136"/>
      <c r="G111" s="136"/>
      <c r="H111" s="136"/>
      <c r="I111" s="133"/>
      <c r="J111" s="127"/>
      <c r="K111" s="135"/>
      <c r="L111" s="135"/>
      <c r="M111" s="135"/>
      <c r="N111" s="72"/>
      <c r="O111" s="70"/>
    </row>
    <row r="112" customFormat="false" ht="12.5" hidden="false" customHeight="false" outlineLevel="0" collapsed="false">
      <c r="A112" s="70" t="s">
        <v>134</v>
      </c>
      <c r="B112" s="70"/>
      <c r="C112" s="70"/>
      <c r="D112" s="70"/>
      <c r="E112" s="70"/>
      <c r="F112" s="140"/>
      <c r="G112" s="140"/>
      <c r="H112" s="140"/>
      <c r="I112" s="133"/>
      <c r="J112" s="70"/>
      <c r="K112" s="72"/>
      <c r="L112" s="72"/>
      <c r="M112" s="72"/>
      <c r="N112" s="72"/>
      <c r="O112" s="70"/>
    </row>
    <row r="113" customFormat="false" ht="12.5" hidden="false" customHeight="false" outlineLevel="0" collapsed="false">
      <c r="A113" s="70" t="s">
        <v>135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141"/>
      <c r="M113" s="72"/>
      <c r="N113" s="72"/>
      <c r="O113" s="70"/>
    </row>
    <row r="114" customFormat="false" ht="12.5" hidden="false" customHeight="false" outlineLevel="0" collapsed="false">
      <c r="A114" s="70" t="s">
        <v>136</v>
      </c>
      <c r="B114" s="70"/>
      <c r="C114" s="70"/>
      <c r="D114" s="70"/>
      <c r="E114" s="74"/>
      <c r="F114" s="74"/>
      <c r="G114" s="74"/>
      <c r="H114" s="74"/>
      <c r="I114" s="74"/>
      <c r="J114" s="70"/>
      <c r="K114" s="70"/>
      <c r="L114" s="72"/>
      <c r="M114" s="72"/>
      <c r="N114" s="72"/>
      <c r="O114" s="70"/>
    </row>
    <row r="115" customFormat="false" ht="12.5" hidden="false" customHeight="false" outlineLevel="0" collapsed="false">
      <c r="A115" s="142" t="s">
        <v>137</v>
      </c>
      <c r="B115" s="70"/>
      <c r="C115" s="142"/>
      <c r="D115" s="70"/>
      <c r="E115" s="74"/>
      <c r="F115" s="74"/>
      <c r="G115" s="74"/>
      <c r="H115" s="74"/>
      <c r="I115" s="74"/>
      <c r="J115" s="70"/>
      <c r="K115" s="70"/>
      <c r="L115" s="72"/>
      <c r="M115" s="72"/>
      <c r="N115" s="72"/>
      <c r="O115" s="70"/>
    </row>
    <row r="116" customFormat="false" ht="12.5" hidden="false" customHeight="false" outlineLevel="0" collapsed="false">
      <c r="A116" s="70" t="s">
        <v>138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2"/>
      <c r="M116" s="72"/>
      <c r="N116" s="72"/>
      <c r="O116" s="70"/>
    </row>
    <row r="117" customFormat="false" ht="12.5" hidden="false" customHeight="false" outlineLevel="0" collapsed="false">
      <c r="A117" s="70" t="s">
        <v>139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2"/>
      <c r="M117" s="72"/>
      <c r="N117" s="72"/>
      <c r="O117" s="70"/>
    </row>
    <row r="118" customFormat="false" ht="12.5" hidden="false" customHeight="false" outlineLevel="0" collapsed="false">
      <c r="A118" s="70" t="s">
        <v>140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2"/>
      <c r="M118" s="72"/>
      <c r="N118" s="72"/>
      <c r="O118" s="70"/>
    </row>
    <row r="119" customFormat="false" ht="12.5" hidden="false" customHeight="false" outlineLevel="0" collapsed="false">
      <c r="A119" s="70" t="s">
        <v>141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2"/>
      <c r="M119" s="72"/>
      <c r="N119" s="72"/>
      <c r="O119" s="70"/>
    </row>
    <row r="120" customFormat="false" ht="12.5" hidden="false" customHeight="false" outlineLevel="0" collapsed="false">
      <c r="A120" s="70" t="s">
        <v>142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2"/>
      <c r="M120" s="72"/>
      <c r="N120" s="72"/>
      <c r="O120" s="70"/>
    </row>
    <row r="121" customFormat="false" ht="12.5" hidden="false" customHeight="false" outlineLevel="0" collapsed="false">
      <c r="A121" s="70" t="s">
        <v>143</v>
      </c>
    </row>
    <row r="122" customFormat="false" ht="12.5" hidden="false" customHeight="false" outlineLevel="0" collapsed="false">
      <c r="A122" s="2" t="s">
        <v>144</v>
      </c>
    </row>
  </sheetData>
  <mergeCells count="7">
    <mergeCell ref="C1:M1"/>
    <mergeCell ref="C2:M2"/>
    <mergeCell ref="E3:K3"/>
    <mergeCell ref="M4:N4"/>
    <mergeCell ref="A6:D6"/>
    <mergeCell ref="E6:G6"/>
    <mergeCell ref="J108:L108"/>
  </mergeCells>
  <hyperlinks>
    <hyperlink ref="A111" r:id="rId1" display="http://faculty.apec.umn.edu/wlazarus/documents/machdata.pdf"/>
  </hyperlinks>
  <printOptions headings="false" gridLines="false" gridLinesSet="true" horizontalCentered="true" verticalCentered="false"/>
  <pageMargins left="0.320138888888889" right="0.270138888888889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4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5"/>
  <cols>
    <col collapsed="false" hidden="false" max="1" min="1" style="0" width="3.37244897959184"/>
    <col collapsed="false" hidden="false" max="2" min="2" style="0" width="7.69387755102041"/>
    <col collapsed="false" hidden="false" max="3" min="3" style="0" width="14.4438775510204"/>
    <col collapsed="false" hidden="false" max="4" min="4" style="0" width="16.7397959183673"/>
    <col collapsed="false" hidden="false" max="5" min="5" style="0" width="13.0918367346939"/>
    <col collapsed="false" hidden="false" max="6" min="6" style="0" width="13.6326530612245"/>
    <col collapsed="false" hidden="false" max="7" min="7" style="0" width="8.50510204081633"/>
    <col collapsed="false" hidden="false" max="8" min="8" style="0" width="11.6071428571429"/>
    <col collapsed="false" hidden="false" max="10" min="9" style="0" width="12.4183673469388"/>
    <col collapsed="false" hidden="false" max="11" min="11" style="0" width="11.4744897959184"/>
    <col collapsed="false" hidden="false" max="1025" min="12" style="0" width="8.50510204081633"/>
  </cols>
  <sheetData>
    <row r="1" customFormat="false" ht="12.5" hidden="false" customHeight="false" outlineLevel="0" collapsed="false">
      <c r="A1" s="0" t="s">
        <v>145</v>
      </c>
      <c r="D1" s="0" t="s">
        <v>146</v>
      </c>
      <c r="E1" s="0" t="s">
        <v>147</v>
      </c>
      <c r="F1" s="0" t="s">
        <v>148</v>
      </c>
      <c r="G1" s="0" t="s">
        <v>149</v>
      </c>
      <c r="H1" s="0" t="s">
        <v>150</v>
      </c>
      <c r="I1" s="0" t="s">
        <v>151</v>
      </c>
      <c r="J1" s="32" t="s">
        <v>152</v>
      </c>
      <c r="K1" s="143" t="s">
        <v>153</v>
      </c>
    </row>
    <row r="2" customFormat="false" ht="12.5" hidden="false" customHeight="false" outlineLevel="0" collapsed="false">
      <c r="A2" s="90" t="s">
        <v>111</v>
      </c>
      <c r="B2" s="90"/>
      <c r="C2" s="90"/>
      <c r="D2" s="144" t="n">
        <f aca="false">('corn-cons'!F92+('corn-cons'!F92*0.34)+E2)/2</f>
        <v>35918.125</v>
      </c>
      <c r="E2" s="144" t="n">
        <f aca="false">('corn-cons'!F92-('corn-cons'!F92*0.34))/8</f>
        <v>4166.25</v>
      </c>
      <c r="F2" s="145" t="n">
        <f aca="false">0.05*D2</f>
        <v>1795.90625</v>
      </c>
      <c r="G2" s="144" t="n">
        <f aca="false">0.005*D2</f>
        <v>179.590625</v>
      </c>
      <c r="H2" s="144" t="n">
        <f aca="false">0.01*D2</f>
        <v>359.18125</v>
      </c>
      <c r="I2" s="144" t="n">
        <f aca="false">SUM(E2:H2)</f>
        <v>6500.928125</v>
      </c>
      <c r="J2" s="145" t="n">
        <v>1000</v>
      </c>
      <c r="K2" s="146" t="n">
        <f aca="false">I2/J2</f>
        <v>6.500928125</v>
      </c>
      <c r="L2" s="147"/>
      <c r="N2" s="148"/>
      <c r="P2" s="148"/>
    </row>
    <row r="3" customFormat="false" ht="12.5" hidden="false" customHeight="false" outlineLevel="0" collapsed="false">
      <c r="A3" s="71" t="s">
        <v>112</v>
      </c>
      <c r="B3" s="71"/>
      <c r="C3" s="149"/>
      <c r="D3" s="147" t="n">
        <f aca="false">('corn-cons'!F93+('corn-cons'!F93*0.34)+E3)/2</f>
        <v>53699.375</v>
      </c>
      <c r="E3" s="147" t="n">
        <f aca="false">('corn-cons'!F93-('corn-cons'!F93*0.34))/8</f>
        <v>6228.75</v>
      </c>
      <c r="F3" s="147" t="n">
        <f aca="false">0.05*D3</f>
        <v>2684.96875</v>
      </c>
      <c r="G3" s="147" t="n">
        <f aca="false">0.005*D3</f>
        <v>268.496875</v>
      </c>
      <c r="H3" s="147" t="n">
        <f aca="false">0.01*D3</f>
        <v>536.99375</v>
      </c>
      <c r="I3" s="147" t="n">
        <f aca="false">SUM(E3:H3)</f>
        <v>9719.209375</v>
      </c>
      <c r="J3" s="147" t="n">
        <v>1000</v>
      </c>
      <c r="K3" s="150" t="n">
        <f aca="false">I3/J3</f>
        <v>9.719209375</v>
      </c>
      <c r="L3" s="147"/>
      <c r="N3" s="148"/>
      <c r="P3" s="148"/>
    </row>
    <row r="4" customFormat="false" ht="12.5" hidden="false" customHeight="false" outlineLevel="0" collapsed="false">
      <c r="A4" s="71" t="s">
        <v>113</v>
      </c>
      <c r="B4" s="71"/>
      <c r="C4" s="149"/>
      <c r="D4" s="147" t="n">
        <f aca="false">('corn-cons'!F94+('corn-cons'!F94*0.34)+E4)/2</f>
        <v>172478.125</v>
      </c>
      <c r="E4" s="147" t="n">
        <f aca="false">('corn-cons'!F94-('corn-cons'!F94*0.34))/8</f>
        <v>20006.25</v>
      </c>
      <c r="F4" s="147" t="n">
        <f aca="false">0.05*D4</f>
        <v>8623.90625</v>
      </c>
      <c r="G4" s="147" t="n">
        <f aca="false">0.005*D4</f>
        <v>862.390625</v>
      </c>
      <c r="H4" s="147" t="n">
        <f aca="false">0.01*D4</f>
        <v>1724.78125</v>
      </c>
      <c r="I4" s="147" t="n">
        <f aca="false">SUM(E4:H4)</f>
        <v>31217.328125</v>
      </c>
      <c r="J4" s="147" t="n">
        <v>2000</v>
      </c>
      <c r="K4" s="150" t="n">
        <f aca="false">I4/J4</f>
        <v>15.6086640625</v>
      </c>
      <c r="L4" s="147"/>
      <c r="N4" s="148"/>
      <c r="P4" s="148"/>
    </row>
    <row r="5" customFormat="false" ht="12.5" hidden="false" customHeight="false" outlineLevel="0" collapsed="false">
      <c r="A5" s="71" t="s">
        <v>114</v>
      </c>
      <c r="B5" s="71"/>
      <c r="C5" s="149"/>
      <c r="D5" s="147" t="n">
        <f aca="false">('corn-cons'!F95+('corn-cons'!F95*0.44)+E5)/2</f>
        <v>79652.5</v>
      </c>
      <c r="E5" s="147" t="n">
        <f aca="false">('corn-cons'!F95-('corn-cons'!F95*0.44))/8</f>
        <v>7385</v>
      </c>
      <c r="F5" s="147" t="n">
        <f aca="false">0.05*D5</f>
        <v>3982.625</v>
      </c>
      <c r="G5" s="147" t="n">
        <f aca="false">0.005*D5</f>
        <v>398.2625</v>
      </c>
      <c r="H5" s="147" t="n">
        <f aca="false">0.01*D5</f>
        <v>796.525</v>
      </c>
      <c r="I5" s="147" t="n">
        <f aca="false">SUM(E5:H5)</f>
        <v>12562.4125</v>
      </c>
      <c r="J5" s="147" t="n">
        <v>1000</v>
      </c>
      <c r="K5" s="150" t="n">
        <f aca="false">I5/J5</f>
        <v>12.5624125</v>
      </c>
      <c r="L5" s="147"/>
      <c r="N5" s="148"/>
      <c r="P5" s="148"/>
    </row>
    <row r="6" customFormat="false" ht="12.5" hidden="false" customHeight="false" outlineLevel="0" collapsed="false">
      <c r="A6" s="71" t="s">
        <v>154</v>
      </c>
      <c r="B6" s="71"/>
      <c r="C6" s="149"/>
      <c r="D6" s="147" t="n">
        <f aca="false">('corn-cons'!F96+('corn-cons'!F96*0.29)+E6)/2</f>
        <v>248175</v>
      </c>
      <c r="E6" s="147" t="n">
        <f aca="false">('corn-cons'!F96-('corn-cons'!F96*0.29))/8</f>
        <v>31950</v>
      </c>
      <c r="F6" s="147" t="n">
        <f aca="false">0.05*D6</f>
        <v>12408.75</v>
      </c>
      <c r="G6" s="151" t="n">
        <f aca="false">0.005*D6</f>
        <v>1240.875</v>
      </c>
      <c r="H6" s="147" t="n">
        <f aca="false">0.01*D6</f>
        <v>2481.75</v>
      </c>
      <c r="I6" s="147" t="n">
        <f aca="false">SUM(E6:H6)</f>
        <v>48081.375</v>
      </c>
      <c r="J6" s="147" t="n">
        <v>2000</v>
      </c>
      <c r="K6" s="150" t="n">
        <f aca="false">I6/J6</f>
        <v>24.0406875</v>
      </c>
      <c r="L6" s="147"/>
      <c r="N6" s="148"/>
      <c r="P6" s="148"/>
    </row>
    <row r="7" customFormat="false" ht="12.5" hidden="false" customHeight="false" outlineLevel="0" collapsed="false">
      <c r="A7" s="71"/>
      <c r="B7" s="71" t="s">
        <v>117</v>
      </c>
      <c r="C7" s="149"/>
      <c r="D7" s="147" t="n">
        <f aca="false">('corn-cons'!F97+('corn-cons'!F97*0.29)+E7)/2</f>
        <v>40673.125</v>
      </c>
      <c r="E7" s="147" t="n">
        <f aca="false">('corn-cons'!F97-('corn-cons'!F97*0.29))/8</f>
        <v>5236.25</v>
      </c>
      <c r="F7" s="147" t="n">
        <f aca="false">0.05*D7</f>
        <v>2033.65625</v>
      </c>
      <c r="G7" s="147" t="n">
        <f aca="false">0.005*D7</f>
        <v>203.365625</v>
      </c>
      <c r="H7" s="147" t="n">
        <f aca="false">0.01*D7</f>
        <v>406.73125</v>
      </c>
      <c r="I7" s="147" t="n">
        <f aca="false">SUM(E7:H7)</f>
        <v>7880.003125</v>
      </c>
      <c r="J7" s="147" t="n">
        <v>1000</v>
      </c>
      <c r="K7" s="150" t="n">
        <f aca="false">I7/J7</f>
        <v>7.880003125</v>
      </c>
      <c r="L7" s="147"/>
      <c r="N7" s="148"/>
      <c r="P7" s="148"/>
    </row>
    <row r="8" customFormat="false" ht="12.5" hidden="false" customHeight="false" outlineLevel="0" collapsed="false">
      <c r="A8" s="71" t="s">
        <v>118</v>
      </c>
      <c r="B8" s="71"/>
      <c r="C8" s="149"/>
      <c r="D8" s="147" t="n">
        <f aca="false">('corn-cons'!F98+('corn-cons'!F98*0.34)+E8)/2</f>
        <v>14936.25</v>
      </c>
      <c r="E8" s="147" t="n">
        <f aca="false">('corn-cons'!F98-('corn-cons'!F98*0.34))/8</f>
        <v>1732.5</v>
      </c>
      <c r="F8" s="147" t="n">
        <f aca="false">0.05*D8</f>
        <v>746.8125</v>
      </c>
      <c r="G8" s="147" t="n">
        <f aca="false">0.005*D8</f>
        <v>74.68125</v>
      </c>
      <c r="H8" s="147" t="n">
        <f aca="false">0.01*D8</f>
        <v>149.3625</v>
      </c>
      <c r="I8" s="147" t="n">
        <f aca="false">SUM(E8:H8)</f>
        <v>2703.35625</v>
      </c>
      <c r="J8" s="147" t="n">
        <v>1000</v>
      </c>
      <c r="K8" s="150" t="n">
        <f aca="false">I8/J8</f>
        <v>2.70335625</v>
      </c>
      <c r="L8" s="147"/>
      <c r="N8" s="148"/>
      <c r="P8" s="148"/>
    </row>
    <row r="9" customFormat="false" ht="12.5" hidden="false" customHeight="false" outlineLevel="0" collapsed="false">
      <c r="A9" s="71" t="s">
        <v>119</v>
      </c>
      <c r="B9" s="71"/>
      <c r="C9" s="149"/>
      <c r="D9" s="147" t="n">
        <f aca="false">('corn-cons'!F99+('corn-cons'!F99*0.34)+E9)/2</f>
        <v>8535</v>
      </c>
      <c r="E9" s="147" t="n">
        <f aca="false">('corn-cons'!F99-('corn-cons'!F99*0.34))/8</f>
        <v>990</v>
      </c>
      <c r="F9" s="147" t="n">
        <f aca="false">0.05*D9</f>
        <v>426.75</v>
      </c>
      <c r="G9" s="147" t="n">
        <f aca="false">0.005*D9</f>
        <v>42.675</v>
      </c>
      <c r="H9" s="147" t="n">
        <f aca="false">0.01*D9</f>
        <v>85.35</v>
      </c>
      <c r="I9" s="147" t="n">
        <f aca="false">SUM(E9:H9)</f>
        <v>1544.775</v>
      </c>
      <c r="J9" s="147" t="n">
        <v>2000</v>
      </c>
      <c r="K9" s="150" t="n">
        <f aca="false">I9/J9</f>
        <v>0.7723875</v>
      </c>
      <c r="L9" s="147"/>
      <c r="N9" s="148"/>
      <c r="P9" s="148"/>
    </row>
    <row r="10" customFormat="false" ht="12.5" hidden="false" customHeight="false" outlineLevel="0" collapsed="false">
      <c r="A10" s="71" t="s">
        <v>120</v>
      </c>
      <c r="B10" s="71"/>
      <c r="C10" s="149"/>
      <c r="D10" s="147" t="n">
        <f aca="false">('corn-cons'!F100+('corn-cons'!F100*0.36)+E10)/2</f>
        <v>50400</v>
      </c>
      <c r="E10" s="147" t="n">
        <f aca="false">('corn-cons'!F100-('corn-cons'!F100*0.36))/8</f>
        <v>5600</v>
      </c>
      <c r="F10" s="147" t="n">
        <f aca="false">0.05*D10</f>
        <v>2520</v>
      </c>
      <c r="G10" s="147" t="n">
        <f aca="false">0.005*D10</f>
        <v>252</v>
      </c>
      <c r="H10" s="147" t="n">
        <f aca="false">0.01*D10</f>
        <v>504</v>
      </c>
      <c r="I10" s="147" t="n">
        <f aca="false">SUM(E10:H10)</f>
        <v>8876</v>
      </c>
      <c r="J10" s="147" t="n">
        <v>2000</v>
      </c>
      <c r="K10" s="150" t="n">
        <f aca="false">I10/J10</f>
        <v>4.438</v>
      </c>
      <c r="L10" s="147"/>
      <c r="N10" s="148"/>
      <c r="P10" s="148"/>
    </row>
    <row r="11" customFormat="false" ht="12.5" hidden="false" customHeight="false" outlineLevel="0" collapsed="false">
      <c r="A11" s="71" t="s">
        <v>122</v>
      </c>
      <c r="B11" s="71"/>
      <c r="C11" s="149"/>
      <c r="D11" s="147" t="n">
        <f aca="false">('corn-cons'!F101+('corn-cons'!F101*0.36)+E11)/2</f>
        <v>36360</v>
      </c>
      <c r="E11" s="147" t="n">
        <f aca="false">('corn-cons'!F101-('corn-cons'!F101*0.36))/8</f>
        <v>4040</v>
      </c>
      <c r="F11" s="147" t="n">
        <f aca="false">0.05*D11</f>
        <v>1818</v>
      </c>
      <c r="G11" s="147" t="n">
        <f aca="false">0.005*D11</f>
        <v>181.8</v>
      </c>
      <c r="H11" s="147" t="n">
        <f aca="false">0.01*D11</f>
        <v>363.6</v>
      </c>
      <c r="I11" s="147" t="n">
        <f aca="false">SUM(E11:H11)</f>
        <v>6403.4</v>
      </c>
      <c r="J11" s="147" t="n">
        <v>2000</v>
      </c>
      <c r="K11" s="150" t="n">
        <f aca="false">I11/J11</f>
        <v>3.2017</v>
      </c>
      <c r="L11" s="147"/>
      <c r="N11" s="148"/>
      <c r="P11" s="148"/>
    </row>
    <row r="12" customFormat="false" ht="12.5" hidden="false" customHeight="false" outlineLevel="0" collapsed="false">
      <c r="A12" s="71" t="s">
        <v>123</v>
      </c>
      <c r="B12" s="71"/>
      <c r="C12" s="149"/>
      <c r="D12" s="147" t="n">
        <f aca="false">('corn-cons'!F102+('corn-cons'!F102*0.36)+E12)/2</f>
        <v>197280</v>
      </c>
      <c r="E12" s="147" t="n">
        <f aca="false">('corn-cons'!F102-('corn-cons'!F102*0.36))/8</f>
        <v>21920</v>
      </c>
      <c r="F12" s="147" t="n">
        <f aca="false">0.05*D12</f>
        <v>9864</v>
      </c>
      <c r="G12" s="147" t="n">
        <f aca="false">0.005*D12</f>
        <v>986.4</v>
      </c>
      <c r="H12" s="147" t="n">
        <f aca="false">0.01*D12</f>
        <v>1972.8</v>
      </c>
      <c r="I12" s="147" t="n">
        <f aca="false">SUM(E12:H12)</f>
        <v>34743.2</v>
      </c>
      <c r="J12" s="147" t="n">
        <v>2000</v>
      </c>
      <c r="K12" s="150" t="n">
        <f aca="false">I12/J12</f>
        <v>17.3716</v>
      </c>
      <c r="L12" s="147"/>
      <c r="N12" s="148"/>
      <c r="P12" s="148"/>
    </row>
    <row r="13" customFormat="false" ht="12.5" hidden="false" customHeight="false" outlineLevel="0" collapsed="false">
      <c r="A13" s="71" t="s">
        <v>124</v>
      </c>
      <c r="B13" s="71"/>
      <c r="C13" s="149"/>
      <c r="D13" s="147" t="n">
        <f aca="false">('corn-cons'!F103+('corn-cons'!F103*0.36)+E13)/2</f>
        <v>191520</v>
      </c>
      <c r="E13" s="147" t="n">
        <f aca="false">('corn-cons'!F103-('corn-cons'!F103*0.36))/8</f>
        <v>21280</v>
      </c>
      <c r="F13" s="147" t="n">
        <f aca="false">0.05*D13</f>
        <v>9576</v>
      </c>
      <c r="G13" s="147" t="n">
        <f aca="false">0.005*D13</f>
        <v>957.6</v>
      </c>
      <c r="H13" s="147" t="n">
        <f aca="false">0.01*D13</f>
        <v>1915.2</v>
      </c>
      <c r="I13" s="147" t="n">
        <f aca="false">SUM(E13:H13)</f>
        <v>33728.8</v>
      </c>
      <c r="J13" s="147" t="n">
        <v>2000</v>
      </c>
      <c r="K13" s="150" t="n">
        <f aca="false">I13/J13</f>
        <v>16.8644</v>
      </c>
      <c r="L13" s="147"/>
      <c r="N13" s="148"/>
      <c r="P13" s="148"/>
    </row>
    <row r="14" customFormat="false" ht="12.5" hidden="false" customHeight="false" outlineLevel="0" collapsed="false">
      <c r="A14" s="111" t="s">
        <v>155</v>
      </c>
      <c r="B14" s="111"/>
      <c r="C14" s="111"/>
      <c r="D14" s="152" t="n">
        <f aca="false">('corn-cons'!F104+('corn-cons'!F104*0.36)+E14)/2</f>
        <v>21600</v>
      </c>
      <c r="E14" s="152" t="n">
        <f aca="false">('corn-cons'!F104-('corn-cons'!F104*0.36))/8</f>
        <v>2400</v>
      </c>
      <c r="F14" s="147" t="n">
        <f aca="false">0.05*D14</f>
        <v>1080</v>
      </c>
      <c r="G14" s="152" t="n">
        <f aca="false">0.005*D14</f>
        <v>108</v>
      </c>
      <c r="H14" s="152" t="n">
        <f aca="false">0.01*D14</f>
        <v>216</v>
      </c>
      <c r="I14" s="152" t="n">
        <f aca="false">SUM(E14:H14)</f>
        <v>3804</v>
      </c>
      <c r="J14" s="152" t="n">
        <v>2000</v>
      </c>
      <c r="K14" s="153" t="n">
        <f aca="false">I14/J14</f>
        <v>1.902</v>
      </c>
      <c r="L14" s="147"/>
      <c r="N14" s="148"/>
      <c r="P14" s="148"/>
    </row>
    <row r="15" customFormat="false" ht="12.5" hidden="false" customHeight="false" outlineLevel="0" collapsed="false">
      <c r="E15" s="148" t="n">
        <f aca="false">SUM(E2:E14)</f>
        <v>132935</v>
      </c>
      <c r="F15" s="148" t="n">
        <f aca="false">SUM(F2:F14)</f>
        <v>57561.375</v>
      </c>
      <c r="G15" s="148" t="n">
        <f aca="false">SUM(G2:G14)</f>
        <v>5756.1375</v>
      </c>
      <c r="H15" s="148" t="n">
        <f aca="false">SUM(H2:H14)</f>
        <v>11512.275</v>
      </c>
      <c r="I15" s="148" t="n">
        <f aca="false">SUM(I2:I14)</f>
        <v>207764.7875</v>
      </c>
      <c r="J15" s="148"/>
      <c r="K15" s="154" t="n">
        <f aca="false">SUM(K2:K14)</f>
        <v>123.5653484375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5"/>
  <cols>
    <col collapsed="false" hidden="false" max="3" min="1" style="0" width="8.50510204081633"/>
    <col collapsed="false" hidden="false" max="4" min="4" style="0" width="11.4744897959184"/>
    <col collapsed="false" hidden="false" max="5" min="5" style="0" width="8.50510204081633"/>
    <col collapsed="false" hidden="false" max="6" min="6" style="0" width="6.3469387755102"/>
    <col collapsed="false" hidden="false" max="7" min="7" style="0" width="15.1173469387755"/>
    <col collapsed="false" hidden="false" max="8" min="8" style="0" width="10.1224489795918"/>
    <col collapsed="false" hidden="false" max="9" min="9" style="0" width="14.8469387755102"/>
    <col collapsed="false" hidden="false" max="1025" min="10" style="0" width="8.50510204081633"/>
  </cols>
  <sheetData>
    <row r="1" customFormat="false" ht="12.5" hidden="false" customHeight="false" outlineLevel="0" collapsed="false">
      <c r="A1" s="155" t="s">
        <v>156</v>
      </c>
      <c r="B1" s="155"/>
      <c r="C1" s="155"/>
      <c r="D1" s="155"/>
      <c r="E1" s="155"/>
      <c r="F1" s="155"/>
      <c r="G1" s="155"/>
      <c r="H1" s="155"/>
      <c r="I1" s="155"/>
    </row>
    <row r="2" customFormat="false" ht="13" hidden="false" customHeight="false" outlineLevel="0" collapsed="false">
      <c r="A2" s="155"/>
      <c r="B2" s="155"/>
      <c r="C2" s="155"/>
      <c r="D2" s="155"/>
      <c r="E2" s="155"/>
      <c r="F2" s="155"/>
      <c r="G2" s="155"/>
      <c r="H2" s="155"/>
      <c r="I2" s="155"/>
    </row>
    <row r="3" customFormat="false" ht="20.5" hidden="false" customHeight="false" outlineLevel="0" collapsed="false">
      <c r="A3" s="156" t="s">
        <v>157</v>
      </c>
      <c r="B3" s="156"/>
      <c r="C3" s="156"/>
      <c r="D3" s="156" t="s">
        <v>158</v>
      </c>
      <c r="E3" s="156"/>
      <c r="F3" s="156"/>
      <c r="G3" s="157" t="s">
        <v>159</v>
      </c>
      <c r="H3" s="157"/>
      <c r="I3" s="157"/>
    </row>
    <row r="4" customFormat="false" ht="20" hidden="false" customHeight="false" outlineLevel="0" collapsed="false">
      <c r="A4" s="158" t="s">
        <v>160</v>
      </c>
      <c r="B4" s="159"/>
      <c r="C4" s="160"/>
      <c r="D4" s="160"/>
      <c r="E4" s="160"/>
      <c r="F4" s="160"/>
      <c r="G4" s="161" t="n">
        <f aca="false">'corn-cons'!$L$8</f>
        <v>160</v>
      </c>
      <c r="H4" s="162"/>
      <c r="I4" s="163" t="n">
        <f aca="false">'corn-cons'!$M$8</f>
        <v>192</v>
      </c>
    </row>
    <row r="5" customFormat="false" ht="20" hidden="false" customHeight="false" outlineLevel="0" collapsed="false">
      <c r="A5" s="164" t="s">
        <v>161</v>
      </c>
      <c r="B5" s="164"/>
      <c r="C5" s="165"/>
      <c r="D5" s="166" t="n">
        <f aca="false">'corn-cons'!I10</f>
        <v>4.5</v>
      </c>
      <c r="E5" s="165" t="s">
        <v>162</v>
      </c>
      <c r="F5" s="167"/>
      <c r="G5" s="168" t="n">
        <f aca="false">'corn-cons'!$L$10</f>
        <v>720</v>
      </c>
      <c r="H5" s="168"/>
      <c r="I5" s="169" t="n">
        <f aca="false">'corn-cons'!$M$10</f>
        <v>864</v>
      </c>
    </row>
    <row r="6" customFormat="false" ht="7.5" hidden="false" customHeight="true" outlineLevel="0" collapsed="false">
      <c r="F6" s="170"/>
      <c r="G6" s="171"/>
      <c r="H6" s="171"/>
      <c r="I6" s="171"/>
    </row>
    <row r="7" customFormat="false" ht="20" hidden="false" customHeight="false" outlineLevel="0" collapsed="false">
      <c r="A7" s="172" t="s">
        <v>163</v>
      </c>
      <c r="B7" s="173"/>
      <c r="C7" s="159"/>
      <c r="D7" s="174"/>
      <c r="E7" s="160"/>
      <c r="F7" s="160"/>
      <c r="G7" s="174"/>
      <c r="H7" s="174"/>
      <c r="I7" s="174"/>
    </row>
    <row r="8" customFormat="false" ht="20" hidden="false" customHeight="false" outlineLevel="0" collapsed="false">
      <c r="A8" s="175" t="s">
        <v>164</v>
      </c>
      <c r="B8" s="175"/>
      <c r="C8" s="175"/>
      <c r="D8" s="176" t="n">
        <f aca="false">'corn-cons'!$I$17</f>
        <v>275</v>
      </c>
      <c r="E8" s="167" t="s">
        <v>23</v>
      </c>
      <c r="F8" s="167"/>
      <c r="G8" s="168" t="n">
        <f aca="false">'corn-cons'!$L$16</f>
        <v>110</v>
      </c>
      <c r="H8" s="168"/>
      <c r="I8" s="169" t="n">
        <f aca="false">'corn-cons'!$M$16</f>
        <v>116.875</v>
      </c>
    </row>
    <row r="9" customFormat="false" ht="24" hidden="false" customHeight="false" outlineLevel="0" collapsed="false">
      <c r="A9" s="175" t="s">
        <v>165</v>
      </c>
      <c r="B9" s="175"/>
      <c r="C9" s="175"/>
      <c r="D9" s="177" t="n">
        <f aca="false">'corn-cons'!$F$69</f>
        <v>750</v>
      </c>
      <c r="E9" s="175" t="s">
        <v>31</v>
      </c>
      <c r="F9" s="175"/>
      <c r="G9" s="178" t="n">
        <f aca="false">'corn-cons'!$L$20</f>
        <v>80.1707317073171</v>
      </c>
      <c r="H9" s="178"/>
      <c r="I9" s="179" t="n">
        <f aca="false">'corn-cons'!$M$20</f>
        <v>93.890243902439</v>
      </c>
    </row>
    <row r="10" customFormat="false" ht="24" hidden="false" customHeight="false" outlineLevel="0" collapsed="false">
      <c r="A10" s="175" t="s">
        <v>166</v>
      </c>
      <c r="B10" s="175"/>
      <c r="C10" s="175"/>
      <c r="D10" s="177" t="n">
        <f aca="false">'corn-cons'!$I$69</f>
        <v>620</v>
      </c>
      <c r="E10" s="175" t="s">
        <v>31</v>
      </c>
      <c r="F10" s="175"/>
      <c r="G10" s="178" t="n">
        <f aca="false">'corn-cons'!$L$21</f>
        <v>35.2923076923077</v>
      </c>
      <c r="H10" s="178"/>
      <c r="I10" s="179" t="n">
        <f aca="false">'corn-cons'!$M$21</f>
        <v>42.3507692307692</v>
      </c>
    </row>
    <row r="11" customFormat="false" ht="24" hidden="false" customHeight="false" outlineLevel="0" collapsed="false">
      <c r="A11" s="175" t="s">
        <v>167</v>
      </c>
      <c r="B11" s="175"/>
      <c r="C11" s="175"/>
      <c r="D11" s="177" t="n">
        <f aca="false">'corn-cons'!$M$69</f>
        <v>450</v>
      </c>
      <c r="E11" s="175" t="s">
        <v>31</v>
      </c>
      <c r="F11" s="175"/>
      <c r="G11" s="178" t="n">
        <f aca="false">'corn-cons'!$L$22</f>
        <v>16.2</v>
      </c>
      <c r="H11" s="178"/>
      <c r="I11" s="179" t="n">
        <f aca="false">'corn-cons'!$M$22</f>
        <v>19.44</v>
      </c>
    </row>
    <row r="12" customFormat="false" ht="20" hidden="false" customHeight="false" outlineLevel="0" collapsed="false">
      <c r="A12" s="175" t="s">
        <v>168</v>
      </c>
      <c r="B12" s="175"/>
      <c r="C12" s="175"/>
      <c r="D12" s="175"/>
      <c r="E12" s="175"/>
      <c r="F12" s="175"/>
      <c r="G12" s="178" t="n">
        <f aca="false">SUM('corn-cons'!$L$24:$L$26)</f>
        <v>55.93</v>
      </c>
      <c r="H12" s="178"/>
      <c r="I12" s="179" t="n">
        <f aca="false">SUM('corn-cons'!$N$24:$N$26)</f>
        <v>55.93</v>
      </c>
    </row>
    <row r="13" customFormat="false" ht="20" hidden="false" customHeight="false" outlineLevel="0" collapsed="false">
      <c r="A13" s="164" t="s">
        <v>169</v>
      </c>
      <c r="B13" s="164"/>
      <c r="C13" s="164"/>
      <c r="D13" s="180" t="n">
        <f aca="false">'corn-cons'!$M$108</f>
        <v>3.5</v>
      </c>
      <c r="E13" s="164" t="s">
        <v>170</v>
      </c>
      <c r="F13" s="164"/>
      <c r="G13" s="181"/>
      <c r="H13" s="181"/>
      <c r="I13" s="182"/>
    </row>
    <row r="14" customFormat="false" ht="20.25" hidden="false" customHeight="true" outlineLevel="0" collapsed="false">
      <c r="C14" s="183" t="s">
        <v>171</v>
      </c>
      <c r="G14" s="181" t="n">
        <f aca="false">('corn-cons'!$L$36)/G4</f>
        <v>2.68892116265866</v>
      </c>
      <c r="H14" s="123"/>
      <c r="I14" s="181" t="n">
        <f aca="false">('corn-cons'!$M$36)/I4</f>
        <v>2.44449696893216</v>
      </c>
    </row>
    <row r="15" customFormat="false" ht="20" hidden="false" customHeight="false" outlineLevel="0" collapsed="false">
      <c r="A15" s="172" t="s">
        <v>172</v>
      </c>
      <c r="B15" s="159"/>
      <c r="C15" s="160"/>
      <c r="D15" s="160"/>
      <c r="E15" s="160"/>
      <c r="F15" s="184"/>
      <c r="G15" s="185"/>
      <c r="H15" s="185"/>
      <c r="I15" s="185"/>
    </row>
    <row r="16" customFormat="false" ht="20" hidden="false" customHeight="false" outlineLevel="0" collapsed="false">
      <c r="A16" s="186" t="s">
        <v>173</v>
      </c>
      <c r="B16" s="186"/>
      <c r="C16" s="186"/>
      <c r="D16" s="186"/>
      <c r="E16" s="186"/>
      <c r="F16" s="186"/>
      <c r="G16" s="168" t="n">
        <f aca="false">'corn-cons'!$L$40+'corn-cons'!L$41</f>
        <v>81</v>
      </c>
      <c r="H16" s="187"/>
      <c r="I16" s="169" t="n">
        <f aca="false">'corn-cons'!$M$40+'corn-cons'!$M$41</f>
        <v>88.2</v>
      </c>
    </row>
    <row r="17" customFormat="false" ht="20" hidden="false" customHeight="false" outlineLevel="0" collapsed="false">
      <c r="A17" s="188" t="s">
        <v>104</v>
      </c>
      <c r="B17" s="188"/>
      <c r="C17" s="188"/>
      <c r="D17" s="188"/>
      <c r="E17" s="188"/>
      <c r="F17" s="188"/>
      <c r="G17" s="178" t="n">
        <f aca="false">'corn-cons'!$L$42</f>
        <v>123.5653484375</v>
      </c>
      <c r="H17" s="178"/>
      <c r="I17" s="179" t="n">
        <f aca="false">'corn-cons'!$M$42</f>
        <v>123.5653484375</v>
      </c>
    </row>
    <row r="18" customFormat="false" ht="20" hidden="false" customHeight="false" outlineLevel="0" collapsed="false">
      <c r="A18" s="189" t="s">
        <v>174</v>
      </c>
      <c r="B18" s="189"/>
      <c r="C18" s="189"/>
      <c r="D18" s="189"/>
      <c r="E18" s="189"/>
      <c r="F18" s="189"/>
      <c r="G18" s="181" t="n">
        <f aca="false">'corn-cons'!$L$43</f>
        <v>195</v>
      </c>
      <c r="H18" s="181"/>
      <c r="I18" s="182" t="n">
        <f aca="false">'corn-cons'!$M$43</f>
        <v>250</v>
      </c>
    </row>
    <row r="19" customFormat="false" ht="21" hidden="false" customHeight="true" outlineLevel="0" collapsed="false">
      <c r="C19" s="183" t="s">
        <v>171</v>
      </c>
      <c r="G19" s="178" t="n">
        <f aca="false">'corn-cons'!$L$48</f>
        <v>5.18620459039303</v>
      </c>
      <c r="H19" s="123"/>
      <c r="I19" s="178" t="n">
        <f aca="false">'corn-cons'!$M$48</f>
        <v>4.84952482537747</v>
      </c>
    </row>
    <row r="20" customFormat="false" ht="20" hidden="false" customHeight="false" outlineLevel="0" collapsed="false">
      <c r="A20" s="172" t="s">
        <v>175</v>
      </c>
      <c r="B20" s="159"/>
      <c r="C20" s="160"/>
      <c r="D20" s="160"/>
      <c r="E20" s="160"/>
      <c r="F20" s="160"/>
      <c r="G20" s="174"/>
      <c r="H20" s="174"/>
      <c r="I20" s="174"/>
    </row>
    <row r="21" customFormat="false" ht="20" hidden="false" customHeight="false" outlineLevel="0" collapsed="false">
      <c r="A21" s="186" t="s">
        <v>176</v>
      </c>
      <c r="B21" s="186"/>
      <c r="C21" s="186"/>
      <c r="D21" s="186"/>
      <c r="E21" s="186"/>
      <c r="F21" s="186"/>
      <c r="G21" s="168" t="n">
        <f aca="false">'corn-cons'!$L$52</f>
        <v>-109.792734462886</v>
      </c>
      <c r="H21" s="168"/>
      <c r="I21" s="169" t="n">
        <f aca="false">'corn-cons'!$M$52</f>
        <v>-67.1087664724748</v>
      </c>
    </row>
    <row r="22" customFormat="false" ht="20" hidden="false" customHeight="false" outlineLevel="0" collapsed="false">
      <c r="A22" s="164" t="s">
        <v>177</v>
      </c>
      <c r="B22" s="164"/>
      <c r="C22" s="164"/>
      <c r="D22" s="164"/>
      <c r="E22" s="164"/>
      <c r="F22" s="175"/>
      <c r="G22" s="178" t="n">
        <f aca="false">'corn-cons'!$L$53</f>
        <v>85.2072655371145</v>
      </c>
      <c r="H22" s="178"/>
      <c r="I22" s="179" t="n">
        <f aca="false">'corn-cons'!$M$53</f>
        <v>182.891233527525</v>
      </c>
    </row>
    <row r="23" customFormat="false" ht="15.5" hidden="false" customHeight="false" outlineLevel="0" collapsed="false">
      <c r="A23" s="190"/>
      <c r="B23" s="190"/>
      <c r="C23" s="190"/>
      <c r="D23" s="190"/>
      <c r="E23" s="190"/>
      <c r="F23" s="191"/>
      <c r="G23" s="191"/>
      <c r="H23" s="191"/>
      <c r="I23" s="191"/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2002-12-27T15:34:03Z</dcterms:created>
  <dc:creator>Robert Moore</dc:creator>
  <dc:description/>
  <dc:language>en-US</dc:language>
  <cp:lastModifiedBy>Julie Moose</cp:lastModifiedBy>
  <cp:lastPrinted>2014-05-19T15:41:15Z</cp:lastPrinted>
  <dcterms:modified xsi:type="dcterms:W3CDTF">2016-12-01T16:43:47Z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