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rn-cons" sheetId="1" state="visible" r:id="rId2"/>
    <sheet name="machinery costs" sheetId="2" state="visible" r:id="rId3"/>
    <sheet name="Quick Stats" sheetId="3" state="visible" r:id="rId4"/>
    <sheet name="QuickStats Totals" sheetId="4" state="visible" r:id="rId5"/>
  </sheets>
  <definedNames>
    <definedName function="false" hidden="false" localSheetId="0" name="_xlnm.Print_Area" vbProcedure="false">'corn-cons'!$A$1:$N$130</definedName>
    <definedName function="false" hidden="false" localSheetId="1" name="_xlnm.Print_Area" vbProcedure="false">'machinery costs'!$A$1:$K$15</definedName>
    <definedName function="false" hidden="false" localSheetId="0" name="_xlnm.Print_Area" vbProcedure="false">'corn-cons'!$A$1:$N$130</definedName>
    <definedName function="false" hidden="false" localSheetId="1" name="_xlnm.Print_Area" vbProcedure="false">'machinery costs'!$A$1:$K$15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<sst xmlns="http://schemas.openxmlformats.org/spreadsheetml/2006/main" count="244" uniqueCount="195">
  <si>
    <t xml:space="preserve">CORN PRODUCTION BUDGET- 2015</t>
  </si>
  <si>
    <t xml:space="preserve"> Conservation Tillage Practices: N-Source - NH3</t>
  </si>
  <si>
    <t xml:space="preserve">Reflects 2000 acres, Conservation Tillage Corn/No-Till RR Soybeans</t>
  </si>
  <si>
    <t xml:space="preserve">Updated:</t>
  </si>
  <si>
    <t xml:space="preserve">5/10/2015</t>
  </si>
  <si>
    <t xml:space="preserve">ITEM</t>
  </si>
  <si>
    <t xml:space="preserve">EXPLANATION</t>
  </si>
  <si>
    <t xml:space="preserve">YOUR</t>
  </si>
  <si>
    <t xml:space="preserve">PRICE PER</t>
  </si>
  <si>
    <r>
      <rPr>
        <b val="true"/>
        <sz val="10"/>
        <rFont val="Arial"/>
        <family val="2"/>
        <charset val="1"/>
      </rPr>
      <t xml:space="preserve">YIELD (bu/A)</t>
    </r>
    <r>
      <rPr>
        <b val="true"/>
        <vertAlign val="superscript"/>
        <sz val="10"/>
        <rFont val="Arial"/>
        <family val="2"/>
        <charset val="1"/>
      </rPr>
      <t xml:space="preserve">1</t>
    </r>
  </si>
  <si>
    <t xml:space="preserve">PROD.</t>
  </si>
  <si>
    <t xml:space="preserve">UNIT</t>
  </si>
  <si>
    <t xml:space="preserve">BUDGET</t>
  </si>
  <si>
    <t xml:space="preserve">NUMBERS</t>
  </si>
  <si>
    <t xml:space="preserve">RECEIPTS</t>
  </si>
  <si>
    <r>
      <rPr>
        <sz val="10"/>
        <rFont val="Arial"/>
        <family val="2"/>
        <charset val="1"/>
      </rPr>
      <t xml:space="preserve">Corn </t>
    </r>
    <r>
      <rPr>
        <vertAlign val="superscript"/>
        <sz val="10"/>
        <rFont val="Arial"/>
        <family val="2"/>
        <charset val="1"/>
      </rPr>
      <t xml:space="preserve">1</t>
    </r>
  </si>
  <si>
    <t xml:space="preserve">/bu</t>
  </si>
  <si>
    <r>
      <rPr>
        <sz val="10"/>
        <rFont val="Arial"/>
        <family val="2"/>
        <charset val="1"/>
      </rPr>
      <t xml:space="preserve">ARC/PLC Payment</t>
    </r>
    <r>
      <rPr>
        <vertAlign val="superscript"/>
        <sz val="10"/>
        <rFont val="Arial"/>
        <family val="2"/>
        <charset val="1"/>
      </rPr>
      <t xml:space="preserve">2</t>
    </r>
  </si>
  <si>
    <t xml:space="preserve">Crop Insurance Indemnity</t>
  </si>
  <si>
    <t xml:space="preserve">Grower or Market Premium</t>
  </si>
  <si>
    <t xml:space="preserve">TOTAL RECEIPTS</t>
  </si>
  <si>
    <t xml:space="preserve">VARIABLE  COSTS</t>
  </si>
  <si>
    <r>
      <rPr>
        <sz val="10"/>
        <rFont val="Arial"/>
        <family val="2"/>
        <charset val="1"/>
      </rPr>
      <t xml:space="preserve">Seed (kernels)</t>
    </r>
    <r>
      <rPr>
        <vertAlign val="superscript"/>
        <sz val="10"/>
        <rFont val="Arial"/>
        <family val="2"/>
        <charset val="1"/>
      </rPr>
      <t xml:space="preserve">3</t>
    </r>
  </si>
  <si>
    <t xml:space="preserve">/1000</t>
  </si>
  <si>
    <t xml:space="preserve">Seed Cost Per Bag</t>
  </si>
  <si>
    <t xml:space="preserve">/bag</t>
  </si>
  <si>
    <r>
      <rPr>
        <sz val="10"/>
        <rFont val="Arial"/>
        <family val="2"/>
        <charset val="1"/>
      </rPr>
      <t xml:space="preserve">Fertilizer </t>
    </r>
    <r>
      <rPr>
        <vertAlign val="superscript"/>
        <sz val="10"/>
        <rFont val="Arial"/>
        <family val="2"/>
        <charset val="1"/>
      </rPr>
      <t xml:space="preserve">4</t>
    </r>
  </si>
  <si>
    <t xml:space="preserve">Starter Fertilizer</t>
  </si>
  <si>
    <t xml:space="preserve">N (lbs.)</t>
  </si>
  <si>
    <t xml:space="preserve">/lb</t>
  </si>
  <si>
    <r>
      <rPr>
        <sz val="10"/>
        <rFont val="Arial"/>
        <family val="2"/>
        <charset val="1"/>
      </rPr>
      <t xml:space="preserve">P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</t>
    </r>
    <r>
      <rPr>
        <vertAlign val="subscript"/>
        <sz val="10"/>
        <rFont val="Arial"/>
        <family val="2"/>
        <charset val="1"/>
      </rPr>
      <t xml:space="preserve">5</t>
    </r>
    <r>
      <rPr>
        <sz val="10"/>
        <rFont val="Arial"/>
        <family val="2"/>
        <charset val="1"/>
      </rPr>
      <t xml:space="preserve">(lbs)</t>
    </r>
  </si>
  <si>
    <r>
      <rPr>
        <sz val="10"/>
        <rFont val="Arial"/>
        <family val="2"/>
        <charset val="1"/>
      </rPr>
      <t xml:space="preserve">K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O(lbs)</t>
    </r>
  </si>
  <si>
    <t xml:space="preserve">Lime(ton)</t>
  </si>
  <si>
    <t xml:space="preserve">/ton</t>
  </si>
  <si>
    <r>
      <rPr>
        <sz val="10"/>
        <rFont val="Arial"/>
        <family val="2"/>
        <charset val="1"/>
      </rPr>
      <t xml:space="preserve">Chemicals </t>
    </r>
    <r>
      <rPr>
        <vertAlign val="superscript"/>
        <sz val="10"/>
        <rFont val="Arial"/>
        <family val="2"/>
        <charset val="1"/>
      </rPr>
      <t xml:space="preserve">5</t>
    </r>
  </si>
  <si>
    <t xml:space="preserve">Herbicide</t>
  </si>
  <si>
    <t xml:space="preserve">Fungicide</t>
  </si>
  <si>
    <t xml:space="preserve">Insecticide</t>
  </si>
  <si>
    <r>
      <rPr>
        <sz val="10"/>
        <rFont val="Arial"/>
        <family val="2"/>
        <charset val="1"/>
      </rPr>
      <t xml:space="preserve">Drying - Fuel &amp; Electric only </t>
    </r>
    <r>
      <rPr>
        <vertAlign val="superscript"/>
        <sz val="10"/>
        <rFont val="Arial"/>
        <family val="2"/>
        <charset val="1"/>
      </rPr>
      <t xml:space="preserve">6</t>
    </r>
  </si>
  <si>
    <t xml:space="preserve">/gal LP</t>
  </si>
  <si>
    <r>
      <rPr>
        <sz val="10"/>
        <rFont val="Arial"/>
        <family val="2"/>
        <charset val="1"/>
      </rPr>
      <t xml:space="preserve">Trucking - Fuel Only </t>
    </r>
    <r>
      <rPr>
        <vertAlign val="superscript"/>
        <sz val="10"/>
        <rFont val="Arial"/>
        <family val="2"/>
        <charset val="1"/>
      </rPr>
      <t xml:space="preserve">7</t>
    </r>
  </si>
  <si>
    <t xml:space="preserve">/gal Diesel</t>
  </si>
  <si>
    <t xml:space="preserve">miles</t>
  </si>
  <si>
    <r>
      <rPr>
        <sz val="10"/>
        <rFont val="Arial"/>
        <family val="2"/>
        <charset val="1"/>
      </rPr>
      <t xml:space="preserve">Fuel, Oil, Grease</t>
    </r>
    <r>
      <rPr>
        <vertAlign val="superscript"/>
        <sz val="10"/>
        <rFont val="Arial"/>
        <family val="2"/>
        <charset val="1"/>
      </rPr>
      <t xml:space="preserve"> 8</t>
    </r>
  </si>
  <si>
    <r>
      <rPr>
        <sz val="10"/>
        <rFont val="Arial"/>
        <family val="2"/>
        <charset val="1"/>
      </rPr>
      <t xml:space="preserve">Repairs </t>
    </r>
    <r>
      <rPr>
        <vertAlign val="superscript"/>
        <sz val="10"/>
        <rFont val="Arial"/>
        <family val="2"/>
        <charset val="1"/>
      </rPr>
      <t xml:space="preserve">9</t>
    </r>
  </si>
  <si>
    <r>
      <rPr>
        <sz val="10"/>
        <rFont val="Arial"/>
        <family val="2"/>
        <charset val="1"/>
      </rPr>
      <t xml:space="preserve">Crop Insurance </t>
    </r>
    <r>
      <rPr>
        <vertAlign val="superscript"/>
        <sz val="10"/>
        <rFont val="Arial"/>
        <family val="2"/>
        <charset val="1"/>
      </rPr>
      <t xml:space="preserve">10</t>
    </r>
  </si>
  <si>
    <r>
      <rPr>
        <sz val="10"/>
        <rFont val="Arial"/>
        <family val="2"/>
        <charset val="1"/>
      </rPr>
      <t xml:space="preserve">Miscellaneous </t>
    </r>
    <r>
      <rPr>
        <vertAlign val="superscript"/>
        <sz val="10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</si>
  <si>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Int. on Oper. Cap.</t>
    </r>
    <r>
      <rPr>
        <vertAlign val="superscript"/>
        <sz val="10"/>
        <rFont val="Arial"/>
        <family val="2"/>
        <charset val="1"/>
      </rPr>
      <t xml:space="preserve"> 12</t>
    </r>
  </si>
  <si>
    <t xml:space="preserve">mo. </t>
  </si>
  <si>
    <r>
      <rPr>
        <sz val="10"/>
        <rFont val="Arial"/>
        <family val="2"/>
        <charset val="1"/>
      </rPr>
      <t xml:space="preserve">Hired Labor </t>
    </r>
    <r>
      <rPr>
        <vertAlign val="superscript"/>
        <sz val="10"/>
        <rFont val="Arial"/>
        <family val="2"/>
        <charset val="1"/>
      </rPr>
      <t xml:space="preserve">13</t>
    </r>
  </si>
  <si>
    <t xml:space="preserve">TOTAL VARIABLE COSTS</t>
  </si>
  <si>
    <t xml:space="preserve">-Per Acre</t>
  </si>
  <si>
    <t xml:space="preserve">-Per Bushel</t>
  </si>
  <si>
    <t xml:space="preserve">FIXED COSTS</t>
  </si>
  <si>
    <r>
      <rPr>
        <sz val="10"/>
        <rFont val="Arial"/>
        <family val="2"/>
        <charset val="1"/>
      </rPr>
      <t xml:space="preserve">Labor Charge</t>
    </r>
    <r>
      <rPr>
        <vertAlign val="superscript"/>
        <sz val="10"/>
        <rFont val="Arial"/>
        <family val="2"/>
        <charset val="1"/>
      </rPr>
      <t xml:space="preserve"> 13</t>
    </r>
  </si>
  <si>
    <t xml:space="preserve">hours</t>
  </si>
  <si>
    <t xml:space="preserve">/hr</t>
  </si>
  <si>
    <r>
      <rPr>
        <sz val="10"/>
        <rFont val="Arial"/>
        <family val="2"/>
        <charset val="1"/>
      </rPr>
      <t xml:space="preserve">Management Charge </t>
    </r>
    <r>
      <rPr>
        <vertAlign val="superscript"/>
        <sz val="10"/>
        <rFont val="Arial"/>
        <family val="2"/>
        <charset val="1"/>
      </rPr>
      <t xml:space="preserve">14</t>
    </r>
  </si>
  <si>
    <t xml:space="preserve">of gross revenue</t>
  </si>
  <si>
    <r>
      <rPr>
        <sz val="10"/>
        <rFont val="Arial"/>
        <family val="2"/>
        <charset val="1"/>
      </rPr>
      <t xml:space="preserve">Mach. And Equip. Charge</t>
    </r>
    <r>
      <rPr>
        <vertAlign val="superscript"/>
        <sz val="10"/>
        <rFont val="Arial"/>
        <family val="2"/>
        <charset val="1"/>
      </rPr>
      <t xml:space="preserve"> 15</t>
    </r>
  </si>
  <si>
    <r>
      <rPr>
        <sz val="10"/>
        <rFont val="Arial"/>
        <family val="2"/>
        <charset val="1"/>
      </rPr>
      <t xml:space="preserve">Land Charge </t>
    </r>
    <r>
      <rPr>
        <vertAlign val="superscript"/>
        <sz val="10"/>
        <rFont val="Arial"/>
        <family val="2"/>
        <charset val="1"/>
      </rPr>
      <t xml:space="preserve">16</t>
    </r>
  </si>
  <si>
    <t xml:space="preserve">Rent</t>
  </si>
  <si>
    <t xml:space="preserve">TOTAL FIXED COSTS</t>
  </si>
  <si>
    <t xml:space="preserve">TOTAL COSTS</t>
  </si>
  <si>
    <r>
      <rPr>
        <b val="true"/>
        <sz val="10"/>
        <rFont val="Arial"/>
        <family val="2"/>
        <charset val="1"/>
      </rPr>
      <t xml:space="preserve">RETURN ABOVE VARIABLE COSTS</t>
    </r>
    <r>
      <rPr>
        <vertAlign val="superscript"/>
        <sz val="10"/>
        <rFont val="Arial"/>
        <family val="2"/>
        <charset val="1"/>
      </rPr>
      <t xml:space="preserve">17</t>
    </r>
  </si>
  <si>
    <t xml:space="preserve">RETURN ABOVE VARIABLE AND LAND COSTS</t>
  </si>
  <si>
    <t xml:space="preserve">RETURN ABOVE TOTAL COSTS</t>
  </si>
  <si>
    <t xml:space="preserve">RETURN TO LAND</t>
  </si>
  <si>
    <t xml:space="preserve">RETURN TO LABOR AND MANAGEMENT</t>
  </si>
  <si>
    <t xml:space="preserve">RETURN TO LAND, LABOR AND MANAGEMENT</t>
  </si>
  <si>
    <t xml:space="preserve">Values highlighted in gold may be changed to assist in computing "Your Budget" Column using macros embeded within  </t>
  </si>
  <si>
    <t xml:space="preserve">the spreadsheet.</t>
  </si>
  <si>
    <t xml:space="preserve">Values highlighted in light blue are cells embedded with macros and will be calculated for the user based on data entered.</t>
  </si>
  <si>
    <t xml:space="preserve">These cells may be input manually, but macros will be overwritten!</t>
  </si>
  <si>
    <t xml:space="preserve">Values highlighted in gray are stand alone cells that require direct input from the user.</t>
  </si>
  <si>
    <t xml:space="preserve">Yield is based on Ohio Ag Stats Trend Yield for Ohio (1970-Present), plus and minus 20%</t>
  </si>
  <si>
    <t xml:space="preserve">Price is based on current December Futures less $0.20 basis</t>
  </si>
  <si>
    <t xml:space="preserve">Assumes a ARC-CO Program Choice, 50/50 Corn/Soybean Program Acres, payment on 85% of program acres.</t>
  </si>
  <si>
    <t xml:space="preserve">Seed price based on traited seed corn, 80,000 kernels/bag.</t>
  </si>
  <si>
    <t xml:space="preserve"> Includes seed treatment at low level.</t>
  </si>
  <si>
    <t xml:space="preserve">Assumes only maintenance application of fertilizer needed, corn-soybean rotation, 3.8 O.M., 20 CEC, </t>
  </si>
  <si>
    <t xml:space="preserve">and soil test values of 25 ppm P/A and 125 ppm K/A.</t>
  </si>
  <si>
    <t xml:space="preserve">Fertilizer prices vary over time and by area.  Check with local sources for current prices. </t>
  </si>
  <si>
    <t xml:space="preserve">Assumes NH3(82-0-0):</t>
  </si>
  <si>
    <t xml:space="preserve">/ton     MAP(11-52-0):</t>
  </si>
  <si>
    <t xml:space="preserve">/ton     Potash(0-0-60):</t>
  </si>
  <si>
    <t xml:space="preserve">N cost includes cost of N-Serve.</t>
  </si>
  <si>
    <t xml:space="preserve">Based on use of: fall applied Basis plus 2,4-D, preplant Cinch ATZ plus Instigate, post glyphosate (with adjuvant and AMS).</t>
  </si>
  <si>
    <t xml:space="preserve">Drying costs are based on 5% moisture removed (0.02 gal of LP per % point of moisture removed).</t>
  </si>
  <si>
    <t xml:space="preserve">An additional $0.01 is added per bushel for electricity</t>
  </si>
  <si>
    <t xml:space="preserve">Trucking based on 900 bushel loads, 6 mpg, oil and lube at 10% of fuel cost, Enter on-road diesel price and total miles trucked</t>
  </si>
  <si>
    <t xml:space="preserve">See table below for specific calculations.  Lubrication costs are assumed to be 10% of fuel costs</t>
  </si>
  <si>
    <t xml:space="preserve">See table below for specific calculations.</t>
  </si>
  <si>
    <t xml:space="preserve">Crop Insurance: Revenue Protection (with Trend Adjusted Yield Endorsement), Basic (without SCO), 75% coverage level.</t>
  </si>
  <si>
    <t xml:space="preserve">Includes marketing, farm insurance, dues and professional fees, supplies, utilities, soil tests, small tools, </t>
  </si>
  <si>
    <t xml:space="preserve">software/hardware, transport of supplies and equipment, etc…</t>
  </si>
  <si>
    <t xml:space="preserve">Interest on all variable costs, except drying and trucking</t>
  </si>
  <si>
    <t xml:space="preserve">Part or all of labor may be a variable cost if paid labor varies with acres farmed.  </t>
  </si>
  <si>
    <t xml:space="preserve">Labor is considered a fixed cost if labor costs do not change with acres farmed.</t>
  </si>
  <si>
    <t xml:space="preserve">Labor rate includes cash wages plus benefits. </t>
  </si>
  <si>
    <t xml:space="preserve">Management Charge is calculated as 5% of total receipts.</t>
  </si>
  <si>
    <t xml:space="preserve">Machinery and Equipment Charge Reflects 2000 acres, conservation tillage corn/no-till RR soybean rotation. </t>
  </si>
  <si>
    <t xml:space="preserve">Average based on "Ohio Cropland Values and Cash Rents" factsheet: http://aede.osu.edu/research/osu-farm-management</t>
  </si>
  <si>
    <t xml:space="preserve">Land charges vary throughout the state, check your local rates.</t>
  </si>
  <si>
    <t xml:space="preserve">Return Above Variable Costs equals total receipts minus total variable costs.</t>
  </si>
  <si>
    <t xml:space="preserve">Return Above Variable and Land Costs equals total receipts minus total variable and land costs.</t>
  </si>
  <si>
    <t xml:space="preserve">Return Above Total Costs equals total receipts minus total costs.</t>
  </si>
  <si>
    <t xml:space="preserve">Return to Land equals total receipts minus total costs except land costs.</t>
  </si>
  <si>
    <t xml:space="preserve">Return to Labor and Management equals total receipts minus total expenses except operator labor and management cost.</t>
  </si>
  <si>
    <t xml:space="preserve">Return to Land, Labor and Management equals total receipts minus total expenses </t>
  </si>
  <si>
    <t xml:space="preserve">except operator labor and management and land costs.</t>
  </si>
  <si>
    <t xml:space="preserve">Machinery Inventory</t>
  </si>
  <si>
    <t xml:space="preserve">Number times used</t>
  </si>
  <si>
    <t xml:space="preserve">Machinery Cost</t>
  </si>
  <si>
    <t xml:space="preserve">Acres per Year</t>
  </si>
  <si>
    <t xml:space="preserve">Cost per Acre</t>
  </si>
  <si>
    <t xml:space="preserve">Acres/ Hr</t>
  </si>
  <si>
    <t xml:space="preserve">Fuel*        (gal/A)</t>
  </si>
  <si>
    <t xml:space="preserve">Hours/ Year</t>
  </si>
  <si>
    <t xml:space="preserve">Repairs ($/A)</t>
  </si>
  <si>
    <t xml:space="preserve">37 ft. Chisel Plow</t>
  </si>
  <si>
    <t xml:space="preserve">60 ft. Field Cultivator</t>
  </si>
  <si>
    <t xml:space="preserve">Boom Sprayer, Self Prop.</t>
  </si>
  <si>
    <t xml:space="preserve">16 Row Planter</t>
  </si>
  <si>
    <t xml:space="preserve">Combine 440 HP</t>
  </si>
  <si>
    <t xml:space="preserve">-----</t>
  </si>
  <si>
    <t xml:space="preserve">Corn Head 8 Row</t>
  </si>
  <si>
    <t xml:space="preserve">Anhydrous Applic. 32.5'</t>
  </si>
  <si>
    <t xml:space="preserve">Fertilizer Spreader</t>
  </si>
  <si>
    <t xml:space="preserve">2 Semi Tractor/Trailers**</t>
  </si>
  <si>
    <t xml:space="preserve">***</t>
  </si>
  <si>
    <t xml:space="preserve">Grain Cart</t>
  </si>
  <si>
    <t xml:space="preserve">360 HP Tractor</t>
  </si>
  <si>
    <t xml:space="preserve">310 HP Tractor</t>
  </si>
  <si>
    <t xml:space="preserve">Pickup Truck (1/2)</t>
  </si>
  <si>
    <t xml:space="preserve">Fuel</t>
  </si>
  <si>
    <t xml:space="preserve">Machinery and Equipment Charge per Acre</t>
  </si>
  <si>
    <t xml:space="preserve">F&amp;L</t>
  </si>
  <si>
    <t xml:space="preserve">Repairs</t>
  </si>
  <si>
    <t xml:space="preserve">Price of Diesel Fuel =</t>
  </si>
  <si>
    <t xml:space="preserve">Machinery cost estimates, fuel estimates and cost calculations based on information from industry sources and </t>
  </si>
  <si>
    <t xml:space="preserve">the "Farm Machinery Cost Estimates". See the reference online at:   http://faculty.apec.umn.edu/wlazarus/documents/machdata.pdf</t>
  </si>
  <si>
    <t xml:space="preserve">Machinery and Equipment charge = </t>
  </si>
  <si>
    <t xml:space="preserve">Cost per Acre = Machinery Cost (New Cost) Assumes 8 Year Useful Life using Straight Line Depreciation,</t>
  </si>
  <si>
    <t xml:space="preserve"> 6.0% Interest on Average Value, 0.5% Insurance Cost on Average Value and 1.0% Housing Cost on Average Value.</t>
  </si>
  <si>
    <t xml:space="preserve">Salvage Values are based on ASAE formulas.</t>
  </si>
  <si>
    <t xml:space="preserve">Machines are all assumed to be new and in the first year of use (Except for Semi Tractor Trailer and Pickup Truck). </t>
  </si>
  <si>
    <t xml:space="preserve">The "machinery cost" tab (next tab at the bottom of this worksheet) shows details of "Machinery and Equipment Charge per Acre".</t>
  </si>
  <si>
    <t xml:space="preserve">*Fuel calculations are based on the implement plus tractor.</t>
  </si>
  <si>
    <t xml:space="preserve">**Semi Tractor Trailer and Pickup Truck are assumed to be used equipment.</t>
  </si>
  <si>
    <t xml:space="preserve">***Fuel for Semi is included in Budget as Trucking - Fuel Only</t>
  </si>
  <si>
    <t xml:space="preserve">Prepared by: Barry Ward, Leader, Production Business Management; Peter Thomison, Extension Corn Specialist, </t>
  </si>
  <si>
    <t xml:space="preserve">Mark Loux, Extension Specialist, Weed Management in Field Crops</t>
  </si>
  <si>
    <t xml:space="preserve">Machine</t>
  </si>
  <si>
    <t xml:space="preserve">Average Value</t>
  </si>
  <si>
    <t xml:space="preserve">Depreciation</t>
  </si>
  <si>
    <t xml:space="preserve">Cost Capital</t>
  </si>
  <si>
    <t xml:space="preserve">Insurance</t>
  </si>
  <si>
    <t xml:space="preserve">Housing</t>
  </si>
  <si>
    <t xml:space="preserve">Total</t>
  </si>
  <si>
    <t xml:space="preserve">Acres/Year</t>
  </si>
  <si>
    <t xml:space="preserve">Cost/acre</t>
  </si>
  <si>
    <t xml:space="preserve">Combine 340 HP</t>
  </si>
  <si>
    <t xml:space="preserve">Pickup Truck (1/2)**</t>
  </si>
  <si>
    <t xml:space="preserve">CORN SELECTED BUDGET STATS - 2015</t>
  </si>
  <si>
    <t xml:space="preserve">Item</t>
  </si>
  <si>
    <t xml:space="preserve">Input</t>
  </si>
  <si>
    <t xml:space="preserve">Yield in bushels/acre</t>
  </si>
  <si>
    <t xml:space="preserve">Receipts</t>
  </si>
  <si>
    <t xml:space="preserve">Corn Price</t>
  </si>
  <si>
    <t xml:space="preserve">/bushel</t>
  </si>
  <si>
    <t xml:space="preserve">Variable Costs</t>
  </si>
  <si>
    <t xml:space="preserve">Seed Cost</t>
  </si>
  <si>
    <r>
      <rPr>
        <sz val="16"/>
        <rFont val="Arial"/>
        <family val="2"/>
        <charset val="1"/>
      </rPr>
      <t xml:space="preserve">Nitrogen (NH</t>
    </r>
    <r>
      <rPr>
        <vertAlign val="subscript"/>
        <sz val="16"/>
        <rFont val="Arial"/>
        <family val="2"/>
        <charset val="1"/>
      </rPr>
      <t xml:space="preserve">3</t>
    </r>
    <r>
      <rPr>
        <sz val="16"/>
        <rFont val="Arial"/>
        <family val="2"/>
        <charset val="1"/>
      </rPr>
      <t xml:space="preserve">)</t>
    </r>
  </si>
  <si>
    <r>
      <rPr>
        <sz val="16"/>
        <rFont val="Arial"/>
        <family val="2"/>
        <charset val="1"/>
      </rPr>
      <t xml:space="preserve">P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</t>
    </r>
    <r>
      <rPr>
        <vertAlign val="subscript"/>
        <sz val="16"/>
        <rFont val="Arial"/>
        <family val="2"/>
        <charset val="1"/>
      </rPr>
      <t xml:space="preserve">5   </t>
    </r>
    <r>
      <rPr>
        <sz val="16"/>
        <rFont val="Arial"/>
        <family val="2"/>
        <charset val="1"/>
      </rPr>
      <t xml:space="preserve">(MAP)</t>
    </r>
  </si>
  <si>
    <r>
      <rPr>
        <sz val="16"/>
        <rFont val="Arial"/>
        <family val="2"/>
        <charset val="1"/>
      </rPr>
      <t xml:space="preserve">K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   (Potash)</t>
    </r>
  </si>
  <si>
    <t xml:space="preserve">Chemicals</t>
  </si>
  <si>
    <t xml:space="preserve">Fuel/Diesel </t>
  </si>
  <si>
    <t xml:space="preserve">/gallon</t>
  </si>
  <si>
    <t xml:space="preserve">Breakeven Cost / Bu</t>
  </si>
  <si>
    <t xml:space="preserve">Fixed Costs</t>
  </si>
  <si>
    <t xml:space="preserve">Labor and Management</t>
  </si>
  <si>
    <t xml:space="preserve">Land Rent</t>
  </si>
  <si>
    <t xml:space="preserve">Returns</t>
  </si>
  <si>
    <t xml:space="preserve">Return to Total Costs</t>
  </si>
  <si>
    <t xml:space="preserve">Return to Land</t>
  </si>
  <si>
    <t xml:space="preserve">Total Variable Costs</t>
  </si>
  <si>
    <t xml:space="preserve">Variable Costs / Bu</t>
  </si>
  <si>
    <t xml:space="preserve">Toptal Fixed Costs</t>
  </si>
  <si>
    <t xml:space="preserve">Total Costs</t>
  </si>
  <si>
    <t xml:space="preserve">Return Above Variable Costs</t>
  </si>
  <si>
    <t xml:space="preserve">Return Above Variable  and Land Costs</t>
  </si>
  <si>
    <t xml:space="preserve">Return Above Total Costs</t>
  </si>
  <si>
    <t xml:space="preserve">Return to Labor and Management</t>
  </si>
  <si>
    <t xml:space="preserve">Return to Land, Labor and Management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</si>
</sst>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0.00"/>
    <numFmt numFmtId="166" formatCode="M/D/YYYY"/>
    <numFmt numFmtId="167" formatCode="0"/>
    <numFmt numFmtId="168" formatCode="\$#,##0.00"/>
    <numFmt numFmtId="169" formatCode="#,##0.00"/>
    <numFmt numFmtId="170" formatCode="0.0"/>
    <numFmt numFmtId="171" formatCode="#,##0.000"/>
    <numFmt numFmtId="172" formatCode="#,##0.0000"/>
    <numFmt numFmtId="173" formatCode="#,##0"/>
    <numFmt numFmtId="174" formatCode="0.00%"/>
    <numFmt numFmtId="175" formatCode="@"/>
    <numFmt numFmtId="176" formatCode="0%"/>
    <numFmt numFmtId="177" formatCode="\$#,##0"/>
    <numFmt numFmtId="178" formatCode="_(\$* #,##0.00_);_(\$* \(#,##0.00\);_(\$* \-??_);_(@_)"/>
    <numFmt numFmtId="179" formatCode="#,##0.00_);\(#,##0.00\)"/>
    <numFmt numFmtId="180" formatCode="_(* #,##0.00_);_(* \(#,##0.00\);_(* \-??_);_(@_)"/>
    <numFmt numFmtId="181" formatCode="_(* #,##0_);_(* \(#,##0\);_(* \-??_);_(@_)"/>
    <numFmt numFmtId="182" formatCode="\$#,##0.00_);&quot;($&quot;#,##0.00\)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8"/>
      <name val="Arial"/>
      <family val="2"/>
      <charset val="1"/>
    </font>
    <font>
      <vertAlign val="subscript"/>
      <sz val="1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0000FF"/>
      <name val="Arial"/>
      <family val="2"/>
      <charset val="1"/>
    </font>
    <font>
      <sz val="22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i val="true"/>
      <sz val="16"/>
      <name val="Arial"/>
      <family val="2"/>
      <charset val="1"/>
    </font>
    <font>
      <vertAlign val="subscript"/>
      <sz val="16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CCECFF"/>
      </patternFill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99CCFF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8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7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1" fillId="3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2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11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1" fontId="1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2" fontId="12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5" fillId="1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1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1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EC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69840</xdr:colOff>
      <xdr:row>0</xdr:row>
      <xdr:rowOff>57240</xdr:rowOff>
    </xdr:from>
    <xdr:to>
      <xdr:col>4</xdr:col>
      <xdr:colOff>539280</xdr:colOff>
      <xdr:row>4</xdr:row>
      <xdr:rowOff>75960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69840" y="57240"/>
          <a:ext cx="1917000" cy="812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aculty.apec.umn.edu/wlazarus/documents/machdata.pdf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30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G1" activeCellId="0" sqref="G1"/>
    </sheetView>
  </sheetViews>
  <sheetFormatPr defaultRowHeight="12.5"/>
  <cols>
    <col collapsed="false" hidden="false" max="1" min="1" style="0" width="2.69897959183673"/>
    <col collapsed="false" hidden="false" max="2" min="2" style="0" width="2.42857142857143"/>
    <col collapsed="false" hidden="false" max="3" min="3" style="0" width="8.50510204081633"/>
    <col collapsed="false" hidden="false" max="4" min="4" style="0" width="6.88265306122449"/>
    <col collapsed="false" hidden="false" max="5" min="5" style="0" width="8.36734693877551"/>
    <col collapsed="false" hidden="false" max="9" min="6" style="0" width="9.31632653061224"/>
    <col collapsed="false" hidden="false" max="10" min="10" style="0" width="6.61224489795918"/>
    <col collapsed="false" hidden="false" max="11" min="11" style="0" width="8.36734693877551"/>
    <col collapsed="false" hidden="false" max="14" min="12" style="1" width="8.36734693877551"/>
    <col collapsed="false" hidden="false" max="1025" min="15" style="0" width="8.50510204081633"/>
  </cols>
  <sheetData>
    <row r="1" customFormat="false" ht="15.5" hidden="false" customHeight="false" outlineLevel="0" collapsed="false">
      <c r="A1" s="2"/>
      <c r="B1" s="2"/>
      <c r="C1" s="2"/>
      <c r="D1" s="2"/>
      <c r="E1" s="2"/>
      <c r="G1" s="3" t="s">
        <v>0</v>
      </c>
      <c r="L1" s="0"/>
      <c r="M1" s="0"/>
      <c r="N1" s="0"/>
    </row>
    <row r="2" customFormat="false" ht="15.5" hidden="false" customHeight="false" outlineLevel="0" collapsed="false">
      <c r="A2" s="2"/>
      <c r="B2" s="2"/>
      <c r="C2" s="2"/>
      <c r="D2" s="2"/>
      <c r="E2" s="2"/>
      <c r="G2" s="3" t="s">
        <v>1</v>
      </c>
      <c r="L2" s="0"/>
      <c r="M2" s="0"/>
      <c r="N2" s="0"/>
    </row>
    <row r="3" customFormat="false" ht="15.75" hidden="false" customHeight="true" outlineLevel="0" collapsed="false">
      <c r="A3" s="2"/>
      <c r="B3" s="2"/>
      <c r="C3" s="2"/>
      <c r="D3" s="2"/>
      <c r="E3" s="2"/>
      <c r="G3" s="0" t="s">
        <v>2</v>
      </c>
      <c r="L3" s="0"/>
      <c r="M3" s="0"/>
      <c r="N3" s="0"/>
    </row>
    <row r="4" customFormat="false" ht="15.75" hidden="false" customHeight="true" outlineLevel="0" collapsed="false">
      <c r="A4" s="2"/>
      <c r="B4" s="2"/>
      <c r="C4" s="2"/>
      <c r="D4" s="2"/>
      <c r="E4" s="2"/>
      <c r="L4" s="0"/>
      <c r="M4" s="0"/>
      <c r="N4" s="0"/>
    </row>
    <row r="5" customFormat="false" ht="15.75" hidden="false" customHeight="true" outlineLevel="0" collapsed="false">
      <c r="A5" s="2"/>
      <c r="B5" s="2"/>
      <c r="C5" s="2"/>
      <c r="D5" s="2"/>
      <c r="E5" s="2"/>
      <c r="K5" s="4" t="s">
        <v>3</v>
      </c>
      <c r="L5" s="0"/>
      <c r="M5" s="5" t="s">
        <v>4</v>
      </c>
      <c r="N5" s="5"/>
    </row>
    <row r="6" customFormat="false" ht="15" hidden="false" customHeight="false" outlineLevel="0" collapsed="false">
      <c r="A6" s="6" t="s">
        <v>5</v>
      </c>
      <c r="B6" s="6"/>
      <c r="C6" s="6"/>
      <c r="D6" s="6"/>
      <c r="E6" s="7" t="s">
        <v>6</v>
      </c>
      <c r="F6" s="7"/>
      <c r="G6" s="7"/>
      <c r="H6" s="7" t="s">
        <v>7</v>
      </c>
      <c r="I6" s="8" t="s">
        <v>8</v>
      </c>
      <c r="J6" s="6"/>
      <c r="K6" s="9"/>
      <c r="L6" s="10" t="s">
        <v>9</v>
      </c>
      <c r="M6" s="10"/>
      <c r="N6" s="6" t="s">
        <v>7</v>
      </c>
    </row>
    <row r="7" customFormat="false" ht="13" hidden="false" customHeight="false" outlineLevel="0" collapsed="false">
      <c r="A7" s="11"/>
      <c r="B7" s="11"/>
      <c r="C7" s="11"/>
      <c r="D7" s="11"/>
      <c r="E7" s="11"/>
      <c r="F7" s="11"/>
      <c r="G7" s="11"/>
      <c r="H7" s="12" t="s">
        <v>10</v>
      </c>
      <c r="I7" s="12" t="s">
        <v>11</v>
      </c>
      <c r="J7" s="12"/>
      <c r="K7" s="13"/>
      <c r="L7" s="13"/>
      <c r="M7" s="13"/>
      <c r="N7" s="12" t="s">
        <v>12</v>
      </c>
    </row>
    <row r="8" customFormat="false" ht="13" hidden="false" customHeight="false" outlineLevel="0" collapsed="false">
      <c r="A8" s="14"/>
      <c r="B8" s="14"/>
      <c r="C8" s="14"/>
      <c r="D8" s="14"/>
      <c r="E8" s="14"/>
      <c r="F8" s="14"/>
      <c r="G8" s="14"/>
      <c r="H8" s="15" t="s">
        <v>13</v>
      </c>
      <c r="I8" s="14"/>
      <c r="J8" s="14"/>
      <c r="K8" s="16" t="n">
        <v>130.5</v>
      </c>
      <c r="L8" s="16" t="n">
        <v>163.1</v>
      </c>
      <c r="M8" s="16" t="n">
        <v>195.7</v>
      </c>
      <c r="N8" s="17" t="n">
        <v>200</v>
      </c>
    </row>
    <row r="9" customFormat="false" ht="13" hidden="false" customHeight="false" outlineLevel="0" collapsed="false">
      <c r="A9" s="18" t="s">
        <v>14</v>
      </c>
      <c r="B9" s="19"/>
      <c r="C9" s="19"/>
      <c r="D9" s="19"/>
      <c r="F9" s="19"/>
      <c r="G9" s="19"/>
      <c r="H9" s="19"/>
      <c r="I9" s="19"/>
      <c r="J9" s="19"/>
      <c r="K9" s="20"/>
      <c r="L9" s="20"/>
      <c r="M9" s="20"/>
      <c r="N9" s="20"/>
    </row>
    <row r="10" customFormat="false" ht="15" hidden="false" customHeight="false" outlineLevel="0" collapsed="false">
      <c r="A10" s="19"/>
      <c r="B10" s="19" t="s">
        <v>15</v>
      </c>
      <c r="C10" s="19"/>
      <c r="D10" s="19"/>
      <c r="F10" s="19"/>
      <c r="G10" s="19"/>
      <c r="H10" s="19"/>
      <c r="I10" s="21" t="n">
        <v>3.65</v>
      </c>
      <c r="J10" s="19" t="s">
        <v>16</v>
      </c>
      <c r="K10" s="22" t="n">
        <f aca="false">+$I$10*K8</f>
        <v>476.325</v>
      </c>
      <c r="L10" s="22" t="n">
        <f aca="false">+$I$10*L8</f>
        <v>595.315</v>
      </c>
      <c r="M10" s="22" t="n">
        <f aca="false">+$I$10*M8</f>
        <v>714.305</v>
      </c>
      <c r="N10" s="23" t="n">
        <f aca="false">+$I$10*N8</f>
        <v>730</v>
      </c>
    </row>
    <row r="11" customFormat="false" ht="15" hidden="false" customHeight="false" outlineLevel="0" collapsed="false">
      <c r="A11" s="19"/>
      <c r="B11" s="19" t="s">
        <v>17</v>
      </c>
      <c r="C11" s="19"/>
      <c r="D11" s="19"/>
      <c r="F11" s="19"/>
      <c r="G11" s="19"/>
      <c r="H11" s="19"/>
      <c r="I11" s="24"/>
      <c r="J11" s="19"/>
      <c r="K11" s="22" t="n">
        <v>21.25</v>
      </c>
      <c r="L11" s="22" t="n">
        <v>21.25</v>
      </c>
      <c r="M11" s="22" t="n">
        <v>21.25</v>
      </c>
      <c r="N11" s="25" t="n">
        <v>21.25</v>
      </c>
    </row>
    <row r="12" customFormat="false" ht="13" hidden="false" customHeight="false" outlineLevel="0" collapsed="false">
      <c r="A12" s="19"/>
      <c r="B12" s="19" t="s">
        <v>18</v>
      </c>
      <c r="C12" s="19"/>
      <c r="D12" s="19"/>
      <c r="F12" s="19"/>
      <c r="G12" s="19"/>
      <c r="H12" s="19"/>
      <c r="I12" s="24"/>
      <c r="J12" s="19"/>
      <c r="K12" s="22" t="n">
        <v>0</v>
      </c>
      <c r="L12" s="22" t="n">
        <v>0</v>
      </c>
      <c r="M12" s="22" t="n">
        <v>0</v>
      </c>
      <c r="N12" s="25" t="n">
        <v>0</v>
      </c>
    </row>
    <row r="13" customFormat="false" ht="13" hidden="false" customHeight="false" outlineLevel="0" collapsed="false">
      <c r="A13" s="19"/>
      <c r="B13" s="19" t="s">
        <v>19</v>
      </c>
      <c r="D13" s="19"/>
      <c r="E13" s="19"/>
      <c r="F13" s="24"/>
      <c r="G13" s="26"/>
      <c r="H13" s="26"/>
      <c r="I13" s="24"/>
      <c r="J13" s="19"/>
      <c r="K13" s="22" t="n">
        <v>0</v>
      </c>
      <c r="L13" s="22" t="n">
        <v>0</v>
      </c>
      <c r="M13" s="22" t="n">
        <v>0</v>
      </c>
      <c r="N13" s="25" t="n">
        <v>0</v>
      </c>
    </row>
    <row r="14" customFormat="false" ht="13" hidden="false" customHeight="false" outlineLevel="0" collapsed="false">
      <c r="A14" s="19"/>
      <c r="B14" s="19"/>
      <c r="C14" s="19"/>
      <c r="D14" s="19"/>
      <c r="E14" s="27"/>
      <c r="F14" s="27"/>
      <c r="G14" s="27"/>
      <c r="H14" s="27"/>
      <c r="I14" s="28"/>
      <c r="J14" s="27"/>
      <c r="K14" s="22"/>
      <c r="L14" s="22"/>
      <c r="M14" s="22"/>
      <c r="N14" s="29"/>
    </row>
    <row r="15" customFormat="false" ht="13" hidden="false" customHeight="false" outlineLevel="0" collapsed="false">
      <c r="A15" s="18" t="s">
        <v>20</v>
      </c>
      <c r="B15" s="19"/>
      <c r="C15" s="19"/>
      <c r="D15" s="19"/>
      <c r="E15" s="19"/>
      <c r="F15" s="19"/>
      <c r="G15" s="19"/>
      <c r="H15" s="19"/>
      <c r="I15" s="28"/>
      <c r="J15" s="19"/>
      <c r="K15" s="22" t="n">
        <f aca="false">SUM(K10:K13)</f>
        <v>497.575</v>
      </c>
      <c r="L15" s="22" t="n">
        <f aca="false">SUM(L10:L13)</f>
        <v>616.565</v>
      </c>
      <c r="M15" s="22" t="n">
        <f aca="false">SUM(M10:M13)</f>
        <v>735.555</v>
      </c>
      <c r="N15" s="23" t="n">
        <f aca="false">SUM(N10:N13)</f>
        <v>751.25</v>
      </c>
    </row>
    <row r="16" customFormat="false" ht="4.5" hidden="false" customHeight="true" outlineLevel="0" collapsed="false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20"/>
      <c r="L16" s="20"/>
      <c r="M16" s="20"/>
      <c r="N16" s="30"/>
    </row>
    <row r="17" customFormat="false" ht="13" hidden="false" customHeight="false" outlineLevel="0" collapsed="false">
      <c r="A17" s="18" t="s">
        <v>21</v>
      </c>
      <c r="B17" s="19"/>
      <c r="C17" s="19"/>
      <c r="D17" s="19"/>
      <c r="E17" s="19"/>
      <c r="F17" s="19"/>
      <c r="G17" s="19"/>
      <c r="H17" s="19"/>
      <c r="I17" s="19"/>
      <c r="J17" s="28"/>
      <c r="K17" s="20"/>
      <c r="L17" s="20"/>
      <c r="M17" s="20"/>
      <c r="N17" s="30"/>
    </row>
    <row r="18" customFormat="false" ht="15" hidden="false" customHeight="false" outlineLevel="0" collapsed="false">
      <c r="A18" s="19"/>
      <c r="B18" s="19" t="s">
        <v>22</v>
      </c>
      <c r="C18" s="19"/>
      <c r="D18" s="19"/>
      <c r="E18" s="19" t="n">
        <v>28000</v>
      </c>
      <c r="F18" s="19" t="n">
        <v>32000</v>
      </c>
      <c r="G18" s="19" t="n">
        <v>34000</v>
      </c>
      <c r="H18" s="31" t="n">
        <v>34000</v>
      </c>
      <c r="I18" s="21" t="n">
        <f aca="false">I19/80</f>
        <v>3.4375</v>
      </c>
      <c r="J18" s="19" t="s">
        <v>23</v>
      </c>
      <c r="K18" s="32" t="n">
        <f aca="false">+$I$18*E18/1000</f>
        <v>96.25</v>
      </c>
      <c r="L18" s="32" t="n">
        <f aca="false">+$I$18*F18/1000</f>
        <v>110</v>
      </c>
      <c r="M18" s="32" t="n">
        <f aca="false">+$I$18*G18/1000</f>
        <v>116.875</v>
      </c>
      <c r="N18" s="33" t="n">
        <f aca="false">+$I$18*H18/1000</f>
        <v>116.875</v>
      </c>
    </row>
    <row r="19" customFormat="false" ht="13" hidden="false" customHeight="false" outlineLevel="0" collapsed="false">
      <c r="A19" s="19"/>
      <c r="B19" s="19"/>
      <c r="C19" s="19"/>
      <c r="D19" s="19"/>
      <c r="E19" s="19" t="s">
        <v>24</v>
      </c>
      <c r="F19" s="19"/>
      <c r="G19" s="19"/>
      <c r="H19" s="34"/>
      <c r="I19" s="21" t="n">
        <v>275</v>
      </c>
      <c r="J19" s="19" t="s">
        <v>25</v>
      </c>
      <c r="K19" s="32"/>
      <c r="L19" s="32"/>
      <c r="M19" s="32"/>
      <c r="N19" s="35"/>
    </row>
    <row r="20" customFormat="false" ht="15" hidden="false" customHeight="false" outlineLevel="0" collapsed="false">
      <c r="A20" s="19"/>
      <c r="B20" s="19" t="s">
        <v>26</v>
      </c>
      <c r="C20" s="19"/>
      <c r="D20" s="19"/>
      <c r="E20" s="19"/>
      <c r="F20" s="19"/>
      <c r="G20" s="19"/>
      <c r="H20" s="26"/>
      <c r="I20" s="36"/>
      <c r="J20" s="37"/>
      <c r="K20" s="32"/>
      <c r="L20" s="32"/>
      <c r="M20" s="32"/>
      <c r="N20" s="4"/>
    </row>
    <row r="21" customFormat="false" ht="13" hidden="false" customHeight="false" outlineLevel="0" collapsed="false">
      <c r="A21" s="19"/>
      <c r="B21" s="19"/>
      <c r="C21" s="19" t="s">
        <v>27</v>
      </c>
      <c r="D21" s="19"/>
      <c r="E21" s="19"/>
      <c r="F21" s="19"/>
      <c r="G21" s="19"/>
      <c r="H21" s="26"/>
      <c r="I21" s="36"/>
      <c r="J21" s="37"/>
      <c r="K21" s="32" t="n">
        <v>0</v>
      </c>
      <c r="L21" s="32" t="n">
        <v>0</v>
      </c>
      <c r="M21" s="32" t="n">
        <v>0</v>
      </c>
      <c r="N21" s="38" t="n">
        <v>0</v>
      </c>
    </row>
    <row r="22" customFormat="false" ht="13" hidden="false" customHeight="false" outlineLevel="0" collapsed="false">
      <c r="A22" s="19"/>
      <c r="B22" s="19"/>
      <c r="C22" s="19" t="s">
        <v>28</v>
      </c>
      <c r="D22" s="19"/>
      <c r="E22" s="39" t="n">
        <f aca="false">-27+(1.36*K8)-30</f>
        <v>120.48</v>
      </c>
      <c r="F22" s="39" t="n">
        <f aca="false">-27+(1.36*L8)-30</f>
        <v>164.816</v>
      </c>
      <c r="G22" s="39" t="n">
        <f aca="false">-27+(1.36*M8)-30</f>
        <v>209.152</v>
      </c>
      <c r="H22" s="40" t="n">
        <f aca="false">-27+(1.36*N8)-30</f>
        <v>215</v>
      </c>
      <c r="I22" s="41" t="n">
        <f aca="false">F72/1640</f>
        <v>0.457317073170732</v>
      </c>
      <c r="J22" s="19" t="s">
        <v>29</v>
      </c>
      <c r="K22" s="32" t="n">
        <f aca="false">($I$22*E22)+10</f>
        <v>65.0975609756098</v>
      </c>
      <c r="L22" s="32" t="n">
        <f aca="false">($I$22*F22)+10</f>
        <v>85.3731707317073</v>
      </c>
      <c r="M22" s="32" t="n">
        <f aca="false">($I$22*G22)+10</f>
        <v>105.648780487805</v>
      </c>
      <c r="N22" s="33" t="n">
        <f aca="false">($I$22*H22)+10</f>
        <v>108.323170731707</v>
      </c>
    </row>
    <row r="23" customFormat="false" ht="15.5" hidden="false" customHeight="false" outlineLevel="0" collapsed="false">
      <c r="A23" s="19"/>
      <c r="B23" s="19"/>
      <c r="C23" s="19" t="s">
        <v>30</v>
      </c>
      <c r="D23" s="19"/>
      <c r="E23" s="39" t="n">
        <f aca="false">K8*0.37</f>
        <v>48.285</v>
      </c>
      <c r="F23" s="39" t="n">
        <f aca="false">L8*0.37</f>
        <v>60.347</v>
      </c>
      <c r="G23" s="39" t="n">
        <f aca="false">M8*0.37</f>
        <v>72.409</v>
      </c>
      <c r="H23" s="42" t="n">
        <f aca="false">N8*0.37</f>
        <v>74</v>
      </c>
      <c r="I23" s="43" t="n">
        <f aca="false">I72/1040</f>
        <v>0.567307692307692</v>
      </c>
      <c r="J23" s="19" t="s">
        <v>29</v>
      </c>
      <c r="K23" s="32" t="n">
        <f aca="false">+$I$23*E23</f>
        <v>27.3924519230769</v>
      </c>
      <c r="L23" s="32" t="n">
        <f aca="false">+$I$23*F23</f>
        <v>34.2353173076923</v>
      </c>
      <c r="M23" s="32" t="n">
        <f aca="false">+$I$23*G23</f>
        <v>41.0781826923077</v>
      </c>
      <c r="N23" s="33" t="n">
        <f aca="false">+$I$23*H23</f>
        <v>41.9807692307692</v>
      </c>
    </row>
    <row r="24" customFormat="false" ht="15.5" hidden="false" customHeight="false" outlineLevel="0" collapsed="false">
      <c r="A24" s="19"/>
      <c r="B24" s="19"/>
      <c r="C24" s="19" t="s">
        <v>31</v>
      </c>
      <c r="D24" s="19"/>
      <c r="E24" s="39" t="n">
        <f aca="false">(K8*0.27)</f>
        <v>35.235</v>
      </c>
      <c r="F24" s="39" t="n">
        <f aca="false">(L8*0.27)</f>
        <v>44.037</v>
      </c>
      <c r="G24" s="39" t="n">
        <f aca="false">(M8*0.27)</f>
        <v>52.839</v>
      </c>
      <c r="H24" s="40" t="n">
        <f aca="false">(N8*0.27)</f>
        <v>54</v>
      </c>
      <c r="I24" s="43" t="n">
        <f aca="false">M72/1200</f>
        <v>0.4</v>
      </c>
      <c r="J24" s="19" t="s">
        <v>29</v>
      </c>
      <c r="K24" s="32" t="n">
        <f aca="false">+$I$24*E24</f>
        <v>14.094</v>
      </c>
      <c r="L24" s="32" t="n">
        <f aca="false">+$I$24*F24</f>
        <v>17.6148</v>
      </c>
      <c r="M24" s="32" t="n">
        <f aca="false">+$I$24*G24</f>
        <v>21.1356</v>
      </c>
      <c r="N24" s="33" t="n">
        <f aca="false">+$I$24*H24</f>
        <v>21.6</v>
      </c>
      <c r="O24" s="1"/>
      <c r="P24" s="1"/>
      <c r="Q24" s="1"/>
      <c r="R24" s="1"/>
    </row>
    <row r="25" customFormat="false" ht="13" hidden="false" customHeight="false" outlineLevel="0" collapsed="false">
      <c r="A25" s="19"/>
      <c r="B25" s="19"/>
      <c r="C25" s="19" t="s">
        <v>32</v>
      </c>
      <c r="D25" s="19"/>
      <c r="E25" s="19"/>
      <c r="F25" s="19" t="n">
        <v>0.25</v>
      </c>
      <c r="G25" s="19"/>
      <c r="H25" s="44" t="n">
        <v>0.25</v>
      </c>
      <c r="I25" s="31" t="n">
        <v>25</v>
      </c>
      <c r="J25" s="19" t="s">
        <v>33</v>
      </c>
      <c r="K25" s="32" t="n">
        <f aca="false">+F25*I25</f>
        <v>6.25</v>
      </c>
      <c r="L25" s="32" t="n">
        <f aca="false">+F25*I25</f>
        <v>6.25</v>
      </c>
      <c r="M25" s="32" t="n">
        <f aca="false">+F25*I25</f>
        <v>6.25</v>
      </c>
      <c r="N25" s="33" t="n">
        <f aca="false">+H25*I25</f>
        <v>6.25</v>
      </c>
    </row>
    <row r="26" customFormat="false" ht="15" hidden="false" customHeight="false" outlineLevel="0" collapsed="false">
      <c r="A26" s="19"/>
      <c r="B26" s="19" t="s">
        <v>34</v>
      </c>
      <c r="C26" s="19"/>
      <c r="D26" s="19" t="s">
        <v>35</v>
      </c>
      <c r="E26" s="19"/>
      <c r="F26" s="19"/>
      <c r="G26" s="19"/>
      <c r="H26" s="19"/>
      <c r="I26" s="19"/>
      <c r="J26" s="19"/>
      <c r="K26" s="32" t="n">
        <v>56.08</v>
      </c>
      <c r="L26" s="32" t="n">
        <v>56.08</v>
      </c>
      <c r="M26" s="32" t="n">
        <v>56.08</v>
      </c>
      <c r="N26" s="45" t="n">
        <v>56.08</v>
      </c>
    </row>
    <row r="27" customFormat="false" ht="13" hidden="false" customHeight="false" outlineLevel="0" collapsed="false">
      <c r="A27" s="19"/>
      <c r="B27" s="19"/>
      <c r="C27" s="19"/>
      <c r="D27" s="19" t="s">
        <v>36</v>
      </c>
      <c r="E27" s="19"/>
      <c r="F27" s="19"/>
      <c r="G27" s="19"/>
      <c r="H27" s="19"/>
      <c r="I27" s="19"/>
      <c r="J27" s="19"/>
      <c r="K27" s="32" t="n">
        <v>0</v>
      </c>
      <c r="L27" s="32" t="n">
        <v>0</v>
      </c>
      <c r="M27" s="32" t="n">
        <v>0</v>
      </c>
      <c r="N27" s="45" t="n">
        <v>0</v>
      </c>
    </row>
    <row r="28" customFormat="false" ht="13" hidden="false" customHeight="false" outlineLevel="0" collapsed="false">
      <c r="A28" s="19"/>
      <c r="B28" s="19"/>
      <c r="C28" s="19"/>
      <c r="D28" s="19" t="s">
        <v>37</v>
      </c>
      <c r="E28" s="19"/>
      <c r="F28" s="19"/>
      <c r="G28" s="19"/>
      <c r="H28" s="19"/>
      <c r="I28" s="19"/>
      <c r="J28" s="19"/>
      <c r="K28" s="32" t="n">
        <v>0</v>
      </c>
      <c r="L28" s="32" t="n">
        <v>0</v>
      </c>
      <c r="M28" s="32" t="n">
        <v>0</v>
      </c>
      <c r="N28" s="45" t="n">
        <v>0</v>
      </c>
    </row>
    <row r="29" customFormat="false" ht="15" hidden="false" customHeight="false" outlineLevel="0" collapsed="false">
      <c r="A29" s="19"/>
      <c r="B29" s="19" t="s">
        <v>38</v>
      </c>
      <c r="C29" s="19"/>
      <c r="D29" s="19"/>
      <c r="E29" s="19"/>
      <c r="F29" s="21" t="n">
        <v>1.5</v>
      </c>
      <c r="G29" s="19" t="s">
        <v>39</v>
      </c>
      <c r="H29" s="19"/>
      <c r="I29" s="46" t="n">
        <f aca="false">(5*0.02*F29)+0.01</f>
        <v>0.16</v>
      </c>
      <c r="J29" s="19" t="s">
        <v>16</v>
      </c>
      <c r="K29" s="32" t="n">
        <f aca="false">+$I$29*K8</f>
        <v>20.88</v>
      </c>
      <c r="L29" s="32" t="n">
        <f aca="false">+$I$29*L8</f>
        <v>26.096</v>
      </c>
      <c r="M29" s="32" t="n">
        <f aca="false">+$I$29*M8</f>
        <v>31.312</v>
      </c>
      <c r="N29" s="33" t="n">
        <f aca="false">+$I$29*N8</f>
        <v>32</v>
      </c>
    </row>
    <row r="30" customFormat="false" ht="15" hidden="false" customHeight="false" outlineLevel="0" collapsed="false">
      <c r="A30" s="19"/>
      <c r="B30" s="19" t="s">
        <v>40</v>
      </c>
      <c r="C30" s="19"/>
      <c r="D30" s="19"/>
      <c r="E30" s="19"/>
      <c r="F30" s="47" t="n">
        <v>2.85</v>
      </c>
      <c r="G30" s="19" t="s">
        <v>41</v>
      </c>
      <c r="H30" s="19"/>
      <c r="I30" s="48" t="n">
        <v>30</v>
      </c>
      <c r="J30" s="19" t="s">
        <v>42</v>
      </c>
      <c r="K30" s="32" t="n">
        <f aca="false">(((($I$30/6)*$F$30)/900)*K8)+(((($I$30/6)*$F$30)/900)*K8)*0.1</f>
        <v>2.272875</v>
      </c>
      <c r="L30" s="32" t="n">
        <f aca="false">(((($I$30/6)*$F$30)/900)*L8)+(((($I$30/6)*$F$30)/900)*L8)*0.1</f>
        <v>2.84065833333333</v>
      </c>
      <c r="M30" s="32" t="n">
        <f aca="false">(((($I$30/6)*$F$30)/900)*M8)+(((($I$30/6)*$F$30)/900)*M8)*0.1</f>
        <v>3.40844166666667</v>
      </c>
      <c r="N30" s="33" t="n">
        <f aca="false">(((($I$30/6)*$F$30)/900)*N8)+(((($I$30/6)*$F$30)/900)*N8)*0.1</f>
        <v>3.48333333333333</v>
      </c>
    </row>
    <row r="31" customFormat="false" ht="15" hidden="false" customHeight="false" outlineLevel="0" collapsed="false">
      <c r="A31" s="19"/>
      <c r="B31" s="19" t="s">
        <v>43</v>
      </c>
      <c r="C31" s="19"/>
      <c r="D31" s="19"/>
      <c r="E31" s="19"/>
      <c r="F31" s="19"/>
      <c r="G31" s="19"/>
      <c r="H31" s="19"/>
      <c r="I31" s="19"/>
      <c r="J31" s="19"/>
      <c r="K31" s="32" t="n">
        <f aca="false">+$K$115</f>
        <v>13.522169263623</v>
      </c>
      <c r="L31" s="32" t="n">
        <f aca="false">+$K$115</f>
        <v>13.522169263623</v>
      </c>
      <c r="M31" s="32" t="n">
        <f aca="false">+$K$115</f>
        <v>13.522169263623</v>
      </c>
      <c r="N31" s="33" t="n">
        <f aca="false">+$K$115</f>
        <v>13.522169263623</v>
      </c>
    </row>
    <row r="32" customFormat="false" ht="15" hidden="false" customHeight="false" outlineLevel="0" collapsed="false">
      <c r="A32" s="19"/>
      <c r="B32" s="19" t="s">
        <v>44</v>
      </c>
      <c r="C32" s="19"/>
      <c r="D32" s="19"/>
      <c r="E32" s="19"/>
      <c r="F32" s="19"/>
      <c r="G32" s="19"/>
      <c r="H32" s="19"/>
      <c r="I32" s="19"/>
      <c r="J32" s="19"/>
      <c r="K32" s="32" t="n">
        <f aca="false">+$M$115</f>
        <v>26.7793917332334</v>
      </c>
      <c r="L32" s="32" t="n">
        <f aca="false">+$M$115</f>
        <v>26.7793917332334</v>
      </c>
      <c r="M32" s="32" t="n">
        <f aca="false">+$M$115</f>
        <v>26.7793917332334</v>
      </c>
      <c r="N32" s="33" t="n">
        <f aca="false">+$M$115</f>
        <v>26.7793917332334</v>
      </c>
    </row>
    <row r="33" customFormat="false" ht="15" hidden="false" customHeight="false" outlineLevel="0" collapsed="false">
      <c r="A33" s="19"/>
      <c r="B33" s="19" t="s">
        <v>45</v>
      </c>
      <c r="C33" s="19"/>
      <c r="D33" s="19"/>
      <c r="E33" s="19"/>
      <c r="F33" s="19"/>
      <c r="G33" s="19"/>
      <c r="H33" s="19"/>
      <c r="I33" s="19"/>
      <c r="J33" s="19"/>
      <c r="K33" s="32" t="n">
        <v>16.3</v>
      </c>
      <c r="L33" s="32" t="n">
        <v>17</v>
      </c>
      <c r="M33" s="32" t="n">
        <v>17.8</v>
      </c>
      <c r="N33" s="45" t="n">
        <v>17.8</v>
      </c>
    </row>
    <row r="34" customFormat="false" ht="15" hidden="false" customHeight="false" outlineLevel="0" collapsed="false">
      <c r="A34" s="19"/>
      <c r="B34" s="19" t="s">
        <v>46</v>
      </c>
      <c r="C34" s="19"/>
      <c r="D34" s="19"/>
      <c r="E34" s="19"/>
      <c r="F34" s="19"/>
      <c r="G34" s="19"/>
      <c r="H34" s="19"/>
      <c r="I34" s="19"/>
      <c r="J34" s="19"/>
      <c r="K34" s="32" t="n">
        <v>5</v>
      </c>
      <c r="L34" s="32" t="n">
        <v>5</v>
      </c>
      <c r="M34" s="32" t="n">
        <v>12</v>
      </c>
      <c r="N34" s="45" t="n">
        <v>5</v>
      </c>
    </row>
    <row r="35" customFormat="false" ht="15" hidden="false" customHeight="false" outlineLevel="0" collapsed="false">
      <c r="A35" s="19"/>
      <c r="B35" s="19" t="s">
        <v>47</v>
      </c>
      <c r="C35" s="19"/>
      <c r="D35" s="19"/>
      <c r="E35" s="19"/>
      <c r="F35" s="49" t="n">
        <v>7</v>
      </c>
      <c r="G35" s="19" t="s">
        <v>48</v>
      </c>
      <c r="H35" s="19"/>
      <c r="I35" s="50" t="n">
        <v>0.05</v>
      </c>
      <c r="J35" s="19"/>
      <c r="K35" s="32" t="n">
        <f aca="false">(SUM(K18:K34)-K29-K30)*$I$35*($F$35/12)</f>
        <v>9.53066257195334</v>
      </c>
      <c r="L35" s="32" t="n">
        <f aca="false">(SUM(L18:L34)-L29-L30)*$I$35*($F$35/12)</f>
        <v>10.8457664302241</v>
      </c>
      <c r="M35" s="32" t="n">
        <f aca="false">(SUM(M18:M34)-M29-M30)*$I$35*($F$35/12)</f>
        <v>12.1674327884949</v>
      </c>
      <c r="N35" s="33" t="n">
        <f aca="false">(SUM(N18:N34)-N29-N30)*$I$35*($F$35/12)</f>
        <v>12.0811396113139</v>
      </c>
    </row>
    <row r="36" customFormat="false" ht="15" hidden="false" customHeight="false" outlineLevel="0" collapsed="false">
      <c r="A36" s="19"/>
      <c r="B36" s="19" t="s">
        <v>49</v>
      </c>
      <c r="C36" s="19"/>
      <c r="D36" s="19"/>
      <c r="E36" s="19"/>
      <c r="F36" s="19"/>
      <c r="G36" s="19"/>
      <c r="H36" s="19"/>
      <c r="I36" s="19"/>
      <c r="J36" s="19"/>
      <c r="K36" s="51" t="n">
        <v>0</v>
      </c>
      <c r="L36" s="51" t="n">
        <v>0</v>
      </c>
      <c r="M36" s="51" t="n">
        <v>0</v>
      </c>
      <c r="N36" s="52" t="n">
        <v>0</v>
      </c>
    </row>
    <row r="37" customFormat="false" ht="3.75" hidden="false" customHeight="true" outlineLevel="0" collapsed="false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32"/>
      <c r="L37" s="32"/>
      <c r="M37" s="32"/>
      <c r="N37" s="4"/>
    </row>
    <row r="38" customFormat="false" ht="13" hidden="false" customHeight="false" outlineLevel="0" collapsed="false">
      <c r="A38" s="18" t="s">
        <v>50</v>
      </c>
      <c r="B38" s="19"/>
      <c r="C38" s="19"/>
      <c r="D38" s="19"/>
      <c r="E38" s="19"/>
      <c r="G38" s="53" t="s">
        <v>51</v>
      </c>
      <c r="H38" s="53"/>
      <c r="I38" s="19"/>
      <c r="J38" s="19"/>
      <c r="K38" s="32" t="n">
        <f aca="false">SUM(K18:K37)</f>
        <v>359.449111467496</v>
      </c>
      <c r="L38" s="32" t="n">
        <f aca="false">SUM(L18:L37)</f>
        <v>411.637273799814</v>
      </c>
      <c r="M38" s="32" t="n">
        <f aca="false">SUM(M18:M37)</f>
        <v>464.056998632131</v>
      </c>
      <c r="N38" s="33" t="n">
        <f aca="false">SUM(N18:N37)</f>
        <v>461.77497390398</v>
      </c>
    </row>
    <row r="39" customFormat="false" ht="13" hidden="false" customHeight="false" outlineLevel="0" collapsed="false">
      <c r="A39" s="19"/>
      <c r="B39" s="19"/>
      <c r="C39" s="19"/>
      <c r="D39" s="19"/>
      <c r="E39" s="19"/>
      <c r="G39" s="53" t="s">
        <v>52</v>
      </c>
      <c r="H39" s="53"/>
      <c r="I39" s="19"/>
      <c r="J39" s="19"/>
      <c r="K39" s="32" t="n">
        <f aca="false">+K38/K8</f>
        <v>2.75439932159001</v>
      </c>
      <c r="L39" s="32" t="n">
        <f aca="false">+L38/L8</f>
        <v>2.52383368362853</v>
      </c>
      <c r="M39" s="32" t="n">
        <f aca="false">+M38/M8</f>
        <v>2.37126723879474</v>
      </c>
      <c r="N39" s="33" t="n">
        <f aca="false">+N38/N8</f>
        <v>2.3088748695199</v>
      </c>
    </row>
    <row r="40" customFormat="false" ht="3.75" hidden="false" customHeight="true" outlineLevel="0" collapsed="false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20"/>
      <c r="L40" s="20"/>
      <c r="M40" s="20"/>
      <c r="N40" s="30"/>
    </row>
    <row r="41" customFormat="false" ht="13" hidden="false" customHeight="false" outlineLevel="0" collapsed="false">
      <c r="A41" s="18" t="s">
        <v>53</v>
      </c>
      <c r="B41" s="19"/>
      <c r="C41" s="19"/>
      <c r="D41" s="19"/>
      <c r="E41" s="19"/>
      <c r="F41" s="19"/>
      <c r="G41" s="19"/>
      <c r="H41" s="19"/>
      <c r="I41" s="19"/>
      <c r="J41" s="19"/>
      <c r="K41" s="20"/>
      <c r="L41" s="20"/>
      <c r="M41" s="20"/>
      <c r="N41" s="30"/>
    </row>
    <row r="42" customFormat="false" ht="15" hidden="false" customHeight="false" outlineLevel="0" collapsed="false">
      <c r="A42" s="19"/>
      <c r="B42" s="19" t="s">
        <v>54</v>
      </c>
      <c r="C42" s="19"/>
      <c r="D42" s="19"/>
      <c r="E42" s="19"/>
      <c r="F42" s="54" t="n">
        <v>3</v>
      </c>
      <c r="G42" s="19" t="s">
        <v>55</v>
      </c>
      <c r="H42" s="19"/>
      <c r="I42" s="44" t="n">
        <v>15</v>
      </c>
      <c r="J42" s="19" t="s">
        <v>56</v>
      </c>
      <c r="K42" s="22" t="n">
        <f aca="false">+$F$42*$I$42</f>
        <v>45</v>
      </c>
      <c r="L42" s="22" t="n">
        <f aca="false">+$F$42*$I$42</f>
        <v>45</v>
      </c>
      <c r="M42" s="22" t="n">
        <f aca="false">+$F$42*$I$42</f>
        <v>45</v>
      </c>
      <c r="N42" s="23" t="n">
        <f aca="false">+$F$42*$I$42</f>
        <v>45</v>
      </c>
    </row>
    <row r="43" customFormat="false" ht="15" hidden="false" customHeight="false" outlineLevel="0" collapsed="false">
      <c r="A43" s="19"/>
      <c r="B43" s="19" t="s">
        <v>57</v>
      </c>
      <c r="C43" s="19"/>
      <c r="D43" s="19"/>
      <c r="E43" s="19"/>
      <c r="F43" s="55" t="n">
        <v>0.05</v>
      </c>
      <c r="G43" s="19" t="s">
        <v>58</v>
      </c>
      <c r="H43" s="19"/>
      <c r="I43" s="19"/>
      <c r="J43" s="19"/>
      <c r="K43" s="56" t="n">
        <f aca="false">$F$43*K15</f>
        <v>24.87875</v>
      </c>
      <c r="L43" s="56" t="n">
        <f aca="false">$F$43*L15</f>
        <v>30.82825</v>
      </c>
      <c r="M43" s="56" t="n">
        <f aca="false">$F$43*M15</f>
        <v>36.77775</v>
      </c>
      <c r="N43" s="57" t="n">
        <f aca="false">$F$43*N15</f>
        <v>37.5625</v>
      </c>
    </row>
    <row r="44" customFormat="false" ht="15" hidden="false" customHeight="false" outlineLevel="0" collapsed="false">
      <c r="A44" s="19"/>
      <c r="B44" s="19" t="s">
        <v>59</v>
      </c>
      <c r="C44" s="19"/>
      <c r="D44" s="19"/>
      <c r="E44" s="19"/>
      <c r="F44" s="27"/>
      <c r="G44" s="19"/>
      <c r="H44" s="19"/>
      <c r="I44" s="19"/>
      <c r="J44" s="19"/>
      <c r="K44" s="22" t="n">
        <f aca="false">$I$115</f>
        <v>130.4458828125</v>
      </c>
      <c r="L44" s="22" t="n">
        <f aca="false">$I$115</f>
        <v>130.4458828125</v>
      </c>
      <c r="M44" s="22" t="n">
        <f aca="false">$I$115</f>
        <v>130.4458828125</v>
      </c>
      <c r="N44" s="23" t="n">
        <f aca="false">$I$115</f>
        <v>130.4458828125</v>
      </c>
    </row>
    <row r="45" customFormat="false" ht="15" hidden="false" customHeight="false" outlineLevel="0" collapsed="false">
      <c r="A45" s="19"/>
      <c r="B45" s="19" t="s">
        <v>60</v>
      </c>
      <c r="C45" s="19"/>
      <c r="D45" s="19"/>
      <c r="E45" s="19"/>
      <c r="F45" s="27" t="s">
        <v>61</v>
      </c>
      <c r="G45" s="19"/>
      <c r="H45" s="19"/>
      <c r="I45" s="19"/>
      <c r="J45" s="19"/>
      <c r="K45" s="22" t="n">
        <v>155</v>
      </c>
      <c r="L45" s="22" t="n">
        <v>205</v>
      </c>
      <c r="M45" s="22" t="n">
        <v>268</v>
      </c>
      <c r="N45" s="58" t="n">
        <v>268</v>
      </c>
    </row>
    <row r="46" customFormat="false" ht="15" hidden="false" customHeight="false" outlineLevel="0" collapsed="false">
      <c r="A46" s="19"/>
      <c r="B46" s="19" t="s">
        <v>46</v>
      </c>
      <c r="C46" s="19"/>
      <c r="D46" s="19"/>
      <c r="E46" s="19"/>
      <c r="F46" s="27"/>
      <c r="G46" s="19"/>
      <c r="H46" s="19"/>
      <c r="I46" s="19"/>
      <c r="J46" s="19"/>
      <c r="K46" s="22" t="n">
        <v>24</v>
      </c>
      <c r="L46" s="22" t="n">
        <v>24</v>
      </c>
      <c r="M46" s="22" t="n">
        <v>24</v>
      </c>
      <c r="N46" s="58" t="n">
        <v>24</v>
      </c>
    </row>
    <row r="47" customFormat="false" ht="5.25" hidden="false" customHeight="true" outlineLevel="0" collapsed="false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22"/>
      <c r="L47" s="22"/>
      <c r="M47" s="22"/>
      <c r="N47" s="29"/>
    </row>
    <row r="48" customFormat="false" ht="13" hidden="false" customHeight="false" outlineLevel="0" collapsed="false">
      <c r="A48" s="18" t="s">
        <v>62</v>
      </c>
      <c r="B48" s="19"/>
      <c r="C48" s="19"/>
      <c r="D48" s="19"/>
      <c r="E48" s="19"/>
      <c r="F48" s="19"/>
      <c r="G48" s="19"/>
      <c r="H48" s="19"/>
      <c r="I48" s="19"/>
      <c r="J48" s="19"/>
      <c r="K48" s="22" t="n">
        <f aca="false">SUM(K42:K47)</f>
        <v>379.3246328125</v>
      </c>
      <c r="L48" s="22" t="n">
        <f aca="false">SUM(L42:L47)</f>
        <v>435.2741328125</v>
      </c>
      <c r="M48" s="22" t="n">
        <f aca="false">SUM(M42:M47)</f>
        <v>504.2236328125</v>
      </c>
      <c r="N48" s="23" t="n">
        <f aca="false">SUM(N42:N47)</f>
        <v>505.0083828125</v>
      </c>
    </row>
    <row r="49" customFormat="false" ht="5.25" hidden="false" customHeight="tru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22"/>
      <c r="L49" s="22"/>
      <c r="M49" s="22"/>
      <c r="N49" s="29"/>
    </row>
    <row r="50" customFormat="false" ht="13" hidden="false" customHeight="false" outlineLevel="0" collapsed="false">
      <c r="A50" s="18" t="s">
        <v>63</v>
      </c>
      <c r="B50" s="19"/>
      <c r="C50" s="19"/>
      <c r="D50" s="19"/>
      <c r="E50" s="19"/>
      <c r="F50" s="19"/>
      <c r="G50" s="53" t="s">
        <v>51</v>
      </c>
      <c r="H50" s="53"/>
      <c r="I50" s="19"/>
      <c r="J50" s="19"/>
      <c r="K50" s="22" t="n">
        <f aca="false">+K38+K48</f>
        <v>738.773744279996</v>
      </c>
      <c r="L50" s="22" t="n">
        <f aca="false">+L38+L48</f>
        <v>846.911406612313</v>
      </c>
      <c r="M50" s="22" t="n">
        <f aca="false">+M38+M48</f>
        <v>968.280631444631</v>
      </c>
      <c r="N50" s="23" t="n">
        <f aca="false">+N38+N48</f>
        <v>966.78335671648</v>
      </c>
    </row>
    <row r="51" customFormat="false" ht="13" hidden="false" customHeight="false" outlineLevel="0" collapsed="false">
      <c r="A51" s="18"/>
      <c r="B51" s="19"/>
      <c r="C51" s="19"/>
      <c r="D51" s="19"/>
      <c r="E51" s="19"/>
      <c r="F51" s="19"/>
      <c r="G51" s="53" t="s">
        <v>52</v>
      </c>
      <c r="H51" s="53"/>
      <c r="I51" s="19"/>
      <c r="J51" s="19"/>
      <c r="K51" s="22" t="n">
        <f aca="false">+K50/K8</f>
        <v>5.66110148873561</v>
      </c>
      <c r="L51" s="22" t="n">
        <f aca="false">+L50/L8</f>
        <v>5.19258986273644</v>
      </c>
      <c r="M51" s="22" t="n">
        <f aca="false">+M50/M8</f>
        <v>4.94778043661027</v>
      </c>
      <c r="N51" s="23" t="n">
        <f aca="false">+N50/N8</f>
        <v>4.8339167835824</v>
      </c>
    </row>
    <row r="52" customFormat="false" ht="5.25" hidden="false" customHeight="true" outlineLevel="0" collapsed="false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22"/>
      <c r="L52" s="22"/>
      <c r="M52" s="22"/>
      <c r="N52" s="29"/>
    </row>
    <row r="53" customFormat="false" ht="15" hidden="false" customHeight="false" outlineLevel="0" collapsed="false">
      <c r="A53" s="18" t="s">
        <v>64</v>
      </c>
      <c r="B53" s="19"/>
      <c r="C53" s="19"/>
      <c r="D53" s="19"/>
      <c r="E53" s="19"/>
      <c r="F53" s="19"/>
      <c r="G53" s="19"/>
      <c r="H53" s="19"/>
      <c r="I53" s="19"/>
      <c r="J53" s="19"/>
      <c r="K53" s="22" t="n">
        <f aca="false">+K15-K38</f>
        <v>138.125888532504</v>
      </c>
      <c r="L53" s="22" t="n">
        <f aca="false">+L15-L38</f>
        <v>204.927726200186</v>
      </c>
      <c r="M53" s="22" t="n">
        <f aca="false">+M15-M38</f>
        <v>271.498001367869</v>
      </c>
      <c r="N53" s="59" t="n">
        <f aca="false">+N15-N38</f>
        <v>289.47502609602</v>
      </c>
    </row>
    <row r="54" customFormat="false" ht="13" hidden="false" customHeight="false" outlineLevel="0" collapsed="false">
      <c r="A54" s="18" t="s">
        <v>65</v>
      </c>
      <c r="B54" s="19"/>
      <c r="C54" s="19"/>
      <c r="D54" s="19"/>
      <c r="E54" s="19"/>
      <c r="F54" s="19"/>
      <c r="G54" s="19"/>
      <c r="H54" s="19"/>
      <c r="I54" s="19"/>
      <c r="J54" s="19"/>
      <c r="K54" s="22" t="n">
        <f aca="false">K15-(K38+K45)</f>
        <v>-16.8741114674963</v>
      </c>
      <c r="L54" s="22" t="n">
        <f aca="false">L15-(L38+L45)</f>
        <v>-0.0722737998136154</v>
      </c>
      <c r="M54" s="22" t="n">
        <f aca="false">M15-(M38+M45)</f>
        <v>3.49800136786951</v>
      </c>
      <c r="N54" s="60" t="n">
        <f aca="false">N15-(N38+N45)</f>
        <v>21.4750260960199</v>
      </c>
    </row>
    <row r="55" customFormat="false" ht="13" hidden="false" customHeight="false" outlineLevel="0" collapsed="false">
      <c r="A55" s="18" t="s">
        <v>66</v>
      </c>
      <c r="B55" s="19"/>
      <c r="C55" s="19"/>
      <c r="D55" s="19"/>
      <c r="E55" s="19"/>
      <c r="F55" s="19"/>
      <c r="G55" s="19"/>
      <c r="H55" s="19"/>
      <c r="I55" s="19"/>
      <c r="J55" s="19"/>
      <c r="K55" s="22" t="n">
        <f aca="false">+K15-K50</f>
        <v>-241.198744279996</v>
      </c>
      <c r="L55" s="22" t="n">
        <f aca="false">+L15-L50</f>
        <v>-230.346406612313</v>
      </c>
      <c r="M55" s="22" t="n">
        <f aca="false">+M15-M50</f>
        <v>-232.72563144463</v>
      </c>
      <c r="N55" s="60" t="n">
        <f aca="false">+N15-N50</f>
        <v>-215.53335671648</v>
      </c>
    </row>
    <row r="56" customFormat="false" ht="13" hidden="false" customHeight="false" outlineLevel="0" collapsed="false">
      <c r="A56" s="61" t="s">
        <v>67</v>
      </c>
      <c r="B56" s="19"/>
      <c r="C56" s="19"/>
      <c r="D56" s="19"/>
      <c r="E56" s="19"/>
      <c r="F56" s="19"/>
      <c r="G56" s="19"/>
      <c r="H56" s="19"/>
      <c r="I56" s="19"/>
      <c r="J56" s="19"/>
      <c r="K56" s="22" t="n">
        <f aca="false">K55+K45</f>
        <v>-86.1987442799964</v>
      </c>
      <c r="L56" s="22" t="n">
        <f aca="false">L55+L45</f>
        <v>-25.3464066123134</v>
      </c>
      <c r="M56" s="22" t="n">
        <f aca="false">M55+M45</f>
        <v>35.2743685553695</v>
      </c>
      <c r="N56" s="29" t="n">
        <f aca="false">N55+N45</f>
        <v>52.4666432835199</v>
      </c>
    </row>
    <row r="57" customFormat="false" ht="13" hidden="false" customHeight="false" outlineLevel="0" collapsed="false">
      <c r="A57" s="61" t="s">
        <v>68</v>
      </c>
      <c r="B57" s="19"/>
      <c r="C57" s="19"/>
      <c r="D57" s="19"/>
      <c r="E57" s="19"/>
      <c r="F57" s="19"/>
      <c r="G57" s="19"/>
      <c r="H57" s="19"/>
      <c r="I57" s="19"/>
      <c r="J57" s="19"/>
      <c r="K57" s="22" t="n">
        <f aca="false">K55+K42+K43</f>
        <v>-171.319994279996</v>
      </c>
      <c r="L57" s="22" t="n">
        <f aca="false">L55+L42+L43</f>
        <v>-154.518156612313</v>
      </c>
      <c r="M57" s="22" t="n">
        <f aca="false">M55+M42+M43</f>
        <v>-150.947881444631</v>
      </c>
      <c r="N57" s="29" t="n">
        <f aca="false">N55+N42+N43</f>
        <v>-132.97085671648</v>
      </c>
    </row>
    <row r="58" customFormat="false" ht="12.75" hidden="false" customHeight="true" outlineLevel="0" collapsed="false">
      <c r="A58" s="62" t="s">
        <v>69</v>
      </c>
      <c r="B58" s="14"/>
      <c r="C58" s="14"/>
      <c r="D58" s="14"/>
      <c r="E58" s="14"/>
      <c r="F58" s="14"/>
      <c r="G58" s="62"/>
      <c r="H58" s="63"/>
      <c r="I58" s="14"/>
      <c r="J58" s="14"/>
      <c r="K58" s="64" t="n">
        <f aca="false">K55+K42+K43+K45</f>
        <v>-16.3199942799965</v>
      </c>
      <c r="L58" s="64" t="n">
        <f aca="false">L55+L42+L43+L45</f>
        <v>50.4818433876866</v>
      </c>
      <c r="M58" s="64" t="n">
        <f aca="false">M55+M42+M43+M45</f>
        <v>117.05211855537</v>
      </c>
      <c r="N58" s="65" t="n">
        <f aca="false">N55+N42+N43+N45</f>
        <v>135.02914328352</v>
      </c>
      <c r="O58" s="11"/>
    </row>
    <row r="59" customFormat="false" ht="12.5" hidden="false" customHeight="false" outlineLevel="0" collapsed="false">
      <c r="A59" s="66" t="s">
        <v>70</v>
      </c>
      <c r="B59" s="66"/>
      <c r="C59" s="66"/>
      <c r="D59" s="67"/>
      <c r="E59" s="66"/>
      <c r="F59" s="66"/>
      <c r="G59" s="66"/>
      <c r="H59" s="66"/>
      <c r="I59" s="66"/>
      <c r="J59" s="66"/>
      <c r="K59" s="66"/>
      <c r="L59" s="68"/>
      <c r="M59" s="68"/>
      <c r="N59" s="68"/>
      <c r="O59" s="19"/>
    </row>
    <row r="60" customFormat="false" ht="12.5" hidden="false" customHeight="false" outlineLevel="0" collapsed="false">
      <c r="B60" s="66" t="s">
        <v>71</v>
      </c>
      <c r="C60" s="66"/>
      <c r="D60" s="66"/>
      <c r="E60" s="66"/>
      <c r="F60" s="66"/>
      <c r="G60" s="66"/>
      <c r="H60" s="66"/>
      <c r="I60" s="66"/>
      <c r="J60" s="66"/>
      <c r="K60" s="66"/>
      <c r="L60" s="68"/>
      <c r="M60" s="68"/>
      <c r="N60" s="68"/>
      <c r="O60" s="19"/>
    </row>
    <row r="61" customFormat="false" ht="12.5" hidden="false" customHeight="false" outlineLevel="0" collapsed="false">
      <c r="A61" s="66" t="s">
        <v>72</v>
      </c>
      <c r="B61" s="66"/>
      <c r="C61" s="66"/>
      <c r="D61" s="69"/>
      <c r="E61" s="70"/>
      <c r="F61" s="66"/>
      <c r="G61" s="66"/>
      <c r="H61" s="66"/>
      <c r="I61" s="66"/>
      <c r="J61" s="66"/>
      <c r="K61" s="66"/>
      <c r="L61" s="68"/>
      <c r="M61" s="68"/>
      <c r="N61" s="68"/>
      <c r="O61" s="19"/>
    </row>
    <row r="62" customFormat="false" ht="12.5" hidden="false" customHeight="false" outlineLevel="0" collapsed="false">
      <c r="A62" s="66"/>
      <c r="B62" s="66" t="s">
        <v>73</v>
      </c>
      <c r="C62" s="66"/>
      <c r="D62" s="70"/>
      <c r="E62" s="70"/>
      <c r="F62" s="66"/>
      <c r="G62" s="66"/>
      <c r="H62" s="66"/>
      <c r="I62" s="66"/>
      <c r="J62" s="66"/>
      <c r="K62" s="66"/>
      <c r="L62" s="68"/>
      <c r="M62" s="68"/>
      <c r="N62" s="68"/>
      <c r="O62" s="19"/>
    </row>
    <row r="63" customFormat="false" ht="12.5" hidden="false" customHeight="false" outlineLevel="0" collapsed="false">
      <c r="A63" s="66" t="s">
        <v>74</v>
      </c>
      <c r="B63" s="66"/>
      <c r="C63" s="66"/>
      <c r="D63" s="71"/>
      <c r="E63" s="66"/>
      <c r="F63" s="66"/>
      <c r="G63" s="66"/>
      <c r="H63" s="66"/>
      <c r="I63" s="66"/>
      <c r="J63" s="66"/>
      <c r="K63" s="66"/>
      <c r="L63" s="68"/>
      <c r="M63" s="68"/>
      <c r="N63" s="68"/>
      <c r="O63" s="19"/>
    </row>
    <row r="64" customFormat="false" ht="13.5" hidden="false" customHeight="false" outlineLevel="0" collapsed="false">
      <c r="A64" s="66" t="n">
        <v>1</v>
      </c>
      <c r="B64" s="66" t="s">
        <v>75</v>
      </c>
      <c r="C64" s="66"/>
      <c r="D64" s="70"/>
      <c r="E64" s="66"/>
      <c r="F64" s="66"/>
      <c r="G64" s="66"/>
      <c r="H64" s="66"/>
      <c r="I64" s="66"/>
      <c r="J64" s="66"/>
      <c r="K64" s="66"/>
      <c r="L64" s="68"/>
      <c r="M64" s="68"/>
      <c r="N64" s="68"/>
      <c r="O64" s="19"/>
    </row>
    <row r="65" customFormat="false" ht="12.5" hidden="false" customHeight="false" outlineLevel="0" collapsed="false">
      <c r="B65" s="66" t="s">
        <v>76</v>
      </c>
      <c r="C65" s="66"/>
      <c r="D65" s="66"/>
      <c r="E65" s="66"/>
      <c r="F65" s="66"/>
      <c r="G65" s="66"/>
      <c r="H65" s="66"/>
      <c r="I65" s="66"/>
      <c r="J65" s="66"/>
      <c r="K65" s="66"/>
      <c r="L65" s="68"/>
      <c r="M65" s="68"/>
      <c r="N65" s="68"/>
      <c r="O65" s="19"/>
    </row>
    <row r="66" customFormat="false" ht="13.5" hidden="false" customHeight="false" outlineLevel="0" collapsed="false">
      <c r="A66" s="66" t="n">
        <v>2</v>
      </c>
      <c r="B66" s="66" t="s">
        <v>77</v>
      </c>
      <c r="C66" s="66"/>
      <c r="D66" s="66"/>
      <c r="E66" s="66"/>
      <c r="F66" s="66"/>
      <c r="G66" s="66"/>
      <c r="H66" s="66"/>
      <c r="I66" s="66"/>
      <c r="J66" s="66"/>
      <c r="K66" s="66"/>
      <c r="L66" s="68"/>
      <c r="M66" s="68"/>
      <c r="N66" s="68"/>
      <c r="O66" s="19"/>
    </row>
    <row r="67" customFormat="false" ht="13.5" hidden="false" customHeight="false" outlineLevel="0" collapsed="false">
      <c r="A67" s="66" t="n">
        <v>3</v>
      </c>
      <c r="B67" s="66" t="s">
        <v>78</v>
      </c>
      <c r="C67" s="66"/>
      <c r="D67" s="66"/>
      <c r="E67" s="66"/>
      <c r="F67" s="66"/>
      <c r="G67" s="66"/>
      <c r="H67" s="66"/>
      <c r="I67" s="66"/>
      <c r="J67" s="66"/>
      <c r="K67" s="66"/>
      <c r="L67" s="68"/>
      <c r="M67" s="68"/>
      <c r="N67" s="68"/>
      <c r="O67" s="66"/>
    </row>
    <row r="68" customFormat="false" ht="13.5" hidden="false" customHeight="false" outlineLevel="0" collapsed="false">
      <c r="A68" s="66"/>
      <c r="B68" s="66"/>
      <c r="C68" s="66" t="s">
        <v>79</v>
      </c>
      <c r="D68" s="66"/>
      <c r="E68" s="66"/>
      <c r="F68" s="66"/>
      <c r="G68" s="66"/>
      <c r="H68" s="66"/>
      <c r="I68" s="66"/>
      <c r="J68" s="66"/>
      <c r="K68" s="66"/>
      <c r="L68" s="68"/>
      <c r="M68" s="68"/>
      <c r="N68" s="68"/>
      <c r="O68" s="66"/>
    </row>
    <row r="69" customFormat="false" ht="13.5" hidden="false" customHeight="false" outlineLevel="0" collapsed="false">
      <c r="A69" s="66" t="n">
        <v>4</v>
      </c>
      <c r="B69" s="66" t="s">
        <v>80</v>
      </c>
      <c r="C69" s="66"/>
      <c r="D69" s="66"/>
      <c r="E69" s="66"/>
      <c r="F69" s="66"/>
      <c r="G69" s="66"/>
      <c r="H69" s="66"/>
      <c r="I69" s="66"/>
      <c r="J69" s="66"/>
      <c r="K69" s="66"/>
      <c r="L69" s="68"/>
      <c r="M69" s="68"/>
      <c r="N69" s="68"/>
      <c r="O69" s="66"/>
    </row>
    <row r="70" customFormat="false" ht="12.5" hidden="false" customHeight="false" outlineLevel="0" collapsed="false">
      <c r="A70" s="66"/>
      <c r="B70" s="66"/>
      <c r="C70" s="66" t="s">
        <v>81</v>
      </c>
      <c r="D70" s="66"/>
      <c r="E70" s="66"/>
      <c r="F70" s="66"/>
      <c r="G70" s="66"/>
      <c r="H70" s="66"/>
      <c r="I70" s="66"/>
      <c r="J70" s="66"/>
      <c r="K70" s="66"/>
      <c r="L70" s="68"/>
      <c r="M70" s="68"/>
      <c r="N70" s="68"/>
      <c r="O70" s="66"/>
    </row>
    <row r="71" customFormat="false" ht="12.5" hidden="false" customHeight="false" outlineLevel="0" collapsed="false">
      <c r="A71" s="66"/>
      <c r="B71" s="66"/>
      <c r="C71" s="66" t="s">
        <v>82</v>
      </c>
      <c r="D71" s="66"/>
      <c r="E71" s="66"/>
      <c r="F71" s="66"/>
      <c r="G71" s="66"/>
      <c r="H71" s="66"/>
      <c r="I71" s="66"/>
      <c r="J71" s="66"/>
      <c r="K71" s="66"/>
      <c r="L71" s="68"/>
      <c r="M71" s="68"/>
      <c r="N71" s="68"/>
      <c r="O71" s="66"/>
    </row>
    <row r="72" customFormat="false" ht="12.5" hidden="false" customHeight="false" outlineLevel="0" collapsed="false">
      <c r="A72" s="66"/>
      <c r="B72" s="66"/>
      <c r="C72" s="66" t="s">
        <v>83</v>
      </c>
      <c r="D72" s="66"/>
      <c r="E72" s="66"/>
      <c r="F72" s="67" t="n">
        <v>750</v>
      </c>
      <c r="G72" s="66" t="s">
        <v>84</v>
      </c>
      <c r="H72" s="66"/>
      <c r="I72" s="67" t="n">
        <v>590</v>
      </c>
      <c r="J72" s="66" t="s">
        <v>85</v>
      </c>
      <c r="K72" s="66"/>
      <c r="L72" s="68"/>
      <c r="M72" s="72" t="n">
        <v>480</v>
      </c>
      <c r="N72" s="68" t="s">
        <v>33</v>
      </c>
      <c r="O72" s="66"/>
    </row>
    <row r="73" customFormat="false" ht="12.5" hidden="false" customHeight="false" outlineLevel="0" collapsed="false">
      <c r="A73" s="66"/>
      <c r="B73" s="66"/>
      <c r="C73" s="66" t="s">
        <v>86</v>
      </c>
      <c r="D73" s="66"/>
      <c r="E73" s="66"/>
      <c r="F73" s="70"/>
      <c r="G73" s="66"/>
      <c r="H73" s="66"/>
      <c r="I73" s="70"/>
      <c r="J73" s="66"/>
      <c r="K73" s="66"/>
      <c r="L73" s="68"/>
      <c r="M73" s="73"/>
      <c r="N73" s="68"/>
      <c r="O73" s="66"/>
    </row>
    <row r="74" customFormat="false" ht="13.5" hidden="false" customHeight="false" outlineLevel="0" collapsed="false">
      <c r="A74" s="66" t="n">
        <v>5</v>
      </c>
      <c r="B74" s="66" t="s">
        <v>87</v>
      </c>
      <c r="C74" s="66"/>
      <c r="D74" s="66"/>
      <c r="E74" s="66"/>
      <c r="F74" s="66"/>
      <c r="G74" s="66"/>
      <c r="H74" s="66"/>
      <c r="I74" s="66"/>
      <c r="J74" s="66"/>
      <c r="K74" s="66"/>
      <c r="L74" s="68"/>
      <c r="M74" s="68"/>
      <c r="N74" s="68"/>
      <c r="O74" s="66"/>
    </row>
    <row r="75" customFormat="false" ht="13.5" hidden="false" customHeight="false" outlineLevel="0" collapsed="false">
      <c r="A75" s="74" t="n">
        <v>6</v>
      </c>
      <c r="B75" s="74" t="s">
        <v>88</v>
      </c>
      <c r="C75" s="74"/>
      <c r="D75" s="74"/>
      <c r="E75" s="74"/>
      <c r="F75" s="66"/>
      <c r="G75" s="66"/>
      <c r="H75" s="66"/>
      <c r="I75" s="66"/>
      <c r="J75" s="66"/>
      <c r="K75" s="66"/>
      <c r="L75" s="68"/>
      <c r="M75" s="68"/>
      <c r="N75" s="68"/>
      <c r="O75" s="66"/>
    </row>
    <row r="76" customFormat="false" ht="13.5" hidden="false" customHeight="false" outlineLevel="0" collapsed="false">
      <c r="A76" s="74"/>
      <c r="B76" s="74"/>
      <c r="C76" s="74" t="s">
        <v>89</v>
      </c>
      <c r="D76" s="74"/>
      <c r="E76" s="74"/>
      <c r="F76" s="66"/>
      <c r="G76" s="66"/>
      <c r="H76" s="66"/>
      <c r="I76" s="66"/>
      <c r="J76" s="66"/>
      <c r="K76" s="66"/>
      <c r="L76" s="68"/>
      <c r="M76" s="68"/>
      <c r="N76" s="68"/>
      <c r="O76" s="66"/>
    </row>
    <row r="77" customFormat="false" ht="13.5" hidden="false" customHeight="false" outlineLevel="0" collapsed="false">
      <c r="A77" s="75" t="n">
        <v>7</v>
      </c>
      <c r="B77" s="74" t="s">
        <v>90</v>
      </c>
      <c r="C77" s="74"/>
      <c r="D77" s="74"/>
      <c r="E77" s="74"/>
      <c r="F77" s="66"/>
      <c r="G77" s="66"/>
      <c r="H77" s="66"/>
      <c r="I77" s="66"/>
      <c r="J77" s="66"/>
      <c r="K77" s="66"/>
      <c r="L77" s="68"/>
      <c r="M77" s="68"/>
      <c r="N77" s="68"/>
      <c r="O77" s="66"/>
    </row>
    <row r="78" customFormat="false" ht="13.5" hidden="false" customHeight="false" outlineLevel="0" collapsed="false">
      <c r="A78" s="66" t="n">
        <v>8</v>
      </c>
      <c r="B78" s="66" t="s">
        <v>91</v>
      </c>
      <c r="C78" s="66"/>
      <c r="D78" s="66"/>
      <c r="E78" s="66"/>
      <c r="F78" s="66"/>
      <c r="G78" s="66"/>
      <c r="H78" s="66"/>
      <c r="I78" s="66"/>
      <c r="J78" s="66"/>
      <c r="K78" s="66"/>
      <c r="L78" s="68"/>
      <c r="M78" s="68"/>
      <c r="N78" s="68"/>
      <c r="O78" s="66"/>
    </row>
    <row r="79" customFormat="false" ht="13.5" hidden="false" customHeight="false" outlineLevel="0" collapsed="false">
      <c r="A79" s="66" t="n">
        <v>9</v>
      </c>
      <c r="B79" s="66" t="s">
        <v>92</v>
      </c>
      <c r="C79" s="66"/>
      <c r="D79" s="66"/>
      <c r="E79" s="66"/>
      <c r="F79" s="66"/>
      <c r="G79" s="66"/>
      <c r="H79" s="66"/>
      <c r="I79" s="66"/>
      <c r="J79" s="66"/>
      <c r="K79" s="66"/>
      <c r="L79" s="68"/>
      <c r="M79" s="68"/>
      <c r="N79" s="68"/>
      <c r="O79" s="66"/>
    </row>
    <row r="80" customFormat="false" ht="13.5" hidden="false" customHeight="false" outlineLevel="0" collapsed="false">
      <c r="A80" s="66" t="n">
        <v>10</v>
      </c>
      <c r="B80" s="66" t="s">
        <v>93</v>
      </c>
      <c r="C80" s="66"/>
      <c r="D80" s="66"/>
      <c r="E80" s="66"/>
      <c r="F80" s="66"/>
      <c r="G80" s="66"/>
      <c r="H80" s="66"/>
      <c r="I80" s="66"/>
      <c r="J80" s="66"/>
      <c r="K80" s="66"/>
      <c r="L80" s="68"/>
      <c r="M80" s="68"/>
      <c r="N80" s="68"/>
      <c r="O80" s="66"/>
    </row>
    <row r="81" customFormat="false" ht="13.5" hidden="false" customHeight="false" outlineLevel="0" collapsed="false">
      <c r="A81" s="66" t="n">
        <v>11</v>
      </c>
      <c r="B81" s="66" t="s">
        <v>94</v>
      </c>
      <c r="C81" s="66"/>
      <c r="D81" s="66"/>
      <c r="E81" s="66"/>
      <c r="F81" s="66"/>
      <c r="G81" s="66"/>
      <c r="H81" s="66"/>
      <c r="I81" s="66"/>
      <c r="J81" s="66"/>
      <c r="K81" s="66"/>
      <c r="L81" s="68"/>
      <c r="M81" s="68"/>
      <c r="N81" s="68"/>
      <c r="O81" s="66"/>
    </row>
    <row r="82" customFormat="false" ht="13.5" hidden="false" customHeight="false" outlineLevel="0" collapsed="false">
      <c r="A82" s="66"/>
      <c r="B82" s="66"/>
      <c r="C82" s="66" t="s">
        <v>95</v>
      </c>
      <c r="D82" s="66"/>
      <c r="E82" s="66"/>
      <c r="F82" s="66"/>
      <c r="G82" s="66"/>
      <c r="H82" s="66"/>
      <c r="I82" s="66"/>
      <c r="J82" s="66"/>
      <c r="K82" s="66"/>
      <c r="L82" s="68"/>
      <c r="M82" s="68"/>
      <c r="N82" s="68"/>
      <c r="O82" s="66"/>
    </row>
    <row r="83" customFormat="false" ht="13.5" hidden="false" customHeight="false" outlineLevel="0" collapsed="false">
      <c r="A83" s="66" t="n">
        <v>12</v>
      </c>
      <c r="B83" s="66" t="s">
        <v>96</v>
      </c>
      <c r="C83" s="66"/>
      <c r="D83" s="66"/>
      <c r="E83" s="66"/>
      <c r="F83" s="66"/>
      <c r="G83" s="66"/>
      <c r="H83" s="66"/>
      <c r="I83" s="66"/>
      <c r="J83" s="66"/>
      <c r="K83" s="66"/>
      <c r="L83" s="68"/>
      <c r="M83" s="68"/>
      <c r="N83" s="68"/>
      <c r="O83" s="66"/>
    </row>
    <row r="84" customFormat="false" ht="13.5" hidden="false" customHeight="false" outlineLevel="0" collapsed="false">
      <c r="A84" s="66" t="n">
        <v>13</v>
      </c>
      <c r="B84" s="66" t="s">
        <v>97</v>
      </c>
      <c r="C84" s="66"/>
      <c r="D84" s="66"/>
      <c r="E84" s="66"/>
      <c r="F84" s="66"/>
      <c r="G84" s="66"/>
      <c r="H84" s="66"/>
      <c r="I84" s="66"/>
      <c r="J84" s="66"/>
      <c r="K84" s="66"/>
      <c r="L84" s="68"/>
      <c r="M84" s="68"/>
      <c r="N84" s="68"/>
      <c r="O84" s="66"/>
    </row>
    <row r="85" customFormat="false" ht="12.5" hidden="false" customHeight="false" outlineLevel="0" collapsed="false">
      <c r="A85" s="66"/>
      <c r="B85" s="66"/>
      <c r="C85" s="66" t="s">
        <v>98</v>
      </c>
      <c r="D85" s="66"/>
      <c r="E85" s="66"/>
      <c r="F85" s="66"/>
      <c r="G85" s="66"/>
      <c r="H85" s="66"/>
      <c r="I85" s="66"/>
      <c r="J85" s="66"/>
      <c r="K85" s="66"/>
      <c r="L85" s="68"/>
      <c r="M85" s="68"/>
      <c r="N85" s="68"/>
      <c r="O85" s="66"/>
    </row>
    <row r="86" customFormat="false" ht="13.5" hidden="false" customHeight="false" outlineLevel="0" collapsed="false">
      <c r="A86" s="66"/>
      <c r="C86" s="66" t="s">
        <v>99</v>
      </c>
      <c r="D86" s="66"/>
      <c r="E86" s="66"/>
      <c r="F86" s="66"/>
      <c r="G86" s="66"/>
      <c r="H86" s="66"/>
      <c r="I86" s="66"/>
      <c r="J86" s="66"/>
      <c r="K86" s="66"/>
      <c r="L86" s="68"/>
      <c r="M86" s="68"/>
      <c r="N86" s="68"/>
      <c r="O86" s="66"/>
    </row>
    <row r="87" customFormat="false" ht="13.5" hidden="false" customHeight="false" outlineLevel="0" collapsed="false">
      <c r="A87" s="66" t="n">
        <v>14</v>
      </c>
      <c r="B87" s="66" t="s">
        <v>100</v>
      </c>
      <c r="C87" s="66"/>
      <c r="D87" s="66"/>
      <c r="E87" s="66"/>
      <c r="F87" s="66"/>
      <c r="G87" s="66"/>
      <c r="H87" s="66"/>
      <c r="I87" s="66"/>
      <c r="J87" s="66"/>
      <c r="K87" s="66"/>
      <c r="L87" s="68"/>
      <c r="M87" s="68"/>
      <c r="N87" s="68"/>
      <c r="O87" s="66"/>
    </row>
    <row r="88" customFormat="false" ht="13.5" hidden="false" customHeight="false" outlineLevel="0" collapsed="false">
      <c r="A88" s="66" t="n">
        <v>15</v>
      </c>
      <c r="B88" s="66" t="s">
        <v>101</v>
      </c>
      <c r="C88" s="66"/>
      <c r="D88" s="66"/>
      <c r="E88" s="66"/>
      <c r="F88" s="66"/>
      <c r="G88" s="66"/>
      <c r="H88" s="66"/>
      <c r="I88" s="66"/>
      <c r="J88" s="66"/>
      <c r="K88" s="66"/>
      <c r="L88" s="68"/>
      <c r="M88" s="68"/>
      <c r="N88" s="68"/>
      <c r="O88" s="66"/>
    </row>
    <row r="89" customFormat="false" ht="13.5" hidden="false" customHeight="false" outlineLevel="0" collapsed="false">
      <c r="A89" s="66"/>
      <c r="B89" s="66"/>
      <c r="C89" s="66" t="s">
        <v>92</v>
      </c>
      <c r="D89" s="66"/>
      <c r="E89" s="66"/>
      <c r="F89" s="66"/>
      <c r="G89" s="66"/>
      <c r="H89" s="66"/>
      <c r="I89" s="66"/>
      <c r="J89" s="66"/>
      <c r="K89" s="66"/>
      <c r="L89" s="68"/>
      <c r="M89" s="68"/>
      <c r="N89" s="68"/>
      <c r="O89" s="66"/>
    </row>
    <row r="90" customFormat="false" ht="13.5" hidden="false" customHeight="false" outlineLevel="0" collapsed="false">
      <c r="A90" s="66" t="n">
        <v>16</v>
      </c>
      <c r="B90" s="66" t="s">
        <v>102</v>
      </c>
      <c r="C90" s="66"/>
      <c r="D90" s="19"/>
      <c r="E90" s="19"/>
      <c r="F90" s="19"/>
      <c r="G90" s="19"/>
      <c r="H90" s="19"/>
      <c r="I90" s="19"/>
      <c r="J90" s="19"/>
      <c r="K90" s="19"/>
      <c r="L90" s="32"/>
      <c r="M90" s="32"/>
      <c r="N90" s="68"/>
      <c r="O90" s="66"/>
    </row>
    <row r="91" customFormat="false" ht="13.5" hidden="false" customHeight="false" outlineLevel="0" collapsed="false">
      <c r="A91" s="66"/>
      <c r="C91" s="66" t="s">
        <v>103</v>
      </c>
      <c r="D91" s="19"/>
      <c r="E91" s="19"/>
      <c r="F91" s="19"/>
      <c r="G91" s="19"/>
      <c r="H91" s="19"/>
      <c r="I91" s="19"/>
      <c r="J91" s="19"/>
      <c r="K91" s="19"/>
      <c r="L91" s="32"/>
      <c r="M91" s="32"/>
      <c r="N91" s="68"/>
      <c r="O91" s="66"/>
    </row>
    <row r="92" customFormat="false" ht="13.5" hidden="false" customHeight="false" outlineLevel="0" collapsed="false">
      <c r="A92" s="66" t="n">
        <v>17</v>
      </c>
      <c r="B92" s="66" t="s">
        <v>104</v>
      </c>
      <c r="C92" s="66"/>
      <c r="D92" s="19"/>
      <c r="E92" s="19"/>
      <c r="F92" s="19"/>
      <c r="G92" s="19"/>
      <c r="H92" s="19"/>
      <c r="I92" s="19"/>
      <c r="J92" s="19"/>
      <c r="K92" s="19"/>
      <c r="L92" s="32"/>
      <c r="M92" s="32"/>
      <c r="N92" s="68"/>
      <c r="O92" s="66"/>
    </row>
    <row r="93" customFormat="false" ht="13.5" hidden="false" customHeight="false" outlineLevel="0" collapsed="false">
      <c r="A93" s="66"/>
      <c r="B93" s="66" t="s">
        <v>105</v>
      </c>
      <c r="C93" s="66"/>
      <c r="D93" s="19"/>
      <c r="E93" s="19"/>
      <c r="F93" s="19"/>
      <c r="G93" s="19"/>
      <c r="H93" s="19"/>
      <c r="I93" s="19"/>
      <c r="J93" s="19"/>
      <c r="K93" s="19"/>
      <c r="L93" s="32"/>
      <c r="M93" s="32"/>
      <c r="N93" s="68"/>
      <c r="O93" s="66"/>
    </row>
    <row r="94" customFormat="false" ht="13.5" hidden="false" customHeight="false" outlineLevel="0" collapsed="false">
      <c r="A94" s="66"/>
      <c r="B94" s="66" t="s">
        <v>106</v>
      </c>
      <c r="C94" s="66"/>
      <c r="D94" s="19"/>
      <c r="E94" s="19"/>
      <c r="F94" s="19"/>
      <c r="G94" s="19"/>
      <c r="H94" s="19"/>
      <c r="I94" s="19"/>
      <c r="J94" s="19"/>
      <c r="K94" s="19"/>
      <c r="L94" s="32"/>
      <c r="M94" s="32"/>
      <c r="N94" s="68"/>
      <c r="O94" s="66"/>
    </row>
    <row r="95" customFormat="false" ht="13.5" hidden="false" customHeight="false" outlineLevel="0" collapsed="false">
      <c r="A95" s="66"/>
      <c r="B95" s="66" t="s">
        <v>107</v>
      </c>
      <c r="C95" s="66"/>
      <c r="D95" s="19"/>
      <c r="E95" s="19"/>
      <c r="F95" s="19"/>
      <c r="G95" s="19"/>
      <c r="H95" s="19"/>
      <c r="I95" s="19"/>
      <c r="J95" s="19"/>
      <c r="K95" s="19"/>
      <c r="L95" s="32"/>
      <c r="M95" s="32"/>
      <c r="N95" s="68"/>
      <c r="O95" s="66"/>
    </row>
    <row r="96" customFormat="false" ht="12.5" hidden="false" customHeight="false" outlineLevel="0" collapsed="false">
      <c r="B96" s="66" t="s">
        <v>108</v>
      </c>
      <c r="E96" s="66"/>
      <c r="F96" s="66"/>
      <c r="G96" s="66"/>
      <c r="H96" s="66"/>
      <c r="I96" s="66"/>
      <c r="J96" s="66"/>
      <c r="K96" s="66"/>
      <c r="L96" s="68"/>
      <c r="M96" s="68"/>
      <c r="N96" s="68"/>
      <c r="O96" s="66"/>
    </row>
    <row r="97" customFormat="false" ht="13.5" hidden="false" customHeight="false" outlineLevel="0" collapsed="false">
      <c r="A97" s="66"/>
      <c r="B97" s="66" t="s">
        <v>109</v>
      </c>
      <c r="C97" s="66"/>
      <c r="D97" s="66"/>
      <c r="E97" s="66"/>
      <c r="F97" s="66"/>
      <c r="G97" s="66"/>
      <c r="H97" s="66"/>
      <c r="I97" s="66"/>
      <c r="J97" s="66"/>
      <c r="K97" s="66"/>
      <c r="L97" s="68"/>
      <c r="M97" s="68"/>
      <c r="N97" s="68"/>
      <c r="O97" s="66"/>
    </row>
    <row r="98" customFormat="false" ht="13.5" hidden="false" customHeight="false" outlineLevel="0" collapsed="false">
      <c r="A98" s="66"/>
      <c r="B98" s="66"/>
      <c r="C98" s="66" t="s">
        <v>110</v>
      </c>
      <c r="D98" s="66"/>
      <c r="E98" s="66"/>
      <c r="F98" s="66"/>
      <c r="G98" s="66"/>
      <c r="H98" s="66"/>
      <c r="I98" s="66"/>
      <c r="J98" s="66"/>
      <c r="K98" s="66"/>
      <c r="L98" s="68"/>
      <c r="M98" s="68"/>
      <c r="N98" s="68"/>
      <c r="O98" s="66"/>
    </row>
    <row r="99" customFormat="false" ht="12.5" hidden="false" customHeight="false" outlineLevel="0" collapsed="false">
      <c r="A99" s="76"/>
      <c r="B99" s="76"/>
      <c r="C99" s="77"/>
      <c r="D99" s="76"/>
      <c r="E99" s="76"/>
      <c r="F99" s="76"/>
      <c r="G99" s="78" t="s">
        <v>111</v>
      </c>
      <c r="H99" s="76"/>
      <c r="I99" s="76"/>
      <c r="J99" s="76"/>
      <c r="K99" s="76"/>
      <c r="L99" s="79"/>
      <c r="M99" s="79"/>
      <c r="N99" s="80"/>
      <c r="O99" s="81"/>
    </row>
    <row r="100" customFormat="false" ht="25.5" hidden="false" customHeight="true" outlineLevel="0" collapsed="false">
      <c r="A100" s="66"/>
      <c r="B100" s="66"/>
      <c r="C100" s="66"/>
      <c r="D100" s="66"/>
      <c r="E100" s="82" t="s">
        <v>112</v>
      </c>
      <c r="F100" s="83" t="s">
        <v>113</v>
      </c>
      <c r="G100" s="82" t="s">
        <v>114</v>
      </c>
      <c r="H100" s="82"/>
      <c r="I100" s="84" t="s">
        <v>115</v>
      </c>
      <c r="J100" s="83" t="s">
        <v>116</v>
      </c>
      <c r="K100" s="83" t="s">
        <v>117</v>
      </c>
      <c r="L100" s="85" t="s">
        <v>118</v>
      </c>
      <c r="M100" s="83" t="s">
        <v>119</v>
      </c>
      <c r="N100" s="68"/>
      <c r="O100" s="66"/>
    </row>
    <row r="101" customFormat="false" ht="12.5" hidden="false" customHeight="false" outlineLevel="0" collapsed="false">
      <c r="A101" s="66"/>
      <c r="B101" s="86" t="s">
        <v>120</v>
      </c>
      <c r="C101" s="86"/>
      <c r="D101" s="86"/>
      <c r="E101" s="87" t="n">
        <v>1</v>
      </c>
      <c r="F101" s="88" t="n">
        <v>50500</v>
      </c>
      <c r="G101" s="89" t="n">
        <v>1000</v>
      </c>
      <c r="H101" s="90"/>
      <c r="I101" s="91" t="n">
        <f aca="false">'machinery costs'!K2</f>
        <v>6.860109375</v>
      </c>
      <c r="J101" s="92" t="n">
        <v>20.97</v>
      </c>
      <c r="K101" s="93" t="n">
        <f aca="false">0.64*E101</f>
        <v>0.64</v>
      </c>
      <c r="L101" s="93" t="n">
        <f aca="false">(G101*E101)/J101</f>
        <v>47.6871721506915</v>
      </c>
      <c r="M101" s="93" t="n">
        <f aca="false">0.74*E101</f>
        <v>0.74</v>
      </c>
      <c r="N101" s="68"/>
      <c r="O101" s="66"/>
    </row>
    <row r="102" customFormat="false" ht="12.5" hidden="false" customHeight="false" outlineLevel="0" collapsed="false">
      <c r="A102" s="66"/>
      <c r="B102" s="67" t="s">
        <v>121</v>
      </c>
      <c r="C102" s="67"/>
      <c r="D102" s="67"/>
      <c r="E102" s="94" t="n">
        <v>1</v>
      </c>
      <c r="F102" s="95" t="n">
        <v>75500</v>
      </c>
      <c r="G102" s="96" t="n">
        <v>1000</v>
      </c>
      <c r="H102" s="97"/>
      <c r="I102" s="91" t="n">
        <f aca="false">'machinery costs'!K3</f>
        <v>10.256203125</v>
      </c>
      <c r="J102" s="98" t="n">
        <v>43.27</v>
      </c>
      <c r="K102" s="99" t="n">
        <f aca="false">0.34*E102</f>
        <v>0.34</v>
      </c>
      <c r="L102" s="99" t="n">
        <f aca="false">(G102*E102)/J102</f>
        <v>23.1107002542177</v>
      </c>
      <c r="M102" s="99" t="n">
        <f aca="false">0.56*E102</f>
        <v>0.56</v>
      </c>
      <c r="N102" s="68"/>
      <c r="O102" s="66"/>
    </row>
    <row r="103" customFormat="false" ht="12.5" hidden="false" customHeight="false" outlineLevel="0" collapsed="false">
      <c r="A103" s="66"/>
      <c r="B103" s="67" t="s">
        <v>122</v>
      </c>
      <c r="C103" s="67"/>
      <c r="D103" s="67"/>
      <c r="E103" s="94" t="n">
        <v>2</v>
      </c>
      <c r="F103" s="95" t="n">
        <v>242500</v>
      </c>
      <c r="G103" s="96" t="n">
        <v>2000</v>
      </c>
      <c r="H103" s="97"/>
      <c r="I103" s="91" t="n">
        <f aca="false">'machinery costs'!K4</f>
        <v>16.4710546875</v>
      </c>
      <c r="J103" s="98" t="n">
        <v>44.12</v>
      </c>
      <c r="K103" s="99" t="n">
        <f aca="false">0.07*E103</f>
        <v>0.14</v>
      </c>
      <c r="L103" s="99" t="n">
        <f aca="false">(G103*E103)/J103</f>
        <v>90.6618313689937</v>
      </c>
      <c r="M103" s="99" t="n">
        <f aca="false">E103*3.15</f>
        <v>6.3</v>
      </c>
      <c r="N103" s="68"/>
      <c r="O103" s="66"/>
    </row>
    <row r="104" customFormat="false" ht="12.5" hidden="false" customHeight="false" outlineLevel="0" collapsed="false">
      <c r="A104" s="66"/>
      <c r="B104" s="67" t="s">
        <v>123</v>
      </c>
      <c r="C104" s="67"/>
      <c r="D104" s="67"/>
      <c r="E104" s="94" t="n">
        <v>1</v>
      </c>
      <c r="F104" s="95" t="n">
        <v>105500</v>
      </c>
      <c r="G104" s="96" t="n">
        <v>1000</v>
      </c>
      <c r="H104" s="97"/>
      <c r="I104" s="91" t="n">
        <f aca="false">'machinery costs'!K5</f>
        <v>13.3589375</v>
      </c>
      <c r="J104" s="98" t="n">
        <v>14</v>
      </c>
      <c r="K104" s="99" t="n">
        <f aca="false">0.53*E104</f>
        <v>0.53</v>
      </c>
      <c r="L104" s="99" t="n">
        <f aca="false">(G104*E104)/J104</f>
        <v>71.4285714285714</v>
      </c>
      <c r="M104" s="99" t="n">
        <f aca="false">3.6*E104</f>
        <v>3.6</v>
      </c>
      <c r="N104" s="68"/>
      <c r="O104" s="66"/>
    </row>
    <row r="105" customFormat="false" ht="12.5" hidden="false" customHeight="false" outlineLevel="0" collapsed="false">
      <c r="A105" s="66"/>
      <c r="B105" s="67" t="s">
        <v>124</v>
      </c>
      <c r="C105" s="67"/>
      <c r="D105" s="67"/>
      <c r="E105" s="94" t="n">
        <v>1</v>
      </c>
      <c r="F105" s="95" t="n">
        <v>360000</v>
      </c>
      <c r="G105" s="96" t="n">
        <v>2000</v>
      </c>
      <c r="H105" s="97"/>
      <c r="I105" s="91" t="n">
        <f aca="false">'machinery costs'!K6</f>
        <v>25.2815625</v>
      </c>
      <c r="J105" s="100" t="s">
        <v>125</v>
      </c>
      <c r="K105" s="101" t="s">
        <v>125</v>
      </c>
      <c r="L105" s="102" t="n">
        <f aca="false">L106</f>
        <v>147.275405007364</v>
      </c>
      <c r="M105" s="102" t="n">
        <f aca="false">(L105*60.06)/1000</f>
        <v>8.84536082474227</v>
      </c>
      <c r="N105" s="68"/>
      <c r="O105" s="66"/>
    </row>
    <row r="106" customFormat="false" ht="12.5" hidden="false" customHeight="false" outlineLevel="0" collapsed="false">
      <c r="A106" s="66"/>
      <c r="B106" s="67"/>
      <c r="C106" s="67" t="s">
        <v>126</v>
      </c>
      <c r="D106" s="67"/>
      <c r="E106" s="94" t="n">
        <v>1</v>
      </c>
      <c r="F106" s="95" t="n">
        <v>59000</v>
      </c>
      <c r="G106" s="96" t="n">
        <v>1000</v>
      </c>
      <c r="H106" s="97"/>
      <c r="I106" s="91" t="n">
        <f aca="false">'machinery costs'!K7</f>
        <v>8.286734375</v>
      </c>
      <c r="J106" s="103" t="n">
        <v>6.79</v>
      </c>
      <c r="K106" s="99" t="n">
        <f aca="false">1.88*E106</f>
        <v>1.88</v>
      </c>
      <c r="L106" s="99" t="n">
        <f aca="false">(G106*E106)/J106</f>
        <v>147.275405007364</v>
      </c>
      <c r="M106" s="102" t="n">
        <f aca="false">1.01*E106</f>
        <v>1.01</v>
      </c>
      <c r="N106" s="68"/>
      <c r="O106" s="66"/>
    </row>
    <row r="107" customFormat="false" ht="12.5" hidden="false" customHeight="false" outlineLevel="0" collapsed="false">
      <c r="A107" s="66"/>
      <c r="B107" s="67" t="s">
        <v>127</v>
      </c>
      <c r="C107" s="67"/>
      <c r="D107" s="67"/>
      <c r="E107" s="94" t="n">
        <v>1</v>
      </c>
      <c r="F107" s="95" t="n">
        <v>21000</v>
      </c>
      <c r="G107" s="96" t="n">
        <v>1000</v>
      </c>
      <c r="H107" s="97"/>
      <c r="I107" s="91" t="n">
        <f aca="false">'machinery costs'!K8</f>
        <v>2.85271875</v>
      </c>
      <c r="J107" s="103" t="n">
        <v>18</v>
      </c>
      <c r="K107" s="99" t="n">
        <f aca="false">0.6*E107</f>
        <v>0.6</v>
      </c>
      <c r="L107" s="99" t="n">
        <f aca="false">(G107*E107)/J107</f>
        <v>55.5555555555556</v>
      </c>
      <c r="M107" s="102" t="n">
        <f aca="false">0.21*E107</f>
        <v>0.21</v>
      </c>
      <c r="N107" s="68"/>
      <c r="O107" s="66"/>
    </row>
    <row r="108" customFormat="false" ht="12.5" hidden="false" customHeight="false" outlineLevel="0" collapsed="false">
      <c r="A108" s="66"/>
      <c r="B108" s="67" t="s">
        <v>128</v>
      </c>
      <c r="C108" s="67"/>
      <c r="D108" s="67"/>
      <c r="E108" s="94" t="n">
        <v>1</v>
      </c>
      <c r="F108" s="95" t="n">
        <v>12000</v>
      </c>
      <c r="G108" s="96" t="n">
        <v>2000</v>
      </c>
      <c r="H108" s="97"/>
      <c r="I108" s="91" t="n">
        <f aca="false">'machinery costs'!K9</f>
        <v>0.8150625</v>
      </c>
      <c r="J108" s="103" t="n">
        <v>34</v>
      </c>
      <c r="K108" s="99" t="n">
        <f aca="false">0.12*E108</f>
        <v>0.12</v>
      </c>
      <c r="L108" s="99" t="n">
        <f aca="false">(G108*E108)/J108</f>
        <v>58.8235294117647</v>
      </c>
      <c r="M108" s="102" t="n">
        <v>0.15</v>
      </c>
      <c r="N108" s="68"/>
      <c r="O108" s="66"/>
    </row>
    <row r="109" customFormat="false" ht="12.5" hidden="false" customHeight="false" outlineLevel="0" collapsed="false">
      <c r="A109" s="66"/>
      <c r="B109" s="67" t="s">
        <v>129</v>
      </c>
      <c r="C109" s="67"/>
      <c r="D109" s="67"/>
      <c r="E109" s="94" t="n">
        <v>1</v>
      </c>
      <c r="F109" s="95" t="n">
        <v>70000</v>
      </c>
      <c r="G109" s="96" t="n">
        <v>2000</v>
      </c>
      <c r="H109" s="97"/>
      <c r="I109" s="91" t="n">
        <f aca="false">'machinery costs'!K10</f>
        <v>4.69</v>
      </c>
      <c r="J109" s="100" t="s">
        <v>125</v>
      </c>
      <c r="K109" s="101" t="s">
        <v>130</v>
      </c>
      <c r="L109" s="104" t="s">
        <v>125</v>
      </c>
      <c r="M109" s="102" t="n">
        <v>3.5</v>
      </c>
      <c r="N109" s="68"/>
      <c r="O109" s="66"/>
    </row>
    <row r="110" customFormat="false" ht="12.5" hidden="false" customHeight="false" outlineLevel="0" collapsed="false">
      <c r="A110" s="66"/>
      <c r="B110" s="67" t="s">
        <v>131</v>
      </c>
      <c r="C110" s="67"/>
      <c r="D110" s="67"/>
      <c r="E110" s="94" t="n">
        <v>1</v>
      </c>
      <c r="F110" s="95" t="n">
        <v>50500</v>
      </c>
      <c r="G110" s="96" t="n">
        <v>2000</v>
      </c>
      <c r="H110" s="97"/>
      <c r="I110" s="91" t="n">
        <f aca="false">'machinery costs'!K11</f>
        <v>3.3835</v>
      </c>
      <c r="J110" s="100" t="s">
        <v>125</v>
      </c>
      <c r="K110" s="99" t="n">
        <f aca="false">(L110*9.9)/1000</f>
        <v>0.729013254786451</v>
      </c>
      <c r="L110" s="102" t="n">
        <f aca="false">L106*0.5</f>
        <v>73.6377025036819</v>
      </c>
      <c r="M110" s="102" t="n">
        <v>1</v>
      </c>
      <c r="N110" s="68"/>
      <c r="O110" s="66"/>
    </row>
    <row r="111" customFormat="false" ht="12.5" hidden="false" customHeight="false" outlineLevel="0" collapsed="false">
      <c r="A111" s="66"/>
      <c r="B111" s="67" t="s">
        <v>132</v>
      </c>
      <c r="C111" s="67"/>
      <c r="D111" s="67"/>
      <c r="E111" s="94" t="n">
        <v>3</v>
      </c>
      <c r="F111" s="95" t="n">
        <v>274000</v>
      </c>
      <c r="G111" s="96" t="n">
        <v>2000</v>
      </c>
      <c r="H111" s="97"/>
      <c r="I111" s="91" t="n">
        <f aca="false">'machinery costs'!K12</f>
        <v>18.358</v>
      </c>
      <c r="J111" s="105" t="s">
        <v>125</v>
      </c>
      <c r="K111" s="106" t="s">
        <v>125</v>
      </c>
      <c r="L111" s="102" t="n">
        <f aca="false">L101+L107+L110</f>
        <v>176.880430209929</v>
      </c>
      <c r="M111" s="102" t="n">
        <f aca="false">(L111*4.38)/G111</f>
        <v>0.387368142159744</v>
      </c>
      <c r="N111" s="68"/>
      <c r="O111" s="66"/>
    </row>
    <row r="112" customFormat="false" ht="12.5" hidden="false" customHeight="false" outlineLevel="0" collapsed="false">
      <c r="A112" s="66"/>
      <c r="B112" s="67" t="s">
        <v>133</v>
      </c>
      <c r="C112" s="67"/>
      <c r="D112" s="67"/>
      <c r="E112" s="94" t="n">
        <v>3</v>
      </c>
      <c r="F112" s="95" t="n">
        <v>266000</v>
      </c>
      <c r="G112" s="96" t="n">
        <v>2000</v>
      </c>
      <c r="H112" s="97"/>
      <c r="I112" s="91" t="n">
        <f aca="false">'machinery costs'!K13</f>
        <v>17.822</v>
      </c>
      <c r="J112" s="105" t="s">
        <v>125</v>
      </c>
      <c r="K112" s="106" t="s">
        <v>125</v>
      </c>
      <c r="L112" s="102" t="n">
        <f aca="false">L102+L104+L108</f>
        <v>153.362801094554</v>
      </c>
      <c r="M112" s="102" t="n">
        <f aca="false">(L112*4.26)/G112</f>
        <v>0.3266627663314</v>
      </c>
      <c r="N112" s="68"/>
      <c r="O112" s="66"/>
    </row>
    <row r="113" customFormat="false" ht="12.5" hidden="false" customHeight="false" outlineLevel="0" collapsed="false">
      <c r="A113" s="66"/>
      <c r="B113" s="107" t="s">
        <v>134</v>
      </c>
      <c r="C113" s="107"/>
      <c r="D113" s="107"/>
      <c r="E113" s="108" t="n">
        <v>1</v>
      </c>
      <c r="F113" s="109" t="n">
        <v>30000</v>
      </c>
      <c r="G113" s="110" t="n">
        <v>2000</v>
      </c>
      <c r="H113" s="111"/>
      <c r="I113" s="112" t="n">
        <f aca="false">'machinery costs'!K14</f>
        <v>2.01</v>
      </c>
      <c r="J113" s="113" t="s">
        <v>125</v>
      </c>
      <c r="K113" s="114" t="n">
        <f aca="false">0.21*E113</f>
        <v>0.21</v>
      </c>
      <c r="L113" s="115" t="s">
        <v>125</v>
      </c>
      <c r="M113" s="116" t="n">
        <v>0.15</v>
      </c>
      <c r="N113" s="68"/>
      <c r="O113" s="66"/>
    </row>
    <row r="114" customFormat="false" ht="12.5" hidden="false" customHeight="false" outlineLevel="0" collapsed="false">
      <c r="A114" s="66"/>
      <c r="C114" s="66"/>
      <c r="D114" s="66"/>
      <c r="E114" s="117"/>
      <c r="F114" s="118"/>
      <c r="G114" s="118"/>
      <c r="H114" s="118"/>
      <c r="I114" s="119"/>
      <c r="J114" s="120" t="s">
        <v>135</v>
      </c>
      <c r="K114" s="121" t="n">
        <f aca="false">SUM(K101:K112)*M117+(K113*M117*1.2)</f>
        <v>12.2928811487482</v>
      </c>
      <c r="L114" s="0"/>
      <c r="M114" s="122"/>
      <c r="N114" s="68"/>
      <c r="O114" s="66"/>
    </row>
    <row r="115" customFormat="false" ht="13" hidden="false" customHeight="false" outlineLevel="0" collapsed="false">
      <c r="A115" s="66"/>
      <c r="B115" s="123" t="s">
        <v>136</v>
      </c>
      <c r="C115" s="123"/>
      <c r="D115" s="123"/>
      <c r="E115" s="123"/>
      <c r="F115" s="124"/>
      <c r="G115" s="124"/>
      <c r="H115" s="124"/>
      <c r="I115" s="125" t="n">
        <f aca="false">SUM(I101:I113)</f>
        <v>130.4458828125</v>
      </c>
      <c r="J115" s="120" t="s">
        <v>137</v>
      </c>
      <c r="K115" s="121" t="n">
        <f aca="false">(K114*0.1)+K114</f>
        <v>13.522169263623</v>
      </c>
      <c r="L115" s="126" t="s">
        <v>138</v>
      </c>
      <c r="M115" s="121" t="n">
        <f aca="false">SUM(M101:M113)</f>
        <v>26.7793917332334</v>
      </c>
      <c r="N115" s="68"/>
      <c r="O115" s="66"/>
    </row>
    <row r="116" customFormat="false" ht="12.5" hidden="false" customHeight="false" outlineLevel="0" collapsed="false">
      <c r="A116" s="66"/>
      <c r="B116" s="123"/>
      <c r="C116" s="66"/>
      <c r="D116" s="66"/>
      <c r="E116" s="66"/>
      <c r="F116" s="127"/>
      <c r="G116" s="128"/>
      <c r="H116" s="128"/>
      <c r="I116" s="129"/>
      <c r="J116" s="123"/>
      <c r="K116" s="130"/>
      <c r="L116" s="130"/>
      <c r="M116" s="131"/>
      <c r="N116" s="68"/>
      <c r="O116" s="66"/>
    </row>
    <row r="117" customFormat="false" ht="12.5" hidden="false" customHeight="false" outlineLevel="0" collapsed="false">
      <c r="A117" s="66"/>
      <c r="B117" s="66"/>
      <c r="C117" s="123"/>
      <c r="D117" s="123"/>
      <c r="E117" s="123"/>
      <c r="F117" s="132"/>
      <c r="G117" s="132"/>
      <c r="H117" s="132"/>
      <c r="I117" s="132"/>
      <c r="J117" s="133" t="s">
        <v>139</v>
      </c>
      <c r="K117" s="133"/>
      <c r="L117" s="133"/>
      <c r="M117" s="134" t="n">
        <v>2.35</v>
      </c>
      <c r="N117" s="68"/>
      <c r="O117" s="66"/>
    </row>
    <row r="118" customFormat="false" ht="12.5" hidden="false" customHeight="false" outlineLevel="0" collapsed="false">
      <c r="A118" s="66" t="s">
        <v>140</v>
      </c>
      <c r="B118" s="123"/>
      <c r="C118" s="123"/>
      <c r="D118" s="123"/>
      <c r="E118" s="123"/>
      <c r="F118" s="132"/>
      <c r="G118" s="132"/>
      <c r="H118" s="132"/>
      <c r="I118" s="129"/>
      <c r="J118" s="123"/>
      <c r="K118" s="131"/>
      <c r="L118" s="131"/>
      <c r="M118" s="131"/>
      <c r="N118" s="68"/>
      <c r="O118" s="66"/>
    </row>
    <row r="119" customFormat="false" ht="12.5" hidden="false" customHeight="false" outlineLevel="0" collapsed="false">
      <c r="A119" s="66" t="s">
        <v>141</v>
      </c>
      <c r="B119" s="123"/>
      <c r="C119" s="123"/>
      <c r="D119" s="123"/>
      <c r="E119" s="123"/>
      <c r="F119" s="132"/>
      <c r="G119" s="132"/>
      <c r="H119" s="132"/>
      <c r="I119" s="129"/>
      <c r="J119" s="123"/>
      <c r="K119" s="131"/>
      <c r="L119" s="131"/>
      <c r="M119" s="131"/>
      <c r="N119" s="68"/>
      <c r="O119" s="66"/>
    </row>
    <row r="120" customFormat="false" ht="12.5" hidden="false" customHeight="false" outlineLevel="0" collapsed="false">
      <c r="A120" s="135" t="s">
        <v>142</v>
      </c>
      <c r="B120" s="66"/>
      <c r="C120" s="66"/>
      <c r="D120" s="66"/>
      <c r="E120" s="123"/>
      <c r="F120" s="132"/>
      <c r="G120" s="132"/>
      <c r="H120" s="132"/>
      <c r="I120" s="129"/>
      <c r="J120" s="123"/>
      <c r="K120" s="131"/>
      <c r="L120" s="131"/>
      <c r="M120" s="131"/>
      <c r="N120" s="68"/>
      <c r="O120" s="66"/>
    </row>
    <row r="121" customFormat="false" ht="12.5" hidden="false" customHeight="false" outlineLevel="0" collapsed="false">
      <c r="A121" s="66" t="s">
        <v>143</v>
      </c>
      <c r="B121" s="66"/>
      <c r="C121" s="66"/>
      <c r="D121" s="66"/>
      <c r="E121" s="66"/>
      <c r="F121" s="136"/>
      <c r="G121" s="136"/>
      <c r="H121" s="136"/>
      <c r="I121" s="129"/>
      <c r="J121" s="66"/>
      <c r="K121" s="68"/>
      <c r="L121" s="68"/>
      <c r="M121" s="68"/>
      <c r="N121" s="68"/>
      <c r="O121" s="66"/>
    </row>
    <row r="122" customFormat="false" ht="12.5" hidden="false" customHeight="false" outlineLevel="0" collapsed="false">
      <c r="A122" s="66" t="s">
        <v>144</v>
      </c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137"/>
      <c r="M122" s="68"/>
      <c r="N122" s="68"/>
      <c r="O122" s="66"/>
    </row>
    <row r="123" customFormat="false" ht="12.5" hidden="false" customHeight="false" outlineLevel="0" collapsed="false">
      <c r="A123" s="138" t="s">
        <v>145</v>
      </c>
      <c r="B123" s="66"/>
      <c r="C123" s="138"/>
      <c r="D123" s="66"/>
      <c r="E123" s="70"/>
      <c r="F123" s="70"/>
      <c r="G123" s="70"/>
      <c r="H123" s="70"/>
      <c r="I123" s="70"/>
      <c r="J123" s="66"/>
      <c r="K123" s="66"/>
      <c r="L123" s="68"/>
      <c r="M123" s="68"/>
      <c r="N123" s="68"/>
      <c r="O123" s="66"/>
    </row>
    <row r="124" customFormat="false" ht="12.5" hidden="false" customHeight="false" outlineLevel="0" collapsed="false">
      <c r="A124" s="66" t="s">
        <v>146</v>
      </c>
      <c r="B124" s="66"/>
      <c r="C124" s="66"/>
      <c r="D124" s="66"/>
      <c r="E124" s="70"/>
      <c r="F124" s="70"/>
      <c r="G124" s="70"/>
      <c r="H124" s="70"/>
      <c r="I124" s="70"/>
      <c r="J124" s="66"/>
      <c r="K124" s="66"/>
      <c r="L124" s="68"/>
      <c r="M124" s="68"/>
      <c r="N124" s="68"/>
      <c r="O124" s="66"/>
    </row>
    <row r="125" customFormat="false" ht="12.5" hidden="false" customHeight="false" outlineLevel="0" collapsed="false">
      <c r="A125" s="66" t="s">
        <v>147</v>
      </c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8"/>
      <c r="M125" s="68"/>
      <c r="N125" s="68"/>
      <c r="O125" s="66"/>
    </row>
    <row r="126" customFormat="false" ht="12.5" hidden="false" customHeight="false" outlineLevel="0" collapsed="false">
      <c r="A126" s="66" t="s">
        <v>148</v>
      </c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8"/>
      <c r="M126" s="68"/>
      <c r="N126" s="68"/>
      <c r="O126" s="66"/>
    </row>
    <row r="127" customFormat="false" ht="12.5" hidden="false" customHeight="false" outlineLevel="0" collapsed="false">
      <c r="A127" s="66" t="s">
        <v>149</v>
      </c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8"/>
      <c r="M127" s="68"/>
      <c r="N127" s="68"/>
      <c r="O127" s="66"/>
    </row>
    <row r="128" customFormat="false" ht="12.5" hidden="false" customHeight="false" outlineLevel="0" collapsed="false">
      <c r="A128" s="66" t="s">
        <v>150</v>
      </c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8"/>
      <c r="M128" s="68"/>
      <c r="N128" s="68"/>
      <c r="O128" s="66"/>
    </row>
    <row r="129" customFormat="false" ht="12.5" hidden="false" customHeight="false" outlineLevel="0" collapsed="false">
      <c r="A129" s="66" t="s">
        <v>151</v>
      </c>
    </row>
    <row r="130" customFormat="false" ht="12.5" hidden="false" customHeight="false" outlineLevel="0" collapsed="false">
      <c r="A130" s="19" t="s">
        <v>152</v>
      </c>
    </row>
  </sheetData>
  <mergeCells count="4">
    <mergeCell ref="M5:N5"/>
    <mergeCell ref="A6:D6"/>
    <mergeCell ref="E6:G6"/>
    <mergeCell ref="J117:L117"/>
  </mergeCells>
  <hyperlinks>
    <hyperlink ref="A120" r:id="rId1" display="Machinery and Equipment charge = "/>
  </hyperlinks>
  <printOptions headings="false" gridLines="false" gridLinesSet="true" horizontalCentered="true" verticalCentered="false"/>
  <pageMargins left="0.320138888888889" right="0.270138888888889" top="0.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63" man="true" max="16383" min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15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K15" activeCellId="0" sqref="K15"/>
    </sheetView>
  </sheetViews>
  <sheetFormatPr defaultRowHeight="12.5"/>
  <cols>
    <col collapsed="false" hidden="false" max="1" min="1" style="0" width="3.37244897959184"/>
    <col collapsed="false" hidden="false" max="2" min="2" style="0" width="7.69387755102041"/>
    <col collapsed="false" hidden="false" max="3" min="3" style="0" width="14.4438775510204"/>
    <col collapsed="false" hidden="false" max="4" min="4" style="0" width="16.7397959183673"/>
    <col collapsed="false" hidden="false" max="5" min="5" style="0" width="13.0918367346939"/>
    <col collapsed="false" hidden="false" max="6" min="6" style="0" width="13.6326530612245"/>
    <col collapsed="false" hidden="false" max="7" min="7" style="0" width="8.50510204081633"/>
    <col collapsed="false" hidden="false" max="8" min="8" style="0" width="11.6071428571429"/>
    <col collapsed="false" hidden="false" max="10" min="9" style="0" width="12.4183673469388"/>
    <col collapsed="false" hidden="false" max="11" min="11" style="0" width="11.4744897959184"/>
    <col collapsed="false" hidden="false" max="1025" min="12" style="0" width="8.50510204081633"/>
  </cols>
  <sheetData>
    <row r="1" customFormat="false" ht="12.5" hidden="false" customHeight="false" outlineLevel="0" collapsed="false">
      <c r="A1" s="0" t="s">
        <v>153</v>
      </c>
      <c r="D1" s="0" t="s">
        <v>154</v>
      </c>
      <c r="E1" s="0" t="s">
        <v>155</v>
      </c>
      <c r="F1" s="0" t="s">
        <v>156</v>
      </c>
      <c r="G1" s="0" t="s">
        <v>157</v>
      </c>
      <c r="H1" s="0" t="s">
        <v>158</v>
      </c>
      <c r="I1" s="0" t="s">
        <v>159</v>
      </c>
      <c r="J1" s="27" t="s">
        <v>160</v>
      </c>
      <c r="K1" s="139" t="s">
        <v>161</v>
      </c>
    </row>
    <row r="2" customFormat="false" ht="12.5" hidden="false" customHeight="false" outlineLevel="0" collapsed="false">
      <c r="A2" s="86" t="s">
        <v>120</v>
      </c>
      <c r="B2" s="86"/>
      <c r="C2" s="86"/>
      <c r="D2" s="140" t="n">
        <f aca="false">('corn-cons'!F101+('corn-cons'!F101*0.34)+E2)/2</f>
        <v>35918.125</v>
      </c>
      <c r="E2" s="140" t="n">
        <f aca="false">('corn-cons'!F101-('corn-cons'!F101*0.34))/8</f>
        <v>4166.25</v>
      </c>
      <c r="F2" s="141" t="n">
        <f aca="false">0.06*D2</f>
        <v>2155.0875</v>
      </c>
      <c r="G2" s="140" t="n">
        <f aca="false">0.005*D2</f>
        <v>179.590625</v>
      </c>
      <c r="H2" s="140" t="n">
        <f aca="false">0.01*D2</f>
        <v>359.18125</v>
      </c>
      <c r="I2" s="140" t="n">
        <f aca="false">SUM(E2:H2)</f>
        <v>6860.109375</v>
      </c>
      <c r="J2" s="141" t="n">
        <v>1000</v>
      </c>
      <c r="K2" s="142" t="n">
        <f aca="false">I2/J2</f>
        <v>6.860109375</v>
      </c>
      <c r="L2" s="143"/>
      <c r="N2" s="144"/>
      <c r="P2" s="144"/>
    </row>
    <row r="3" customFormat="false" ht="12.5" hidden="false" customHeight="false" outlineLevel="0" collapsed="false">
      <c r="A3" s="67" t="s">
        <v>121</v>
      </c>
      <c r="B3" s="67"/>
      <c r="C3" s="145"/>
      <c r="D3" s="143" t="n">
        <f aca="false">('corn-cons'!F102+('corn-cons'!F102*0.34)+E3)/2</f>
        <v>53699.375</v>
      </c>
      <c r="E3" s="143" t="n">
        <f aca="false">('corn-cons'!F102-('corn-cons'!F102*0.34))/8</f>
        <v>6228.75</v>
      </c>
      <c r="F3" s="143" t="n">
        <f aca="false">0.06*D3</f>
        <v>3221.9625</v>
      </c>
      <c r="G3" s="143" t="n">
        <f aca="false">0.005*D3</f>
        <v>268.496875</v>
      </c>
      <c r="H3" s="143" t="n">
        <f aca="false">0.01*D3</f>
        <v>536.99375</v>
      </c>
      <c r="I3" s="143" t="n">
        <f aca="false">SUM(E3:H3)</f>
        <v>10256.203125</v>
      </c>
      <c r="J3" s="143" t="n">
        <v>1000</v>
      </c>
      <c r="K3" s="146" t="n">
        <f aca="false">I3/J3</f>
        <v>10.256203125</v>
      </c>
      <c r="L3" s="143"/>
      <c r="N3" s="144"/>
      <c r="P3" s="144"/>
    </row>
    <row r="4" customFormat="false" ht="12.5" hidden="false" customHeight="false" outlineLevel="0" collapsed="false">
      <c r="A4" s="67" t="s">
        <v>122</v>
      </c>
      <c r="B4" s="67"/>
      <c r="C4" s="145"/>
      <c r="D4" s="143" t="n">
        <f aca="false">('corn-cons'!F103+('corn-cons'!F103*0.34)+E4)/2</f>
        <v>172478.125</v>
      </c>
      <c r="E4" s="143" t="n">
        <f aca="false">('corn-cons'!F103-('corn-cons'!F103*0.34))/8</f>
        <v>20006.25</v>
      </c>
      <c r="F4" s="143" t="n">
        <f aca="false">0.06*D4</f>
        <v>10348.6875</v>
      </c>
      <c r="G4" s="143" t="n">
        <f aca="false">0.005*D4</f>
        <v>862.390625</v>
      </c>
      <c r="H4" s="143" t="n">
        <f aca="false">0.01*D4</f>
        <v>1724.78125</v>
      </c>
      <c r="I4" s="143" t="n">
        <f aca="false">SUM(E4:H4)</f>
        <v>32942.109375</v>
      </c>
      <c r="J4" s="143" t="n">
        <v>2000</v>
      </c>
      <c r="K4" s="146" t="n">
        <f aca="false">I4/J4</f>
        <v>16.4710546875</v>
      </c>
      <c r="L4" s="143"/>
      <c r="N4" s="144"/>
      <c r="P4" s="144"/>
    </row>
    <row r="5" customFormat="false" ht="12.5" hidden="false" customHeight="false" outlineLevel="0" collapsed="false">
      <c r="A5" s="67" t="s">
        <v>123</v>
      </c>
      <c r="B5" s="67"/>
      <c r="C5" s="145"/>
      <c r="D5" s="143" t="n">
        <f aca="false">('corn-cons'!F104+('corn-cons'!F104*0.44)+E5)/2</f>
        <v>79652.5</v>
      </c>
      <c r="E5" s="143" t="n">
        <f aca="false">('corn-cons'!F104-('corn-cons'!F104*0.44))/8</f>
        <v>7385</v>
      </c>
      <c r="F5" s="143" t="n">
        <f aca="false">0.06*D5</f>
        <v>4779.15</v>
      </c>
      <c r="G5" s="143" t="n">
        <f aca="false">0.005*D5</f>
        <v>398.2625</v>
      </c>
      <c r="H5" s="143" t="n">
        <f aca="false">0.01*D5</f>
        <v>796.525</v>
      </c>
      <c r="I5" s="143" t="n">
        <f aca="false">SUM(E5:H5)</f>
        <v>13358.9375</v>
      </c>
      <c r="J5" s="143" t="n">
        <v>1000</v>
      </c>
      <c r="K5" s="146" t="n">
        <f aca="false">I5/J5</f>
        <v>13.3589375</v>
      </c>
      <c r="L5" s="143"/>
      <c r="N5" s="144"/>
      <c r="P5" s="144"/>
    </row>
    <row r="6" customFormat="false" ht="12.5" hidden="false" customHeight="false" outlineLevel="0" collapsed="false">
      <c r="A6" s="67" t="s">
        <v>162</v>
      </c>
      <c r="B6" s="67"/>
      <c r="C6" s="145"/>
      <c r="D6" s="143" t="n">
        <f aca="false">('corn-cons'!F105+('corn-cons'!F105*0.29)+E6)/2</f>
        <v>248175</v>
      </c>
      <c r="E6" s="143" t="n">
        <f aca="false">('corn-cons'!F105-('corn-cons'!F105*0.29))/8</f>
        <v>31950</v>
      </c>
      <c r="F6" s="143" t="n">
        <f aca="false">0.06*D6</f>
        <v>14890.5</v>
      </c>
      <c r="G6" s="147" t="n">
        <f aca="false">0.005*D6</f>
        <v>1240.875</v>
      </c>
      <c r="H6" s="143" t="n">
        <f aca="false">0.01*D6</f>
        <v>2481.75</v>
      </c>
      <c r="I6" s="143" t="n">
        <f aca="false">SUM(E6:H6)</f>
        <v>50563.125</v>
      </c>
      <c r="J6" s="143" t="n">
        <v>2000</v>
      </c>
      <c r="K6" s="146" t="n">
        <f aca="false">I6/J6</f>
        <v>25.2815625</v>
      </c>
      <c r="L6" s="143"/>
      <c r="N6" s="144"/>
      <c r="P6" s="144"/>
    </row>
    <row r="7" customFormat="false" ht="12.5" hidden="false" customHeight="false" outlineLevel="0" collapsed="false">
      <c r="A7" s="67"/>
      <c r="B7" s="67" t="s">
        <v>126</v>
      </c>
      <c r="C7" s="145"/>
      <c r="D7" s="143" t="n">
        <f aca="false">('corn-cons'!F106+('corn-cons'!F106*0.29)+E7)/2</f>
        <v>40673.125</v>
      </c>
      <c r="E7" s="143" t="n">
        <f aca="false">('corn-cons'!F106-('corn-cons'!F106*0.29))/8</f>
        <v>5236.25</v>
      </c>
      <c r="F7" s="143" t="n">
        <f aca="false">0.06*D7</f>
        <v>2440.3875</v>
      </c>
      <c r="G7" s="143" t="n">
        <f aca="false">0.005*D7</f>
        <v>203.365625</v>
      </c>
      <c r="H7" s="143" t="n">
        <f aca="false">0.01*D7</f>
        <v>406.73125</v>
      </c>
      <c r="I7" s="143" t="n">
        <f aca="false">SUM(E7:H7)</f>
        <v>8286.734375</v>
      </c>
      <c r="J7" s="143" t="n">
        <v>1000</v>
      </c>
      <c r="K7" s="146" t="n">
        <f aca="false">I7/J7</f>
        <v>8.286734375</v>
      </c>
      <c r="L7" s="143"/>
      <c r="N7" s="144"/>
      <c r="P7" s="144"/>
    </row>
    <row r="8" customFormat="false" ht="12.5" hidden="false" customHeight="false" outlineLevel="0" collapsed="false">
      <c r="A8" s="67" t="s">
        <v>127</v>
      </c>
      <c r="B8" s="67"/>
      <c r="C8" s="145"/>
      <c r="D8" s="143" t="n">
        <f aca="false">('corn-cons'!F107+('corn-cons'!F107*0.34)+E8)/2</f>
        <v>14936.25</v>
      </c>
      <c r="E8" s="143" t="n">
        <f aca="false">('corn-cons'!F107-('corn-cons'!F107*0.34))/8</f>
        <v>1732.5</v>
      </c>
      <c r="F8" s="143" t="n">
        <f aca="false">0.06*D8</f>
        <v>896.175</v>
      </c>
      <c r="G8" s="143" t="n">
        <f aca="false">0.005*D8</f>
        <v>74.68125</v>
      </c>
      <c r="H8" s="143" t="n">
        <f aca="false">0.01*D8</f>
        <v>149.3625</v>
      </c>
      <c r="I8" s="143" t="n">
        <f aca="false">SUM(E8:H8)</f>
        <v>2852.71875</v>
      </c>
      <c r="J8" s="143" t="n">
        <v>1000</v>
      </c>
      <c r="K8" s="146" t="n">
        <f aca="false">I8/J8</f>
        <v>2.85271875</v>
      </c>
      <c r="L8" s="143"/>
      <c r="N8" s="144"/>
      <c r="P8" s="144"/>
    </row>
    <row r="9" customFormat="false" ht="12.5" hidden="false" customHeight="false" outlineLevel="0" collapsed="false">
      <c r="A9" s="67" t="s">
        <v>128</v>
      </c>
      <c r="B9" s="67"/>
      <c r="C9" s="145"/>
      <c r="D9" s="143" t="n">
        <f aca="false">('corn-cons'!F108+('corn-cons'!F108*0.34)+E9)/2</f>
        <v>8535</v>
      </c>
      <c r="E9" s="143" t="n">
        <f aca="false">('corn-cons'!F108-('corn-cons'!F108*0.34))/8</f>
        <v>990</v>
      </c>
      <c r="F9" s="143" t="n">
        <f aca="false">0.06*D9</f>
        <v>512.1</v>
      </c>
      <c r="G9" s="143" t="n">
        <f aca="false">0.005*D9</f>
        <v>42.675</v>
      </c>
      <c r="H9" s="143" t="n">
        <f aca="false">0.01*D9</f>
        <v>85.35</v>
      </c>
      <c r="I9" s="143" t="n">
        <f aca="false">SUM(E9:H9)</f>
        <v>1630.125</v>
      </c>
      <c r="J9" s="143" t="n">
        <v>2000</v>
      </c>
      <c r="K9" s="146" t="n">
        <f aca="false">I9/J9</f>
        <v>0.8150625</v>
      </c>
      <c r="L9" s="143"/>
      <c r="N9" s="144"/>
      <c r="P9" s="144"/>
    </row>
    <row r="10" customFormat="false" ht="12.5" hidden="false" customHeight="false" outlineLevel="0" collapsed="false">
      <c r="A10" s="67" t="s">
        <v>129</v>
      </c>
      <c r="B10" s="67"/>
      <c r="C10" s="145"/>
      <c r="D10" s="143" t="n">
        <f aca="false">('corn-cons'!F109+('corn-cons'!F109*0.36)+E10)/2</f>
        <v>50400</v>
      </c>
      <c r="E10" s="143" t="n">
        <f aca="false">('corn-cons'!F109-('corn-cons'!F109*0.36))/8</f>
        <v>5600</v>
      </c>
      <c r="F10" s="143" t="n">
        <f aca="false">0.06*D10</f>
        <v>3024</v>
      </c>
      <c r="G10" s="143" t="n">
        <f aca="false">0.005*D10</f>
        <v>252</v>
      </c>
      <c r="H10" s="143" t="n">
        <f aca="false">0.01*D10</f>
        <v>504</v>
      </c>
      <c r="I10" s="143" t="n">
        <f aca="false">SUM(E10:H10)</f>
        <v>9380</v>
      </c>
      <c r="J10" s="143" t="n">
        <v>2000</v>
      </c>
      <c r="K10" s="146" t="n">
        <f aca="false">I10/J10</f>
        <v>4.69</v>
      </c>
      <c r="L10" s="143"/>
      <c r="N10" s="144"/>
      <c r="P10" s="144"/>
    </row>
    <row r="11" customFormat="false" ht="12.5" hidden="false" customHeight="false" outlineLevel="0" collapsed="false">
      <c r="A11" s="67" t="s">
        <v>131</v>
      </c>
      <c r="B11" s="67"/>
      <c r="C11" s="145"/>
      <c r="D11" s="143" t="n">
        <f aca="false">('corn-cons'!F110+('corn-cons'!F110*0.36)+E11)/2</f>
        <v>36360</v>
      </c>
      <c r="E11" s="143" t="n">
        <f aca="false">('corn-cons'!F110-('corn-cons'!F110*0.36))/8</f>
        <v>4040</v>
      </c>
      <c r="F11" s="143" t="n">
        <f aca="false">0.06*D11</f>
        <v>2181.6</v>
      </c>
      <c r="G11" s="143" t="n">
        <f aca="false">0.005*D11</f>
        <v>181.8</v>
      </c>
      <c r="H11" s="143" t="n">
        <f aca="false">0.01*D11</f>
        <v>363.6</v>
      </c>
      <c r="I11" s="143" t="n">
        <f aca="false">SUM(E11:H11)</f>
        <v>6767</v>
      </c>
      <c r="J11" s="143" t="n">
        <v>2000</v>
      </c>
      <c r="K11" s="146" t="n">
        <f aca="false">I11/J11</f>
        <v>3.3835</v>
      </c>
      <c r="L11" s="143"/>
      <c r="N11" s="144"/>
      <c r="P11" s="144"/>
    </row>
    <row r="12" customFormat="false" ht="12.5" hidden="false" customHeight="false" outlineLevel="0" collapsed="false">
      <c r="A12" s="67" t="s">
        <v>132</v>
      </c>
      <c r="B12" s="67"/>
      <c r="C12" s="145"/>
      <c r="D12" s="143" t="n">
        <f aca="false">('corn-cons'!F111+('corn-cons'!F111*0.36)+E12)/2</f>
        <v>197280</v>
      </c>
      <c r="E12" s="143" t="n">
        <f aca="false">('corn-cons'!F111-('corn-cons'!F111*0.36))/8</f>
        <v>21920</v>
      </c>
      <c r="F12" s="143" t="n">
        <f aca="false">0.06*D12</f>
        <v>11836.8</v>
      </c>
      <c r="G12" s="143" t="n">
        <f aca="false">0.005*D12</f>
        <v>986.4</v>
      </c>
      <c r="H12" s="143" t="n">
        <f aca="false">0.01*D12</f>
        <v>1972.8</v>
      </c>
      <c r="I12" s="143" t="n">
        <f aca="false">SUM(E12:H12)</f>
        <v>36716</v>
      </c>
      <c r="J12" s="143" t="n">
        <v>2000</v>
      </c>
      <c r="K12" s="146" t="n">
        <f aca="false">I12/J12</f>
        <v>18.358</v>
      </c>
      <c r="L12" s="143"/>
      <c r="N12" s="144"/>
      <c r="P12" s="144"/>
    </row>
    <row r="13" customFormat="false" ht="12.5" hidden="false" customHeight="false" outlineLevel="0" collapsed="false">
      <c r="A13" s="67" t="s">
        <v>133</v>
      </c>
      <c r="B13" s="67"/>
      <c r="C13" s="145"/>
      <c r="D13" s="143" t="n">
        <f aca="false">('corn-cons'!F112+('corn-cons'!F112*0.36)+E13)/2</f>
        <v>191520</v>
      </c>
      <c r="E13" s="143" t="n">
        <f aca="false">('corn-cons'!F112-('corn-cons'!F112*0.36))/8</f>
        <v>21280</v>
      </c>
      <c r="F13" s="143" t="n">
        <f aca="false">0.06*D13</f>
        <v>11491.2</v>
      </c>
      <c r="G13" s="143" t="n">
        <f aca="false">0.005*D13</f>
        <v>957.6</v>
      </c>
      <c r="H13" s="143" t="n">
        <f aca="false">0.01*D13</f>
        <v>1915.2</v>
      </c>
      <c r="I13" s="143" t="n">
        <f aca="false">SUM(E13:H13)</f>
        <v>35644</v>
      </c>
      <c r="J13" s="143" t="n">
        <v>2000</v>
      </c>
      <c r="K13" s="146" t="n">
        <f aca="false">I13/J13</f>
        <v>17.822</v>
      </c>
      <c r="L13" s="143"/>
      <c r="N13" s="144"/>
      <c r="P13" s="144"/>
    </row>
    <row r="14" customFormat="false" ht="12.5" hidden="false" customHeight="false" outlineLevel="0" collapsed="false">
      <c r="A14" s="107" t="s">
        <v>163</v>
      </c>
      <c r="B14" s="107"/>
      <c r="C14" s="107"/>
      <c r="D14" s="148" t="n">
        <f aca="false">('corn-cons'!F113+('corn-cons'!F113*0.36)+E14)/2</f>
        <v>21600</v>
      </c>
      <c r="E14" s="148" t="n">
        <f aca="false">('corn-cons'!F113-('corn-cons'!F113*0.36))/8</f>
        <v>2400</v>
      </c>
      <c r="F14" s="143" t="n">
        <f aca="false">0.06*D14</f>
        <v>1296</v>
      </c>
      <c r="G14" s="148" t="n">
        <f aca="false">0.005*D14</f>
        <v>108</v>
      </c>
      <c r="H14" s="148" t="n">
        <f aca="false">0.01*D14</f>
        <v>216</v>
      </c>
      <c r="I14" s="148" t="n">
        <f aca="false">SUM(E14:H14)</f>
        <v>4020</v>
      </c>
      <c r="J14" s="148" t="n">
        <v>2000</v>
      </c>
      <c r="K14" s="149" t="n">
        <f aca="false">I14/J14</f>
        <v>2.01</v>
      </c>
      <c r="L14" s="143"/>
      <c r="N14" s="144"/>
      <c r="P14" s="144"/>
    </row>
    <row r="15" customFormat="false" ht="12.5" hidden="false" customHeight="false" outlineLevel="0" collapsed="false">
      <c r="E15" s="144" t="n">
        <f aca="false">SUM(E2:E14)</f>
        <v>132935</v>
      </c>
      <c r="F15" s="140" t="n">
        <f aca="false">SUM(F2:F14)</f>
        <v>69073.65</v>
      </c>
      <c r="G15" s="144" t="n">
        <f aca="false">SUM(G2:G14)</f>
        <v>5756.1375</v>
      </c>
      <c r="H15" s="144" t="n">
        <f aca="false">SUM(H2:H14)</f>
        <v>11512.275</v>
      </c>
      <c r="I15" s="144" t="n">
        <f aca="false">SUM(I2:I14)</f>
        <v>219277.0625</v>
      </c>
      <c r="J15" s="144"/>
      <c r="K15" s="150" t="n">
        <f aca="false">SUM(K2:K14)</f>
        <v>130.4458828125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2.5"/>
  <cols>
    <col collapsed="false" hidden="false" max="3" min="1" style="0" width="8.50510204081633"/>
    <col collapsed="false" hidden="false" max="4" min="4" style="0" width="11.4744897959184"/>
    <col collapsed="false" hidden="false" max="5" min="5" style="0" width="8.50510204081633"/>
    <col collapsed="false" hidden="false" max="6" min="6" style="0" width="6.3469387755102"/>
    <col collapsed="false" hidden="false" max="7" min="7" style="0" width="15.1173469387755"/>
    <col collapsed="false" hidden="false" max="8" min="8" style="0" width="10.1224489795918"/>
    <col collapsed="false" hidden="false" max="9" min="9" style="0" width="14.8469387755102"/>
    <col collapsed="false" hidden="false" max="1025" min="10" style="0" width="8.50510204081633"/>
  </cols>
  <sheetData>
    <row r="1" customFormat="false" ht="12.5" hidden="false" customHeight="false" outlineLevel="0" collapsed="false">
      <c r="A1" s="151" t="s">
        <v>164</v>
      </c>
      <c r="B1" s="151"/>
      <c r="C1" s="151"/>
      <c r="D1" s="151"/>
      <c r="E1" s="151"/>
      <c r="F1" s="151"/>
      <c r="G1" s="151"/>
      <c r="H1" s="151"/>
      <c r="I1" s="151"/>
    </row>
    <row r="2" customFormat="false" ht="13" hidden="false" customHeight="false" outlineLevel="0" collapsed="false">
      <c r="A2" s="151"/>
      <c r="B2" s="151"/>
      <c r="C2" s="151"/>
      <c r="D2" s="151"/>
      <c r="E2" s="151"/>
      <c r="F2" s="151"/>
      <c r="G2" s="151"/>
      <c r="H2" s="151"/>
      <c r="I2" s="151"/>
    </row>
    <row r="3" customFormat="false" ht="20.5" hidden="false" customHeight="false" outlineLevel="0" collapsed="false">
      <c r="A3" s="152" t="s">
        <v>165</v>
      </c>
      <c r="B3" s="152"/>
      <c r="C3" s="152"/>
      <c r="D3" s="152" t="s">
        <v>166</v>
      </c>
      <c r="E3" s="152"/>
      <c r="F3" s="152"/>
      <c r="G3" s="153" t="s">
        <v>167</v>
      </c>
      <c r="H3" s="153"/>
      <c r="I3" s="153"/>
    </row>
    <row r="4" customFormat="false" ht="20" hidden="false" customHeight="false" outlineLevel="0" collapsed="false">
      <c r="A4" s="154" t="s">
        <v>168</v>
      </c>
      <c r="B4" s="155"/>
      <c r="C4" s="156"/>
      <c r="D4" s="156"/>
      <c r="E4" s="156"/>
      <c r="F4" s="156"/>
      <c r="G4" s="157" t="n">
        <f aca="false">'corn-cons'!$L$8</f>
        <v>163.1</v>
      </c>
      <c r="H4" s="158"/>
      <c r="I4" s="159" t="n">
        <f aca="false">'corn-cons'!$M$8</f>
        <v>195.7</v>
      </c>
    </row>
    <row r="5" customFormat="false" ht="20" hidden="false" customHeight="false" outlineLevel="0" collapsed="false">
      <c r="A5" s="160" t="s">
        <v>169</v>
      </c>
      <c r="B5" s="160"/>
      <c r="C5" s="161"/>
      <c r="D5" s="162" t="n">
        <f aca="false">'corn-cons'!I10</f>
        <v>3.65</v>
      </c>
      <c r="E5" s="161" t="s">
        <v>170</v>
      </c>
      <c r="F5" s="163"/>
      <c r="G5" s="164" t="n">
        <f aca="false">'corn-cons'!$L$10</f>
        <v>595.315</v>
      </c>
      <c r="H5" s="164"/>
      <c r="I5" s="165" t="n">
        <f aca="false">'corn-cons'!$M$10</f>
        <v>714.305</v>
      </c>
    </row>
    <row r="6" customFormat="false" ht="7.5" hidden="false" customHeight="true" outlineLevel="0" collapsed="false">
      <c r="F6" s="166"/>
      <c r="G6" s="167"/>
      <c r="H6" s="167"/>
      <c r="I6" s="167"/>
    </row>
    <row r="7" customFormat="false" ht="20" hidden="false" customHeight="false" outlineLevel="0" collapsed="false">
      <c r="A7" s="168" t="s">
        <v>171</v>
      </c>
      <c r="B7" s="169"/>
      <c r="C7" s="155"/>
      <c r="D7" s="170"/>
      <c r="E7" s="156"/>
      <c r="F7" s="156"/>
      <c r="G7" s="170"/>
      <c r="H7" s="170"/>
      <c r="I7" s="170"/>
    </row>
    <row r="8" customFormat="false" ht="20" hidden="false" customHeight="false" outlineLevel="0" collapsed="false">
      <c r="A8" s="171" t="s">
        <v>172</v>
      </c>
      <c r="B8" s="171"/>
      <c r="C8" s="171"/>
      <c r="D8" s="172" t="n">
        <f aca="false">'corn-cons'!$I$19</f>
        <v>275</v>
      </c>
      <c r="E8" s="163" t="s">
        <v>25</v>
      </c>
      <c r="F8" s="163"/>
      <c r="G8" s="164" t="n">
        <f aca="false">'corn-cons'!$L$18</f>
        <v>110</v>
      </c>
      <c r="H8" s="164"/>
      <c r="I8" s="165" t="n">
        <f aca="false">'corn-cons'!$M$18</f>
        <v>116.875</v>
      </c>
    </row>
    <row r="9" customFormat="false" ht="24" hidden="false" customHeight="false" outlineLevel="0" collapsed="false">
      <c r="A9" s="171" t="s">
        <v>173</v>
      </c>
      <c r="B9" s="171"/>
      <c r="C9" s="171"/>
      <c r="D9" s="173" t="n">
        <f aca="false">'corn-cons'!$F$72</f>
        <v>750</v>
      </c>
      <c r="E9" s="171" t="s">
        <v>33</v>
      </c>
      <c r="F9" s="171"/>
      <c r="G9" s="174" t="n">
        <f aca="false">'corn-cons'!$L$22</f>
        <v>85.3731707317073</v>
      </c>
      <c r="H9" s="174"/>
      <c r="I9" s="175" t="n">
        <f aca="false">'corn-cons'!$M$22</f>
        <v>105.648780487805</v>
      </c>
    </row>
    <row r="10" customFormat="false" ht="24" hidden="false" customHeight="false" outlineLevel="0" collapsed="false">
      <c r="A10" s="171" t="s">
        <v>174</v>
      </c>
      <c r="B10" s="171"/>
      <c r="C10" s="171"/>
      <c r="D10" s="173" t="n">
        <f aca="false">'corn-cons'!$I$72</f>
        <v>590</v>
      </c>
      <c r="E10" s="171" t="s">
        <v>33</v>
      </c>
      <c r="F10" s="171"/>
      <c r="G10" s="174" t="n">
        <f aca="false">'corn-cons'!$L$23</f>
        <v>34.2353173076923</v>
      </c>
      <c r="H10" s="174"/>
      <c r="I10" s="175" t="n">
        <f aca="false">'corn-cons'!$M$23</f>
        <v>41.0781826923077</v>
      </c>
    </row>
    <row r="11" customFormat="false" ht="24" hidden="false" customHeight="false" outlineLevel="0" collapsed="false">
      <c r="A11" s="171" t="s">
        <v>175</v>
      </c>
      <c r="B11" s="171"/>
      <c r="C11" s="171"/>
      <c r="D11" s="173" t="n">
        <f aca="false">'corn-cons'!$M$72</f>
        <v>480</v>
      </c>
      <c r="E11" s="171" t="s">
        <v>33</v>
      </c>
      <c r="F11" s="171"/>
      <c r="G11" s="174" t="n">
        <f aca="false">'corn-cons'!$L$24</f>
        <v>17.6148</v>
      </c>
      <c r="H11" s="174"/>
      <c r="I11" s="175" t="n">
        <f aca="false">'corn-cons'!$M$24</f>
        <v>21.1356</v>
      </c>
    </row>
    <row r="12" customFormat="false" ht="20" hidden="false" customHeight="false" outlineLevel="0" collapsed="false">
      <c r="A12" s="171" t="s">
        <v>176</v>
      </c>
      <c r="B12" s="171"/>
      <c r="C12" s="171"/>
      <c r="D12" s="171"/>
      <c r="E12" s="171"/>
      <c r="F12" s="171"/>
      <c r="G12" s="174" t="n">
        <f aca="false">SUM('corn-cons'!$L$26:$L$28)</f>
        <v>56.08</v>
      </c>
      <c r="H12" s="174"/>
      <c r="I12" s="175" t="n">
        <f aca="false">SUM('corn-cons'!$N$26:$N$28)</f>
        <v>56.08</v>
      </c>
    </row>
    <row r="13" customFormat="false" ht="20" hidden="false" customHeight="false" outlineLevel="0" collapsed="false">
      <c r="A13" s="160" t="s">
        <v>177</v>
      </c>
      <c r="B13" s="160"/>
      <c r="C13" s="160"/>
      <c r="D13" s="176" t="n">
        <f aca="false">'corn-cons'!$M$117</f>
        <v>2.35</v>
      </c>
      <c r="E13" s="160" t="s">
        <v>178</v>
      </c>
      <c r="F13" s="160"/>
      <c r="G13" s="177" t="n">
        <f aca="false">'corn-cons'!$L$31</f>
        <v>13.522169263623</v>
      </c>
      <c r="H13" s="177"/>
      <c r="I13" s="178" t="n">
        <f aca="false">'corn-cons'!$M$31</f>
        <v>13.522169263623</v>
      </c>
    </row>
    <row r="14" customFormat="false" ht="20.25" hidden="false" customHeight="true" outlineLevel="0" collapsed="false">
      <c r="C14" s="179" t="s">
        <v>179</v>
      </c>
      <c r="G14" s="177" t="n">
        <f aca="false">('corn-cons'!$L$38)/G4</f>
        <v>2.52383368362853</v>
      </c>
      <c r="H14" s="119"/>
      <c r="I14" s="177" t="n">
        <f aca="false">('corn-cons'!$M$38)/I4</f>
        <v>2.37126723879474</v>
      </c>
    </row>
    <row r="15" customFormat="false" ht="20" hidden="false" customHeight="false" outlineLevel="0" collapsed="false">
      <c r="A15" s="168" t="s">
        <v>180</v>
      </c>
      <c r="B15" s="155"/>
      <c r="C15" s="156"/>
      <c r="D15" s="156"/>
      <c r="E15" s="156"/>
      <c r="F15" s="180"/>
      <c r="G15" s="181"/>
      <c r="H15" s="181"/>
      <c r="I15" s="181"/>
    </row>
    <row r="16" customFormat="false" ht="20" hidden="false" customHeight="false" outlineLevel="0" collapsed="false">
      <c r="A16" s="182" t="s">
        <v>181</v>
      </c>
      <c r="B16" s="182"/>
      <c r="C16" s="182"/>
      <c r="D16" s="182"/>
      <c r="E16" s="182"/>
      <c r="F16" s="182"/>
      <c r="G16" s="164" t="n">
        <f aca="false">'corn-cons'!$L$42+'corn-cons'!L$43</f>
        <v>75.82825</v>
      </c>
      <c r="H16" s="183"/>
      <c r="I16" s="165" t="n">
        <f aca="false">'corn-cons'!$M$42+'corn-cons'!$M$43</f>
        <v>81.77775</v>
      </c>
    </row>
    <row r="17" customFormat="false" ht="20" hidden="false" customHeight="false" outlineLevel="0" collapsed="false">
      <c r="A17" s="184" t="s">
        <v>113</v>
      </c>
      <c r="B17" s="184"/>
      <c r="C17" s="184"/>
      <c r="D17" s="184"/>
      <c r="E17" s="184"/>
      <c r="F17" s="184"/>
      <c r="G17" s="174" t="n">
        <f aca="false">'corn-cons'!$L$44</f>
        <v>130.4458828125</v>
      </c>
      <c r="H17" s="174"/>
      <c r="I17" s="175" t="n">
        <f aca="false">'corn-cons'!$M$44</f>
        <v>130.4458828125</v>
      </c>
    </row>
    <row r="18" customFormat="false" ht="20" hidden="false" customHeight="false" outlineLevel="0" collapsed="false">
      <c r="A18" s="185" t="s">
        <v>182</v>
      </c>
      <c r="B18" s="185"/>
      <c r="C18" s="185"/>
      <c r="D18" s="185"/>
      <c r="E18" s="185"/>
      <c r="F18" s="185"/>
      <c r="G18" s="177" t="n">
        <f aca="false">'corn-cons'!$L$45</f>
        <v>205</v>
      </c>
      <c r="H18" s="177"/>
      <c r="I18" s="178" t="n">
        <f aca="false">'corn-cons'!$M$45</f>
        <v>268</v>
      </c>
    </row>
    <row r="19" customFormat="false" ht="21" hidden="false" customHeight="true" outlineLevel="0" collapsed="false">
      <c r="C19" s="179" t="s">
        <v>179</v>
      </c>
      <c r="G19" s="174" t="n">
        <f aca="false">'corn-cons'!$L$51</f>
        <v>5.19258986273644</v>
      </c>
      <c r="H19" s="119"/>
      <c r="I19" s="174" t="n">
        <f aca="false">'corn-cons'!$M$51</f>
        <v>4.94778043661027</v>
      </c>
    </row>
    <row r="20" customFormat="false" ht="20" hidden="false" customHeight="false" outlineLevel="0" collapsed="false">
      <c r="A20" s="168" t="s">
        <v>183</v>
      </c>
      <c r="B20" s="155"/>
      <c r="C20" s="156"/>
      <c r="D20" s="156"/>
      <c r="E20" s="156"/>
      <c r="F20" s="156"/>
      <c r="G20" s="170"/>
      <c r="H20" s="170"/>
      <c r="I20" s="170"/>
    </row>
    <row r="21" customFormat="false" ht="20" hidden="false" customHeight="false" outlineLevel="0" collapsed="false">
      <c r="A21" s="182" t="s">
        <v>184</v>
      </c>
      <c r="B21" s="182"/>
      <c r="C21" s="182"/>
      <c r="D21" s="182"/>
      <c r="E21" s="182"/>
      <c r="F21" s="182"/>
      <c r="G21" s="164" t="n">
        <f aca="false">'corn-cons'!$L$55</f>
        <v>-230.346406612313</v>
      </c>
      <c r="H21" s="164"/>
      <c r="I21" s="165" t="n">
        <f aca="false">'corn-cons'!$M$55</f>
        <v>-232.72563144463</v>
      </c>
    </row>
    <row r="22" customFormat="false" ht="20" hidden="false" customHeight="false" outlineLevel="0" collapsed="false">
      <c r="A22" s="160" t="s">
        <v>185</v>
      </c>
      <c r="B22" s="160"/>
      <c r="C22" s="160"/>
      <c r="D22" s="160"/>
      <c r="E22" s="160"/>
      <c r="F22" s="171"/>
      <c r="G22" s="174" t="n">
        <f aca="false">'corn-cons'!$L$56</f>
        <v>-25.3464066123134</v>
      </c>
      <c r="H22" s="174"/>
      <c r="I22" s="175" t="n">
        <f aca="false">'corn-cons'!$M$56</f>
        <v>35.2743685553695</v>
      </c>
    </row>
    <row r="23" customFormat="false" ht="15.5" hidden="false" customHeight="false" outlineLevel="0" collapsed="false">
      <c r="A23" s="186"/>
      <c r="B23" s="186"/>
      <c r="C23" s="186"/>
      <c r="D23" s="186"/>
      <c r="E23" s="186"/>
      <c r="F23" s="187"/>
      <c r="G23" s="187"/>
      <c r="H23" s="187"/>
      <c r="I23" s="187"/>
    </row>
  </sheetData>
  <mergeCells count="4">
    <mergeCell ref="A1:I2"/>
    <mergeCell ref="A3:C3"/>
    <mergeCell ref="D3:F3"/>
    <mergeCell ref="G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2.5"/>
  <cols>
    <col collapsed="false" hidden="false" max="3" min="1" style="0" width="8.50510204081633"/>
    <col collapsed="false" hidden="false" max="4" min="4" style="0" width="12.2857142857143"/>
    <col collapsed="false" hidden="false" max="5" min="5" style="0" width="8.50510204081633"/>
    <col collapsed="false" hidden="false" max="7" min="6" style="0" width="13.0918367346939"/>
    <col collapsed="false" hidden="false" max="8" min="8" style="0" width="8.50510204081633"/>
    <col collapsed="false" hidden="false" max="9" min="9" style="0" width="15.6581632653061"/>
    <col collapsed="false" hidden="false" max="1025" min="10" style="0" width="8.50510204081633"/>
  </cols>
  <sheetData>
    <row r="1" customFormat="false" ht="12.5" hidden="false" customHeight="false" outlineLevel="0" collapsed="false">
      <c r="A1" s="151" t="s">
        <v>164</v>
      </c>
      <c r="B1" s="151"/>
      <c r="C1" s="151"/>
      <c r="D1" s="151"/>
      <c r="E1" s="151"/>
      <c r="F1" s="151"/>
      <c r="G1" s="151"/>
      <c r="H1" s="151"/>
      <c r="I1" s="151"/>
    </row>
    <row r="2" customFormat="false" ht="13" hidden="false" customHeight="false" outlineLevel="0" collapsed="false">
      <c r="A2" s="151"/>
      <c r="B2" s="151"/>
      <c r="C2" s="151"/>
      <c r="D2" s="151"/>
      <c r="E2" s="151"/>
      <c r="F2" s="151"/>
      <c r="G2" s="151"/>
      <c r="H2" s="151"/>
      <c r="I2" s="151"/>
    </row>
    <row r="3" customFormat="false" ht="20.5" hidden="false" customHeight="false" outlineLevel="0" collapsed="false">
      <c r="A3" s="152" t="s">
        <v>165</v>
      </c>
      <c r="B3" s="152"/>
      <c r="C3" s="152"/>
      <c r="D3" s="152" t="s">
        <v>166</v>
      </c>
      <c r="E3" s="152"/>
      <c r="F3" s="152"/>
      <c r="G3" s="153" t="s">
        <v>167</v>
      </c>
      <c r="H3" s="153"/>
      <c r="I3" s="153"/>
    </row>
    <row r="4" customFormat="false" ht="20" hidden="false" customHeight="false" outlineLevel="0" collapsed="false">
      <c r="A4" s="154" t="s">
        <v>168</v>
      </c>
      <c r="B4" s="155"/>
      <c r="C4" s="156"/>
      <c r="D4" s="156"/>
      <c r="E4" s="156"/>
      <c r="F4" s="156"/>
      <c r="G4" s="157" t="n">
        <f aca="false">'corn-cons'!$L$8</f>
        <v>163.1</v>
      </c>
      <c r="H4" s="158"/>
      <c r="I4" s="159" t="n">
        <f aca="false">'corn-cons'!$M$8</f>
        <v>195.7</v>
      </c>
    </row>
    <row r="5" customFormat="false" ht="20" hidden="false" customHeight="false" outlineLevel="0" collapsed="false">
      <c r="A5" s="160" t="s">
        <v>169</v>
      </c>
      <c r="B5" s="160"/>
      <c r="C5" s="161"/>
      <c r="D5" s="162" t="n">
        <f aca="false">'corn-cons'!I10</f>
        <v>3.65</v>
      </c>
      <c r="E5" s="161" t="s">
        <v>170</v>
      </c>
      <c r="F5" s="163"/>
      <c r="G5" s="164" t="n">
        <f aca="false">'corn-cons'!$L$10</f>
        <v>595.315</v>
      </c>
      <c r="H5" s="164"/>
      <c r="I5" s="165" t="n">
        <f aca="false">'corn-cons'!$M$10</f>
        <v>714.305</v>
      </c>
    </row>
    <row r="6" customFormat="false" ht="20" hidden="false" customHeight="false" outlineLevel="0" collapsed="false">
      <c r="F6" s="166"/>
      <c r="G6" s="167"/>
      <c r="H6" s="167"/>
      <c r="I6" s="167"/>
    </row>
    <row r="7" customFormat="false" ht="20" hidden="false" customHeight="false" outlineLevel="0" collapsed="false">
      <c r="A7" s="168" t="s">
        <v>171</v>
      </c>
      <c r="B7" s="169"/>
      <c r="C7" s="155"/>
      <c r="D7" s="170"/>
      <c r="E7" s="156"/>
      <c r="F7" s="156"/>
      <c r="G7" s="170"/>
      <c r="H7" s="170"/>
      <c r="I7" s="170"/>
    </row>
    <row r="8" customFormat="false" ht="20" hidden="false" customHeight="false" outlineLevel="0" collapsed="false">
      <c r="A8" s="160" t="s">
        <v>186</v>
      </c>
      <c r="B8" s="160"/>
      <c r="C8" s="160"/>
      <c r="D8" s="188"/>
      <c r="E8" s="161"/>
      <c r="F8" s="161"/>
      <c r="G8" s="189" t="n">
        <f aca="false">'corn-cons'!$L$38</f>
        <v>411.637273799814</v>
      </c>
      <c r="H8" s="189"/>
      <c r="I8" s="190" t="n">
        <f aca="false">'corn-cons'!$M$38</f>
        <v>464.056998632131</v>
      </c>
    </row>
    <row r="9" customFormat="false" ht="20" hidden="false" customHeight="false" outlineLevel="0" collapsed="false">
      <c r="C9" s="179" t="s">
        <v>187</v>
      </c>
      <c r="G9" s="191" t="n">
        <f aca="false">('corn-cons'!$L$38)/G4</f>
        <v>2.52383368362853</v>
      </c>
      <c r="H9" s="119"/>
      <c r="I9" s="191" t="n">
        <f aca="false">('corn-cons'!$M$38)/I4</f>
        <v>2.37126723879474</v>
      </c>
    </row>
    <row r="10" customFormat="false" ht="20" hidden="false" customHeight="false" outlineLevel="0" collapsed="false">
      <c r="A10" s="168" t="s">
        <v>180</v>
      </c>
      <c r="B10" s="155"/>
      <c r="C10" s="156"/>
      <c r="D10" s="156"/>
      <c r="E10" s="156"/>
      <c r="F10" s="180"/>
      <c r="G10" s="181"/>
      <c r="H10" s="181"/>
      <c r="I10" s="181"/>
    </row>
    <row r="11" customFormat="false" ht="20" hidden="false" customHeight="false" outlineLevel="0" collapsed="false">
      <c r="A11" s="182" t="s">
        <v>188</v>
      </c>
      <c r="B11" s="182"/>
      <c r="C11" s="182"/>
      <c r="D11" s="182"/>
      <c r="E11" s="182"/>
      <c r="F11" s="182"/>
      <c r="G11" s="164" t="n">
        <f aca="false">'corn-cons'!$L$48</f>
        <v>435.2741328125</v>
      </c>
      <c r="H11" s="183"/>
      <c r="I11" s="165" t="n">
        <f aca="false">'corn-cons'!$M$48</f>
        <v>504.2236328125</v>
      </c>
    </row>
    <row r="12" customFormat="false" ht="20" hidden="false" customHeight="false" outlineLevel="0" collapsed="false">
      <c r="A12" s="192" t="s">
        <v>189</v>
      </c>
      <c r="B12" s="193"/>
      <c r="C12" s="194"/>
      <c r="D12" s="195"/>
      <c r="E12" s="195"/>
      <c r="F12" s="195"/>
      <c r="G12" s="196"/>
      <c r="H12" s="196"/>
      <c r="I12" s="196"/>
    </row>
    <row r="13" customFormat="false" ht="20" hidden="false" customHeight="false" outlineLevel="0" collapsed="false">
      <c r="A13" s="185" t="s">
        <v>189</v>
      </c>
      <c r="B13" s="185"/>
      <c r="C13" s="185"/>
      <c r="D13" s="185"/>
      <c r="E13" s="185"/>
      <c r="F13" s="185"/>
      <c r="G13" s="177" t="n">
        <f aca="false">'corn-cons'!$L$50</f>
        <v>846.911406612313</v>
      </c>
      <c r="H13" s="177"/>
      <c r="I13" s="178" t="n">
        <f aca="false">'corn-cons'!$M$50</f>
        <v>968.280631444631</v>
      </c>
    </row>
    <row r="14" customFormat="false" ht="20" hidden="false" customHeight="false" outlineLevel="0" collapsed="false">
      <c r="C14" s="179" t="s">
        <v>179</v>
      </c>
      <c r="G14" s="191" t="n">
        <f aca="false">'corn-cons'!$L$51</f>
        <v>5.19258986273644</v>
      </c>
      <c r="H14" s="119"/>
      <c r="I14" s="191" t="n">
        <f aca="false">'corn-cons'!$M$51</f>
        <v>4.94778043661027</v>
      </c>
    </row>
    <row r="15" customFormat="false" ht="20" hidden="false" customHeight="false" outlineLevel="0" collapsed="false">
      <c r="A15" s="168" t="s">
        <v>183</v>
      </c>
      <c r="B15" s="155"/>
      <c r="C15" s="156"/>
      <c r="D15" s="156"/>
      <c r="E15" s="156"/>
      <c r="F15" s="156"/>
      <c r="G15" s="170"/>
      <c r="H15" s="170"/>
      <c r="I15" s="170"/>
    </row>
    <row r="16" customFormat="false" ht="20" hidden="false" customHeight="false" outlineLevel="0" collapsed="false">
      <c r="A16" s="197" t="s">
        <v>190</v>
      </c>
      <c r="B16" s="182"/>
      <c r="C16" s="182"/>
      <c r="D16" s="182"/>
      <c r="E16" s="182"/>
      <c r="F16" s="182"/>
      <c r="G16" s="164" t="n">
        <f aca="false">'corn-cons'!$L$53</f>
        <v>204.927726200186</v>
      </c>
      <c r="H16" s="164"/>
      <c r="I16" s="165" t="n">
        <f aca="false">'corn-cons'!$M$53</f>
        <v>271.498001367869</v>
      </c>
    </row>
    <row r="17" customFormat="false" ht="20" hidden="false" customHeight="false" outlineLevel="0" collapsed="false">
      <c r="A17" s="198" t="s">
        <v>191</v>
      </c>
      <c r="B17" s="171"/>
      <c r="C17" s="171"/>
      <c r="D17" s="171"/>
      <c r="E17" s="171"/>
      <c r="F17" s="171"/>
      <c r="G17" s="174" t="n">
        <f aca="false">'corn-cons'!$L$54</f>
        <v>-0.0722737998136154</v>
      </c>
      <c r="H17" s="174"/>
      <c r="I17" s="175" t="n">
        <f aca="false">'corn-cons'!$M$54</f>
        <v>3.49800136786951</v>
      </c>
    </row>
    <row r="18" customFormat="false" ht="20" hidden="false" customHeight="false" outlineLevel="0" collapsed="false">
      <c r="A18" s="198" t="s">
        <v>192</v>
      </c>
      <c r="B18" s="184"/>
      <c r="C18" s="184"/>
      <c r="D18" s="184"/>
      <c r="E18" s="184"/>
      <c r="F18" s="184"/>
      <c r="G18" s="174" t="n">
        <f aca="false">'corn-cons'!$L$55</f>
        <v>-230.346406612313</v>
      </c>
      <c r="H18" s="174"/>
      <c r="I18" s="175" t="n">
        <f aca="false">'corn-cons'!$M$55</f>
        <v>-232.72563144463</v>
      </c>
    </row>
    <row r="19" customFormat="false" ht="20" hidden="false" customHeight="false" outlineLevel="0" collapsed="false">
      <c r="A19" s="199" t="s">
        <v>185</v>
      </c>
      <c r="B19" s="171"/>
      <c r="C19" s="171"/>
      <c r="D19" s="171"/>
      <c r="E19" s="171"/>
      <c r="F19" s="171"/>
      <c r="G19" s="174" t="n">
        <f aca="false">'corn-cons'!$L$56</f>
        <v>-25.3464066123134</v>
      </c>
      <c r="H19" s="174"/>
      <c r="I19" s="175" t="n">
        <f aca="false">'corn-cons'!$M$56</f>
        <v>35.2743685553695</v>
      </c>
    </row>
    <row r="20" customFormat="false" ht="20" hidden="false" customHeight="false" outlineLevel="0" collapsed="false">
      <c r="A20" s="198" t="s">
        <v>193</v>
      </c>
      <c r="B20" s="184"/>
      <c r="C20" s="184"/>
      <c r="D20" s="184"/>
      <c r="E20" s="184"/>
      <c r="F20" s="184"/>
      <c r="G20" s="174" t="n">
        <f aca="false">'corn-cons'!$L$57</f>
        <v>-154.518156612313</v>
      </c>
      <c r="H20" s="174"/>
      <c r="I20" s="175" t="n">
        <f aca="false">'corn-cons'!$M$57</f>
        <v>-150.947881444631</v>
      </c>
    </row>
    <row r="21" customFormat="false" ht="20" hidden="false" customHeight="false" outlineLevel="0" collapsed="false">
      <c r="A21" s="200" t="s">
        <v>194</v>
      </c>
      <c r="B21" s="160"/>
      <c r="C21" s="160"/>
      <c r="D21" s="160"/>
      <c r="E21" s="160"/>
      <c r="F21" s="160"/>
      <c r="G21" s="177" t="n">
        <f aca="false">'corn-cons'!$L$58</f>
        <v>50.4818433876866</v>
      </c>
      <c r="H21" s="177"/>
      <c r="I21" s="178" t="n">
        <f aca="false">'corn-cons'!$M$58</f>
        <v>117.05211855537</v>
      </c>
    </row>
  </sheetData>
  <mergeCells count="4">
    <mergeCell ref="A1:I2"/>
    <mergeCell ref="A3:C3"/>
    <mergeCell ref="D3:F3"/>
    <mergeCell ref="G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Dept. of Ag., Env., &amp; Dev. Economics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2002-12-27T15:34:03Z</dcterms:created>
  <dc:creator>Robert Moore</dc:creator>
  <dc:description/>
  <dc:language>en-US</dc:language>
  <cp:lastModifiedBy>Julie Moose</cp:lastModifiedBy>
  <cp:lastPrinted>2015-05-15T16:35:18Z</cp:lastPrinted>
  <dcterms:modified xsi:type="dcterms:W3CDTF">2016-12-01T16:37:03Z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Dept. of Ag., Env., &amp; Dev. Economics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