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r-soy-notill" sheetId="1" state="visible" r:id="rId2"/>
    <sheet name="machinery costs" sheetId="2" state="visible" r:id="rId3"/>
    <sheet name="Quick Stats" sheetId="3" state="visible" r:id="rId4"/>
  </sheets>
  <definedNames>
    <definedName function="false" hidden="false" localSheetId="0" name="_xlnm.Print_Area" vbProcedure="false">'rr-soy-notill'!$A$1:$N$110</definedName>
    <definedName function="false" hidden="false" localSheetId="0" name="_xlnm.Print_Area" vbProcedure="false">'rr-soy-notill'!$A$1:$N$110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<sst xmlns="http://schemas.openxmlformats.org/spreadsheetml/2006/main" count="189" uniqueCount="162">
  <si>
    <t xml:space="preserve">SOYBEAN PRODUCTION BUDGET (Roundup Ready) - 2013</t>
  </si>
  <si>
    <t xml:space="preserve">No-Tillage Practices</t>
  </si>
  <si>
    <t xml:space="preserve">Reflects 2000 acres, Conservation Tillage Corn/No-Till RR Soybeans</t>
  </si>
  <si>
    <t xml:space="preserve">Updated:</t>
  </si>
  <si>
    <t xml:space="preserve">ITEM</t>
  </si>
  <si>
    <t xml:space="preserve">EXPLANATION</t>
  </si>
  <si>
    <t xml:space="preserve">YOUR</t>
  </si>
  <si>
    <t xml:space="preserve">PRICE PER</t>
  </si>
  <si>
    <t xml:space="preserve">YIELD (bu/A)</t>
  </si>
  <si>
    <t xml:space="preserve">YOUR </t>
  </si>
  <si>
    <t xml:space="preserve">PROD.</t>
  </si>
  <si>
    <t xml:space="preserve">UNIT</t>
  </si>
  <si>
    <t xml:space="preserve">BUDGET</t>
  </si>
  <si>
    <t xml:space="preserve">NUMBERS</t>
  </si>
  <si>
    <t xml:space="preserve">RECEIPTS</t>
  </si>
  <si>
    <r>
      <rPr>
        <sz val="10"/>
        <rFont val="Arial"/>
        <family val="2"/>
        <charset val="1"/>
      </rPr>
      <t xml:space="preserve">Soybeans </t>
    </r>
    <r>
      <rPr>
        <vertAlign val="superscript"/>
        <sz val="10"/>
        <rFont val="Arial"/>
        <family val="2"/>
        <charset val="1"/>
      </rPr>
      <t xml:space="preserve">1</t>
    </r>
  </si>
  <si>
    <t xml:space="preserve">bu</t>
  </si>
  <si>
    <t xml:space="preserve">Grower or Market Premium</t>
  </si>
  <si>
    <t xml:space="preserve">TOTAL RECEIPTS</t>
  </si>
  <si>
    <t xml:space="preserve">VARIABLE  COSTS</t>
  </si>
  <si>
    <r>
      <rPr>
        <sz val="10"/>
        <rFont val="Arial"/>
        <family val="2"/>
        <charset val="1"/>
      </rPr>
      <t xml:space="preserve">Seed </t>
    </r>
    <r>
      <rPr>
        <vertAlign val="superscript"/>
        <sz val="10"/>
        <rFont val="Arial"/>
        <family val="2"/>
        <charset val="1"/>
      </rPr>
      <t xml:space="preserve">4</t>
    </r>
  </si>
  <si>
    <t xml:space="preserve">seeds</t>
  </si>
  <si>
    <t xml:space="preserve">/1000</t>
  </si>
  <si>
    <r>
      <rPr>
        <sz val="10"/>
        <rFont val="Arial"/>
        <family val="2"/>
        <charset val="1"/>
      </rPr>
      <t xml:space="preserve">Fertilizer</t>
    </r>
    <r>
      <rPr>
        <vertAlign val="superscript"/>
        <sz val="10"/>
        <rFont val="Arial"/>
        <family val="2"/>
        <charset val="1"/>
      </rPr>
      <t xml:space="preserve"> 5</t>
    </r>
  </si>
  <si>
    <t xml:space="preserve">/acre</t>
  </si>
  <si>
    <t xml:space="preserve">P2O5(lbs)</t>
  </si>
  <si>
    <t xml:space="preserve">lb</t>
  </si>
  <si>
    <t xml:space="preserve">K2O(lbs)</t>
  </si>
  <si>
    <t xml:space="preserve">Lime(ton)</t>
  </si>
  <si>
    <t xml:space="preserve">ton</t>
  </si>
  <si>
    <r>
      <rPr>
        <sz val="10"/>
        <rFont val="Arial"/>
        <family val="2"/>
        <charset val="1"/>
      </rPr>
      <t xml:space="preserve">Chemicals </t>
    </r>
    <r>
      <rPr>
        <vertAlign val="superscript"/>
        <sz val="10"/>
        <rFont val="Arial"/>
        <family val="2"/>
        <charset val="1"/>
      </rPr>
      <t xml:space="preserve">6</t>
    </r>
  </si>
  <si>
    <t xml:space="preserve">Herbicide</t>
  </si>
  <si>
    <t xml:space="preserve">Insecticide</t>
  </si>
  <si>
    <t xml:space="preserve">Fungicide</t>
  </si>
  <si>
    <t xml:space="preserve">Trucking - Fuel Only</t>
  </si>
  <si>
    <t xml:space="preserve">/gal Diesel</t>
  </si>
  <si>
    <t xml:space="preserve">miles</t>
  </si>
  <si>
    <r>
      <rPr>
        <sz val="10"/>
        <rFont val="Arial"/>
        <family val="2"/>
        <charset val="1"/>
      </rPr>
      <t xml:space="preserve">Fuel, Oil, Grease</t>
    </r>
    <r>
      <rPr>
        <vertAlign val="superscript"/>
        <sz val="10"/>
        <rFont val="Arial"/>
        <family val="2"/>
        <charset val="1"/>
      </rPr>
      <t xml:space="preserve"> 7</t>
    </r>
  </si>
  <si>
    <r>
      <rPr>
        <sz val="10"/>
        <rFont val="Arial"/>
        <family val="2"/>
        <charset val="1"/>
      </rPr>
      <t xml:space="preserve">Repairs </t>
    </r>
    <r>
      <rPr>
        <vertAlign val="superscript"/>
        <sz val="10"/>
        <rFont val="Arial"/>
        <family val="2"/>
        <charset val="1"/>
      </rPr>
      <t xml:space="preserve">8</t>
    </r>
  </si>
  <si>
    <r>
      <rPr>
        <sz val="10"/>
        <rFont val="Arial"/>
        <family val="2"/>
        <charset val="1"/>
      </rPr>
      <t xml:space="preserve">Crop Insurance </t>
    </r>
    <r>
      <rPr>
        <vertAlign val="superscript"/>
        <sz val="10"/>
        <rFont val="Arial"/>
        <family val="2"/>
        <charset val="1"/>
      </rPr>
      <t xml:space="preserve">9</t>
    </r>
  </si>
  <si>
    <r>
      <rPr>
        <sz val="10"/>
        <rFont val="Arial"/>
        <family val="2"/>
        <charset val="1"/>
      </rPr>
      <t xml:space="preserve">Miscellaneous </t>
    </r>
    <r>
      <rPr>
        <vertAlign val="superscript"/>
        <sz val="10"/>
        <rFont val="Arial"/>
        <family val="2"/>
        <charset val="1"/>
      </rPr>
      <t xml:space="preserve">10</t>
    </r>
  </si>
  <si>
    <r>
      <rPr>
        <sz val="10"/>
        <rFont val="Arial"/>
        <family val="2"/>
        <charset val="1"/>
      </rPr>
      <t xml:space="preserve">Int. on Oper. Cap. </t>
    </r>
    <r>
      <rPr>
        <vertAlign val="superscript"/>
        <sz val="10"/>
        <rFont val="Arial"/>
        <family val="2"/>
        <charset val="1"/>
      </rPr>
      <t xml:space="preserve">11</t>
    </r>
  </si>
  <si>
    <t xml:space="preserve">mo.</t>
  </si>
  <si>
    <r>
      <rPr>
        <sz val="10"/>
        <rFont val="Arial"/>
        <family val="2"/>
        <charset val="1"/>
      </rPr>
      <t xml:space="preserve">Hired Labor </t>
    </r>
    <r>
      <rPr>
        <vertAlign val="superscript"/>
        <sz val="10"/>
        <rFont val="Arial"/>
        <family val="2"/>
        <charset val="1"/>
      </rPr>
      <t xml:space="preserve">12</t>
    </r>
  </si>
  <si>
    <t xml:space="preserve">TOTAL VARIABLE COSTS</t>
  </si>
  <si>
    <t xml:space="preserve">-Per Acre</t>
  </si>
  <si>
    <t xml:space="preserve">-Per Bushel</t>
  </si>
  <si>
    <t xml:space="preserve">FIXED COSTS</t>
  </si>
  <si>
    <r>
      <rPr>
        <sz val="10"/>
        <rFont val="Arial"/>
        <family val="2"/>
        <charset val="1"/>
      </rPr>
      <t xml:space="preserve">Labor Charge</t>
    </r>
    <r>
      <rPr>
        <vertAlign val="superscript"/>
        <sz val="10"/>
        <rFont val="Arial"/>
        <family val="2"/>
        <charset val="1"/>
      </rPr>
      <t xml:space="preserve"> 12</t>
    </r>
  </si>
  <si>
    <t xml:space="preserve">hours</t>
  </si>
  <si>
    <t xml:space="preserve">/hr</t>
  </si>
  <si>
    <t xml:space="preserve">Management Charge</t>
  </si>
  <si>
    <t xml:space="preserve">of gross income</t>
  </si>
  <si>
    <r>
      <rPr>
        <sz val="10"/>
        <rFont val="Arial"/>
        <family val="2"/>
        <charset val="1"/>
      </rPr>
      <t xml:space="preserve">Mach. and Equip. Charge </t>
    </r>
    <r>
      <rPr>
        <vertAlign val="superscript"/>
        <sz val="10"/>
        <rFont val="Arial"/>
        <family val="2"/>
        <charset val="1"/>
      </rPr>
      <t xml:space="preserve">13</t>
    </r>
  </si>
  <si>
    <r>
      <rPr>
        <sz val="10"/>
        <rFont val="Arial"/>
        <family val="2"/>
        <charset val="1"/>
      </rPr>
      <t xml:space="preserve">Land Charge</t>
    </r>
    <r>
      <rPr>
        <vertAlign val="superscript"/>
        <sz val="10"/>
        <rFont val="Arial"/>
        <family val="2"/>
        <charset val="1"/>
      </rPr>
      <t xml:space="preserve">14</t>
    </r>
  </si>
  <si>
    <t xml:space="preserve">TOTAL FIXED COSTS</t>
  </si>
  <si>
    <t xml:space="preserve">TOTAL COSTS</t>
  </si>
  <si>
    <r>
      <rPr>
        <b val="true"/>
        <sz val="10"/>
        <rFont val="Arial"/>
        <family val="2"/>
        <charset val="1"/>
      </rPr>
      <t xml:space="preserve">RETURN TO LABOR AND MANAGEMENT </t>
    </r>
    <r>
      <rPr>
        <b val="true"/>
        <vertAlign val="superscript"/>
        <sz val="10"/>
        <rFont val="Arial"/>
        <family val="2"/>
        <charset val="1"/>
      </rPr>
      <t xml:space="preserve">15</t>
    </r>
  </si>
  <si>
    <t xml:space="preserve">RETURN TO LAND</t>
  </si>
  <si>
    <t xml:space="preserve">RETURN ABOVE VARIABLE COSTS</t>
  </si>
  <si>
    <t xml:space="preserve">RETURN ABOVE TOTAL COSTS</t>
  </si>
  <si>
    <t xml:space="preserve">RETURN TO LAND, LABOR, AND MANAGEMENT</t>
  </si>
  <si>
    <t xml:space="preserve">Values highlighted in gold may be changed to assist in computing "Your Budget" Column using macros embeded within  </t>
  </si>
  <si>
    <t xml:space="preserve">the spreadsheet.</t>
  </si>
  <si>
    <t xml:space="preserve">Values highlighted in light blue are cells embedded with macros and will be calculated for the user based on data entered.</t>
  </si>
  <si>
    <t xml:space="preserve">These cells may be input manually, but macros will be overwritten!</t>
  </si>
  <si>
    <t xml:space="preserve">Values highlighted in gray are stand alone cells that require direct input from the user.</t>
  </si>
  <si>
    <t xml:space="preserve">Yield is based on Ohio Ag Stats Trend Yield for Ohio (1970-Present), plus and minus 20%</t>
  </si>
  <si>
    <t xml:space="preserve">Price is based on current Ohio November Forward contract price</t>
  </si>
  <si>
    <t xml:space="preserve">Seed costs are per 1000 seeds, treated.</t>
  </si>
  <si>
    <t xml:space="preserve">Assumes only maintenance application of fertilizer needed, soil test values of 25 ppm P/A and 150 ppm K/A.</t>
  </si>
  <si>
    <t xml:space="preserve">Fertilizer prices vary over time and by area.  Check with local sources for current prices.</t>
  </si>
  <si>
    <t xml:space="preserve">Assumes MAP(11-52-0):</t>
  </si>
  <si>
    <t xml:space="preserve">/ton</t>
  </si>
  <si>
    <t xml:space="preserve">Potash(0-0-60):</t>
  </si>
  <si>
    <t xml:space="preserve">Based on use of: fall applied glyphosate (with surfactant and AMS) plus 2,4-D, preplant Valor XLT, </t>
  </si>
  <si>
    <t xml:space="preserve">post glyphosate X 2 (with adjuvant and AMS). Roundup Ready soybeans are often used in part as a tool for perennial </t>
  </si>
  <si>
    <t xml:space="preserve">weed control.  While this intrinsic value is not included in the budget, it should be considered when exploring </t>
  </si>
  <si>
    <t xml:space="preserve">opportunities with Roundup Ready soybeans.</t>
  </si>
  <si>
    <t xml:space="preserve">See table below for specific calculations.  Lubrication costs are assumed to be 10% of fuel costs.</t>
  </si>
  <si>
    <t xml:space="preserve">See table below for specific calculations.</t>
  </si>
  <si>
    <t xml:space="preserve">Crop Insurance cost is based Revenue Protection at 75% coverage level and 100% Price Protection Level. </t>
  </si>
  <si>
    <t xml:space="preserve">Includes supplies, utilities, soil tests, small tools, software/hardware, transport of supplies and equipment, etc…</t>
  </si>
  <si>
    <t xml:space="preserve">Interest on all variable costs, except trucking.</t>
  </si>
  <si>
    <t xml:space="preserve">Part or all of labor may be a variable cost if paid labor varies with acres farmed. </t>
  </si>
  <si>
    <t xml:space="preserve">It’s considered a fixed cost if labor costs do not change with acres farmed.</t>
  </si>
  <si>
    <t xml:space="preserve">Reflects 2000 acres, no-till RR soybeans/conservation tillage corn. See table below for specific calculations.</t>
  </si>
  <si>
    <t xml:space="preserve">Average based on "Ohio Cropland Values and Cash Rents" OSUE Factsheet. </t>
  </si>
  <si>
    <t xml:space="preserve">Land charges vary throughout the state, check your local rates.</t>
  </si>
  <si>
    <t xml:space="preserve">Return to labor and management is the revenue less total expenses except operator labor and management.</t>
  </si>
  <si>
    <t xml:space="preserve">It is a measure of the returns to the operator's labor and management.</t>
  </si>
  <si>
    <t xml:space="preserve">Machinery Inventory</t>
  </si>
  <si>
    <t xml:space="preserve">Number times used</t>
  </si>
  <si>
    <t xml:space="preserve">Machinery Cost</t>
  </si>
  <si>
    <t xml:space="preserve">Acres per Year</t>
  </si>
  <si>
    <t xml:space="preserve">Cost per Acre</t>
  </si>
  <si>
    <t xml:space="preserve">Acres/  Hr</t>
  </si>
  <si>
    <t xml:space="preserve">Fuel*        (gal/A)</t>
  </si>
  <si>
    <t xml:space="preserve">Hours / Year</t>
  </si>
  <si>
    <t xml:space="preserve">Repairs ($/A)</t>
  </si>
  <si>
    <t xml:space="preserve">Boom Sprayer, Self Prop.</t>
  </si>
  <si>
    <t xml:space="preserve">30 Ft No-Till Drill</t>
  </si>
  <si>
    <t xml:space="preserve">Combine 340 HP</t>
  </si>
  <si>
    <t xml:space="preserve">-----</t>
  </si>
  <si>
    <t xml:space="preserve">30' Grain Head</t>
  </si>
  <si>
    <t xml:space="preserve">2 Semi Tractor Trailer**</t>
  </si>
  <si>
    <t xml:space="preserve">***</t>
  </si>
  <si>
    <t xml:space="preserve">Fertilizer Spreader</t>
  </si>
  <si>
    <t xml:space="preserve">Grain Cart</t>
  </si>
  <si>
    <t xml:space="preserve">310 HP Tractor</t>
  </si>
  <si>
    <t xml:space="preserve">105 HP Tractor</t>
  </si>
  <si>
    <t xml:space="preserve">Pickup Truck (1/2)**</t>
  </si>
  <si>
    <t xml:space="preserve">Fuel</t>
  </si>
  <si>
    <t xml:space="preserve">Machinery and Equipment Charge</t>
  </si>
  <si>
    <t xml:space="preserve">F&amp;L</t>
  </si>
  <si>
    <t xml:space="preserve">Repairs</t>
  </si>
  <si>
    <t xml:space="preserve">Price of Diesel Fuel</t>
  </si>
  <si>
    <t xml:space="preserve">Machinery cost estimates, fuel estimates and cost calculations based on information from the "Farm Machinery Cost Estimates"</t>
  </si>
  <si>
    <t xml:space="preserve">See the reference online at:</t>
  </si>
  <si>
    <t xml:space="preserve">http://faculty.apec.umn.edu/wlazarus/documents/machdata.pdf</t>
  </si>
  <si>
    <t xml:space="preserve">Machinery and Equipment charge = </t>
  </si>
  <si>
    <t xml:space="preserve">Cost per Acre = Machinery Cost (New Cost) Assumes 8 Year Useful Life using Straight Line Depreciation,</t>
  </si>
  <si>
    <t xml:space="preserve"> 6.0% Interest on Average Value, 0.5% Insurance Cost on Average Value and 1.0% Housing Cost on Average Value.</t>
  </si>
  <si>
    <t xml:space="preserve">Salvage Values are based on ASAE formulas.</t>
  </si>
  <si>
    <t xml:space="preserve">Machines are all assumed to be new and in the first year of use (Except for Semi Tractor Trailer and Pickup Truck). </t>
  </si>
  <si>
    <t xml:space="preserve">The "machinery cost" tab (next tab at the bottom of this worksheet) shows details of "Machinery and Equipment Charge per Acre".</t>
  </si>
  <si>
    <t xml:space="preserve">*Fuel calculations are based on the implement plus tractor.</t>
  </si>
  <si>
    <t xml:space="preserve">**Semi Tractor Trailer and Pickup Truck are assumed to be used equipment.</t>
  </si>
  <si>
    <t xml:space="preserve">***Fuel for Semi is included in Budget as Trucking - Fuel Only</t>
  </si>
  <si>
    <t xml:space="preserve">Prepared by: Barry Ward, Leader, Production Business Management; Laura Lindsey, Extension Soybean and Small Grain Specialist, </t>
  </si>
  <si>
    <t xml:space="preserve">Mark Loux, Extension Specialist - Weed Management in Field Crops</t>
  </si>
  <si>
    <t xml:space="preserve">Machinery</t>
  </si>
  <si>
    <t xml:space="preserve">Average Value</t>
  </si>
  <si>
    <t xml:space="preserve">Depreciation</t>
  </si>
  <si>
    <t xml:space="preserve">Cost Capital</t>
  </si>
  <si>
    <t xml:space="preserve">Insurance</t>
  </si>
  <si>
    <t xml:space="preserve">Housing</t>
  </si>
  <si>
    <t xml:space="preserve">Total</t>
  </si>
  <si>
    <t xml:space="preserve">Acres/Year</t>
  </si>
  <si>
    <t xml:space="preserve">Cost/acre</t>
  </si>
  <si>
    <t xml:space="preserve">SOYBEAN SELECTED BUDGET STATS - 2013</t>
  </si>
  <si>
    <t xml:space="preserve">Item</t>
  </si>
  <si>
    <t xml:space="preserve">Input</t>
  </si>
  <si>
    <t xml:space="preserve">Yield in bushels/acre</t>
  </si>
  <si>
    <t xml:space="preserve">Receipts</t>
  </si>
  <si>
    <t xml:space="preserve">Soybean Price</t>
  </si>
  <si>
    <t xml:space="preserve">/bushel</t>
  </si>
  <si>
    <t xml:space="preserve">Variable Costs</t>
  </si>
  <si>
    <t xml:space="preserve">Seed Cost</t>
  </si>
  <si>
    <t xml:space="preserve">/1000 seeds</t>
  </si>
  <si>
    <r>
      <rPr>
        <sz val="16"/>
        <rFont val="Arial"/>
        <family val="2"/>
        <charset val="1"/>
      </rPr>
      <t xml:space="preserve">P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</t>
    </r>
    <r>
      <rPr>
        <vertAlign val="subscript"/>
        <sz val="16"/>
        <rFont val="Arial"/>
        <family val="2"/>
        <charset val="1"/>
      </rPr>
      <t xml:space="preserve">5   </t>
    </r>
    <r>
      <rPr>
        <sz val="16"/>
        <rFont val="Arial"/>
        <family val="2"/>
        <charset val="1"/>
      </rPr>
      <t xml:space="preserve">(MAP)</t>
    </r>
  </si>
  <si>
    <r>
      <rPr>
        <sz val="16"/>
        <rFont val="Arial"/>
        <family val="2"/>
        <charset val="1"/>
      </rPr>
      <t xml:space="preserve">K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   (Potash)</t>
    </r>
  </si>
  <si>
    <t xml:space="preserve">Chemicals</t>
  </si>
  <si>
    <t xml:space="preserve">Fuel/Diesel </t>
  </si>
  <si>
    <t xml:space="preserve">/gallon</t>
  </si>
  <si>
    <t xml:space="preserve">Fixed Costs</t>
  </si>
  <si>
    <t xml:space="preserve">Labor and Management</t>
  </si>
  <si>
    <t xml:space="preserve">Land Rent</t>
  </si>
  <si>
    <t xml:space="preserve">Breakeven Cost</t>
  </si>
  <si>
    <t xml:space="preserve">Returns</t>
  </si>
  <si>
    <t xml:space="preserve">Return to Total Costs</t>
  </si>
  <si>
    <t xml:space="preserve">Return to Land</t>
  </si>
</sst>
</file>

<file path=xl/styles.xml><?xml version="1.0" encoding="utf-8"?>
<styleSheet xmlns="http://schemas.openxmlformats.org/spreadsheetml/2006/main">
  <numFmts count="21">
    <numFmt numFmtId="164" formatCode="General"/>
    <numFmt numFmtId="165" formatCode="0.00"/>
    <numFmt numFmtId="166" formatCode="M/D/YYYY"/>
    <numFmt numFmtId="167" formatCode="0"/>
    <numFmt numFmtId="168" formatCode="\$#,##0.00"/>
    <numFmt numFmtId="169" formatCode="#,##0.00"/>
    <numFmt numFmtId="170" formatCode="0.000"/>
    <numFmt numFmtId="171" formatCode="#,##0"/>
    <numFmt numFmtId="172" formatCode="0.00%"/>
    <numFmt numFmtId="173" formatCode="@"/>
    <numFmt numFmtId="174" formatCode="0.00_);[RED]\(0.00\)"/>
    <numFmt numFmtId="175" formatCode="0_);[RED]\(0\)"/>
    <numFmt numFmtId="176" formatCode="0%"/>
    <numFmt numFmtId="177" formatCode="#,##0.00_);[RED]\(#,##0.00\)"/>
    <numFmt numFmtId="178" formatCode="\$#,##0"/>
    <numFmt numFmtId="179" formatCode="0.0"/>
    <numFmt numFmtId="180" formatCode="_(\$* #,##0.00_);_(\$* \(#,##0.00\);_(\$* \-??_);_(@_)"/>
    <numFmt numFmtId="181" formatCode="#,##0.00_);\(#,##0.00\)"/>
    <numFmt numFmtId="182" formatCode="_(* #,##0.00_);_(* \(#,##0.00\);_(* \-??_);_(@_)"/>
    <numFmt numFmtId="183" formatCode="_(* #,##0_);_(* \(#,##0\);_(* \-??_);_(@_)"/>
    <numFmt numFmtId="184" formatCode="\$#,##0.00_);&quot;($&quot;#,##0.00\)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i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sz val="9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9"/>
      <color rgb="FF0000FF"/>
      <name val="Arial"/>
      <family val="2"/>
      <charset val="1"/>
    </font>
    <font>
      <b val="true"/>
      <sz val="9"/>
      <name val="Arial"/>
      <family val="2"/>
      <charset val="1"/>
    </font>
    <font>
      <sz val="8"/>
      <name val="Arial"/>
      <family val="2"/>
      <charset val="1"/>
    </font>
    <font>
      <sz val="10"/>
      <color rgb="FFFF0000"/>
      <name val="Arial"/>
      <family val="2"/>
      <charset val="1"/>
    </font>
    <font>
      <sz val="22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i val="true"/>
      <sz val="16"/>
      <name val="Arial"/>
      <family val="2"/>
      <charset val="1"/>
    </font>
    <font>
      <vertAlign val="subscript"/>
      <sz val="16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FF"/>
        <bgColor rgb="FFCCECFF"/>
      </patternFill>
    </fill>
    <fill>
      <patternFill patternType="solid">
        <fgColor rgb="FFC0C0C0"/>
        <bgColor rgb="FFBFBFBF"/>
      </patternFill>
    </fill>
    <fill>
      <patternFill patternType="solid">
        <fgColor rgb="FF99CCFF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CCECFF"/>
        <bgColor rgb="FFCCFFFF"/>
      </patternFill>
    </fill>
    <fill>
      <patternFill patternType="solid">
        <fgColor rgb="FFBFBFBF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8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13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3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84" fontId="13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4" fontId="13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7" fillId="7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1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EC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50760</xdr:colOff>
      <xdr:row>0</xdr:row>
      <xdr:rowOff>139680</xdr:rowOff>
    </xdr:from>
    <xdr:to>
      <xdr:col>2</xdr:col>
      <xdr:colOff>514080</xdr:colOff>
      <xdr:row>4</xdr:row>
      <xdr:rowOff>75960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231480" y="139680"/>
          <a:ext cx="644400" cy="723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110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D1" activeCellId="0" sqref="D1"/>
    </sheetView>
  </sheetViews>
  <sheetFormatPr defaultRowHeight="12.5"/>
  <cols>
    <col collapsed="false" hidden="false" max="2" min="1" style="0" width="2.56632653061224"/>
    <col collapsed="false" hidden="false" max="5" min="3" style="0" width="8.50510204081633"/>
    <col collapsed="false" hidden="false" max="6" min="6" style="0" width="9.17857142857143"/>
    <col collapsed="false" hidden="false" max="8" min="7" style="0" width="9.31632653061224"/>
    <col collapsed="false" hidden="false" max="9" min="9" style="0" width="7.4234693877551"/>
    <col collapsed="false" hidden="false" max="10" min="10" style="0" width="6.0765306122449"/>
    <col collapsed="false" hidden="false" max="11" min="11" style="1" width="6.88265306122449"/>
    <col collapsed="false" hidden="false" max="12" min="12" style="1" width="7.29081632653061"/>
    <col collapsed="false" hidden="false" max="13" min="13" style="1" width="6.88265306122449"/>
    <col collapsed="false" hidden="false" max="14" min="14" style="0" width="8.63775510204082"/>
    <col collapsed="false" hidden="false" max="15" min="15" style="0" width="8.50510204081633"/>
    <col collapsed="false" hidden="false" max="16" min="16" style="0" width="9.17857142857143"/>
    <col collapsed="false" hidden="false" max="1025" min="17" style="0" width="8.50510204081633"/>
  </cols>
  <sheetData>
    <row r="1" customFormat="false" ht="15.5" hidden="false" customHeight="false" outlineLevel="0" collapsed="false">
      <c r="A1" s="2"/>
      <c r="B1" s="2"/>
      <c r="C1" s="2"/>
      <c r="D1" s="3" t="s">
        <v>0</v>
      </c>
      <c r="E1" s="3"/>
      <c r="F1" s="3"/>
      <c r="G1" s="3"/>
      <c r="H1" s="3"/>
      <c r="I1" s="3"/>
      <c r="J1" s="3"/>
      <c r="K1" s="3"/>
      <c r="L1" s="3"/>
      <c r="M1" s="3"/>
      <c r="N1" s="4"/>
    </row>
    <row r="2" customFormat="false" ht="15.5" hidden="false" customHeight="false" outlineLevel="0" collapsed="false">
      <c r="A2" s="2"/>
      <c r="B2" s="2"/>
      <c r="C2" s="2"/>
      <c r="D2" s="3" t="s">
        <v>1</v>
      </c>
      <c r="E2" s="3"/>
      <c r="F2" s="3"/>
      <c r="G2" s="3"/>
      <c r="H2" s="3"/>
      <c r="I2" s="3"/>
      <c r="J2" s="3"/>
      <c r="K2" s="3"/>
      <c r="L2" s="3"/>
      <c r="M2" s="3"/>
      <c r="N2" s="2"/>
    </row>
    <row r="3" customFormat="false" ht="15.5" hidden="false" customHeight="false" outlineLevel="0" collapsed="false">
      <c r="A3" s="2"/>
      <c r="B3" s="2"/>
      <c r="C3" s="2"/>
      <c r="D3" s="5"/>
      <c r="E3" s="6" t="s">
        <v>2</v>
      </c>
      <c r="F3" s="6"/>
      <c r="G3" s="6"/>
      <c r="H3" s="6"/>
      <c r="I3" s="6"/>
      <c r="J3" s="6"/>
      <c r="K3" s="6"/>
      <c r="L3" s="5"/>
      <c r="M3" s="5"/>
      <c r="N3" s="2"/>
    </row>
    <row r="4" customFormat="false" ht="15.5" hidden="false" customHeight="false" outlineLevel="0" collapsed="false">
      <c r="A4" s="2"/>
      <c r="B4" s="2"/>
      <c r="C4" s="2"/>
      <c r="D4" s="2"/>
      <c r="E4" s="7"/>
      <c r="F4" s="8"/>
      <c r="G4" s="3"/>
      <c r="H4" s="3"/>
      <c r="I4" s="8"/>
      <c r="J4" s="8"/>
      <c r="K4" s="9" t="s">
        <v>3</v>
      </c>
      <c r="L4" s="9"/>
      <c r="M4" s="10" t="n">
        <v>41409</v>
      </c>
      <c r="N4" s="10"/>
    </row>
    <row r="5" customFormat="false" ht="15.5" hidden="false" customHeight="false" outlineLevel="0" collapsed="false">
      <c r="A5" s="2"/>
      <c r="B5" s="2"/>
      <c r="C5" s="2"/>
      <c r="D5" s="2"/>
      <c r="F5" s="7"/>
      <c r="G5" s="2"/>
      <c r="H5" s="2"/>
      <c r="I5" s="8"/>
      <c r="J5" s="11"/>
      <c r="K5" s="12"/>
      <c r="L5" s="12"/>
      <c r="M5" s="12"/>
      <c r="N5" s="2"/>
    </row>
    <row r="6" customFormat="false" ht="13" hidden="false" customHeight="false" outlineLevel="0" collapsed="false">
      <c r="A6" s="13"/>
      <c r="B6" s="13" t="s">
        <v>4</v>
      </c>
      <c r="C6" s="13"/>
      <c r="D6" s="13"/>
      <c r="E6" s="14" t="s">
        <v>5</v>
      </c>
      <c r="F6" s="14"/>
      <c r="G6" s="14"/>
      <c r="H6" s="14" t="s">
        <v>6</v>
      </c>
      <c r="I6" s="14" t="s">
        <v>7</v>
      </c>
      <c r="J6" s="14"/>
      <c r="K6" s="15" t="s">
        <v>8</v>
      </c>
      <c r="L6" s="15"/>
      <c r="M6" s="15"/>
      <c r="N6" s="14" t="s">
        <v>9</v>
      </c>
    </row>
    <row r="7" customFormat="false" ht="13" hidden="false" customHeight="false" outlineLevel="0" collapsed="false">
      <c r="A7" s="16"/>
      <c r="B7" s="16"/>
      <c r="C7" s="16"/>
      <c r="D7" s="16"/>
      <c r="E7" s="16"/>
      <c r="F7" s="16"/>
      <c r="G7" s="16"/>
      <c r="H7" s="17" t="s">
        <v>10</v>
      </c>
      <c r="I7" s="17" t="s">
        <v>11</v>
      </c>
      <c r="J7" s="17"/>
      <c r="K7" s="18"/>
      <c r="L7" s="18"/>
      <c r="M7" s="18"/>
      <c r="N7" s="17" t="s">
        <v>12</v>
      </c>
    </row>
    <row r="8" customFormat="false" ht="13" hidden="false" customHeight="false" outlineLevel="0" collapsed="false">
      <c r="A8" s="19"/>
      <c r="B8" s="19"/>
      <c r="C8" s="19"/>
      <c r="D8" s="19"/>
      <c r="E8" s="19"/>
      <c r="F8" s="19"/>
      <c r="G8" s="19"/>
      <c r="H8" s="20" t="s">
        <v>13</v>
      </c>
      <c r="I8" s="19"/>
      <c r="J8" s="19"/>
      <c r="K8" s="21" t="n">
        <v>37.3</v>
      </c>
      <c r="L8" s="21" t="n">
        <v>46.6</v>
      </c>
      <c r="M8" s="21" t="n">
        <v>55.9</v>
      </c>
      <c r="N8" s="22" t="n">
        <v>60</v>
      </c>
    </row>
    <row r="9" customFormat="false" ht="12.5" hidden="false" customHeight="false" outlineLevel="0" collapsed="false">
      <c r="A9" s="23"/>
      <c r="B9" s="23"/>
      <c r="C9" s="23"/>
      <c r="D9" s="23"/>
      <c r="E9" s="23"/>
      <c r="F9" s="23"/>
      <c r="G9" s="23"/>
      <c r="H9" s="23"/>
      <c r="I9" s="23"/>
      <c r="J9" s="23"/>
      <c r="K9" s="24"/>
      <c r="L9" s="24"/>
      <c r="M9" s="24"/>
      <c r="N9" s="23"/>
    </row>
    <row r="10" customFormat="false" ht="13" hidden="false" customHeight="false" outlineLevel="0" collapsed="false">
      <c r="A10" s="25" t="s">
        <v>14</v>
      </c>
      <c r="B10" s="2"/>
      <c r="C10" s="2"/>
      <c r="D10" s="2"/>
      <c r="E10" s="2"/>
      <c r="F10" s="2"/>
      <c r="G10" s="2"/>
      <c r="H10" s="2"/>
      <c r="I10" s="2"/>
      <c r="J10" s="2"/>
      <c r="K10" s="12"/>
      <c r="L10" s="12"/>
      <c r="M10" s="12"/>
      <c r="N10" s="2"/>
      <c r="S10" s="26"/>
    </row>
    <row r="11" customFormat="false" ht="15" hidden="false" customHeight="false" outlineLevel="0" collapsed="false">
      <c r="A11" s="2"/>
      <c r="B11" s="2"/>
      <c r="C11" s="2" t="s">
        <v>15</v>
      </c>
      <c r="D11" s="2"/>
      <c r="E11" s="2"/>
      <c r="F11" s="2"/>
      <c r="G11" s="2"/>
      <c r="H11" s="2"/>
      <c r="I11" s="27" t="n">
        <v>11.8</v>
      </c>
      <c r="J11" s="2" t="s">
        <v>16</v>
      </c>
      <c r="K11" s="28" t="n">
        <f aca="false">+$I$11*K8</f>
        <v>440.14</v>
      </c>
      <c r="L11" s="28" t="n">
        <f aca="false">+$I$11*L8</f>
        <v>549.88</v>
      </c>
      <c r="M11" s="28" t="n">
        <f aca="false">+$I$11*M8</f>
        <v>659.62</v>
      </c>
      <c r="N11" s="29" t="n">
        <f aca="false">+$I$11*N8</f>
        <v>708</v>
      </c>
    </row>
    <row r="12" customFormat="false" ht="13" hidden="false" customHeight="false" outlineLevel="0" collapsed="false">
      <c r="A12" s="2"/>
      <c r="B12" s="30"/>
      <c r="C12" s="30" t="s">
        <v>17</v>
      </c>
      <c r="D12" s="30"/>
      <c r="E12" s="30"/>
      <c r="F12" s="31"/>
      <c r="G12" s="30"/>
      <c r="H12" s="30"/>
      <c r="I12" s="31"/>
      <c r="J12" s="30"/>
      <c r="K12" s="32" t="n">
        <v>0</v>
      </c>
      <c r="L12" s="32" t="n">
        <v>0</v>
      </c>
      <c r="M12" s="32" t="n">
        <v>0</v>
      </c>
      <c r="N12" s="33" t="n">
        <v>0</v>
      </c>
    </row>
    <row r="13" customFormat="false" ht="13" hidden="false" customHeight="false" outlineLevel="0" collapsed="false">
      <c r="A13" s="2"/>
      <c r="B13" s="30"/>
      <c r="C13" s="30"/>
      <c r="D13" s="30"/>
      <c r="E13" s="34"/>
      <c r="F13" s="34"/>
      <c r="G13" s="34"/>
      <c r="H13" s="34"/>
      <c r="I13" s="35"/>
      <c r="J13" s="36"/>
      <c r="K13" s="37"/>
      <c r="L13" s="32"/>
      <c r="M13" s="32"/>
      <c r="N13" s="38"/>
    </row>
    <row r="14" customFormat="false" ht="13" hidden="false" customHeight="false" outlineLevel="0" collapsed="false">
      <c r="A14" s="25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8" t="n">
        <f aca="false">SUM(K11:K12)</f>
        <v>440.14</v>
      </c>
      <c r="L14" s="28" t="n">
        <f aca="false">SUM(L11:L12)</f>
        <v>549.88</v>
      </c>
      <c r="M14" s="28" t="n">
        <f aca="false">SUM(M11:M12)</f>
        <v>659.62</v>
      </c>
      <c r="N14" s="29" t="n">
        <f aca="false">SUM(N11:N12)</f>
        <v>708</v>
      </c>
    </row>
    <row r="15" customFormat="false" ht="13" hidden="false" customHeight="false" outlineLevel="0" collapsed="false">
      <c r="A15" s="25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12"/>
      <c r="L15" s="12"/>
      <c r="M15" s="12"/>
      <c r="N15" s="39"/>
    </row>
    <row r="16" customFormat="false" ht="15" hidden="false" customHeight="false" outlineLevel="0" collapsed="false">
      <c r="A16" s="2"/>
      <c r="B16" s="2" t="s">
        <v>20</v>
      </c>
      <c r="C16" s="2"/>
      <c r="D16" s="2"/>
      <c r="E16" s="2"/>
      <c r="F16" s="2" t="n">
        <v>180000</v>
      </c>
      <c r="G16" s="2" t="s">
        <v>21</v>
      </c>
      <c r="H16" s="40" t="n">
        <f aca="false">F16</f>
        <v>180000</v>
      </c>
      <c r="I16" s="41" t="n">
        <v>0.41</v>
      </c>
      <c r="J16" s="4" t="s">
        <v>22</v>
      </c>
      <c r="K16" s="12" t="n">
        <f aca="false">$F$16/1000*$I$16</f>
        <v>73.8</v>
      </c>
      <c r="L16" s="12" t="n">
        <f aca="false">$F$16/1000*$I$16</f>
        <v>73.8</v>
      </c>
      <c r="M16" s="12" t="n">
        <f aca="false">$F$16/1000*$I$16</f>
        <v>73.8</v>
      </c>
      <c r="N16" s="42" t="n">
        <f aca="false">$F$16/1000*$I$16</f>
        <v>73.8</v>
      </c>
    </row>
    <row r="17" customFormat="false" ht="15" hidden="false" customHeight="false" outlineLevel="0" collapsed="false">
      <c r="A17" s="2"/>
      <c r="B17" s="2" t="s">
        <v>23</v>
      </c>
      <c r="C17" s="2"/>
      <c r="D17" s="2"/>
      <c r="E17" s="2"/>
      <c r="F17" s="2"/>
      <c r="G17" s="2" t="s">
        <v>24</v>
      </c>
      <c r="H17" s="43"/>
      <c r="I17" s="43"/>
      <c r="J17" s="4" t="s">
        <v>21</v>
      </c>
      <c r="K17" s="12"/>
      <c r="L17" s="12"/>
      <c r="M17" s="12"/>
      <c r="N17" s="39"/>
    </row>
    <row r="18" customFormat="false" ht="13" hidden="false" customHeight="false" outlineLevel="0" collapsed="false">
      <c r="A18" s="2"/>
      <c r="B18" s="2"/>
      <c r="C18" s="2" t="s">
        <v>25</v>
      </c>
      <c r="D18" s="2"/>
      <c r="E18" s="2" t="n">
        <f aca="false">K8*0.8</f>
        <v>29.84</v>
      </c>
      <c r="F18" s="2" t="n">
        <f aca="false">L8*0.8</f>
        <v>37.28</v>
      </c>
      <c r="G18" s="2" t="n">
        <f aca="false">M8*0.8</f>
        <v>44.72</v>
      </c>
      <c r="H18" s="40" t="n">
        <f aca="false">N8*0.8</f>
        <v>48</v>
      </c>
      <c r="I18" s="40" t="n">
        <f aca="false">F62/1040</f>
        <v>0.625</v>
      </c>
      <c r="J18" s="2" t="s">
        <v>26</v>
      </c>
      <c r="K18" s="12" t="n">
        <f aca="false">+$I$18*E18</f>
        <v>18.65</v>
      </c>
      <c r="L18" s="12" t="n">
        <f aca="false">+$I$18*F18</f>
        <v>23.3</v>
      </c>
      <c r="M18" s="12" t="n">
        <f aca="false">+$I$18*G18</f>
        <v>27.95</v>
      </c>
      <c r="N18" s="42" t="n">
        <f aca="false">+$I$18*H18</f>
        <v>30</v>
      </c>
    </row>
    <row r="19" customFormat="false" ht="13" hidden="false" customHeight="false" outlineLevel="0" collapsed="false">
      <c r="A19" s="2"/>
      <c r="B19" s="2"/>
      <c r="C19" s="2" t="s">
        <v>27</v>
      </c>
      <c r="D19" s="2"/>
      <c r="E19" s="2" t="n">
        <f aca="false">(K8*1.4)</f>
        <v>52.22</v>
      </c>
      <c r="F19" s="2" t="n">
        <f aca="false">(L8*1.4)</f>
        <v>65.24</v>
      </c>
      <c r="G19" s="2" t="n">
        <f aca="false">(M8*1.4)</f>
        <v>78.26</v>
      </c>
      <c r="H19" s="40" t="n">
        <f aca="false">(N8*1.4)</f>
        <v>84</v>
      </c>
      <c r="I19" s="40" t="n">
        <f aca="false">J62/1200</f>
        <v>0.479166666666667</v>
      </c>
      <c r="J19" s="2" t="s">
        <v>26</v>
      </c>
      <c r="K19" s="12" t="n">
        <f aca="false">+$I$19*E19</f>
        <v>25.0220833333333</v>
      </c>
      <c r="L19" s="12" t="n">
        <f aca="false">+$I$19*F19</f>
        <v>31.2608333333333</v>
      </c>
      <c r="M19" s="12" t="n">
        <f aca="false">+$I$19*G19</f>
        <v>37.4995833333333</v>
      </c>
      <c r="N19" s="42" t="n">
        <f aca="false">+$I$19*H19</f>
        <v>40.25</v>
      </c>
    </row>
    <row r="20" customFormat="false" ht="13" hidden="false" customHeight="false" outlineLevel="0" collapsed="false">
      <c r="A20" s="2"/>
      <c r="B20" s="2"/>
      <c r="C20" s="2" t="s">
        <v>28</v>
      </c>
      <c r="D20" s="2"/>
      <c r="E20" s="2"/>
      <c r="F20" s="2" t="n">
        <v>0.25</v>
      </c>
      <c r="G20" s="2"/>
      <c r="H20" s="40" t="n">
        <v>0.25</v>
      </c>
      <c r="I20" s="40" t="n">
        <v>25</v>
      </c>
      <c r="J20" s="2" t="s">
        <v>29</v>
      </c>
      <c r="K20" s="12" t="n">
        <f aca="false">+$F20*$I20</f>
        <v>6.25</v>
      </c>
      <c r="L20" s="12" t="n">
        <f aca="false">+$F20*$I20</f>
        <v>6.25</v>
      </c>
      <c r="M20" s="12" t="n">
        <f aca="false">+$F20*$I20</f>
        <v>6.25</v>
      </c>
      <c r="N20" s="42" t="n">
        <f aca="false">+$F20*$I20</f>
        <v>6.25</v>
      </c>
    </row>
    <row r="21" customFormat="false" ht="15" hidden="false" customHeight="false" outlineLevel="0" collapsed="false">
      <c r="A21" s="2"/>
      <c r="B21" s="2" t="s">
        <v>30</v>
      </c>
      <c r="C21" s="2"/>
      <c r="D21" s="2" t="s">
        <v>31</v>
      </c>
      <c r="E21" s="2"/>
      <c r="F21" s="2"/>
      <c r="G21" s="2"/>
      <c r="H21" s="2"/>
      <c r="I21" s="2"/>
      <c r="J21" s="2"/>
      <c r="K21" s="12" t="n">
        <v>31.4</v>
      </c>
      <c r="L21" s="12" t="n">
        <v>31.4</v>
      </c>
      <c r="M21" s="12" t="n">
        <v>31.4</v>
      </c>
      <c r="N21" s="44" t="n">
        <v>31.4</v>
      </c>
    </row>
    <row r="22" customFormat="false" ht="13" hidden="false" customHeight="false" outlineLevel="0" collapsed="false">
      <c r="A22" s="2"/>
      <c r="B22" s="2"/>
      <c r="C22" s="2"/>
      <c r="D22" s="2" t="s">
        <v>32</v>
      </c>
      <c r="E22" s="2"/>
      <c r="F22" s="2"/>
      <c r="G22" s="2"/>
      <c r="H22" s="2"/>
      <c r="I22" s="2"/>
      <c r="J22" s="2"/>
      <c r="K22" s="12" t="n">
        <v>0</v>
      </c>
      <c r="L22" s="12" t="n">
        <v>0</v>
      </c>
      <c r="M22" s="12" t="n">
        <v>0</v>
      </c>
      <c r="N22" s="44" t="n">
        <v>0</v>
      </c>
    </row>
    <row r="23" customFormat="false" ht="13" hidden="false" customHeight="false" outlineLevel="0" collapsed="false">
      <c r="A23" s="2"/>
      <c r="B23" s="2"/>
      <c r="C23" s="2"/>
      <c r="D23" s="2" t="s">
        <v>33</v>
      </c>
      <c r="E23" s="2"/>
      <c r="F23" s="2"/>
      <c r="G23" s="2"/>
      <c r="H23" s="2"/>
      <c r="I23" s="2"/>
      <c r="J23" s="2"/>
      <c r="K23" s="12" t="n">
        <v>0</v>
      </c>
      <c r="L23" s="12" t="n">
        <v>0</v>
      </c>
      <c r="M23" s="12" t="n">
        <v>0</v>
      </c>
      <c r="N23" s="44" t="n">
        <v>0</v>
      </c>
    </row>
    <row r="24" customFormat="false" ht="13" hidden="false" customHeight="false" outlineLevel="0" collapsed="false">
      <c r="A24" s="2"/>
      <c r="B24" s="2" t="s">
        <v>34</v>
      </c>
      <c r="C24" s="2"/>
      <c r="D24" s="2"/>
      <c r="E24" s="45"/>
      <c r="F24" s="46" t="n">
        <v>4</v>
      </c>
      <c r="G24" s="2" t="s">
        <v>35</v>
      </c>
      <c r="H24" s="2"/>
      <c r="I24" s="47" t="n">
        <v>30</v>
      </c>
      <c r="J24" s="2" t="s">
        <v>36</v>
      </c>
      <c r="K24" s="12" t="n">
        <f aca="false">(((($I$24/6)*$F$24)/900)*K8)+(((($I$24/6)*$F$24)/900)*K8)*0.1</f>
        <v>0.911777777777778</v>
      </c>
      <c r="L24" s="12" t="n">
        <f aca="false">(((($I$24/6)*$F$24)/900)*L8)+(((($I$24/6)*$F$24)/900)*L8)*0.1</f>
        <v>1.13911111111111</v>
      </c>
      <c r="M24" s="12" t="n">
        <f aca="false">(((($I$24/6)*$F$24)/900)*M8)+(((($I$24/6)*$F$24)/900)*M8)*0.1</f>
        <v>1.36644444444444</v>
      </c>
      <c r="N24" s="42" t="n">
        <f aca="false">(((($I$24/6)*$F$24)/900)*N8)+(((($I$24/6)*$F$24)/900)*N8)*0.1</f>
        <v>1.46666666666667</v>
      </c>
    </row>
    <row r="25" customFormat="false" ht="15" hidden="false" customHeight="false" outlineLevel="0" collapsed="false">
      <c r="A25" s="2"/>
      <c r="B25" s="2" t="s">
        <v>37</v>
      </c>
      <c r="C25" s="2"/>
      <c r="D25" s="2"/>
      <c r="E25" s="2"/>
      <c r="F25" s="2"/>
      <c r="G25" s="2"/>
      <c r="H25" s="2"/>
      <c r="I25" s="2"/>
      <c r="J25" s="2"/>
      <c r="K25" s="12" t="n">
        <f aca="false">+$K$93</f>
        <v>12.2670530451866</v>
      </c>
      <c r="L25" s="12" t="n">
        <f aca="false">+$K$93</f>
        <v>12.2670530451866</v>
      </c>
      <c r="M25" s="12" t="n">
        <f aca="false">+$K$93</f>
        <v>12.2670530451866</v>
      </c>
      <c r="N25" s="42" t="n">
        <f aca="false">+$K$93</f>
        <v>12.2670530451866</v>
      </c>
    </row>
    <row r="26" customFormat="false" ht="15" hidden="false" customHeight="false" outlineLevel="0" collapsed="false">
      <c r="A26" s="2"/>
      <c r="B26" s="2" t="s">
        <v>38</v>
      </c>
      <c r="C26" s="2"/>
      <c r="D26" s="2"/>
      <c r="E26" s="2"/>
      <c r="F26" s="2"/>
      <c r="G26" s="2"/>
      <c r="H26" s="2"/>
      <c r="I26" s="2"/>
      <c r="J26" s="2"/>
      <c r="K26" s="48" t="n">
        <f aca="false">+$M$93</f>
        <v>14.47488751523</v>
      </c>
      <c r="L26" s="48" t="n">
        <f aca="false">+$M$93</f>
        <v>14.47488751523</v>
      </c>
      <c r="M26" s="48" t="n">
        <f aca="false">+$M$93</f>
        <v>14.47488751523</v>
      </c>
      <c r="N26" s="42" t="n">
        <f aca="false">+$M$93</f>
        <v>14.47488751523</v>
      </c>
    </row>
    <row r="27" customFormat="false" ht="15" hidden="false" customHeight="false" outlineLevel="0" collapsed="false">
      <c r="A27" s="2"/>
      <c r="B27" s="2" t="s">
        <v>39</v>
      </c>
      <c r="C27" s="2"/>
      <c r="D27" s="2"/>
      <c r="E27" s="2"/>
      <c r="F27" s="2"/>
      <c r="G27" s="2"/>
      <c r="H27" s="2"/>
      <c r="I27" s="2"/>
      <c r="J27" s="2"/>
      <c r="K27" s="12" t="n">
        <v>24</v>
      </c>
      <c r="L27" s="12" t="n">
        <v>24</v>
      </c>
      <c r="M27" s="12" t="n">
        <v>24</v>
      </c>
      <c r="N27" s="44" t="n">
        <v>24</v>
      </c>
    </row>
    <row r="28" customFormat="false" ht="15" hidden="false" customHeight="false" outlineLevel="0" collapsed="false">
      <c r="A28" s="2"/>
      <c r="B28" s="2" t="s">
        <v>40</v>
      </c>
      <c r="C28" s="2"/>
      <c r="D28" s="2"/>
      <c r="E28" s="2"/>
      <c r="F28" s="2"/>
      <c r="G28" s="2"/>
      <c r="H28" s="2"/>
      <c r="I28" s="2"/>
      <c r="J28" s="2"/>
      <c r="K28" s="12" t="n">
        <v>10</v>
      </c>
      <c r="L28" s="12" t="n">
        <v>10</v>
      </c>
      <c r="M28" s="12" t="n">
        <v>10</v>
      </c>
      <c r="N28" s="44" t="n">
        <v>10</v>
      </c>
    </row>
    <row r="29" customFormat="false" ht="15" hidden="false" customHeight="false" outlineLevel="0" collapsed="false">
      <c r="A29" s="2"/>
      <c r="B29" s="2" t="s">
        <v>41</v>
      </c>
      <c r="C29" s="2"/>
      <c r="D29" s="2"/>
      <c r="E29" s="2"/>
      <c r="F29" s="49" t="n">
        <v>6</v>
      </c>
      <c r="G29" s="2" t="s">
        <v>42</v>
      </c>
      <c r="H29" s="2"/>
      <c r="I29" s="50" t="n">
        <v>0.04</v>
      </c>
      <c r="J29" s="2"/>
      <c r="K29" s="12" t="n">
        <f aca="false">(SUM(K16:K28)-K24)*$I$29*($F$29/12)</f>
        <v>4.317280477875</v>
      </c>
      <c r="L29" s="12" t="n">
        <f aca="false">(SUM(L16:L28)-L24)*$I$29*($F$29/12)</f>
        <v>4.535055477875</v>
      </c>
      <c r="M29" s="12" t="n">
        <f aca="false">(SUM(M16:M28)-M24)*$I$29*($F$29/12)</f>
        <v>4.752830477875</v>
      </c>
      <c r="N29" s="42" t="n">
        <f aca="false">(SUM(N16:N28)-N24)*$I$29*($F$29/12)</f>
        <v>4.84883881120833</v>
      </c>
    </row>
    <row r="30" customFormat="false" ht="15" hidden="false" customHeight="false" outlineLevel="0" collapsed="false">
      <c r="A30" s="2"/>
      <c r="B30" s="2" t="s">
        <v>43</v>
      </c>
      <c r="C30" s="2"/>
      <c r="D30" s="2"/>
      <c r="E30" s="2"/>
      <c r="F30" s="2"/>
      <c r="G30" s="2"/>
      <c r="H30" s="2"/>
      <c r="I30" s="2"/>
      <c r="J30" s="2"/>
      <c r="K30" s="12" t="n">
        <v>0</v>
      </c>
      <c r="L30" s="12" t="n">
        <v>0</v>
      </c>
      <c r="M30" s="12" t="n">
        <v>0</v>
      </c>
      <c r="N30" s="44" t="n">
        <v>0</v>
      </c>
    </row>
    <row r="31" customFormat="false" ht="13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51"/>
      <c r="L31" s="51"/>
      <c r="M31" s="51"/>
      <c r="N31" s="52"/>
    </row>
    <row r="32" customFormat="false" ht="13" hidden="false" customHeight="false" outlineLevel="0" collapsed="false">
      <c r="A32" s="25" t="s">
        <v>44</v>
      </c>
      <c r="B32" s="2"/>
      <c r="C32" s="2"/>
      <c r="D32" s="2"/>
      <c r="E32" s="2"/>
      <c r="F32" s="53" t="s">
        <v>45</v>
      </c>
      <c r="G32" s="2"/>
      <c r="H32" s="2"/>
      <c r="I32" s="2"/>
      <c r="J32" s="2"/>
      <c r="K32" s="12" t="n">
        <f aca="false">SUM(K16:K31)</f>
        <v>221.093082149403</v>
      </c>
      <c r="L32" s="12" t="n">
        <f aca="false">SUM(L16:L31)</f>
        <v>232.426940482736</v>
      </c>
      <c r="M32" s="12" t="n">
        <f aca="false">SUM(M16:M31)</f>
        <v>243.760798816069</v>
      </c>
      <c r="N32" s="42" t="n">
        <f aca="false">SUM(N16:N31)</f>
        <v>248.757446038292</v>
      </c>
    </row>
    <row r="33" customFormat="false" ht="13" hidden="false" customHeight="false" outlineLevel="0" collapsed="false">
      <c r="A33" s="2"/>
      <c r="B33" s="2"/>
      <c r="C33" s="2"/>
      <c r="D33" s="2"/>
      <c r="E33" s="2"/>
      <c r="F33" s="53" t="s">
        <v>46</v>
      </c>
      <c r="G33" s="2"/>
      <c r="H33" s="2"/>
      <c r="I33" s="2"/>
      <c r="J33" s="2"/>
      <c r="K33" s="54" t="n">
        <f aca="false">+K32/K8</f>
        <v>5.9274284758553</v>
      </c>
      <c r="L33" s="54" t="n">
        <f aca="false">+L32/L8</f>
        <v>4.98770258546644</v>
      </c>
      <c r="M33" s="54" t="n">
        <f aca="false">+M32/M8</f>
        <v>4.36065829724632</v>
      </c>
      <c r="N33" s="55" t="n">
        <f aca="false">+N32/N8</f>
        <v>4.14595743397153</v>
      </c>
    </row>
    <row r="34" customFormat="false" ht="13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56"/>
      <c r="L34" s="56"/>
      <c r="M34" s="56"/>
      <c r="N34" s="25"/>
    </row>
    <row r="35" customFormat="false" ht="13" hidden="false" customHeight="false" outlineLevel="0" collapsed="false">
      <c r="A35" s="25" t="s">
        <v>47</v>
      </c>
      <c r="B35" s="2"/>
      <c r="C35" s="2"/>
      <c r="D35" s="2"/>
      <c r="E35" s="2"/>
      <c r="F35" s="2"/>
      <c r="G35" s="2"/>
      <c r="H35" s="2"/>
      <c r="I35" s="2"/>
      <c r="J35" s="2"/>
      <c r="K35" s="56"/>
      <c r="L35" s="56"/>
      <c r="M35" s="56"/>
      <c r="N35" s="25"/>
    </row>
    <row r="36" customFormat="false" ht="15" hidden="false" customHeight="false" outlineLevel="0" collapsed="false">
      <c r="A36" s="2"/>
      <c r="B36" s="2" t="s">
        <v>48</v>
      </c>
      <c r="C36" s="2"/>
      <c r="D36" s="2"/>
      <c r="E36" s="2"/>
      <c r="F36" s="40" t="n">
        <v>2</v>
      </c>
      <c r="G36" s="2" t="s">
        <v>49</v>
      </c>
      <c r="H36" s="2"/>
      <c r="I36" s="57" t="n">
        <v>15</v>
      </c>
      <c r="J36" s="2" t="s">
        <v>50</v>
      </c>
      <c r="K36" s="28" t="n">
        <f aca="false">+$F$36*$I$36</f>
        <v>30</v>
      </c>
      <c r="L36" s="28" t="n">
        <f aca="false">+$F$36*$I$36</f>
        <v>30</v>
      </c>
      <c r="M36" s="28" t="n">
        <f aca="false">+$F$36*$I$36</f>
        <v>30</v>
      </c>
      <c r="N36" s="29" t="n">
        <f aca="false">+$F$36*$I$36</f>
        <v>30</v>
      </c>
    </row>
    <row r="37" customFormat="false" ht="13" hidden="false" customHeight="false" outlineLevel="0" collapsed="false">
      <c r="A37" s="2"/>
      <c r="B37" s="2" t="s">
        <v>51</v>
      </c>
      <c r="C37" s="2"/>
      <c r="D37" s="2"/>
      <c r="E37" s="2"/>
      <c r="F37" s="58" t="n">
        <v>0.05</v>
      </c>
      <c r="G37" s="2" t="s">
        <v>52</v>
      </c>
      <c r="H37" s="2"/>
      <c r="I37" s="2"/>
      <c r="J37" s="2"/>
      <c r="K37" s="59" t="n">
        <f aca="false">$F$37*K14</f>
        <v>22.007</v>
      </c>
      <c r="L37" s="59" t="n">
        <f aca="false">$F$37*L14</f>
        <v>27.494</v>
      </c>
      <c r="M37" s="59" t="n">
        <f aca="false">$F$37*M14</f>
        <v>32.981</v>
      </c>
      <c r="N37" s="60" t="n">
        <f aca="false">$F$37*N14</f>
        <v>35.4</v>
      </c>
    </row>
    <row r="38" customFormat="false" ht="15" hidden="false" customHeight="false" outlineLevel="0" collapsed="false">
      <c r="A38" s="2"/>
      <c r="B38" s="2" t="s">
        <v>53</v>
      </c>
      <c r="C38" s="2"/>
      <c r="D38" s="2"/>
      <c r="E38" s="2"/>
      <c r="F38" s="2"/>
      <c r="G38" s="2"/>
      <c r="H38" s="2"/>
      <c r="I38" s="2"/>
      <c r="J38" s="2"/>
      <c r="K38" s="28" t="n">
        <f aca="false">$I$93</f>
        <v>85.0980546875</v>
      </c>
      <c r="L38" s="28" t="n">
        <f aca="false">$I$93</f>
        <v>85.0980546875</v>
      </c>
      <c r="M38" s="28" t="n">
        <f aca="false">$I$93</f>
        <v>85.0980546875</v>
      </c>
      <c r="N38" s="29" t="n">
        <f aca="false">$I$93</f>
        <v>85.0980546875</v>
      </c>
    </row>
    <row r="39" customFormat="false" ht="15" hidden="false" customHeight="false" outlineLevel="0" collapsed="false">
      <c r="A39" s="2"/>
      <c r="B39" s="2" t="s">
        <v>54</v>
      </c>
      <c r="C39" s="2"/>
      <c r="D39" s="2"/>
      <c r="E39" s="2"/>
      <c r="F39" s="2"/>
      <c r="G39" s="2"/>
      <c r="H39" s="2"/>
      <c r="I39" s="2"/>
      <c r="J39" s="2"/>
      <c r="K39" s="28" t="n">
        <v>150</v>
      </c>
      <c r="L39" s="28" t="n">
        <v>195</v>
      </c>
      <c r="M39" s="28" t="n">
        <v>250</v>
      </c>
      <c r="N39" s="61" t="n">
        <v>250</v>
      </c>
    </row>
    <row r="40" customFormat="false" ht="12.5" hidden="false" customHeight="false" outlineLevel="0" collapsed="false">
      <c r="A40" s="2"/>
      <c r="K40" s="0"/>
      <c r="L40" s="0"/>
      <c r="M40" s="0"/>
    </row>
    <row r="41" customFormat="false" ht="13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59"/>
      <c r="L41" s="59"/>
      <c r="M41" s="59"/>
      <c r="N41" s="62"/>
    </row>
    <row r="42" customFormat="false" ht="13" hidden="false" customHeight="false" outlineLevel="0" collapsed="false">
      <c r="A42" s="25" t="s">
        <v>55</v>
      </c>
      <c r="B42" s="2"/>
      <c r="C42" s="2"/>
      <c r="D42" s="2"/>
      <c r="E42" s="2"/>
      <c r="F42" s="2"/>
      <c r="G42" s="2"/>
      <c r="H42" s="2"/>
      <c r="I42" s="2"/>
      <c r="J42" s="2"/>
      <c r="K42" s="28" t="n">
        <f aca="false">SUM(K36:K41)</f>
        <v>287.1050546875</v>
      </c>
      <c r="L42" s="28" t="n">
        <f aca="false">SUM(L36:L41)</f>
        <v>337.5920546875</v>
      </c>
      <c r="M42" s="28" t="n">
        <f aca="false">SUM(M36:M41)</f>
        <v>398.0790546875</v>
      </c>
      <c r="N42" s="29" t="n">
        <f aca="false">SUM(N36:N41)</f>
        <v>400.4980546875</v>
      </c>
    </row>
    <row r="43" customFormat="false" ht="13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8"/>
      <c r="L43" s="28"/>
      <c r="M43" s="28"/>
      <c r="N43" s="63"/>
    </row>
    <row r="44" customFormat="false" ht="13" hidden="false" customHeight="false" outlineLevel="0" collapsed="false">
      <c r="A44" s="25" t="s">
        <v>56</v>
      </c>
      <c r="B44" s="2"/>
      <c r="C44" s="2"/>
      <c r="D44" s="2"/>
      <c r="E44" s="2"/>
      <c r="F44" s="53" t="s">
        <v>45</v>
      </c>
      <c r="G44" s="2"/>
      <c r="H44" s="2"/>
      <c r="I44" s="2"/>
      <c r="J44" s="2"/>
      <c r="K44" s="28" t="n">
        <f aca="false">+K32+K42</f>
        <v>508.198136836903</v>
      </c>
      <c r="L44" s="28" t="n">
        <f aca="false">+L32+L42</f>
        <v>570.018995170236</v>
      </c>
      <c r="M44" s="28" t="n">
        <f aca="false">+M32+M42</f>
        <v>641.83985350357</v>
      </c>
      <c r="N44" s="29" t="n">
        <f aca="false">+N32+N42</f>
        <v>649.255500725792</v>
      </c>
    </row>
    <row r="45" customFormat="false" ht="13" hidden="false" customHeight="false" outlineLevel="0" collapsed="false">
      <c r="A45" s="25"/>
      <c r="B45" s="2"/>
      <c r="C45" s="2"/>
      <c r="D45" s="2"/>
      <c r="E45" s="2"/>
      <c r="F45" s="53" t="s">
        <v>46</v>
      </c>
      <c r="G45" s="2"/>
      <c r="H45" s="2"/>
      <c r="I45" s="2"/>
      <c r="J45" s="2"/>
      <c r="K45" s="28" t="n">
        <f aca="false">+K44/K8</f>
        <v>13.6246149286033</v>
      </c>
      <c r="L45" s="28" t="n">
        <f aca="false">+L44/L8</f>
        <v>12.2321672783312</v>
      </c>
      <c r="M45" s="28" t="n">
        <f aca="false">+M44/M8</f>
        <v>11.4819294007794</v>
      </c>
      <c r="N45" s="29" t="n">
        <f aca="false">+N44/N8</f>
        <v>10.8209250120965</v>
      </c>
    </row>
    <row r="46" customFormat="false" ht="13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8"/>
      <c r="L46" s="28"/>
      <c r="M46" s="28"/>
      <c r="N46" s="63"/>
    </row>
    <row r="47" customFormat="false" ht="15" hidden="false" customHeight="false" outlineLevel="0" collapsed="false">
      <c r="A47" s="25" t="s">
        <v>57</v>
      </c>
      <c r="B47" s="2"/>
      <c r="C47" s="2"/>
      <c r="D47" s="2"/>
      <c r="E47" s="2"/>
      <c r="F47" s="2"/>
      <c r="G47" s="2"/>
      <c r="H47" s="2"/>
      <c r="I47" s="2"/>
      <c r="J47" s="2"/>
      <c r="K47" s="28" t="n">
        <f aca="false">+K50+K37+K36</f>
        <v>-16.0511368369027</v>
      </c>
      <c r="L47" s="28" t="n">
        <f aca="false">+L50+L37+L36</f>
        <v>37.3550048297639</v>
      </c>
      <c r="M47" s="28" t="n">
        <f aca="false">+M50+M37+M36</f>
        <v>80.7611464964306</v>
      </c>
      <c r="N47" s="29" t="n">
        <f aca="false">+N50+N37+N36</f>
        <v>124.144499274208</v>
      </c>
    </row>
    <row r="48" customFormat="false" ht="13" hidden="false" customHeight="false" outlineLevel="0" collapsed="false">
      <c r="A48" s="16" t="s">
        <v>58</v>
      </c>
      <c r="B48" s="23"/>
      <c r="C48" s="23"/>
      <c r="D48" s="23"/>
      <c r="E48" s="23"/>
      <c r="F48" s="23"/>
      <c r="G48" s="23"/>
      <c r="H48" s="23"/>
      <c r="I48" s="23"/>
      <c r="J48" s="23"/>
      <c r="K48" s="64" t="n">
        <f aca="false">K50+K39</f>
        <v>81.9418631630973</v>
      </c>
      <c r="L48" s="64" t="n">
        <f aca="false">L50+L39</f>
        <v>174.861004829764</v>
      </c>
      <c r="M48" s="64" t="n">
        <f aca="false">M50+M39</f>
        <v>267.780146496431</v>
      </c>
      <c r="N48" s="65" t="n">
        <f aca="false">N50+N39</f>
        <v>308.744499274208</v>
      </c>
    </row>
    <row r="49" customFormat="false" ht="13" hidden="false" customHeight="false" outlineLevel="0" collapsed="false">
      <c r="A49" s="25" t="s">
        <v>59</v>
      </c>
      <c r="B49" s="2"/>
      <c r="C49" s="2"/>
      <c r="D49" s="2"/>
      <c r="E49" s="2"/>
      <c r="F49" s="2"/>
      <c r="G49" s="2"/>
      <c r="H49" s="2"/>
      <c r="I49" s="2"/>
      <c r="J49" s="2"/>
      <c r="K49" s="28" t="n">
        <f aca="false">+K14-K32</f>
        <v>219.046917850597</v>
      </c>
      <c r="L49" s="28" t="n">
        <f aca="false">+L14-L32</f>
        <v>317.453059517264</v>
      </c>
      <c r="M49" s="28" t="n">
        <f aca="false">+M14-M32</f>
        <v>415.859201183931</v>
      </c>
      <c r="N49" s="29" t="n">
        <f aca="false">+N14-N32</f>
        <v>459.242553961708</v>
      </c>
    </row>
    <row r="50" customFormat="false" ht="13" hidden="false" customHeight="false" outlineLevel="0" collapsed="false">
      <c r="A50" s="16" t="s">
        <v>60</v>
      </c>
      <c r="B50" s="23"/>
      <c r="C50" s="23"/>
      <c r="D50" s="23"/>
      <c r="E50" s="23"/>
      <c r="F50" s="23"/>
      <c r="G50" s="23"/>
      <c r="H50" s="23"/>
      <c r="I50" s="23"/>
      <c r="J50" s="23"/>
      <c r="K50" s="59" t="n">
        <f aca="false">+K14-K44</f>
        <v>-68.0581368369027</v>
      </c>
      <c r="L50" s="59" t="n">
        <f aca="false">+L14-L44</f>
        <v>-20.1389951702361</v>
      </c>
      <c r="M50" s="59" t="n">
        <f aca="false">+M14-M44</f>
        <v>17.7801464964306</v>
      </c>
      <c r="N50" s="60" t="n">
        <f aca="false">+N14-N44</f>
        <v>58.7444992742084</v>
      </c>
    </row>
    <row r="51" customFormat="false" ht="13" hidden="false" customHeight="false" outlineLevel="0" collapsed="false">
      <c r="A51" s="19" t="s">
        <v>61</v>
      </c>
      <c r="B51" s="66"/>
      <c r="C51" s="66"/>
      <c r="D51" s="66"/>
      <c r="E51" s="66"/>
      <c r="F51" s="66"/>
      <c r="G51" s="19"/>
      <c r="H51" s="67"/>
      <c r="I51" s="66"/>
      <c r="J51" s="66"/>
      <c r="K51" s="68" t="n">
        <f aca="false">K50+K36+K37+K39</f>
        <v>133.948863163097</v>
      </c>
      <c r="L51" s="69" t="n">
        <f aca="false">L50+L36+L37+L39</f>
        <v>232.355004829764</v>
      </c>
      <c r="M51" s="69" t="n">
        <f aca="false">M50+M36+M37+M39</f>
        <v>330.761146496431</v>
      </c>
      <c r="N51" s="69" t="n">
        <f aca="false">N50+N36+N37+N39</f>
        <v>374.144499274208</v>
      </c>
    </row>
    <row r="52" customFormat="false" ht="12.5" hidden="false" customHeight="false" outlineLevel="0" collapsed="false">
      <c r="A52" s="70" t="s">
        <v>62</v>
      </c>
      <c r="B52" s="70"/>
      <c r="C52" s="70"/>
      <c r="D52" s="71"/>
      <c r="E52" s="70"/>
      <c r="F52" s="70"/>
      <c r="G52" s="70"/>
      <c r="H52" s="70"/>
      <c r="I52" s="70"/>
      <c r="J52" s="70"/>
      <c r="K52" s="70"/>
      <c r="L52" s="72"/>
      <c r="M52" s="72"/>
      <c r="N52" s="23"/>
      <c r="P52" s="70"/>
    </row>
    <row r="53" customFormat="false" ht="12.5" hidden="false" customHeight="false" outlineLevel="0" collapsed="false">
      <c r="B53" s="70" t="s">
        <v>63</v>
      </c>
      <c r="C53" s="70"/>
      <c r="D53" s="70"/>
      <c r="E53" s="70"/>
      <c r="F53" s="70"/>
      <c r="G53" s="70"/>
      <c r="H53" s="70"/>
      <c r="I53" s="70"/>
      <c r="J53" s="70"/>
      <c r="K53" s="70"/>
      <c r="L53" s="72"/>
      <c r="M53" s="72"/>
      <c r="N53" s="23"/>
    </row>
    <row r="54" customFormat="false" ht="12.5" hidden="false" customHeight="false" outlineLevel="0" collapsed="false">
      <c r="A54" s="70" t="s">
        <v>64</v>
      </c>
      <c r="B54" s="70"/>
      <c r="C54" s="70"/>
      <c r="D54" s="73"/>
      <c r="E54" s="74"/>
      <c r="F54" s="70"/>
      <c r="G54" s="70"/>
      <c r="H54" s="70"/>
      <c r="I54" s="70"/>
      <c r="J54" s="70"/>
      <c r="K54" s="70"/>
      <c r="L54" s="72"/>
      <c r="M54" s="72"/>
      <c r="N54" s="23"/>
    </row>
    <row r="55" customFormat="false" ht="12.5" hidden="false" customHeight="false" outlineLevel="0" collapsed="false">
      <c r="A55" s="70"/>
      <c r="B55" s="70" t="s">
        <v>65</v>
      </c>
      <c r="C55" s="70"/>
      <c r="D55" s="74"/>
      <c r="E55" s="74"/>
      <c r="F55" s="70"/>
      <c r="G55" s="70"/>
      <c r="H55" s="70"/>
      <c r="I55" s="70"/>
      <c r="J55" s="70"/>
      <c r="K55" s="70"/>
      <c r="L55" s="72"/>
      <c r="M55" s="72"/>
      <c r="N55" s="23"/>
    </row>
    <row r="56" customFormat="false" ht="12.5" hidden="false" customHeight="false" outlineLevel="0" collapsed="false">
      <c r="A56" s="70" t="s">
        <v>66</v>
      </c>
      <c r="B56" s="70"/>
      <c r="C56" s="70"/>
      <c r="D56" s="75"/>
      <c r="E56" s="70"/>
      <c r="F56" s="70"/>
      <c r="G56" s="70"/>
      <c r="H56" s="70"/>
      <c r="I56" s="70"/>
      <c r="J56" s="70"/>
      <c r="K56" s="70"/>
      <c r="L56" s="72"/>
      <c r="M56" s="72"/>
      <c r="N56" s="23"/>
    </row>
    <row r="57" customFormat="false" ht="13.5" hidden="false" customHeight="false" outlineLevel="0" collapsed="false">
      <c r="A57" s="70" t="n">
        <v>1</v>
      </c>
      <c r="B57" s="70" t="s">
        <v>67</v>
      </c>
      <c r="C57" s="70"/>
      <c r="D57" s="70"/>
      <c r="E57" s="70"/>
      <c r="F57" s="70"/>
      <c r="G57" s="70"/>
      <c r="H57" s="70"/>
      <c r="I57" s="70"/>
      <c r="J57" s="70"/>
      <c r="K57" s="72"/>
      <c r="L57" s="72"/>
      <c r="M57" s="72"/>
      <c r="N57" s="2"/>
    </row>
    <row r="58" customFormat="false" ht="13.5" hidden="false" customHeight="false" outlineLevel="0" collapsed="false">
      <c r="A58" s="70"/>
      <c r="B58" s="70" t="s">
        <v>68</v>
      </c>
      <c r="C58" s="70"/>
      <c r="D58" s="70"/>
      <c r="E58" s="70"/>
      <c r="F58" s="70"/>
      <c r="G58" s="70"/>
      <c r="H58" s="70"/>
      <c r="I58" s="70"/>
      <c r="J58" s="70"/>
      <c r="K58" s="72"/>
      <c r="L58" s="72"/>
      <c r="M58" s="72"/>
      <c r="N58" s="2"/>
    </row>
    <row r="59" customFormat="false" ht="13.5" hidden="false" customHeight="false" outlineLevel="0" collapsed="false">
      <c r="A59" s="70" t="n">
        <v>4</v>
      </c>
      <c r="B59" s="70" t="s">
        <v>69</v>
      </c>
      <c r="C59" s="70"/>
      <c r="D59" s="70"/>
      <c r="E59" s="70"/>
      <c r="F59" s="70"/>
      <c r="G59" s="70"/>
      <c r="H59" s="70"/>
      <c r="I59" s="70"/>
      <c r="J59" s="70"/>
      <c r="K59" s="72"/>
      <c r="L59" s="72"/>
      <c r="M59" s="72"/>
      <c r="N59" s="70"/>
    </row>
    <row r="60" customFormat="false" ht="13.5" hidden="false" customHeight="false" outlineLevel="0" collapsed="false">
      <c r="A60" s="70" t="n">
        <v>5</v>
      </c>
      <c r="B60" s="70" t="s">
        <v>70</v>
      </c>
      <c r="C60" s="70"/>
      <c r="D60" s="70"/>
      <c r="E60" s="70"/>
      <c r="F60" s="70"/>
      <c r="G60" s="70"/>
      <c r="H60" s="70"/>
      <c r="I60" s="70"/>
      <c r="J60" s="70"/>
      <c r="K60" s="72"/>
      <c r="L60" s="72"/>
      <c r="M60" s="72"/>
      <c r="N60" s="70"/>
    </row>
    <row r="61" customFormat="false" ht="13.5" hidden="false" customHeight="false" outlineLevel="0" collapsed="false">
      <c r="A61" s="70"/>
      <c r="B61" s="70"/>
      <c r="C61" s="70" t="s">
        <v>71</v>
      </c>
      <c r="D61" s="70"/>
      <c r="E61" s="70"/>
      <c r="F61" s="70"/>
      <c r="G61" s="70"/>
      <c r="H61" s="70"/>
      <c r="I61" s="70"/>
      <c r="J61" s="70"/>
      <c r="K61" s="72"/>
      <c r="L61" s="72"/>
      <c r="M61" s="72"/>
      <c r="N61" s="70"/>
    </row>
    <row r="62" customFormat="false" ht="13.5" hidden="false" customHeight="false" outlineLevel="0" collapsed="false">
      <c r="A62" s="70"/>
      <c r="B62" s="70"/>
      <c r="C62" s="70" t="s">
        <v>72</v>
      </c>
      <c r="D62" s="70"/>
      <c r="E62" s="70"/>
      <c r="F62" s="71" t="n">
        <v>650</v>
      </c>
      <c r="G62" s="70" t="s">
        <v>73</v>
      </c>
      <c r="H62" s="70" t="s">
        <v>74</v>
      </c>
      <c r="I62" s="74"/>
      <c r="J62" s="71" t="n">
        <v>575</v>
      </c>
      <c r="K62" s="70" t="s">
        <v>73</v>
      </c>
      <c r="L62" s="72"/>
      <c r="M62" s="76"/>
      <c r="N62" s="72"/>
    </row>
    <row r="63" customFormat="false" ht="13.5" hidden="false" customHeight="false" outlineLevel="0" collapsed="false">
      <c r="A63" s="70" t="n">
        <v>6</v>
      </c>
      <c r="B63" s="70" t="s">
        <v>75</v>
      </c>
      <c r="C63" s="70"/>
      <c r="D63" s="70"/>
      <c r="E63" s="70"/>
      <c r="F63" s="70"/>
      <c r="G63" s="70"/>
      <c r="H63" s="70"/>
      <c r="I63" s="70"/>
      <c r="J63" s="70"/>
      <c r="K63" s="72"/>
      <c r="L63" s="72"/>
      <c r="M63" s="72"/>
      <c r="N63" s="70"/>
    </row>
    <row r="64" customFormat="false" ht="13.5" hidden="false" customHeight="false" outlineLevel="0" collapsed="false">
      <c r="A64" s="70"/>
      <c r="B64" s="70"/>
      <c r="C64" s="70" t="s">
        <v>76</v>
      </c>
      <c r="D64" s="70"/>
      <c r="E64" s="70"/>
      <c r="F64" s="70"/>
      <c r="G64" s="70"/>
      <c r="H64" s="70"/>
      <c r="I64" s="70"/>
      <c r="J64" s="70"/>
      <c r="K64" s="72"/>
      <c r="L64" s="72"/>
      <c r="M64" s="72"/>
      <c r="N64" s="70"/>
    </row>
    <row r="65" customFormat="false" ht="13.5" hidden="false" customHeight="false" outlineLevel="0" collapsed="false">
      <c r="A65" s="70"/>
      <c r="B65" s="70"/>
      <c r="C65" s="70" t="s">
        <v>77</v>
      </c>
      <c r="D65" s="70"/>
      <c r="E65" s="70"/>
      <c r="F65" s="70"/>
      <c r="G65" s="70"/>
      <c r="H65" s="70"/>
      <c r="I65" s="70"/>
      <c r="J65" s="70"/>
      <c r="K65" s="72"/>
      <c r="L65" s="72"/>
      <c r="M65" s="72"/>
      <c r="N65" s="70"/>
    </row>
    <row r="66" customFormat="false" ht="13.5" hidden="false" customHeight="false" outlineLevel="0" collapsed="false">
      <c r="A66" s="70"/>
      <c r="B66" s="70"/>
      <c r="C66" s="70" t="s">
        <v>78</v>
      </c>
      <c r="D66" s="70"/>
      <c r="E66" s="70"/>
      <c r="F66" s="70"/>
      <c r="G66" s="70"/>
      <c r="H66" s="70"/>
      <c r="I66" s="70"/>
      <c r="J66" s="70"/>
      <c r="K66" s="72"/>
      <c r="L66" s="72"/>
      <c r="M66" s="72"/>
      <c r="N66" s="70"/>
    </row>
    <row r="67" customFormat="false" ht="13.5" hidden="false" customHeight="false" outlineLevel="0" collapsed="false">
      <c r="A67" s="70" t="n">
        <v>7</v>
      </c>
      <c r="B67" s="70" t="s">
        <v>79</v>
      </c>
      <c r="C67" s="70"/>
      <c r="D67" s="70"/>
      <c r="E67" s="70"/>
      <c r="F67" s="70"/>
      <c r="G67" s="70"/>
      <c r="H67" s="70"/>
      <c r="I67" s="70"/>
      <c r="J67" s="70"/>
      <c r="K67" s="72"/>
      <c r="L67" s="72"/>
      <c r="M67" s="72"/>
      <c r="N67" s="70"/>
    </row>
    <row r="68" customFormat="false" ht="13.5" hidden="false" customHeight="false" outlineLevel="0" collapsed="false">
      <c r="A68" s="70" t="n">
        <v>8</v>
      </c>
      <c r="B68" s="70" t="s">
        <v>80</v>
      </c>
      <c r="C68" s="70"/>
      <c r="D68" s="70"/>
      <c r="E68" s="70"/>
      <c r="F68" s="70"/>
      <c r="G68" s="70"/>
      <c r="H68" s="70"/>
      <c r="I68" s="70"/>
      <c r="J68" s="70"/>
      <c r="K68" s="72"/>
      <c r="L68" s="72"/>
      <c r="M68" s="72"/>
      <c r="N68" s="70"/>
    </row>
    <row r="69" customFormat="false" ht="13.5" hidden="false" customHeight="false" outlineLevel="0" collapsed="false">
      <c r="A69" s="70" t="n">
        <v>9</v>
      </c>
      <c r="B69" s="70" t="s">
        <v>81</v>
      </c>
      <c r="C69" s="70"/>
      <c r="D69" s="70"/>
      <c r="E69" s="70"/>
      <c r="F69" s="70"/>
      <c r="G69" s="70"/>
      <c r="H69" s="70"/>
      <c r="I69" s="70"/>
      <c r="J69" s="70"/>
      <c r="K69" s="72"/>
      <c r="L69" s="72"/>
      <c r="M69" s="72"/>
      <c r="N69" s="70"/>
    </row>
    <row r="70" customFormat="false" ht="13.5" hidden="false" customHeight="false" outlineLevel="0" collapsed="false">
      <c r="A70" s="70" t="n">
        <v>10</v>
      </c>
      <c r="B70" s="70" t="s">
        <v>82</v>
      </c>
      <c r="C70" s="70"/>
      <c r="D70" s="70"/>
      <c r="E70" s="70"/>
      <c r="F70" s="70"/>
      <c r="G70" s="70"/>
      <c r="H70" s="70"/>
      <c r="I70" s="70"/>
      <c r="J70" s="70"/>
      <c r="K70" s="72"/>
      <c r="L70" s="72"/>
      <c r="M70" s="72"/>
      <c r="N70" s="70"/>
    </row>
    <row r="71" customFormat="false" ht="13.5" hidden="false" customHeight="false" outlineLevel="0" collapsed="false">
      <c r="A71" s="70" t="n">
        <v>11</v>
      </c>
      <c r="B71" s="70" t="s">
        <v>83</v>
      </c>
      <c r="C71" s="70"/>
      <c r="D71" s="70"/>
      <c r="E71" s="70"/>
      <c r="F71" s="70"/>
      <c r="G71" s="70"/>
      <c r="H71" s="70"/>
      <c r="I71" s="70"/>
      <c r="J71" s="70"/>
      <c r="K71" s="72"/>
      <c r="L71" s="72"/>
      <c r="M71" s="72"/>
      <c r="N71" s="70"/>
    </row>
    <row r="72" customFormat="false" ht="13.5" hidden="false" customHeight="false" outlineLevel="0" collapsed="false">
      <c r="A72" s="70" t="n">
        <v>12</v>
      </c>
      <c r="B72" s="70" t="s">
        <v>84</v>
      </c>
      <c r="C72" s="70"/>
      <c r="D72" s="70"/>
      <c r="E72" s="70"/>
      <c r="F72" s="70"/>
      <c r="G72" s="70"/>
      <c r="H72" s="70"/>
      <c r="I72" s="70"/>
      <c r="J72" s="70"/>
      <c r="K72" s="72"/>
      <c r="L72" s="72"/>
      <c r="M72" s="72"/>
      <c r="N72" s="70"/>
    </row>
    <row r="73" customFormat="false" ht="13.5" hidden="false" customHeight="false" outlineLevel="0" collapsed="false">
      <c r="A73" s="70"/>
      <c r="B73" s="70"/>
      <c r="C73" s="70" t="s">
        <v>85</v>
      </c>
      <c r="D73" s="70"/>
      <c r="E73" s="70"/>
      <c r="F73" s="70"/>
      <c r="G73" s="70"/>
      <c r="H73" s="70"/>
      <c r="I73" s="70"/>
      <c r="J73" s="70"/>
      <c r="K73" s="72"/>
      <c r="L73" s="72"/>
      <c r="M73" s="72"/>
      <c r="N73" s="70"/>
    </row>
    <row r="74" customFormat="false" ht="13.5" hidden="false" customHeight="false" outlineLevel="0" collapsed="false">
      <c r="A74" s="70" t="n">
        <v>13</v>
      </c>
      <c r="B74" s="70" t="s">
        <v>86</v>
      </c>
      <c r="C74" s="70"/>
      <c r="D74" s="70"/>
      <c r="E74" s="70"/>
      <c r="F74" s="70"/>
      <c r="G74" s="70"/>
      <c r="H74" s="70"/>
      <c r="I74" s="70"/>
      <c r="J74" s="70"/>
      <c r="K74" s="72"/>
      <c r="L74" s="72"/>
      <c r="M74" s="72"/>
      <c r="N74" s="70"/>
    </row>
    <row r="75" customFormat="false" ht="13.5" hidden="false" customHeight="false" outlineLevel="0" collapsed="false">
      <c r="A75" s="70" t="n">
        <v>14</v>
      </c>
      <c r="B75" s="2" t="s">
        <v>87</v>
      </c>
      <c r="C75" s="2"/>
      <c r="D75" s="2"/>
      <c r="E75" s="2"/>
      <c r="F75" s="2"/>
      <c r="G75" s="2"/>
      <c r="H75" s="2"/>
      <c r="I75" s="2"/>
      <c r="J75" s="2"/>
      <c r="K75" s="2"/>
      <c r="L75" s="12"/>
      <c r="M75" s="72"/>
      <c r="N75" s="70"/>
    </row>
    <row r="76" customFormat="false" ht="13.5" hidden="false" customHeight="false" outlineLevel="0" collapsed="false">
      <c r="A76" s="70"/>
      <c r="B76" s="2" t="s">
        <v>88</v>
      </c>
      <c r="C76" s="77"/>
      <c r="D76" s="2"/>
      <c r="E76" s="2"/>
      <c r="F76" s="2"/>
      <c r="G76" s="2"/>
      <c r="H76" s="2"/>
      <c r="I76" s="2"/>
      <c r="J76" s="2"/>
      <c r="K76" s="2"/>
      <c r="L76" s="12"/>
      <c r="M76" s="72"/>
      <c r="N76" s="70"/>
    </row>
    <row r="77" customFormat="false" ht="13.5" hidden="false" customHeight="false" outlineLevel="0" collapsed="false">
      <c r="A77" s="70" t="n">
        <v>15</v>
      </c>
      <c r="B77" s="70" t="s">
        <v>89</v>
      </c>
      <c r="C77" s="70"/>
      <c r="D77" s="70"/>
      <c r="E77" s="70"/>
      <c r="F77" s="70"/>
      <c r="G77" s="70"/>
      <c r="H77" s="70"/>
      <c r="I77" s="70"/>
      <c r="J77" s="70"/>
      <c r="K77" s="72"/>
      <c r="L77" s="72"/>
      <c r="M77" s="72"/>
      <c r="N77" s="70"/>
    </row>
    <row r="78" customFormat="false" ht="13.5" hidden="false" customHeight="false" outlineLevel="0" collapsed="false">
      <c r="A78" s="70"/>
      <c r="B78" s="70"/>
      <c r="C78" s="70" t="s">
        <v>90</v>
      </c>
      <c r="D78" s="70"/>
      <c r="E78" s="70"/>
      <c r="F78" s="70"/>
      <c r="G78" s="70"/>
      <c r="H78" s="70"/>
      <c r="I78" s="70"/>
      <c r="J78" s="70"/>
      <c r="K78" s="72"/>
      <c r="L78" s="72"/>
      <c r="M78" s="72"/>
      <c r="N78" s="70"/>
    </row>
    <row r="79" customFormat="false" ht="12.5" hidden="false" customHeight="false" outlineLevel="0" collapsed="false">
      <c r="A79" s="78" t="s">
        <v>91</v>
      </c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0"/>
    </row>
    <row r="80" customFormat="false" ht="12.5" hidden="false" customHeight="false" outlineLevel="0" collapsed="false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2"/>
      <c r="L80" s="72"/>
      <c r="M80" s="72"/>
      <c r="N80" s="70"/>
    </row>
    <row r="81" customFormat="false" ht="25.5" hidden="false" customHeight="true" outlineLevel="0" collapsed="false">
      <c r="A81" s="70"/>
      <c r="B81" s="70"/>
      <c r="C81" s="70"/>
      <c r="D81" s="70"/>
      <c r="E81" s="79" t="s">
        <v>92</v>
      </c>
      <c r="F81" s="80" t="s">
        <v>93</v>
      </c>
      <c r="G81" s="80" t="s">
        <v>94</v>
      </c>
      <c r="H81" s="80"/>
      <c r="I81" s="80" t="s">
        <v>95</v>
      </c>
      <c r="J81" s="80" t="s">
        <v>96</v>
      </c>
      <c r="K81" s="80" t="s">
        <v>97</v>
      </c>
      <c r="L81" s="81" t="s">
        <v>98</v>
      </c>
      <c r="M81" s="80" t="s">
        <v>99</v>
      </c>
      <c r="N81" s="70"/>
    </row>
    <row r="82" customFormat="false" ht="12.5" hidden="false" customHeight="false" outlineLevel="0" collapsed="false">
      <c r="A82" s="70"/>
      <c r="B82" s="82" t="s">
        <v>100</v>
      </c>
      <c r="C82" s="82"/>
      <c r="D82" s="82"/>
      <c r="E82" s="83" t="n">
        <v>2</v>
      </c>
      <c r="F82" s="84" t="n">
        <v>208000</v>
      </c>
      <c r="G82" s="85" t="n">
        <v>2000</v>
      </c>
      <c r="H82" s="86"/>
      <c r="I82" s="87" t="n">
        <f aca="false">'machinery costs'!J2</f>
        <v>14.12775</v>
      </c>
      <c r="J82" s="88" t="n">
        <v>25.61</v>
      </c>
      <c r="K82" s="89" t="n">
        <v>0.07</v>
      </c>
      <c r="L82" s="90" t="n">
        <f aca="false">(G82*E82)/J82</f>
        <v>156.188988676298</v>
      </c>
      <c r="M82" s="89" t="n">
        <f aca="false">1.42*E82</f>
        <v>2.84</v>
      </c>
      <c r="N82" s="70"/>
    </row>
    <row r="83" customFormat="false" ht="12.5" hidden="false" customHeight="false" outlineLevel="0" collapsed="false">
      <c r="A83" s="70"/>
      <c r="B83" s="71" t="s">
        <v>101</v>
      </c>
      <c r="C83" s="71"/>
      <c r="D83" s="71"/>
      <c r="E83" s="83" t="n">
        <v>1</v>
      </c>
      <c r="F83" s="84" t="n">
        <v>63000</v>
      </c>
      <c r="G83" s="85" t="n">
        <v>1000</v>
      </c>
      <c r="H83" s="86"/>
      <c r="I83" s="87" t="n">
        <f aca="false">'machinery costs'!J3</f>
        <v>7.977375</v>
      </c>
      <c r="J83" s="88" t="n">
        <v>12.73</v>
      </c>
      <c r="K83" s="89" t="n">
        <f aca="false">0.81*E83</f>
        <v>0.81</v>
      </c>
      <c r="L83" s="90" t="n">
        <f aca="false">(G83*E83)/J83</f>
        <v>78.5545954438335</v>
      </c>
      <c r="M83" s="89" t="n">
        <v>1.68</v>
      </c>
      <c r="N83" s="70"/>
      <c r="O83" s="91"/>
      <c r="P83" s="91"/>
    </row>
    <row r="84" customFormat="false" ht="12.5" hidden="false" customHeight="false" outlineLevel="0" collapsed="false">
      <c r="A84" s="70"/>
      <c r="B84" s="71" t="s">
        <v>102</v>
      </c>
      <c r="C84" s="71"/>
      <c r="D84" s="71"/>
      <c r="E84" s="83" t="n">
        <v>1</v>
      </c>
      <c r="F84" s="84" t="n">
        <v>296000</v>
      </c>
      <c r="G84" s="85" t="n">
        <v>2000</v>
      </c>
      <c r="H84" s="86"/>
      <c r="I84" s="87" t="n">
        <f aca="false">'machinery costs'!J4</f>
        <v>20.7870625</v>
      </c>
      <c r="J84" s="92" t="s">
        <v>103</v>
      </c>
      <c r="K84" s="93" t="s">
        <v>103</v>
      </c>
      <c r="L84" s="90" t="n">
        <f aca="false">L85</f>
        <v>98.2318271119843</v>
      </c>
      <c r="M84" s="94" t="n">
        <f aca="false">(L84*45.71)/1000</f>
        <v>4.4901768172888</v>
      </c>
      <c r="N84" s="70"/>
      <c r="O84" s="91"/>
      <c r="P84" s="91"/>
    </row>
    <row r="85" customFormat="false" ht="12.5" hidden="false" customHeight="false" outlineLevel="0" collapsed="false">
      <c r="A85" s="70"/>
      <c r="B85" s="71"/>
      <c r="C85" s="71" t="s">
        <v>104</v>
      </c>
      <c r="D85" s="71"/>
      <c r="E85" s="83" t="n">
        <v>1</v>
      </c>
      <c r="F85" s="84" t="n">
        <v>26000</v>
      </c>
      <c r="G85" s="85" t="n">
        <v>1000</v>
      </c>
      <c r="H85" s="86"/>
      <c r="I85" s="87" t="n">
        <f aca="false">'machinery costs'!J5</f>
        <v>3.65178125</v>
      </c>
      <c r="J85" s="95" t="n">
        <v>10.18</v>
      </c>
      <c r="K85" s="89" t="n">
        <v>1.49</v>
      </c>
      <c r="L85" s="90" t="n">
        <f aca="false">(G85*E85)/J85</f>
        <v>98.2318271119843</v>
      </c>
      <c r="M85" s="94" t="n">
        <v>0.33</v>
      </c>
      <c r="N85" s="70"/>
      <c r="O85" s="91"/>
      <c r="P85" s="91"/>
    </row>
    <row r="86" customFormat="false" ht="12.5" hidden="false" customHeight="false" outlineLevel="0" collapsed="false">
      <c r="A86" s="70"/>
      <c r="B86" s="71" t="s">
        <v>105</v>
      </c>
      <c r="C86" s="71"/>
      <c r="D86" s="71"/>
      <c r="E86" s="83" t="n">
        <v>1</v>
      </c>
      <c r="F86" s="84" t="n">
        <v>70000</v>
      </c>
      <c r="G86" s="85" t="n">
        <v>2000</v>
      </c>
      <c r="H86" s="86"/>
      <c r="I86" s="87" t="n">
        <f aca="false">'machinery costs'!J6</f>
        <v>4.69</v>
      </c>
      <c r="J86" s="92" t="s">
        <v>103</v>
      </c>
      <c r="K86" s="93" t="s">
        <v>106</v>
      </c>
      <c r="L86" s="96" t="s">
        <v>103</v>
      </c>
      <c r="M86" s="94" t="n">
        <v>3.5</v>
      </c>
      <c r="N86" s="70"/>
      <c r="O86" s="91"/>
      <c r="P86" s="91"/>
    </row>
    <row r="87" customFormat="false" ht="12.5" hidden="false" customHeight="false" outlineLevel="0" collapsed="false">
      <c r="A87" s="70"/>
      <c r="B87" s="71" t="s">
        <v>107</v>
      </c>
      <c r="C87" s="71"/>
      <c r="D87" s="71"/>
      <c r="E87" s="83" t="n">
        <v>1</v>
      </c>
      <c r="F87" s="84" t="n">
        <v>12000</v>
      </c>
      <c r="G87" s="85" t="n">
        <v>2000</v>
      </c>
      <c r="H87" s="86"/>
      <c r="I87" s="87" t="n">
        <f aca="false">'machinery costs'!J7</f>
        <v>0.8150625</v>
      </c>
      <c r="J87" s="97" t="n">
        <v>34</v>
      </c>
      <c r="K87" s="89" t="n">
        <f aca="false">0.12*E87</f>
        <v>0.12</v>
      </c>
      <c r="L87" s="90" t="n">
        <f aca="false">(G87*E87)/J87</f>
        <v>58.8235294117647</v>
      </c>
      <c r="M87" s="94" t="n">
        <v>0.15</v>
      </c>
      <c r="N87" s="70"/>
      <c r="O87" s="91"/>
      <c r="P87" s="91"/>
    </row>
    <row r="88" customFormat="false" ht="12.5" hidden="false" customHeight="false" outlineLevel="0" collapsed="false">
      <c r="A88" s="70"/>
      <c r="B88" s="71" t="s">
        <v>108</v>
      </c>
      <c r="C88" s="71"/>
      <c r="D88" s="71"/>
      <c r="E88" s="83" t="n">
        <v>1</v>
      </c>
      <c r="F88" s="84" t="n">
        <v>62500</v>
      </c>
      <c r="G88" s="98" t="n">
        <v>2000</v>
      </c>
      <c r="H88" s="86"/>
      <c r="I88" s="87" t="n">
        <f aca="false">'machinery costs'!J8</f>
        <v>4.2451171875</v>
      </c>
      <c r="J88" s="99" t="s">
        <v>103</v>
      </c>
      <c r="K88" s="89" t="n">
        <f aca="false">(L88*9.9)/1000</f>
        <v>0.486247544204322</v>
      </c>
      <c r="L88" s="90" t="n">
        <f aca="false">L85*0.5</f>
        <v>49.1159135559921</v>
      </c>
      <c r="M88" s="94" t="n">
        <v>1</v>
      </c>
      <c r="N88" s="70"/>
      <c r="O88" s="91"/>
      <c r="P88" s="91"/>
    </row>
    <row r="89" customFormat="false" ht="12.5" hidden="false" customHeight="false" outlineLevel="0" collapsed="false">
      <c r="A89" s="70"/>
      <c r="B89" s="71" t="s">
        <v>109</v>
      </c>
      <c r="C89" s="71"/>
      <c r="D89" s="71"/>
      <c r="E89" s="83" t="n">
        <v>2</v>
      </c>
      <c r="F89" s="84" t="n">
        <v>267000</v>
      </c>
      <c r="G89" s="85" t="n">
        <v>2000</v>
      </c>
      <c r="H89" s="100"/>
      <c r="I89" s="87" t="n">
        <f aca="false">'machinery costs'!J9</f>
        <v>17.889</v>
      </c>
      <c r="J89" s="101" t="s">
        <v>103</v>
      </c>
      <c r="K89" s="102" t="s">
        <v>103</v>
      </c>
      <c r="L89" s="90" t="n">
        <f aca="false">(L83+L88)</f>
        <v>127.670508999826</v>
      </c>
      <c r="M89" s="94" t="n">
        <f aca="false">(L89*3.17)/G89</f>
        <v>0.202357756764724</v>
      </c>
      <c r="N89" s="70"/>
      <c r="O89" s="91"/>
      <c r="P89" s="91"/>
    </row>
    <row r="90" customFormat="false" ht="12.5" hidden="false" customHeight="false" outlineLevel="0" collapsed="false">
      <c r="A90" s="70"/>
      <c r="B90" s="71" t="s">
        <v>110</v>
      </c>
      <c r="C90" s="71"/>
      <c r="D90" s="71"/>
      <c r="E90" s="83" t="n">
        <v>1</v>
      </c>
      <c r="F90" s="84" t="n">
        <v>74000</v>
      </c>
      <c r="G90" s="85" t="n">
        <v>1000</v>
      </c>
      <c r="H90" s="100"/>
      <c r="I90" s="87" t="n">
        <f aca="false">'machinery costs'!J10</f>
        <v>9.57490625</v>
      </c>
      <c r="J90" s="103" t="s">
        <v>103</v>
      </c>
      <c r="K90" s="103" t="s">
        <v>103</v>
      </c>
      <c r="L90" s="90" t="n">
        <f aca="false">L87</f>
        <v>58.8235294117647</v>
      </c>
      <c r="M90" s="94" t="n">
        <f aca="false">(L90*2.25)/G90</f>
        <v>0.132352941176471</v>
      </c>
      <c r="N90" s="70"/>
      <c r="O90" s="91"/>
      <c r="P90" s="91"/>
    </row>
    <row r="91" customFormat="false" ht="12.5" hidden="false" customHeight="false" outlineLevel="0" collapsed="false">
      <c r="A91" s="70"/>
      <c r="B91" s="104" t="s">
        <v>111</v>
      </c>
      <c r="C91" s="104"/>
      <c r="D91" s="104"/>
      <c r="E91" s="105" t="n">
        <v>1</v>
      </c>
      <c r="F91" s="106" t="n">
        <v>20000</v>
      </c>
      <c r="G91" s="107" t="n">
        <v>2000</v>
      </c>
      <c r="H91" s="108"/>
      <c r="I91" s="109" t="n">
        <f aca="false">'machinery costs'!J11</f>
        <v>1.34</v>
      </c>
      <c r="J91" s="110" t="s">
        <v>103</v>
      </c>
      <c r="K91" s="111" t="n">
        <f aca="false">0.21*E91</f>
        <v>0.21</v>
      </c>
      <c r="L91" s="112"/>
      <c r="M91" s="113" t="n">
        <v>0.15</v>
      </c>
      <c r="N91" s="70"/>
      <c r="O91" s="2"/>
      <c r="P91" s="91"/>
    </row>
    <row r="92" customFormat="false" ht="12.5" hidden="false" customHeight="false" outlineLevel="0" collapsed="false">
      <c r="A92" s="70"/>
      <c r="B92" s="70"/>
      <c r="C92" s="70"/>
      <c r="D92" s="70"/>
      <c r="E92" s="114"/>
      <c r="F92" s="115"/>
      <c r="G92" s="103"/>
      <c r="H92" s="103"/>
      <c r="J92" s="116" t="s">
        <v>112</v>
      </c>
      <c r="K92" s="117" t="n">
        <f aca="false">SUM(K82:K91)*M96</f>
        <v>11.1518664047151</v>
      </c>
      <c r="L92" s="0"/>
      <c r="M92" s="118"/>
      <c r="N92" s="70"/>
      <c r="O92" s="12"/>
    </row>
    <row r="93" customFormat="false" ht="13" hidden="false" customHeight="false" outlineLevel="0" collapsed="false">
      <c r="A93" s="70"/>
      <c r="B93" s="119" t="s">
        <v>113</v>
      </c>
      <c r="C93" s="119"/>
      <c r="D93" s="119"/>
      <c r="E93" s="119"/>
      <c r="F93" s="120"/>
      <c r="G93" s="120"/>
      <c r="H93" s="120"/>
      <c r="I93" s="121" t="n">
        <f aca="false">SUM(I82:I91)</f>
        <v>85.0980546875</v>
      </c>
      <c r="J93" s="116" t="s">
        <v>114</v>
      </c>
      <c r="K93" s="117" t="n">
        <f aca="false">(K92*0.1)+K92</f>
        <v>12.2670530451866</v>
      </c>
      <c r="L93" s="39" t="s">
        <v>115</v>
      </c>
      <c r="M93" s="117" t="n">
        <f aca="false">SUM(M82:M91)</f>
        <v>14.47488751523</v>
      </c>
      <c r="N93" s="70"/>
    </row>
    <row r="94" customFormat="false" ht="12.5" hidden="false" customHeight="false" outlineLevel="0" collapsed="false">
      <c r="A94" s="70"/>
      <c r="B94" s="119"/>
      <c r="C94" s="70"/>
      <c r="D94" s="70"/>
      <c r="E94" s="70"/>
      <c r="F94" s="122"/>
      <c r="G94" s="123"/>
      <c r="H94" s="123"/>
      <c r="I94" s="119"/>
      <c r="J94" s="124"/>
      <c r="K94" s="124"/>
      <c r="L94" s="72"/>
      <c r="M94" s="72"/>
      <c r="N94" s="70"/>
    </row>
    <row r="95" customFormat="false" ht="12.5" hidden="false" customHeight="false" outlineLevel="0" collapsed="false">
      <c r="A95" s="70"/>
      <c r="B95" s="70"/>
      <c r="C95" s="70"/>
      <c r="D95" s="70"/>
      <c r="E95" s="70"/>
      <c r="F95" s="125"/>
      <c r="G95" s="125"/>
      <c r="H95" s="125"/>
      <c r="I95" s="119"/>
      <c r="J95" s="124"/>
      <c r="K95" s="124"/>
      <c r="L95" s="72"/>
      <c r="M95" s="72"/>
      <c r="N95" s="70"/>
    </row>
    <row r="96" customFormat="false" ht="12.5" hidden="false" customHeight="false" outlineLevel="0" collapsed="false">
      <c r="A96" s="70"/>
      <c r="B96" s="119"/>
      <c r="C96" s="119"/>
      <c r="D96" s="119"/>
      <c r="E96" s="119"/>
      <c r="F96" s="126"/>
      <c r="G96" s="123"/>
      <c r="H96" s="123"/>
      <c r="I96" s="119"/>
      <c r="J96" s="127" t="s">
        <v>116</v>
      </c>
      <c r="K96" s="124"/>
      <c r="L96" s="124"/>
      <c r="M96" s="128" t="n">
        <v>3.5</v>
      </c>
      <c r="N96" s="70"/>
    </row>
    <row r="97" customFormat="false" ht="12.5" hidden="false" customHeight="false" outlineLevel="0" collapsed="false">
      <c r="A97" s="70" t="s">
        <v>117</v>
      </c>
      <c r="B97" s="119"/>
      <c r="C97" s="119"/>
      <c r="D97" s="119"/>
      <c r="E97" s="119"/>
      <c r="F97" s="129"/>
      <c r="G97" s="129"/>
      <c r="H97" s="129"/>
      <c r="I97" s="123"/>
      <c r="J97" s="127"/>
      <c r="K97" s="124"/>
      <c r="L97" s="124"/>
      <c r="M97" s="130"/>
      <c r="N97" s="70"/>
    </row>
    <row r="98" customFormat="false" ht="12.5" hidden="false" customHeight="false" outlineLevel="0" collapsed="false">
      <c r="A98" s="70" t="s">
        <v>118</v>
      </c>
      <c r="B98" s="119"/>
      <c r="C98" s="119"/>
      <c r="D98" s="119"/>
      <c r="E98" s="119"/>
      <c r="F98" s="129"/>
      <c r="G98" s="129"/>
      <c r="H98" s="129"/>
      <c r="I98" s="123"/>
      <c r="J98" s="124"/>
      <c r="K98" s="124"/>
      <c r="L98" s="124"/>
      <c r="M98" s="72"/>
      <c r="N98" s="70"/>
    </row>
    <row r="99" customFormat="false" ht="12.5" hidden="false" customHeight="false" outlineLevel="0" collapsed="false">
      <c r="A99" s="77" t="s">
        <v>119</v>
      </c>
      <c r="B99" s="119"/>
      <c r="C99" s="119"/>
      <c r="D99" s="119"/>
      <c r="E99" s="119"/>
      <c r="F99" s="129"/>
      <c r="G99" s="129"/>
      <c r="H99" s="129"/>
      <c r="I99" s="123"/>
      <c r="J99" s="72"/>
      <c r="K99" s="72"/>
      <c r="L99" s="72"/>
      <c r="M99" s="72"/>
      <c r="N99" s="70"/>
    </row>
    <row r="100" customFormat="false" ht="12.5" hidden="false" customHeight="false" outlineLevel="0" collapsed="false">
      <c r="A100" s="70" t="s">
        <v>120</v>
      </c>
      <c r="B100" s="70"/>
      <c r="C100" s="70"/>
      <c r="D100" s="70"/>
      <c r="E100" s="70"/>
      <c r="F100" s="131"/>
      <c r="G100" s="131"/>
      <c r="H100" s="131"/>
      <c r="I100" s="123"/>
      <c r="J100" s="70"/>
      <c r="K100" s="72"/>
      <c r="L100" s="72"/>
      <c r="M100" s="72"/>
      <c r="N100" s="70"/>
    </row>
    <row r="101" customFormat="false" ht="12.5" hidden="false" customHeight="false" outlineLevel="0" collapsed="false">
      <c r="A101" s="70" t="s">
        <v>121</v>
      </c>
      <c r="B101" s="70"/>
      <c r="C101" s="70"/>
      <c r="D101" s="70"/>
      <c r="E101" s="70"/>
      <c r="F101" s="70"/>
      <c r="G101" s="70"/>
      <c r="H101" s="70"/>
      <c r="I101" s="70"/>
      <c r="J101" s="70"/>
      <c r="K101" s="72"/>
      <c r="L101" s="72"/>
      <c r="M101" s="72"/>
      <c r="N101" s="70"/>
    </row>
    <row r="102" customFormat="false" ht="12.5" hidden="false" customHeight="false" outlineLevel="0" collapsed="false">
      <c r="A102" s="70" t="s">
        <v>122</v>
      </c>
      <c r="B102" s="70"/>
      <c r="C102" s="70"/>
      <c r="D102" s="70"/>
      <c r="E102" s="74"/>
      <c r="F102" s="74"/>
      <c r="G102" s="74"/>
      <c r="H102" s="74"/>
      <c r="I102" s="74"/>
      <c r="J102" s="70"/>
      <c r="K102" s="72"/>
      <c r="L102" s="72"/>
      <c r="M102" s="72"/>
      <c r="N102" s="70"/>
    </row>
    <row r="103" customFormat="false" ht="12.5" hidden="false" customHeight="false" outlineLevel="0" collapsed="false">
      <c r="A103" s="132" t="s">
        <v>123</v>
      </c>
      <c r="B103" s="70"/>
      <c r="C103" s="132"/>
      <c r="D103" s="70"/>
      <c r="E103" s="74"/>
      <c r="F103" s="74"/>
      <c r="G103" s="74"/>
      <c r="H103" s="74"/>
      <c r="I103" s="74"/>
      <c r="J103" s="70"/>
      <c r="K103" s="72"/>
      <c r="L103" s="72"/>
      <c r="M103" s="72"/>
      <c r="N103" s="70"/>
    </row>
    <row r="104" customFormat="false" ht="12.5" hidden="false" customHeight="false" outlineLevel="0" collapsed="false">
      <c r="A104" s="70" t="s">
        <v>124</v>
      </c>
      <c r="B104" s="70"/>
      <c r="C104" s="70"/>
      <c r="D104" s="70"/>
      <c r="E104" s="70"/>
      <c r="F104" s="70"/>
      <c r="G104" s="70"/>
      <c r="H104" s="70"/>
      <c r="I104" s="70"/>
      <c r="J104" s="70"/>
      <c r="K104" s="72"/>
      <c r="L104" s="72"/>
      <c r="M104" s="72"/>
      <c r="N104" s="70"/>
    </row>
    <row r="105" customFormat="false" ht="12.5" hidden="false" customHeight="false" outlineLevel="0" collapsed="false">
      <c r="A105" s="70" t="s">
        <v>125</v>
      </c>
      <c r="B105" s="70"/>
      <c r="C105" s="70"/>
      <c r="D105" s="70"/>
      <c r="E105" s="70"/>
      <c r="F105" s="70"/>
      <c r="G105" s="70"/>
      <c r="H105" s="70"/>
      <c r="I105" s="70"/>
      <c r="J105" s="70"/>
      <c r="K105" s="72"/>
      <c r="L105" s="72"/>
      <c r="M105" s="72"/>
      <c r="N105" s="70"/>
    </row>
    <row r="106" customFormat="false" ht="12.5" hidden="false" customHeight="false" outlineLevel="0" collapsed="false">
      <c r="A106" s="70" t="s">
        <v>126</v>
      </c>
      <c r="B106" s="70"/>
      <c r="C106" s="70"/>
      <c r="D106" s="70"/>
      <c r="E106" s="70"/>
      <c r="F106" s="70"/>
      <c r="G106" s="70"/>
      <c r="H106" s="70"/>
      <c r="I106" s="70"/>
      <c r="J106" s="70"/>
      <c r="K106" s="72"/>
      <c r="L106" s="72"/>
      <c r="M106" s="72"/>
      <c r="N106" s="70"/>
    </row>
    <row r="107" customFormat="false" ht="12.5" hidden="false" customHeight="false" outlineLevel="0" collapsed="false">
      <c r="A107" s="70" t="s">
        <v>127</v>
      </c>
      <c r="B107" s="70"/>
      <c r="C107" s="70"/>
      <c r="D107" s="70"/>
      <c r="E107" s="70"/>
      <c r="F107" s="70"/>
      <c r="G107" s="70"/>
      <c r="H107" s="70"/>
      <c r="I107" s="70"/>
      <c r="J107" s="70"/>
      <c r="K107" s="72"/>
      <c r="L107" s="72"/>
      <c r="M107" s="72"/>
      <c r="N107" s="70"/>
    </row>
    <row r="108" customFormat="false" ht="12.5" hidden="false" customHeight="false" outlineLevel="0" collapsed="false">
      <c r="A108" s="70" t="s">
        <v>128</v>
      </c>
      <c r="B108" s="70"/>
      <c r="C108" s="70"/>
      <c r="D108" s="70"/>
      <c r="E108" s="70"/>
      <c r="F108" s="70"/>
      <c r="G108" s="70"/>
      <c r="H108" s="70"/>
      <c r="I108" s="70"/>
    </row>
    <row r="109" customFormat="false" ht="12.5" hidden="false" customHeight="false" outlineLevel="0" collapsed="false">
      <c r="A109" s="70" t="s">
        <v>129</v>
      </c>
    </row>
    <row r="110" customFormat="false" ht="12.5" hidden="false" customHeight="false" outlineLevel="0" collapsed="false">
      <c r="A110" s="0" t="s">
        <v>130</v>
      </c>
    </row>
  </sheetData>
  <mergeCells count="11">
    <mergeCell ref="D1:M1"/>
    <mergeCell ref="D2:M2"/>
    <mergeCell ref="E3:K3"/>
    <mergeCell ref="G4:H4"/>
    <mergeCell ref="K4:L4"/>
    <mergeCell ref="M4:N4"/>
    <mergeCell ref="E6:G6"/>
    <mergeCell ref="I6:J6"/>
    <mergeCell ref="K6:M6"/>
    <mergeCell ref="I7:J7"/>
    <mergeCell ref="A79:M79"/>
  </mergeCell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2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2" activeCellId="0" sqref="A2"/>
    </sheetView>
  </sheetViews>
  <sheetFormatPr defaultRowHeight="12.5"/>
  <cols>
    <col collapsed="false" hidden="false" max="1" min="1" style="0" width="3.64285714285714"/>
    <col collapsed="false" hidden="false" max="3" min="2" style="0" width="13.0918367346939"/>
    <col collapsed="false" hidden="false" max="4" min="4" style="0" width="12.5561224489796"/>
    <col collapsed="false" hidden="false" max="5" min="5" style="0" width="12.1479591836735"/>
    <col collapsed="false" hidden="false" max="6" min="6" style="0" width="13.9030612244898"/>
    <col collapsed="false" hidden="false" max="7" min="7" style="0" width="11.7448979591837"/>
    <col collapsed="false" hidden="false" max="9" min="8" style="0" width="12.4183673469388"/>
    <col collapsed="false" hidden="false" max="1025" min="10" style="0" width="8.50510204081633"/>
  </cols>
  <sheetData>
    <row r="1" customFormat="false" ht="23.25" hidden="false" customHeight="true" outlineLevel="0" collapsed="false">
      <c r="A1" s="70" t="s">
        <v>131</v>
      </c>
      <c r="B1" s="70"/>
      <c r="C1" s="80" t="s">
        <v>132</v>
      </c>
      <c r="D1" s="80" t="s">
        <v>133</v>
      </c>
      <c r="E1" s="80" t="s">
        <v>134</v>
      </c>
      <c r="F1" s="80" t="s">
        <v>135</v>
      </c>
      <c r="G1" s="133" t="s">
        <v>136</v>
      </c>
      <c r="H1" s="80" t="s">
        <v>137</v>
      </c>
      <c r="I1" s="80" t="s">
        <v>138</v>
      </c>
      <c r="J1" s="80" t="s">
        <v>139</v>
      </c>
    </row>
    <row r="2" customFormat="false" ht="12.5" hidden="false" customHeight="false" outlineLevel="0" collapsed="false">
      <c r="A2" s="82" t="s">
        <v>100</v>
      </c>
      <c r="B2" s="82"/>
      <c r="C2" s="134" t="n">
        <f aca="false">('rr-soy-notill'!F82+('rr-soy-notill'!F82*0.34)+D2)/2</f>
        <v>147940</v>
      </c>
      <c r="D2" s="134" t="n">
        <f aca="false">('rr-soy-notill'!F82-('rr-soy-notill'!F82*0.34))/8</f>
        <v>17160</v>
      </c>
      <c r="E2" s="134" t="n">
        <f aca="false">0.06*C2</f>
        <v>8876.4</v>
      </c>
      <c r="F2" s="134" t="n">
        <f aca="false">0.005*C2</f>
        <v>739.7</v>
      </c>
      <c r="G2" s="134" t="n">
        <f aca="false">0.01*C2</f>
        <v>1479.4</v>
      </c>
      <c r="H2" s="135" t="n">
        <f aca="false">SUM(D2:G2)</f>
        <v>28255.5</v>
      </c>
      <c r="I2" s="136" t="n">
        <f aca="false">'rr-soy-notill'!G82</f>
        <v>2000</v>
      </c>
      <c r="J2" s="137" t="n">
        <f aca="false">H2/I2</f>
        <v>14.12775</v>
      </c>
    </row>
    <row r="3" customFormat="false" ht="12.5" hidden="false" customHeight="false" outlineLevel="0" collapsed="false">
      <c r="A3" s="71" t="s">
        <v>101</v>
      </c>
      <c r="B3" s="71"/>
      <c r="C3" s="138" t="n">
        <f aca="false">('rr-soy-notill'!F83+('rr-soy-notill'!F83*0.44)+D3)/2</f>
        <v>47565</v>
      </c>
      <c r="D3" s="138" t="n">
        <f aca="false">('rr-soy-notill'!F83-('rr-soy-notill'!F83*0.44))/8</f>
        <v>4410</v>
      </c>
      <c r="E3" s="138" t="n">
        <f aca="false">0.06*C3</f>
        <v>2853.9</v>
      </c>
      <c r="F3" s="138" t="n">
        <f aca="false">0.005*C3</f>
        <v>237.825</v>
      </c>
      <c r="G3" s="138" t="n">
        <f aca="false">0.01*C3</f>
        <v>475.65</v>
      </c>
      <c r="H3" s="139" t="n">
        <f aca="false">SUM(D3:G3)</f>
        <v>7977.375</v>
      </c>
      <c r="I3" s="140" t="n">
        <f aca="false">'rr-soy-notill'!G83</f>
        <v>1000</v>
      </c>
      <c r="J3" s="99" t="n">
        <f aca="false">H3/I3</f>
        <v>7.977375</v>
      </c>
    </row>
    <row r="4" customFormat="false" ht="12.5" hidden="false" customHeight="false" outlineLevel="0" collapsed="false">
      <c r="A4" s="71" t="s">
        <v>102</v>
      </c>
      <c r="B4" s="71"/>
      <c r="C4" s="138" t="n">
        <f aca="false">('rr-soy-notill'!F84+('rr-soy-notill'!F84*0.29)+D4)/2</f>
        <v>204055</v>
      </c>
      <c r="D4" s="138" t="n">
        <f aca="false">('rr-soy-notill'!F84-('rr-soy-notill'!F84*0.29))/8</f>
        <v>26270</v>
      </c>
      <c r="E4" s="138" t="n">
        <f aca="false">0.06*C4</f>
        <v>12243.3</v>
      </c>
      <c r="F4" s="138" t="n">
        <f aca="false">0.005*C4</f>
        <v>1020.275</v>
      </c>
      <c r="G4" s="138" t="n">
        <f aca="false">0.01*C4</f>
        <v>2040.55</v>
      </c>
      <c r="H4" s="139" t="n">
        <f aca="false">SUM(D4:G4)</f>
        <v>41574.125</v>
      </c>
      <c r="I4" s="140" t="n">
        <f aca="false">'rr-soy-notill'!G84</f>
        <v>2000</v>
      </c>
      <c r="J4" s="99" t="n">
        <f aca="false">H4/I4</f>
        <v>20.7870625</v>
      </c>
    </row>
    <row r="5" customFormat="false" ht="12.5" hidden="false" customHeight="false" outlineLevel="0" collapsed="false">
      <c r="A5" s="71"/>
      <c r="B5" s="71" t="s">
        <v>104</v>
      </c>
      <c r="C5" s="138" t="n">
        <f aca="false">('rr-soy-notill'!F85+('rr-soy-notill'!F85*0.29)+D5)/2</f>
        <v>17923.75</v>
      </c>
      <c r="D5" s="138" t="n">
        <f aca="false">('rr-soy-notill'!F85-('rr-soy-notill'!F85*0.29))/8</f>
        <v>2307.5</v>
      </c>
      <c r="E5" s="138" t="n">
        <f aca="false">0.06*C5</f>
        <v>1075.425</v>
      </c>
      <c r="F5" s="138" t="n">
        <f aca="false">0.005*C5</f>
        <v>89.61875</v>
      </c>
      <c r="G5" s="138" t="n">
        <f aca="false">0.01*C5</f>
        <v>179.2375</v>
      </c>
      <c r="H5" s="139" t="n">
        <f aca="false">SUM(D5:G5)</f>
        <v>3651.78125</v>
      </c>
      <c r="I5" s="140" t="n">
        <f aca="false">'rr-soy-notill'!G85</f>
        <v>1000</v>
      </c>
      <c r="J5" s="99" t="n">
        <f aca="false">H5/I5</f>
        <v>3.65178125</v>
      </c>
    </row>
    <row r="6" customFormat="false" ht="12.5" hidden="false" customHeight="false" outlineLevel="0" collapsed="false">
      <c r="A6" s="71" t="s">
        <v>105</v>
      </c>
      <c r="B6" s="71"/>
      <c r="C6" s="138" t="n">
        <f aca="false">('rr-soy-notill'!F86+('rr-soy-notill'!F86*0.36)+D6)/2</f>
        <v>50400</v>
      </c>
      <c r="D6" s="138" t="n">
        <f aca="false">('rr-soy-notill'!F86-('rr-soy-notill'!F86*0.36))/8</f>
        <v>5600</v>
      </c>
      <c r="E6" s="138" t="n">
        <f aca="false">0.06*C6</f>
        <v>3024</v>
      </c>
      <c r="F6" s="138" t="n">
        <f aca="false">0.005*C6</f>
        <v>252</v>
      </c>
      <c r="G6" s="138" t="n">
        <f aca="false">0.01*C6</f>
        <v>504</v>
      </c>
      <c r="H6" s="139" t="n">
        <f aca="false">SUM(D6:G6)</f>
        <v>9380</v>
      </c>
      <c r="I6" s="140" t="n">
        <f aca="false">'rr-soy-notill'!G86</f>
        <v>2000</v>
      </c>
      <c r="J6" s="99" t="n">
        <f aca="false">H6/I6</f>
        <v>4.69</v>
      </c>
    </row>
    <row r="7" customFormat="false" ht="12.5" hidden="false" customHeight="false" outlineLevel="0" collapsed="false">
      <c r="A7" s="71" t="s">
        <v>107</v>
      </c>
      <c r="B7" s="71"/>
      <c r="C7" s="138" t="n">
        <f aca="false">('rr-soy-notill'!F87+('rr-soy-notill'!F87*0.34)+D7)/2</f>
        <v>8535</v>
      </c>
      <c r="D7" s="138" t="n">
        <f aca="false">('rr-soy-notill'!F87-('rr-soy-notill'!F87*0.34))/8</f>
        <v>990</v>
      </c>
      <c r="E7" s="138" t="n">
        <f aca="false">0.06*C7</f>
        <v>512.1</v>
      </c>
      <c r="F7" s="138" t="n">
        <f aca="false">0.005*C7</f>
        <v>42.675</v>
      </c>
      <c r="G7" s="138" t="n">
        <f aca="false">0.01*C7</f>
        <v>85.35</v>
      </c>
      <c r="H7" s="139" t="n">
        <f aca="false">SUM(D7:G7)</f>
        <v>1630.125</v>
      </c>
      <c r="I7" s="140" t="n">
        <f aca="false">'rr-soy-notill'!G87</f>
        <v>2000</v>
      </c>
      <c r="J7" s="99" t="n">
        <f aca="false">H7/I7</f>
        <v>0.8150625</v>
      </c>
    </row>
    <row r="8" customFormat="false" ht="12.5" hidden="false" customHeight="false" outlineLevel="0" collapsed="false">
      <c r="A8" s="71" t="s">
        <v>108</v>
      </c>
      <c r="B8" s="71"/>
      <c r="C8" s="138" t="n">
        <f aca="false">('rr-soy-notill'!F88+('rr-soy-notill'!F88*0.34)+D8)/2</f>
        <v>44453.125</v>
      </c>
      <c r="D8" s="138" t="n">
        <f aca="false">('rr-soy-notill'!F88-('rr-soy-notill'!F88*0.34))/8</f>
        <v>5156.25</v>
      </c>
      <c r="E8" s="138" t="n">
        <f aca="false">0.06*C8</f>
        <v>2667.1875</v>
      </c>
      <c r="F8" s="138" t="n">
        <f aca="false">0.005*C8</f>
        <v>222.265625</v>
      </c>
      <c r="G8" s="138" t="n">
        <f aca="false">0.01*C8</f>
        <v>444.53125</v>
      </c>
      <c r="H8" s="139" t="n">
        <f aca="false">SUM(D8:G8)</f>
        <v>8490.234375</v>
      </c>
      <c r="I8" s="140" t="n">
        <f aca="false">'rr-soy-notill'!G88</f>
        <v>2000</v>
      </c>
      <c r="J8" s="99" t="n">
        <f aca="false">H8/I8</f>
        <v>4.2451171875</v>
      </c>
    </row>
    <row r="9" customFormat="false" ht="12.5" hidden="false" customHeight="false" outlineLevel="0" collapsed="false">
      <c r="A9" s="71" t="s">
        <v>109</v>
      </c>
      <c r="B9" s="71"/>
      <c r="C9" s="138" t="n">
        <f aca="false">('rr-soy-notill'!F89+('rr-soy-notill'!F89*0.36)+D9)/2</f>
        <v>192240</v>
      </c>
      <c r="D9" s="138" t="n">
        <f aca="false">('rr-soy-notill'!F89-('rr-soy-notill'!F89*0.36))/8</f>
        <v>21360</v>
      </c>
      <c r="E9" s="138" t="n">
        <f aca="false">0.06*C9</f>
        <v>11534.4</v>
      </c>
      <c r="F9" s="138" t="n">
        <f aca="false">0.005*C9</f>
        <v>961.2</v>
      </c>
      <c r="G9" s="138" t="n">
        <f aca="false">0.01*C9</f>
        <v>1922.4</v>
      </c>
      <c r="H9" s="139" t="n">
        <f aca="false">SUM(D9:G9)</f>
        <v>35778</v>
      </c>
      <c r="I9" s="140" t="n">
        <f aca="false">'rr-soy-notill'!G89</f>
        <v>2000</v>
      </c>
      <c r="J9" s="99" t="n">
        <f aca="false">H9/I9</f>
        <v>17.889</v>
      </c>
    </row>
    <row r="10" customFormat="false" ht="12.5" hidden="false" customHeight="false" outlineLevel="0" collapsed="false">
      <c r="A10" s="71" t="s">
        <v>110</v>
      </c>
      <c r="B10" s="71"/>
      <c r="C10" s="138" t="n">
        <f aca="false">('rr-soy-notill'!F90+('rr-soy-notill'!F90*0.41)+D10)/2</f>
        <v>54898.75</v>
      </c>
      <c r="D10" s="138" t="n">
        <f aca="false">('rr-soy-notill'!F90-('rr-soy-notill'!F90*0.41))/8</f>
        <v>5457.5</v>
      </c>
      <c r="E10" s="138" t="n">
        <f aca="false">0.06*C10</f>
        <v>3293.925</v>
      </c>
      <c r="F10" s="138" t="n">
        <f aca="false">0.005*C10</f>
        <v>274.49375</v>
      </c>
      <c r="G10" s="138" t="n">
        <f aca="false">0.01*C10</f>
        <v>548.9875</v>
      </c>
      <c r="H10" s="139" t="n">
        <f aca="false">SUM(D10:G10)</f>
        <v>9574.90625</v>
      </c>
      <c r="I10" s="140" t="n">
        <f aca="false">'rr-soy-notill'!G90</f>
        <v>1000</v>
      </c>
      <c r="J10" s="99" t="n">
        <f aca="false">H10/I10</f>
        <v>9.57490625</v>
      </c>
    </row>
    <row r="11" customFormat="false" ht="12.5" hidden="false" customHeight="false" outlineLevel="0" collapsed="false">
      <c r="A11" s="104" t="s">
        <v>111</v>
      </c>
      <c r="B11" s="104"/>
      <c r="C11" s="141" t="n">
        <f aca="false">('rr-soy-notill'!F91+('rr-soy-notill'!F91*0.36)+D11)/2</f>
        <v>14400</v>
      </c>
      <c r="D11" s="141" t="n">
        <f aca="false">('rr-soy-notill'!F91-('rr-soy-notill'!F91*0.36))/8</f>
        <v>1600</v>
      </c>
      <c r="E11" s="141" t="n">
        <f aca="false">0.06*C11</f>
        <v>864</v>
      </c>
      <c r="F11" s="141" t="n">
        <f aca="false">0.005*C11</f>
        <v>72</v>
      </c>
      <c r="G11" s="141" t="n">
        <f aca="false">0.01*C11</f>
        <v>144</v>
      </c>
      <c r="H11" s="142" t="n">
        <f aca="false">SUM(D11:G11)</f>
        <v>2680</v>
      </c>
      <c r="I11" s="143" t="n">
        <f aca="false">'rr-soy-notill'!G91</f>
        <v>2000</v>
      </c>
      <c r="J11" s="144" t="n">
        <f aca="false">H11/I11</f>
        <v>1.34</v>
      </c>
    </row>
    <row r="12" customFormat="false" ht="12.5" hidden="false" customHeight="false" outlineLevel="0" collapsed="false">
      <c r="D12" s="145" t="n">
        <f aca="false">SUM(D2:D11)</f>
        <v>90311.25</v>
      </c>
      <c r="E12" s="145" t="n">
        <f aca="false">SUM(E2:E11)</f>
        <v>46944.6375</v>
      </c>
      <c r="F12" s="145" t="n">
        <f aca="false">SUM(F2:F11)</f>
        <v>3912.053125</v>
      </c>
      <c r="G12" s="145" t="n">
        <f aca="false">SUM(G2:G11)</f>
        <v>7824.10625</v>
      </c>
      <c r="H12" s="145" t="n">
        <f aca="false">SUM(H2:H11)</f>
        <v>148992.046875</v>
      </c>
      <c r="I12" s="14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21" activeCellId="0" sqref="A21"/>
    </sheetView>
  </sheetViews>
  <sheetFormatPr defaultRowHeight="12.5"/>
  <cols>
    <col collapsed="false" hidden="false" max="2" min="1" style="0" width="8.50510204081633"/>
    <col collapsed="false" hidden="false" max="3" min="3" style="0" width="6.75"/>
    <col collapsed="false" hidden="false" max="4" min="4" style="0" width="13.3622448979592"/>
    <col collapsed="false" hidden="false" max="6" min="5" style="0" width="8.50510204081633"/>
    <col collapsed="false" hidden="false" max="7" min="7" style="0" width="12.4183673469388"/>
    <col collapsed="false" hidden="false" max="8" min="8" style="0" width="10.6632653061225"/>
    <col collapsed="false" hidden="false" max="9" min="9" style="0" width="12.4183673469388"/>
    <col collapsed="false" hidden="false" max="1025" min="10" style="0" width="8.50510204081633"/>
  </cols>
  <sheetData>
    <row r="1" customFormat="false" ht="12.5" hidden="false" customHeight="false" outlineLevel="0" collapsed="false">
      <c r="A1" s="146" t="s">
        <v>140</v>
      </c>
      <c r="B1" s="146"/>
      <c r="C1" s="146"/>
      <c r="D1" s="146"/>
      <c r="E1" s="146"/>
      <c r="F1" s="146"/>
      <c r="G1" s="146"/>
      <c r="H1" s="146"/>
      <c r="I1" s="146"/>
    </row>
    <row r="2" customFormat="false" ht="13" hidden="false" customHeight="false" outlineLevel="0" collapsed="false">
      <c r="A2" s="146"/>
      <c r="B2" s="146"/>
      <c r="C2" s="146"/>
      <c r="D2" s="146"/>
      <c r="E2" s="146"/>
      <c r="F2" s="146"/>
      <c r="G2" s="146"/>
      <c r="H2" s="146"/>
      <c r="I2" s="146"/>
    </row>
    <row r="3" customFormat="false" ht="20.5" hidden="false" customHeight="false" outlineLevel="0" collapsed="false">
      <c r="A3" s="147" t="s">
        <v>141</v>
      </c>
      <c r="B3" s="147"/>
      <c r="C3" s="147"/>
      <c r="D3" s="147" t="s">
        <v>142</v>
      </c>
      <c r="E3" s="147"/>
      <c r="F3" s="147"/>
      <c r="G3" s="148" t="s">
        <v>143</v>
      </c>
      <c r="H3" s="148"/>
      <c r="I3" s="148"/>
    </row>
    <row r="4" customFormat="false" ht="20" hidden="false" customHeight="false" outlineLevel="0" collapsed="false">
      <c r="A4" s="149" t="s">
        <v>144</v>
      </c>
      <c r="B4" s="150"/>
      <c r="C4" s="151"/>
      <c r="D4" s="151"/>
      <c r="E4" s="151"/>
      <c r="F4" s="151"/>
      <c r="G4" s="152" t="n">
        <f aca="false">'rr-soy-notill'!L8</f>
        <v>46.6</v>
      </c>
      <c r="H4" s="153"/>
      <c r="I4" s="154" t="n">
        <f aca="false">'rr-soy-notill'!M8</f>
        <v>55.9</v>
      </c>
    </row>
    <row r="5" customFormat="false" ht="20" hidden="false" customHeight="false" outlineLevel="0" collapsed="false">
      <c r="A5" s="155" t="s">
        <v>145</v>
      </c>
      <c r="B5" s="155"/>
      <c r="C5" s="156"/>
      <c r="D5" s="157" t="n">
        <f aca="false">'rr-soy-notill'!$I$11</f>
        <v>11.8</v>
      </c>
      <c r="E5" s="156" t="s">
        <v>146</v>
      </c>
      <c r="F5" s="156"/>
      <c r="G5" s="157" t="n">
        <f aca="false">'rr-soy-notill'!$L$11</f>
        <v>549.88</v>
      </c>
      <c r="H5" s="157"/>
      <c r="I5" s="158" t="n">
        <f aca="false">'rr-soy-notill'!$M$11</f>
        <v>659.62</v>
      </c>
    </row>
    <row r="6" customFormat="false" ht="6" hidden="false" customHeight="true" outlineLevel="0" collapsed="false">
      <c r="A6" s="151"/>
      <c r="B6" s="151"/>
      <c r="C6" s="151"/>
      <c r="D6" s="159"/>
      <c r="E6" s="151"/>
      <c r="F6" s="160"/>
      <c r="G6" s="161"/>
      <c r="H6" s="161"/>
      <c r="I6" s="161"/>
    </row>
    <row r="7" customFormat="false" ht="20" hidden="false" customHeight="false" outlineLevel="0" collapsed="false">
      <c r="A7" s="162" t="s">
        <v>147</v>
      </c>
      <c r="B7" s="163"/>
      <c r="C7" s="150"/>
      <c r="D7" s="159"/>
      <c r="E7" s="151"/>
      <c r="F7" s="151"/>
      <c r="G7" s="164"/>
      <c r="H7" s="164"/>
      <c r="I7" s="164"/>
    </row>
    <row r="8" customFormat="false" ht="20" hidden="false" customHeight="false" outlineLevel="0" collapsed="false">
      <c r="A8" s="165" t="s">
        <v>148</v>
      </c>
      <c r="B8" s="165"/>
      <c r="C8" s="165"/>
      <c r="D8" s="166" t="n">
        <f aca="false">'rr-soy-notill'!$I$16</f>
        <v>0.41</v>
      </c>
      <c r="E8" s="167" t="s">
        <v>149</v>
      </c>
      <c r="F8" s="167"/>
      <c r="G8" s="168" t="n">
        <f aca="false">'rr-soy-notill'!$L$16</f>
        <v>73.8</v>
      </c>
      <c r="H8" s="168"/>
      <c r="I8" s="169" t="n">
        <f aca="false">'rr-soy-notill'!$M$16</f>
        <v>73.8</v>
      </c>
    </row>
    <row r="9" customFormat="false" ht="24" hidden="false" customHeight="false" outlineLevel="0" collapsed="false">
      <c r="A9" s="165" t="s">
        <v>150</v>
      </c>
      <c r="B9" s="165"/>
      <c r="C9" s="165"/>
      <c r="D9" s="170" t="n">
        <f aca="false">'rr-soy-notill'!$F$62</f>
        <v>650</v>
      </c>
      <c r="E9" s="165" t="s">
        <v>73</v>
      </c>
      <c r="F9" s="165"/>
      <c r="G9" s="171" t="n">
        <f aca="false">'rr-soy-notill'!$L$18</f>
        <v>23.3</v>
      </c>
      <c r="H9" s="171"/>
      <c r="I9" s="172" t="n">
        <f aca="false">'rr-soy-notill'!$M$18</f>
        <v>27.95</v>
      </c>
    </row>
    <row r="10" customFormat="false" ht="24" hidden="false" customHeight="false" outlineLevel="0" collapsed="false">
      <c r="A10" s="165" t="s">
        <v>151</v>
      </c>
      <c r="B10" s="165"/>
      <c r="C10" s="165"/>
      <c r="D10" s="170" t="n">
        <f aca="false">'rr-soy-notill'!$J$62</f>
        <v>575</v>
      </c>
      <c r="E10" s="165" t="s">
        <v>73</v>
      </c>
      <c r="F10" s="165"/>
      <c r="G10" s="171" t="n">
        <f aca="false">'rr-soy-notill'!$L$19</f>
        <v>31.2608333333333</v>
      </c>
      <c r="H10" s="171"/>
      <c r="I10" s="172" t="n">
        <f aca="false">'rr-soy-notill'!$M$19</f>
        <v>37.4995833333333</v>
      </c>
    </row>
    <row r="11" customFormat="false" ht="20" hidden="false" customHeight="false" outlineLevel="0" collapsed="false">
      <c r="A11" s="165" t="s">
        <v>152</v>
      </c>
      <c r="B11" s="165"/>
      <c r="C11" s="165"/>
      <c r="D11" s="173"/>
      <c r="E11" s="165"/>
      <c r="F11" s="165"/>
      <c r="G11" s="171" t="n">
        <f aca="false">SUM('rr-soy-notill'!$L$21:$L$23)</f>
        <v>31.4</v>
      </c>
      <c r="H11" s="171"/>
      <c r="I11" s="172" t="n">
        <f aca="false">SUM('rr-soy-notill'!$M$21:$M$23)</f>
        <v>31.4</v>
      </c>
    </row>
    <row r="12" customFormat="false" ht="20" hidden="false" customHeight="false" outlineLevel="0" collapsed="false">
      <c r="A12" s="155" t="s">
        <v>153</v>
      </c>
      <c r="B12" s="155"/>
      <c r="C12" s="155"/>
      <c r="D12" s="174" t="n">
        <f aca="false">'rr-soy-notill'!$M$96</f>
        <v>3.5</v>
      </c>
      <c r="E12" s="155" t="s">
        <v>154</v>
      </c>
      <c r="F12" s="165"/>
      <c r="G12" s="171"/>
      <c r="H12" s="171"/>
      <c r="I12" s="175"/>
    </row>
    <row r="13" customFormat="false" ht="9" hidden="false" customHeight="true" outlineLevel="0" collapsed="false">
      <c r="A13" s="151"/>
      <c r="B13" s="151"/>
      <c r="C13" s="151"/>
      <c r="D13" s="151"/>
      <c r="E13" s="151"/>
      <c r="F13" s="176"/>
      <c r="G13" s="177"/>
      <c r="H13" s="177"/>
      <c r="I13" s="177"/>
    </row>
    <row r="14" customFormat="false" ht="20" hidden="false" customHeight="false" outlineLevel="0" collapsed="false">
      <c r="A14" s="162" t="s">
        <v>155</v>
      </c>
      <c r="B14" s="150"/>
      <c r="C14" s="151"/>
      <c r="D14" s="151"/>
      <c r="E14" s="151"/>
      <c r="F14" s="151"/>
      <c r="G14" s="164"/>
      <c r="H14" s="164"/>
      <c r="I14" s="164"/>
    </row>
    <row r="15" customFormat="false" ht="20" hidden="false" customHeight="false" outlineLevel="0" collapsed="false">
      <c r="A15" s="178" t="s">
        <v>156</v>
      </c>
      <c r="B15" s="178"/>
      <c r="C15" s="178"/>
      <c r="D15" s="178"/>
      <c r="E15" s="178"/>
      <c r="F15" s="178"/>
      <c r="G15" s="168" t="n">
        <f aca="false">'rr-soy-notill'!L36+'rr-soy-notill'!L37</f>
        <v>57.494</v>
      </c>
      <c r="H15" s="168"/>
      <c r="I15" s="169" t="n">
        <f aca="false">'rr-soy-notill'!M36+'rr-soy-notill'!M37</f>
        <v>62.981</v>
      </c>
    </row>
    <row r="16" customFormat="false" ht="20" hidden="false" customHeight="false" outlineLevel="0" collapsed="false">
      <c r="A16" s="179" t="s">
        <v>93</v>
      </c>
      <c r="B16" s="179"/>
      <c r="C16" s="179"/>
      <c r="D16" s="179"/>
      <c r="E16" s="179"/>
      <c r="F16" s="179"/>
      <c r="G16" s="171" t="n">
        <f aca="false">'rr-soy-notill'!L38</f>
        <v>85.0980546875</v>
      </c>
      <c r="H16" s="171"/>
      <c r="I16" s="172" t="n">
        <f aca="false">'rr-soy-notill'!M38</f>
        <v>85.0980546875</v>
      </c>
    </row>
    <row r="17" customFormat="false" ht="20" hidden="false" customHeight="false" outlineLevel="0" collapsed="false">
      <c r="A17" s="155" t="s">
        <v>157</v>
      </c>
      <c r="B17" s="155"/>
      <c r="C17" s="155"/>
      <c r="D17" s="155"/>
      <c r="E17" s="155"/>
      <c r="F17" s="155"/>
      <c r="G17" s="180" t="n">
        <f aca="false">'rr-soy-notill'!L39</f>
        <v>195</v>
      </c>
      <c r="H17" s="180"/>
      <c r="I17" s="175" t="n">
        <f aca="false">'rr-soy-notill'!M39</f>
        <v>250</v>
      </c>
    </row>
    <row r="18" customFormat="false" ht="18.75" hidden="false" customHeight="true" outlineLevel="0" collapsed="false">
      <c r="A18" s="151"/>
      <c r="B18" s="151"/>
      <c r="C18" s="181" t="s">
        <v>158</v>
      </c>
      <c r="G18" s="171" t="n">
        <f aca="false">'rr-soy-notill'!L45</f>
        <v>12.2321672783312</v>
      </c>
      <c r="H18" s="182"/>
      <c r="I18" s="171" t="n">
        <f aca="false">'rr-soy-notill'!N45</f>
        <v>10.8209250120965</v>
      </c>
    </row>
    <row r="19" customFormat="false" ht="20" hidden="false" customHeight="false" outlineLevel="0" collapsed="false">
      <c r="A19" s="162" t="s">
        <v>159</v>
      </c>
      <c r="B19" s="150"/>
      <c r="C19" s="151"/>
      <c r="D19" s="151"/>
      <c r="E19" s="151"/>
      <c r="F19" s="151"/>
      <c r="G19" s="164"/>
      <c r="H19" s="164"/>
      <c r="I19" s="164"/>
    </row>
    <row r="20" customFormat="false" ht="20" hidden="false" customHeight="false" outlineLevel="0" collapsed="false">
      <c r="A20" s="178" t="s">
        <v>160</v>
      </c>
      <c r="B20" s="178"/>
      <c r="C20" s="178"/>
      <c r="D20" s="178"/>
      <c r="E20" s="178"/>
      <c r="F20" s="178"/>
      <c r="G20" s="168" t="n">
        <f aca="false">'rr-soy-notill'!$L$50</f>
        <v>-20.1389951702361</v>
      </c>
      <c r="H20" s="168"/>
      <c r="I20" s="169" t="n">
        <f aca="false">'rr-soy-notill'!$M$50</f>
        <v>17.7801464964306</v>
      </c>
    </row>
    <row r="21" customFormat="false" ht="20" hidden="false" customHeight="false" outlineLevel="0" collapsed="false">
      <c r="A21" s="155" t="s">
        <v>161</v>
      </c>
      <c r="B21" s="155"/>
      <c r="C21" s="155"/>
      <c r="D21" s="155"/>
      <c r="E21" s="155"/>
      <c r="F21" s="155"/>
      <c r="G21" s="180" t="n">
        <f aca="false">'rr-soy-notill'!$L$48</f>
        <v>174.861004829764</v>
      </c>
      <c r="H21" s="180"/>
      <c r="I21" s="175" t="n">
        <f aca="false">'rr-soy-notill'!$M$48</f>
        <v>267.780146496431</v>
      </c>
    </row>
  </sheetData>
  <mergeCells count="4">
    <mergeCell ref="A1:I2"/>
    <mergeCell ref="A3:C3"/>
    <mergeCell ref="D3:F3"/>
    <mergeCell ref="G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Dept. of Ag., Env., &amp; Dev. Economics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2002-12-27T15:58:24Z</dcterms:created>
  <dc:creator>Robert Moore</dc:creator>
  <dc:description/>
  <dc:language>en-US</dc:language>
  <cp:lastModifiedBy>Julie Moose</cp:lastModifiedBy>
  <cp:lastPrinted>2011-07-27T18:48:20Z</cp:lastPrinted>
  <dcterms:modified xsi:type="dcterms:W3CDTF">2016-12-01T18:03:00Z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Dept. of Ag., Env., &amp; Dev. Economics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