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r-soy-notill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'rr-soy-notill'!$A$1:$N$124</definedName>
    <definedName function="false" hidden="false" localSheetId="0" name="_xlnm.Print_Area" vbProcedure="false">'rr-soy-notill'!$A$1:$N$124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<sst xmlns="http://schemas.openxmlformats.org/spreadsheetml/2006/main" count="209" uniqueCount="182">
  <si>
    <t xml:space="preserve">.</t>
  </si>
  <si>
    <t xml:space="preserve">SOYBEAN PRODUCTION BUDGET (Roundup Ready) - 2017</t>
  </si>
  <si>
    <t xml:space="preserve">No-Tillage Practices</t>
  </si>
  <si>
    <t xml:space="preserve">Reflects 2000 acres, Conservation Tillage Corn/No-Till RR Soybeans</t>
  </si>
  <si>
    <t xml:space="preserve">Updated:</t>
  </si>
  <si>
    <t xml:space="preserve">5/15/2017</t>
  </si>
  <si>
    <t xml:space="preserve">ITEM</t>
  </si>
  <si>
    <t xml:space="preserve">EXPLANATION</t>
  </si>
  <si>
    <t xml:space="preserve">YOUR</t>
  </si>
  <si>
    <t xml:space="preserve">PRICE PER</t>
  </si>
  <si>
    <r>
      <rPr>
        <b val="true"/>
        <sz val="10"/>
        <rFont val="Arial"/>
        <family val="2"/>
        <charset val="1"/>
      </rPr>
      <t xml:space="preserve">YIELD (bu/A)</t>
    </r>
    <r>
      <rPr>
        <b val="true"/>
        <vertAlign val="superscript"/>
        <sz val="10"/>
        <rFont val="Arial"/>
        <family val="2"/>
        <charset val="1"/>
      </rPr>
      <t xml:space="preserve">1</t>
    </r>
  </si>
  <si>
    <t xml:space="preserve">YOUR </t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</si>
  <si>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</si>
  <si>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</si>
  <si>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</si>
  <si>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</si>
  <si>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</si>
  <si>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Soybeans</t>
    </r>
    <r>
      <rPr>
        <vertAlign val="superscript"/>
        <sz val="10"/>
        <rFont val="Arial"/>
        <family val="2"/>
        <charset val="1"/>
      </rPr>
      <t xml:space="preserve">1</t>
    </r>
  </si>
  <si>
    <t xml:space="preserve">bu</t>
  </si>
  <si>
    <r>
      <rPr>
        <sz val="10"/>
        <rFont val="Arial"/>
        <family val="2"/>
        <charset val="1"/>
      </rPr>
      <t xml:space="preserve">ARC/PLC Payment</t>
    </r>
    <r>
      <rPr>
        <vertAlign val="superscript"/>
        <sz val="10"/>
        <rFont val="Arial"/>
        <family val="2"/>
        <charset val="1"/>
      </rPr>
      <t xml:space="preserve">2</t>
    </r>
  </si>
  <si>
    <t xml:space="preserve">Crop Insurance Indemnity</t>
  </si>
  <si>
    <t xml:space="preserve">Grower or Market Premium</t>
  </si>
  <si>
    <t xml:space="preserve">TOTAL RECEIPTS</t>
  </si>
  <si>
    <t xml:space="preserve">VARIABLE  COSTS</t>
  </si>
  <si>
    <r>
      <rPr>
        <sz val="10"/>
        <rFont val="Arial"/>
        <family val="2"/>
        <charset val="1"/>
      </rPr>
      <t xml:space="preserve">Seed</t>
    </r>
    <r>
      <rPr>
        <vertAlign val="superscript"/>
        <sz val="10"/>
        <rFont val="Arial"/>
        <family val="2"/>
        <charset val="1"/>
      </rPr>
      <t xml:space="preserve">3</t>
    </r>
  </si>
  <si>
    <t xml:space="preserve">seeds</t>
  </si>
  <si>
    <t xml:space="preserve">/1000</t>
  </si>
  <si>
    <r>
      <rPr>
        <sz val="10"/>
        <rFont val="Arial"/>
        <family val="2"/>
        <charset val="1"/>
      </rPr>
      <t xml:space="preserve">Fertilizer</t>
    </r>
    <r>
      <rPr>
        <vertAlign val="superscript"/>
        <sz val="10"/>
        <rFont val="Arial"/>
        <family val="2"/>
        <charset val="1"/>
      </rPr>
      <t xml:space="preserve">4</t>
    </r>
  </si>
  <si>
    <t xml:space="preserve">/acre</t>
  </si>
  <si>
    <t xml:space="preserve">P2O5(lbs)</t>
  </si>
  <si>
    <t xml:space="preserve">lb</t>
  </si>
  <si>
    <t xml:space="preserve">K2O(lbs)</t>
  </si>
  <si>
    <t xml:space="preserve">Lime(ton)</t>
  </si>
  <si>
    <t xml:space="preserve">ton</t>
  </si>
  <si>
    <r>
      <rPr>
        <sz val="10"/>
        <rFont val="Arial"/>
        <family val="2"/>
        <charset val="1"/>
      </rPr>
      <t xml:space="preserve">Chemicals</t>
    </r>
    <r>
      <rPr>
        <vertAlign val="superscript"/>
        <sz val="10"/>
        <rFont val="Arial"/>
        <family val="2"/>
        <charset val="1"/>
      </rPr>
      <t xml:space="preserve">5</t>
    </r>
  </si>
  <si>
    <t xml:space="preserve">Herbicide</t>
  </si>
  <si>
    <t xml:space="preserve">Insecticide</t>
  </si>
  <si>
    <t xml:space="preserve">Fungicide</t>
  </si>
  <si>
    <r>
      <rPr>
        <sz val="10"/>
        <rFont val="Arial"/>
        <family val="2"/>
        <charset val="1"/>
      </rPr>
      <t xml:space="preserve">Trucking - Fuel Only</t>
    </r>
    <r>
      <rPr>
        <vertAlign val="superscript"/>
        <sz val="10"/>
        <rFont val="Arial"/>
        <family val="2"/>
        <charset val="1"/>
      </rPr>
      <t xml:space="preserve">6</t>
    </r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</si>
  <si>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</si>
  <si>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</si>
  <si>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</t>
    </r>
    <r>
      <rPr>
        <vertAlign val="superscript"/>
        <sz val="10"/>
        <rFont val="Arial"/>
        <family val="2"/>
        <charset val="1"/>
      </rPr>
      <t xml:space="preserve"> 7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</si>
  <si>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8</t>
    </r>
  </si>
  <si>
    <r>
      <rPr>
        <sz val="10"/>
        <rFont val="Arial"/>
        <family val="2"/>
        <charset val="1"/>
      </rPr>
      <t xml:space="preserve">Crop Insurance </t>
    </r>
    <r>
      <rPr>
        <vertAlign val="superscript"/>
        <sz val="10"/>
        <rFont val="Arial"/>
        <family val="2"/>
        <charset val="1"/>
      </rPr>
      <t xml:space="preserve">9</t>
    </r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</si>
  <si>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</si>
  <si>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Int. on Oper. Cap. </t>
    </r>
    <r>
      <rPr>
        <vertAlign val="superscript"/>
        <sz val="10"/>
        <rFont val="Arial"/>
        <family val="2"/>
        <charset val="1"/>
      </rPr>
      <t xml:space="preserve">11</t>
    </r>
  </si>
  <si>
    <t xml:space="preserve">mo.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</si>
  <si>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12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</si>
  <si>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</si>
  <si>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</si>
  <si>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</si>
  <si>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</si>
  <si>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</t>
    </r>
    <r>
      <rPr>
        <vertAlign val="superscript"/>
        <sz val="10"/>
        <rFont val="Arial"/>
        <family val="2"/>
        <charset val="1"/>
      </rPr>
      <t xml:space="preserve"> 12</t>
    </r>
  </si>
  <si>
    <t xml:space="preserve">hours</t>
  </si>
  <si>
    <t xml:space="preserve">/hr</t>
  </si>
  <si>
    <r>
      <rPr>
        <sz val="10"/>
        <rFont val="Arial"/>
        <family val="2"/>
        <charset val="1"/>
      </rPr>
      <t xml:space="preserve">Management Charge</t>
    </r>
    <r>
      <rPr>
        <vertAlign val="superscript"/>
        <sz val="10"/>
        <rFont val="Arial"/>
        <family val="2"/>
        <charset val="1"/>
      </rPr>
      <t xml:space="preserve">13</t>
    </r>
  </si>
  <si>
    <t xml:space="preserve">of gross income</t>
  </si>
  <si>
    <r>
      <rPr>
        <sz val="10"/>
        <rFont val="Arial"/>
        <family val="2"/>
        <charset val="1"/>
      </rPr>
      <t xml:space="preserve">Mach. and Equip. Charge </t>
    </r>
    <r>
      <rPr>
        <vertAlign val="superscript"/>
        <sz val="10"/>
        <rFont val="Arial"/>
        <family val="2"/>
        <charset val="1"/>
      </rPr>
      <t xml:space="preserve">14</t>
    </r>
  </si>
  <si>
    <r>
      <rPr>
        <sz val="10"/>
        <rFont val="Arial"/>
        <family val="2"/>
        <charset val="1"/>
      </rPr>
      <t xml:space="preserve">Land Charge</t>
    </r>
    <r>
      <rPr>
        <vertAlign val="superscript"/>
        <sz val="10"/>
        <rFont val="Arial"/>
        <family val="2"/>
        <charset val="1"/>
      </rPr>
      <t xml:space="preserve">15</t>
    </r>
  </si>
  <si>
    <t xml:space="preserve">TOTAL FIXED COSTS</t>
  </si>
  <si>
    <t xml:space="preserve">TOTAL COSTS</t>
  </si>
  <si>
    <r>
      <rPr>
        <b val="true"/>
        <sz val="10"/>
        <rFont val="Arial"/>
        <family val="2"/>
        <charset val="1"/>
      </rPr>
      <t xml:space="preserve">RETURN ABOVE VARIABLE COSTS</t>
    </r>
    <r>
      <rPr>
        <b val="true"/>
        <vertAlign val="superscript"/>
        <sz val="10"/>
        <rFont val="Arial"/>
        <family val="2"/>
        <charset val="1"/>
      </rPr>
      <t xml:space="preserve">16</t>
    </r>
  </si>
  <si>
    <t xml:space="preserve">RETURN ABOVE VARIABLE AND LAND COSTS</t>
  </si>
  <si>
    <t xml:space="preserve">RETURN ABOVE TOTAL COSTS</t>
  </si>
  <si>
    <t xml:space="preserve">RETURN TO LAND</t>
  </si>
  <si>
    <t xml:space="preserve">RETURN TO LABOR AND MANAGEMENT</t>
  </si>
  <si>
    <t xml:space="preserve">RETURN TO LAND, LABOR, AND MANAGEMENT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</si>
  <si>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</si>
  <si>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</si>
  <si>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calculated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</si>
  <si>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</si>
  <si>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</si>
  <si>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Yield is based on Ohio Ag Stats Trend Yield for Ohio (1970-Present), plus and minus 20%</t>
  </si>
  <si>
    <t xml:space="preserve">Price is based on current Ohio November Futures less $0.30 basis</t>
  </si>
  <si>
    <t xml:space="preserve">Assumes a ARC-CO Program Choice, 50/50 Corn/Soybean Program Acres, payment on 85% of program acres.</t>
  </si>
  <si>
    <t xml:space="preserve">Seed costs are per 1000 seeds, treated.</t>
  </si>
  <si>
    <t xml:space="preserve">Assumes only maintenance application of fertilizer needed, corn-soybean rotation, 3.8 O.M., 20 CEC, </t>
  </si>
  <si>
    <t xml:space="preserve">and soil test values of 25 ppm P/A and 125 ppm K/A.</t>
  </si>
  <si>
    <t xml:space="preserve">Fertilizer prices vary over time and by area.  Check with local sources for current prices. </t>
  </si>
  <si>
    <t xml:space="preserve">Assumes MAP(11-52-0):</t>
  </si>
  <si>
    <t xml:space="preserve">/ton</t>
  </si>
  <si>
    <t xml:space="preserve">Potash(0-0-60):</t>
  </si>
  <si>
    <t xml:space="preserve">Based on use of: fall applied glyphosate plus 2,4-D with ammonium sulfate (AMS), preplant glyphosate, 2,4-D, Valor XLT and mtribuzin w/ AMS</t>
  </si>
  <si>
    <t xml:space="preserve">post glyphosate with MSO and AMS. Glyphosate tolerant soybeans are often used in part as a tool for perennial </t>
  </si>
  <si>
    <t xml:space="preserve">weed control.  While this intrinsic value is not included in the budget, it should be considered when exploring </t>
  </si>
  <si>
    <t xml:space="preserve">opportunities with glyphosate tolerant soybeans.</t>
  </si>
  <si>
    <t xml:space="preserve">Trucking based on 900 bushel loads, 6 mpg, oil and lube at 10% of fuel cost, Enter on-road diesel price and total miles trucked</t>
  </si>
  <si>
    <t xml:space="preserve">See table below for specific calculations.  Lubrication costs are assumed to be 10% of fuel costs.</t>
  </si>
  <si>
    <t xml:space="preserve">See table below for specific calculations.</t>
  </si>
  <si>
    <t xml:space="preserve">Crop Insurance: Revenue Protection (with Trend Adjusted Yield Endorsement), Basic (without SCO), 75% coverage level.</t>
  </si>
  <si>
    <t xml:space="preserve">Includes marketing, farm insurance, dues and professional fees, supplies, utilities, soil tests, small tools, </t>
  </si>
  <si>
    <t xml:space="preserve">software/hardware, transport of supplies and equipment, etc…</t>
  </si>
  <si>
    <t xml:space="preserve">Interest on all variable costs, except drying and trucking</t>
  </si>
  <si>
    <t xml:space="preserve">Part or all of labor may be a variable cost if paid labor varies with acres farmed.  </t>
  </si>
  <si>
    <t xml:space="preserve">Labor is considered a fixed cost if labor costs do not change with acres farmed.</t>
  </si>
  <si>
    <t xml:space="preserve">Labor rate includes cash wages plus benefits. </t>
  </si>
  <si>
    <t xml:space="preserve">Management Charge is calculated as 5% of total receipts.</t>
  </si>
  <si>
    <t xml:space="preserve">Machinery and Equipment Charge Reflects 2000 acres, conservation tillage corn/no-till RR soybean rotation. </t>
  </si>
  <si>
    <t xml:space="preserve">Average based on "Ohio Cropland Values and Cash Rents" factsheet found at: http://ohioline.osu.edu/</t>
  </si>
  <si>
    <t xml:space="preserve">Land charges vary throughout the state, check your local rates.</t>
  </si>
  <si>
    <t xml:space="preserve">Return Above Variable Costs equals total receipts minus total variable costs.</t>
  </si>
  <si>
    <t xml:space="preserve">Return Above Variable and Land Costs equals total receipts minus total variable and land costs.</t>
  </si>
  <si>
    <t xml:space="preserve">Return Above Total Costs equals total receipts minus total costs.</t>
  </si>
  <si>
    <t xml:space="preserve">Return to Land equals total receipts minus total costs except land costs.</t>
  </si>
  <si>
    <t xml:space="preserve">Return to Labor and Management equals total receipts minus total expenses except operator labor and management cost.</t>
  </si>
  <si>
    <t xml:space="preserve">Return to Land, Labor and Management equals total receipts minus total expenses </t>
  </si>
  <si>
    <t xml:space="preserve">except operator labor and management and land costs.</t>
  </si>
  <si>
    <t xml:space="preserve">Machinery Inventory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</si>
  <si>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</si>
  <si>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</si>
  <si>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</si>
  <si>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</si>
  <si>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 Hr</t>
  </si>
  <si>
    <t xml:space="preserve">Fuel*        (gal/A)</t>
  </si>
  <si>
    <t xml:space="preserve">Hours / Year</t>
  </si>
  <si>
    <t xml:space="preserve">Repairs ($/A)</t>
  </si>
  <si>
    <t xml:space="preserve">Boom Sprayer, Self Prop.</t>
  </si>
  <si>
    <t xml:space="preserve">Air Seeder Drill w/Cart '40</t>
  </si>
  <si>
    <t xml:space="preserve">Combine 440 HP</t>
  </si>
  <si>
    <t xml:space="preserve">-----</t>
  </si>
  <si>
    <t xml:space="preserve">30' Draper Head</t>
  </si>
  <si>
    <t xml:space="preserve">2 Semi Tractor Trailer**</t>
  </si>
  <si>
    <t xml:space="preserve">***</t>
  </si>
  <si>
    <t xml:space="preserve">Fertilizer Spreader</t>
  </si>
  <si>
    <t xml:space="preserve">Grain Cart</t>
  </si>
  <si>
    <t xml:space="preserve">310 HP Tractor</t>
  </si>
  <si>
    <t xml:space="preserve">105 HP Tractor</t>
  </si>
  <si>
    <t xml:space="preserve">Pickup Truck (1/2)**</t>
  </si>
  <si>
    <t xml:space="preserve">Fuel</t>
  </si>
  <si>
    <t xml:space="preserve">Machinery and Equipment Charge</t>
  </si>
  <si>
    <t xml:space="preserve">F&amp;L</t>
  </si>
  <si>
    <t xml:space="preserve">Repairs</t>
  </si>
  <si>
    <t xml:space="preserve">Price of Diesel Fuel</t>
  </si>
  <si>
    <t xml:space="preserve">Machinery cost estimates, fuel estimates and cost calculations based on information from industry sources and </t>
  </si>
  <si>
    <t xml:space="preserve">the "Farm Machinery Cost Estimates". See the reference online at:   http://wlazarus.cfans.umn.edu/william-f-lazarus-farm-machinery-management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</si>
  <si>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</si>
  <si>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</si>
  <si>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</si>
  <si>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</si>
  <si>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 Trailer and Pickup 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</si>
  <si>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</si>
  <si>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</si>
  <si>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</si>
  <si>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</si>
  <si>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Prepared by: Barry Ward, Leader, Production Business Management; Laura Lindsey, Extension Soybean and Small Grain Specialist, </t>
  </si>
  <si>
    <t xml:space="preserve">Mark Loux, Extension Specialist - Weed Management in Field Crops</t>
  </si>
  <si>
    <t xml:space="preserve">Machinery</t>
  </si>
  <si>
    <t xml:space="preserve">Average Value</t>
  </si>
  <si>
    <t xml:space="preserve">Depreciation</t>
  </si>
  <si>
    <t xml:space="preserve">Cost Capital</t>
  </si>
  <si>
    <t xml:space="preserve">Insurance</t>
  </si>
  <si>
    <t xml:space="preserve">Housing</t>
  </si>
  <si>
    <t xml:space="preserve">Total</t>
  </si>
  <si>
    <t xml:space="preserve">Acres/Year</t>
  </si>
  <si>
    <t xml:space="preserve">Cost/acre</t>
  </si>
  <si>
    <t xml:space="preserve">30 Ft No-Till Drill</t>
  </si>
  <si>
    <t xml:space="preserve">Combine 340 HP</t>
  </si>
  <si>
    <t xml:space="preserve">30' Grain Head</t>
  </si>
  <si>
    <t xml:space="preserve">SOYBEAN SELECTED BUDGET STATS - 2017</t>
  </si>
  <si>
    <t xml:space="preserve">Item</t>
  </si>
  <si>
    <t xml:space="preserve">Input</t>
  </si>
  <si>
    <t xml:space="preserve">Yield in bushels/acre</t>
  </si>
  <si>
    <t xml:space="preserve">Receipts</t>
  </si>
  <si>
    <t xml:space="preserve">Soybean Price</t>
  </si>
  <si>
    <t xml:space="preserve">/bushel</t>
  </si>
  <si>
    <t xml:space="preserve">ARC/PLC</t>
  </si>
  <si>
    <t xml:space="preserve">Variable Costs</t>
  </si>
  <si>
    <t xml:space="preserve">Seed Cost</t>
  </si>
  <si>
    <t xml:space="preserve">/1000 seeds</t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</si>
  <si>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</si>
  <si>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</si>
  <si>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</si>
  <si>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</si>
  <si>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</si>
  <si>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Breakeven Cost / Bu</t>
  </si>
  <si>
    <t xml:space="preserve">Fixed Costs</t>
  </si>
  <si>
    <t xml:space="preserve">Labor and Management</t>
  </si>
  <si>
    <t xml:space="preserve">Land Rent</t>
  </si>
  <si>
    <t xml:space="preserve">Returns</t>
  </si>
  <si>
    <t xml:space="preserve">Return to Total Costs</t>
  </si>
  <si>
    <t xml:space="preserve">Return to Variable Costs</t>
  </si>
  <si>
    <t xml:space="preserve">Return to Land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</si>
</sst>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0.000"/>
    <numFmt numFmtId="171" formatCode="#,##0"/>
    <numFmt numFmtId="172" formatCode="0.00%"/>
    <numFmt numFmtId="173" formatCode="@"/>
    <numFmt numFmtId="174" formatCode="0.00_);[RED]\(0.00\)"/>
    <numFmt numFmtId="175" formatCode="0_);[RED]\(0\)"/>
    <numFmt numFmtId="176" formatCode="0%"/>
    <numFmt numFmtId="177" formatCode="#,##0.00_);[RED]\(#,##0.00\)"/>
    <numFmt numFmtId="178" formatCode="\$#,##0"/>
    <numFmt numFmtId="179" formatCode="0.0"/>
    <numFmt numFmtId="180" formatCode="_(\$* #,##0.00_);_(\$* \(#,##0.00\);_(\$* \-??_);_(@_)"/>
    <numFmt numFmtId="181" formatCode="#,##0.00_);\(#,##0.00\)"/>
    <numFmt numFmtId="182" formatCode="_(* #,##0.00_);_(* \(#,##0.00\);_(* \-??_);_(@_)"/>
    <numFmt numFmtId="183" formatCode="_(* #,##0_);_(* \(#,##0\);_(* \-??_);_(@_)"/>
    <numFmt numFmtId="184" formatCode="\$#,##0.00_);&quot;($&quot;#,##0.00\)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ECFF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ECFF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1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3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4" fontId="1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4" fontId="1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1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4</xdr:col>
      <xdr:colOff>552240</xdr:colOff>
      <xdr:row>4</xdr:row>
      <xdr:rowOff>85320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8160" y="38160"/>
          <a:ext cx="1999800" cy="834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24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20" zoomScaleNormal="100" zoomScalePageLayoutView="120" workbookViewId="0">
      <selection pane="topLeft" activeCell="G1" activeCellId="0" sqref="G1"/>
    </sheetView>
  </sheetViews>
  <sheetFormatPr defaultRowHeight="12.5"/>
  <cols>
    <col collapsed="false" hidden="false" max="1" min="1" style="0" width="2.69897959183673"/>
    <col collapsed="false" hidden="false" max="2" min="2" style="0" width="2.42857142857143"/>
    <col collapsed="false" hidden="false" max="3" min="3" style="0" width="9.04591836734694"/>
    <col collapsed="false" hidden="false" max="4" min="4" style="0" width="6.88265306122449"/>
    <col collapsed="false" hidden="false" max="5" min="5" style="0" width="8.36734693877551"/>
    <col collapsed="false" hidden="false" max="9" min="6" style="0" width="9.31632653061224"/>
    <col collapsed="false" hidden="false" max="10" min="10" style="0" width="6.47959183673469"/>
    <col collapsed="false" hidden="false" max="13" min="11" style="1" width="8.36734693877551"/>
    <col collapsed="false" hidden="false" max="14" min="14" style="0" width="8.36734693877551"/>
    <col collapsed="false" hidden="false" max="15" min="15" style="0" width="8.50510204081633"/>
    <col collapsed="false" hidden="false" max="16" min="16" style="0" width="9.31632653061224"/>
    <col collapsed="false" hidden="false" max="1025" min="17" style="0" width="8.50510204081633"/>
  </cols>
  <sheetData>
    <row r="1" customFormat="false" ht="15.5" hidden="false" customHeight="false" outlineLevel="0" collapsed="false">
      <c r="A1" s="2"/>
      <c r="B1" s="2"/>
      <c r="C1" s="3" t="s">
        <v>0</v>
      </c>
      <c r="D1" s="2"/>
      <c r="E1" s="2"/>
      <c r="G1" s="4" t="s">
        <v>1</v>
      </c>
      <c r="K1" s="0"/>
      <c r="L1" s="0"/>
      <c r="M1" s="0"/>
      <c r="N1" s="1"/>
    </row>
    <row r="2" customFormat="false" ht="15.5" hidden="false" customHeight="false" outlineLevel="0" collapsed="false">
      <c r="A2" s="2"/>
      <c r="B2" s="2"/>
      <c r="C2" s="2"/>
      <c r="D2" s="2"/>
      <c r="E2" s="2"/>
      <c r="G2" s="4" t="s">
        <v>2</v>
      </c>
      <c r="K2" s="0"/>
      <c r="L2" s="0"/>
      <c r="M2" s="0"/>
      <c r="N2" s="1"/>
    </row>
    <row r="3" customFormat="false" ht="15.5" hidden="false" customHeight="false" outlineLevel="0" collapsed="false">
      <c r="A3" s="2"/>
      <c r="B3" s="2"/>
      <c r="C3" s="2"/>
      <c r="D3" s="2"/>
      <c r="E3" s="2"/>
      <c r="G3" s="0" t="s">
        <v>3</v>
      </c>
      <c r="K3" s="0"/>
      <c r="L3" s="0"/>
      <c r="M3" s="0"/>
      <c r="N3" s="1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.5" hidden="false" customHeight="false" outlineLevel="0" collapsed="false">
      <c r="A4" s="2"/>
      <c r="B4" s="2"/>
      <c r="C4" s="2"/>
      <c r="D4" s="2"/>
      <c r="E4" s="2"/>
      <c r="K4" s="0"/>
      <c r="L4" s="0"/>
      <c r="M4" s="0"/>
      <c r="N4" s="1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.5" hidden="false" customHeight="false" outlineLevel="0" collapsed="false">
      <c r="A5" s="2"/>
      <c r="B5" s="2"/>
      <c r="C5" s="2"/>
      <c r="D5" s="2"/>
      <c r="E5" s="2"/>
      <c r="K5" s="6" t="s">
        <v>4</v>
      </c>
      <c r="L5" s="0"/>
      <c r="M5" s="7" t="s">
        <v>5</v>
      </c>
      <c r="N5" s="7"/>
      <c r="R5" s="8"/>
      <c r="S5" s="9"/>
      <c r="T5" s="9"/>
      <c r="U5" s="9"/>
      <c r="V5" s="9"/>
      <c r="W5" s="9"/>
      <c r="X5" s="9"/>
      <c r="Y5" s="9"/>
      <c r="Z5" s="8"/>
      <c r="AA5" s="8"/>
    </row>
    <row r="6" customFormat="false" ht="14.25" hidden="false" customHeight="true" outlineLevel="0" collapsed="false">
      <c r="A6" s="10"/>
      <c r="B6" s="10" t="s">
        <v>6</v>
      </c>
      <c r="C6" s="10"/>
      <c r="D6" s="10"/>
      <c r="E6" s="11" t="s">
        <v>7</v>
      </c>
      <c r="F6" s="11"/>
      <c r="G6" s="11"/>
      <c r="H6" s="11" t="s">
        <v>8</v>
      </c>
      <c r="I6" s="11" t="s">
        <v>9</v>
      </c>
      <c r="J6" s="11"/>
      <c r="K6" s="12" t="s">
        <v>10</v>
      </c>
      <c r="L6" s="12"/>
      <c r="M6" s="12"/>
      <c r="N6" s="11" t="s">
        <v>11</v>
      </c>
    </row>
    <row r="7" customFormat="false" ht="13" hidden="false" customHeight="false" outlineLevel="0" collapsed="false">
      <c r="A7" s="13"/>
      <c r="B7" s="13"/>
      <c r="C7" s="13"/>
      <c r="D7" s="13"/>
      <c r="E7" s="13"/>
      <c r="F7" s="13"/>
      <c r="G7" s="13"/>
      <c r="H7" s="14" t="s">
        <v>12</v>
      </c>
      <c r="I7" s="14" t="s">
        <v>13</v>
      </c>
      <c r="J7" s="14"/>
      <c r="K7" s="15"/>
      <c r="L7" s="15"/>
      <c r="M7" s="15"/>
      <c r="N7" s="14" t="s">
        <v>14</v>
      </c>
    </row>
    <row r="8" customFormat="false" ht="13" hidden="false" customHeight="false" outlineLevel="0" collapsed="false">
      <c r="A8" s="16"/>
      <c r="B8" s="16"/>
      <c r="C8" s="16"/>
      <c r="D8" s="16"/>
      <c r="E8" s="16"/>
      <c r="F8" s="16"/>
      <c r="G8" s="16"/>
      <c r="H8" s="17" t="s">
        <v>15</v>
      </c>
      <c r="I8" s="16"/>
      <c r="J8" s="16"/>
      <c r="K8" s="18" t="n">
        <v>39.8</v>
      </c>
      <c r="L8" s="18" t="n">
        <v>49.8</v>
      </c>
      <c r="M8" s="18" t="n">
        <v>59.8</v>
      </c>
      <c r="N8" s="19" t="n">
        <v>62</v>
      </c>
    </row>
    <row r="9" customFormat="false" ht="12.5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1"/>
      <c r="L9" s="21"/>
      <c r="M9" s="21"/>
      <c r="N9" s="20"/>
    </row>
    <row r="10" customFormat="false" ht="13" hidden="false" customHeight="false" outlineLevel="0" collapsed="false">
      <c r="A10" s="22" t="s">
        <v>16</v>
      </c>
      <c r="B10" s="23"/>
      <c r="C10" s="23"/>
      <c r="D10" s="23"/>
      <c r="E10" s="23"/>
      <c r="F10" s="23"/>
      <c r="G10" s="23"/>
      <c r="H10" s="23"/>
      <c r="I10" s="23"/>
      <c r="J10" s="23"/>
      <c r="K10" s="24"/>
      <c r="L10" s="24"/>
      <c r="M10" s="24"/>
      <c r="N10" s="23"/>
      <c r="S10" s="25"/>
    </row>
    <row r="11" customFormat="false" ht="15" hidden="false" customHeight="false" outlineLevel="0" collapsed="false">
      <c r="A11" s="23"/>
      <c r="B11" s="23"/>
      <c r="C11" s="23" t="s">
        <v>17</v>
      </c>
      <c r="D11" s="23"/>
      <c r="E11" s="23"/>
      <c r="F11" s="23"/>
      <c r="G11" s="23"/>
      <c r="H11" s="23"/>
      <c r="I11" s="26" t="n">
        <v>9.4</v>
      </c>
      <c r="J11" s="23" t="s">
        <v>18</v>
      </c>
      <c r="K11" s="27" t="n">
        <f aca="false">+$I$11*K8</f>
        <v>374.12</v>
      </c>
      <c r="L11" s="27" t="n">
        <f aca="false">+$I$11*L8</f>
        <v>468.12</v>
      </c>
      <c r="M11" s="27" t="n">
        <f aca="false">+$I$11*M8</f>
        <v>562.12</v>
      </c>
      <c r="N11" s="28" t="n">
        <f aca="false">+$I$11*N8</f>
        <v>582.8</v>
      </c>
    </row>
    <row r="12" customFormat="false" ht="15" hidden="false" customHeight="false" outlineLevel="0" collapsed="false">
      <c r="A12" s="23"/>
      <c r="B12" s="23"/>
      <c r="C12" s="23" t="s">
        <v>19</v>
      </c>
      <c r="D12" s="23"/>
      <c r="E12" s="23"/>
      <c r="F12" s="23"/>
      <c r="G12" s="23"/>
      <c r="H12" s="23"/>
      <c r="I12" s="29"/>
      <c r="J12" s="23"/>
      <c r="K12" s="27" t="n">
        <v>32</v>
      </c>
      <c r="L12" s="27" t="n">
        <v>32</v>
      </c>
      <c r="M12" s="27" t="n">
        <v>32</v>
      </c>
      <c r="N12" s="30" t="n">
        <v>32</v>
      </c>
    </row>
    <row r="13" customFormat="false" ht="13" hidden="false" customHeight="false" outlineLevel="0" collapsed="false">
      <c r="A13" s="23"/>
      <c r="B13" s="23"/>
      <c r="C13" s="23" t="s">
        <v>20</v>
      </c>
      <c r="D13" s="23"/>
      <c r="E13" s="23"/>
      <c r="F13" s="23"/>
      <c r="G13" s="23"/>
      <c r="H13" s="23"/>
      <c r="I13" s="29"/>
      <c r="J13" s="23"/>
      <c r="K13" s="27" t="n">
        <v>0</v>
      </c>
      <c r="L13" s="27" t="n">
        <v>0</v>
      </c>
      <c r="M13" s="27" t="n">
        <v>0</v>
      </c>
      <c r="N13" s="30" t="n">
        <v>0</v>
      </c>
    </row>
    <row r="14" customFormat="false" ht="13" hidden="false" customHeight="false" outlineLevel="0" collapsed="false">
      <c r="A14" s="23"/>
      <c r="B14" s="31"/>
      <c r="C14" s="31" t="s">
        <v>21</v>
      </c>
      <c r="D14" s="31"/>
      <c r="E14" s="31"/>
      <c r="F14" s="29"/>
      <c r="G14" s="31"/>
      <c r="H14" s="31"/>
      <c r="I14" s="29"/>
      <c r="J14" s="31"/>
      <c r="K14" s="32" t="n">
        <v>0</v>
      </c>
      <c r="L14" s="32" t="n">
        <v>0</v>
      </c>
      <c r="M14" s="32" t="n">
        <v>0</v>
      </c>
      <c r="N14" s="30" t="n">
        <v>0</v>
      </c>
    </row>
    <row r="15" customFormat="false" ht="13" hidden="false" customHeight="false" outlineLevel="0" collapsed="false">
      <c r="A15" s="23"/>
      <c r="B15" s="31"/>
      <c r="C15" s="31"/>
      <c r="D15" s="31"/>
      <c r="E15" s="33"/>
      <c r="F15" s="33"/>
      <c r="G15" s="33"/>
      <c r="H15" s="33"/>
      <c r="I15" s="34"/>
      <c r="J15" s="35"/>
      <c r="K15" s="36"/>
      <c r="L15" s="32"/>
      <c r="M15" s="32"/>
      <c r="N15" s="37"/>
    </row>
    <row r="16" customFormat="false" ht="13" hidden="false" customHeight="false" outlineLevel="0" collapsed="false">
      <c r="A16" s="22" t="s">
        <v>22</v>
      </c>
      <c r="B16" s="23"/>
      <c r="C16" s="23"/>
      <c r="D16" s="23"/>
      <c r="E16" s="23"/>
      <c r="F16" s="23"/>
      <c r="G16" s="23"/>
      <c r="H16" s="23"/>
      <c r="I16" s="23"/>
      <c r="J16" s="23"/>
      <c r="K16" s="27" t="n">
        <f aca="false">SUM(K11:K14)</f>
        <v>406.12</v>
      </c>
      <c r="L16" s="27" t="n">
        <f aca="false">SUM(L11:L14)</f>
        <v>500.12</v>
      </c>
      <c r="M16" s="27" t="n">
        <f aca="false">SUM(M11:M14)</f>
        <v>594.12</v>
      </c>
      <c r="N16" s="28" t="n">
        <f aca="false">SUM(N11:N14)</f>
        <v>614.8</v>
      </c>
    </row>
    <row r="17" customFormat="false" ht="13" hidden="false" customHeight="false" outlineLevel="0" collapsed="false">
      <c r="A17" s="22" t="s">
        <v>23</v>
      </c>
      <c r="B17" s="23"/>
      <c r="C17" s="23"/>
      <c r="D17" s="23"/>
      <c r="E17" s="23"/>
      <c r="F17" s="23"/>
      <c r="G17" s="23"/>
      <c r="H17" s="23"/>
      <c r="I17" s="23"/>
      <c r="J17" s="23"/>
      <c r="K17" s="24"/>
      <c r="L17" s="24"/>
      <c r="M17" s="24"/>
      <c r="N17" s="6"/>
    </row>
    <row r="18" customFormat="false" ht="15" hidden="false" customHeight="false" outlineLevel="0" collapsed="false">
      <c r="A18" s="23"/>
      <c r="B18" s="23" t="s">
        <v>24</v>
      </c>
      <c r="C18" s="23"/>
      <c r="D18" s="23"/>
      <c r="E18" s="23"/>
      <c r="F18" s="23" t="n">
        <v>175000</v>
      </c>
      <c r="G18" s="23" t="s">
        <v>25</v>
      </c>
      <c r="H18" s="38" t="n">
        <v>175000</v>
      </c>
      <c r="I18" s="39" t="n">
        <v>0.371</v>
      </c>
      <c r="J18" s="40" t="s">
        <v>26</v>
      </c>
      <c r="K18" s="24" t="n">
        <f aca="false">$H$18/1000*$I$18</f>
        <v>64.925</v>
      </c>
      <c r="L18" s="24" t="n">
        <f aca="false">$H$18/1000*$I$18</f>
        <v>64.925</v>
      </c>
      <c r="M18" s="24" t="n">
        <f aca="false">$H$18/1000*$I$18</f>
        <v>64.925</v>
      </c>
      <c r="N18" s="41" t="n">
        <f aca="false">$H$18/1000*$I$18</f>
        <v>64.925</v>
      </c>
    </row>
    <row r="19" customFormat="false" ht="15" hidden="false" customHeight="false" outlineLevel="0" collapsed="false">
      <c r="A19" s="23"/>
      <c r="B19" s="23" t="s">
        <v>27</v>
      </c>
      <c r="C19" s="23"/>
      <c r="D19" s="23"/>
      <c r="E19" s="23"/>
      <c r="F19" s="23"/>
      <c r="G19" s="23" t="s">
        <v>28</v>
      </c>
      <c r="H19" s="42"/>
      <c r="I19" s="42"/>
      <c r="J19" s="40" t="s">
        <v>25</v>
      </c>
      <c r="K19" s="24"/>
      <c r="L19" s="24"/>
      <c r="M19" s="24"/>
      <c r="N19" s="6"/>
    </row>
    <row r="20" customFormat="false" ht="13" hidden="false" customHeight="false" outlineLevel="0" collapsed="false">
      <c r="A20" s="23"/>
      <c r="B20" s="23"/>
      <c r="C20" s="23" t="s">
        <v>29</v>
      </c>
      <c r="D20" s="23"/>
      <c r="E20" s="23" t="n">
        <f aca="false">K8*0.8</f>
        <v>31.84</v>
      </c>
      <c r="F20" s="23" t="n">
        <f aca="false">L8*0.8</f>
        <v>39.84</v>
      </c>
      <c r="G20" s="23" t="n">
        <f aca="false">M8*0.8</f>
        <v>47.84</v>
      </c>
      <c r="H20" s="38" t="n">
        <f aca="false">N8*0.8</f>
        <v>49.6</v>
      </c>
      <c r="I20" s="38" t="n">
        <f aca="false">F67/1040</f>
        <v>0.4375</v>
      </c>
      <c r="J20" s="23" t="s">
        <v>30</v>
      </c>
      <c r="K20" s="24" t="n">
        <f aca="false">+$I$20*E20</f>
        <v>13.93</v>
      </c>
      <c r="L20" s="24" t="n">
        <f aca="false">+$I$20*F20</f>
        <v>17.43</v>
      </c>
      <c r="M20" s="24" t="n">
        <f aca="false">+$I$20*G20</f>
        <v>20.93</v>
      </c>
      <c r="N20" s="41" t="n">
        <f aca="false">+$I$20*H20</f>
        <v>21.7</v>
      </c>
    </row>
    <row r="21" customFormat="false" ht="13" hidden="false" customHeight="false" outlineLevel="0" collapsed="false">
      <c r="A21" s="23"/>
      <c r="B21" s="23"/>
      <c r="C21" s="23" t="s">
        <v>31</v>
      </c>
      <c r="D21" s="23"/>
      <c r="E21" s="23" t="n">
        <f aca="false">(K8*1.4)</f>
        <v>55.72</v>
      </c>
      <c r="F21" s="23" t="n">
        <f aca="false">(L8*1.4)</f>
        <v>69.72</v>
      </c>
      <c r="G21" s="23" t="n">
        <f aca="false">(M8*1.4)</f>
        <v>83.72</v>
      </c>
      <c r="H21" s="38" t="n">
        <f aca="false">(N8*1.4)</f>
        <v>86.8</v>
      </c>
      <c r="I21" s="38" t="n">
        <f aca="false">J67/1200</f>
        <v>0.2625</v>
      </c>
      <c r="J21" s="23" t="s">
        <v>30</v>
      </c>
      <c r="K21" s="24" t="n">
        <f aca="false">+$I$21*E21</f>
        <v>14.6265</v>
      </c>
      <c r="L21" s="24" t="n">
        <f aca="false">+$I$21*F21</f>
        <v>18.3015</v>
      </c>
      <c r="M21" s="24" t="n">
        <f aca="false">+$I$21*G21</f>
        <v>21.9765</v>
      </c>
      <c r="N21" s="41" t="n">
        <f aca="false">+$I$21*H21</f>
        <v>22.785</v>
      </c>
    </row>
    <row r="22" customFormat="false" ht="13" hidden="false" customHeight="false" outlineLevel="0" collapsed="false">
      <c r="A22" s="23"/>
      <c r="B22" s="23"/>
      <c r="C22" s="23" t="s">
        <v>32</v>
      </c>
      <c r="D22" s="23"/>
      <c r="E22" s="23"/>
      <c r="F22" s="23" t="n">
        <v>0.25</v>
      </c>
      <c r="G22" s="23"/>
      <c r="H22" s="38" t="n">
        <v>0.25</v>
      </c>
      <c r="I22" s="38" t="n">
        <v>25</v>
      </c>
      <c r="J22" s="23" t="s">
        <v>33</v>
      </c>
      <c r="K22" s="24" t="n">
        <f aca="false">+$F22*$I22</f>
        <v>6.25</v>
      </c>
      <c r="L22" s="24" t="n">
        <f aca="false">+$F22*$I22</f>
        <v>6.25</v>
      </c>
      <c r="M22" s="24" t="n">
        <f aca="false">+$F22*$I22</f>
        <v>6.25</v>
      </c>
      <c r="N22" s="41" t="n">
        <f aca="false">+$F22*$I22</f>
        <v>6.25</v>
      </c>
    </row>
    <row r="23" customFormat="false" ht="15" hidden="false" customHeight="false" outlineLevel="0" collapsed="false">
      <c r="A23" s="23"/>
      <c r="B23" s="23" t="s">
        <v>34</v>
      </c>
      <c r="C23" s="23"/>
      <c r="D23" s="23" t="s">
        <v>35</v>
      </c>
      <c r="E23" s="23"/>
      <c r="F23" s="23"/>
      <c r="G23" s="23"/>
      <c r="H23" s="23"/>
      <c r="I23" s="23"/>
      <c r="J23" s="23"/>
      <c r="K23" s="24" t="n">
        <v>45.7</v>
      </c>
      <c r="L23" s="24" t="n">
        <v>45.7</v>
      </c>
      <c r="M23" s="24" t="n">
        <v>45.7</v>
      </c>
      <c r="N23" s="43" t="n">
        <v>45.7</v>
      </c>
    </row>
    <row r="24" customFormat="false" ht="13" hidden="false" customHeight="false" outlineLevel="0" collapsed="false">
      <c r="A24" s="23"/>
      <c r="B24" s="23"/>
      <c r="C24" s="23"/>
      <c r="D24" s="23" t="s">
        <v>36</v>
      </c>
      <c r="E24" s="23"/>
      <c r="F24" s="23"/>
      <c r="G24" s="23"/>
      <c r="H24" s="23"/>
      <c r="I24" s="23"/>
      <c r="J24" s="23"/>
      <c r="K24" s="24" t="n">
        <v>0</v>
      </c>
      <c r="L24" s="24" t="n">
        <v>0</v>
      </c>
      <c r="M24" s="24" t="n">
        <v>0</v>
      </c>
      <c r="N24" s="43" t="n">
        <v>0</v>
      </c>
    </row>
    <row r="25" customFormat="false" ht="13" hidden="false" customHeight="false" outlineLevel="0" collapsed="false">
      <c r="A25" s="23"/>
      <c r="B25" s="23"/>
      <c r="C25" s="23"/>
      <c r="D25" s="23" t="s">
        <v>37</v>
      </c>
      <c r="E25" s="23"/>
      <c r="F25" s="23"/>
      <c r="G25" s="23"/>
      <c r="H25" s="23"/>
      <c r="I25" s="23"/>
      <c r="J25" s="23"/>
      <c r="K25" s="24" t="n">
        <v>0</v>
      </c>
      <c r="L25" s="24" t="n">
        <v>0</v>
      </c>
      <c r="M25" s="24" t="n">
        <v>0</v>
      </c>
      <c r="N25" s="43" t="n">
        <v>0</v>
      </c>
    </row>
    <row r="26" customFormat="false" ht="15" hidden="false" customHeight="false" outlineLevel="0" collapsed="false">
      <c r="A26" s="23"/>
      <c r="B26" s="23" t="s">
        <v>38</v>
      </c>
      <c r="C26" s="23"/>
      <c r="D26" s="23"/>
      <c r="E26" s="44"/>
      <c r="F26" s="45" t="n">
        <v>2.7</v>
      </c>
      <c r="G26" s="23" t="s">
        <v>39</v>
      </c>
      <c r="H26" s="23"/>
      <c r="I26" s="46" t="n">
        <v>30</v>
      </c>
      <c r="J26" s="23" t="s">
        <v>40</v>
      </c>
      <c r="K26" s="24" t="n">
        <f aca="false">(((($I$26/6)*$F$26)/900)*K8)+(((($I$26/6)*$F$26)/900)*K8)*0.1</f>
        <v>0.6567</v>
      </c>
      <c r="L26" s="24" t="n">
        <f aca="false">(((($I$26/6)*$F$26)/900)*L8)+(((($I$26/6)*$F$26)/900)*L8)*0.1</f>
        <v>0.8217</v>
      </c>
      <c r="M26" s="24" t="n">
        <f aca="false">(((($I$26/6)*$F$26)/900)*M8)+(((($I$26/6)*$F$26)/900)*M8)*0.1</f>
        <v>0.9867</v>
      </c>
      <c r="N26" s="41" t="n">
        <f aca="false">(((($I$26/6)*$F$26)/900)*N8)+(((($I$26/6)*$F$26)/900)*N8)*0.1</f>
        <v>1.023</v>
      </c>
    </row>
    <row r="27" customFormat="false" ht="15" hidden="false" customHeight="false" outlineLevel="0" collapsed="false">
      <c r="A27" s="23"/>
      <c r="B27" s="23" t="s">
        <v>41</v>
      </c>
      <c r="C27" s="23"/>
      <c r="D27" s="23"/>
      <c r="E27" s="23"/>
      <c r="F27" s="23"/>
      <c r="G27" s="23"/>
      <c r="H27" s="23"/>
      <c r="I27" s="23"/>
      <c r="J27" s="23"/>
      <c r="K27" s="24" t="n">
        <f aca="false">+$K$108</f>
        <v>7.17831905697446</v>
      </c>
      <c r="L27" s="24" t="n">
        <f aca="false">+$K$108</f>
        <v>7.17831905697446</v>
      </c>
      <c r="M27" s="24" t="n">
        <f aca="false">+$K$108</f>
        <v>7.17831905697446</v>
      </c>
      <c r="N27" s="41" t="n">
        <f aca="false">+$K$108</f>
        <v>7.17831905697446</v>
      </c>
    </row>
    <row r="28" customFormat="false" ht="15" hidden="false" customHeight="false" outlineLevel="0" collapsed="false">
      <c r="A28" s="23"/>
      <c r="B28" s="23" t="s">
        <v>42</v>
      </c>
      <c r="C28" s="23"/>
      <c r="D28" s="23"/>
      <c r="E28" s="23"/>
      <c r="F28" s="23"/>
      <c r="G28" s="23"/>
      <c r="H28" s="23"/>
      <c r="I28" s="23"/>
      <c r="J28" s="23"/>
      <c r="K28" s="47" t="n">
        <f aca="false">+$M$108</f>
        <v>20.6136221128923</v>
      </c>
      <c r="L28" s="47" t="n">
        <f aca="false">+$M$108</f>
        <v>20.6136221128923</v>
      </c>
      <c r="M28" s="47" t="n">
        <f aca="false">+$M$108</f>
        <v>20.6136221128923</v>
      </c>
      <c r="N28" s="41" t="n">
        <f aca="false">+$M$108</f>
        <v>20.6136221128923</v>
      </c>
    </row>
    <row r="29" customFormat="false" ht="15" hidden="false" customHeight="false" outlineLevel="0" collapsed="false">
      <c r="A29" s="23"/>
      <c r="B29" s="23" t="s">
        <v>43</v>
      </c>
      <c r="C29" s="23"/>
      <c r="D29" s="23"/>
      <c r="E29" s="23"/>
      <c r="F29" s="23"/>
      <c r="G29" s="23"/>
      <c r="H29" s="23"/>
      <c r="I29" s="23"/>
      <c r="J29" s="23"/>
      <c r="K29" s="24" t="n">
        <v>12</v>
      </c>
      <c r="L29" s="24" t="n">
        <v>12</v>
      </c>
      <c r="M29" s="24" t="n">
        <v>13</v>
      </c>
      <c r="N29" s="43" t="n">
        <v>13</v>
      </c>
    </row>
    <row r="30" customFormat="false" ht="15" hidden="false" customHeight="false" outlineLevel="0" collapsed="false">
      <c r="A30" s="23"/>
      <c r="B30" s="23" t="s">
        <v>44</v>
      </c>
      <c r="C30" s="23"/>
      <c r="D30" s="23"/>
      <c r="E30" s="23"/>
      <c r="F30" s="23"/>
      <c r="G30" s="23"/>
      <c r="H30" s="23"/>
      <c r="I30" s="23"/>
      <c r="J30" s="23"/>
      <c r="K30" s="24" t="n">
        <v>3.5</v>
      </c>
      <c r="L30" s="24" t="n">
        <v>3.5</v>
      </c>
      <c r="M30" s="24" t="n">
        <v>3.5</v>
      </c>
      <c r="N30" s="43" t="n">
        <v>3.5</v>
      </c>
    </row>
    <row r="31" customFormat="false" ht="15" hidden="false" customHeight="false" outlineLevel="0" collapsed="false">
      <c r="A31" s="23"/>
      <c r="B31" s="23" t="s">
        <v>45</v>
      </c>
      <c r="C31" s="23"/>
      <c r="D31" s="23"/>
      <c r="E31" s="23"/>
      <c r="F31" s="48" t="n">
        <v>6</v>
      </c>
      <c r="G31" s="23" t="s">
        <v>46</v>
      </c>
      <c r="H31" s="23"/>
      <c r="I31" s="49" t="n">
        <v>0.05</v>
      </c>
      <c r="J31" s="23"/>
      <c r="K31" s="24" t="n">
        <f aca="false">(SUM(K18:K30)-K26)*$I$31*($F$31/12)</f>
        <v>4.71808602924667</v>
      </c>
      <c r="L31" s="24" t="n">
        <f aca="false">(SUM(L18:L30)-L26)*$I$31*($F$31/12)</f>
        <v>4.89746102924667</v>
      </c>
      <c r="M31" s="24" t="n">
        <f aca="false">(SUM(M18:M30)-M26)*$I$31*($F$31/12)</f>
        <v>5.10183602924667</v>
      </c>
      <c r="N31" s="41" t="n">
        <f aca="false">(SUM(N18:N30)-N26)*$I$31*($F$31/12)</f>
        <v>5.14129852924667</v>
      </c>
    </row>
    <row r="32" customFormat="false" ht="15" hidden="false" customHeight="false" outlineLevel="0" collapsed="false">
      <c r="A32" s="23"/>
      <c r="B32" s="23" t="s">
        <v>47</v>
      </c>
      <c r="C32" s="23"/>
      <c r="D32" s="23"/>
      <c r="E32" s="23"/>
      <c r="F32" s="23"/>
      <c r="G32" s="23"/>
      <c r="H32" s="23"/>
      <c r="I32" s="23"/>
      <c r="J32" s="23"/>
      <c r="K32" s="24" t="n">
        <v>0</v>
      </c>
      <c r="L32" s="24" t="n">
        <v>0</v>
      </c>
      <c r="M32" s="24" t="n">
        <v>0</v>
      </c>
      <c r="N32" s="43" t="n">
        <v>0</v>
      </c>
    </row>
    <row r="33" customFormat="false" ht="13" hidden="false" customHeight="false" outlineLevel="0" collapsed="false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1"/>
      <c r="L33" s="21"/>
      <c r="M33" s="21"/>
      <c r="N33" s="15"/>
    </row>
    <row r="34" customFormat="false" ht="13" hidden="false" customHeight="false" outlineLevel="0" collapsed="false">
      <c r="A34" s="22" t="s">
        <v>48</v>
      </c>
      <c r="B34" s="23"/>
      <c r="C34" s="23"/>
      <c r="D34" s="23"/>
      <c r="E34" s="23"/>
      <c r="F34" s="50" t="s">
        <v>49</v>
      </c>
      <c r="G34" s="23"/>
      <c r="H34" s="23"/>
      <c r="I34" s="23"/>
      <c r="J34" s="23"/>
      <c r="K34" s="24" t="n">
        <f aca="false">SUM(K18:K33)</f>
        <v>194.098227199113</v>
      </c>
      <c r="L34" s="24" t="n">
        <f aca="false">SUM(L18:L33)</f>
        <v>201.617602199113</v>
      </c>
      <c r="M34" s="24" t="n">
        <f aca="false">SUM(M18:M33)</f>
        <v>210.161977199113</v>
      </c>
      <c r="N34" s="41" t="n">
        <f aca="false">SUM(N18:N33)</f>
        <v>211.816239699113</v>
      </c>
    </row>
    <row r="35" customFormat="false" ht="13" hidden="false" customHeight="false" outlineLevel="0" collapsed="false">
      <c r="A35" s="23"/>
      <c r="B35" s="23"/>
      <c r="C35" s="23"/>
      <c r="D35" s="23"/>
      <c r="E35" s="23"/>
      <c r="F35" s="50" t="s">
        <v>50</v>
      </c>
      <c r="G35" s="23"/>
      <c r="H35" s="23"/>
      <c r="I35" s="23"/>
      <c r="J35" s="23"/>
      <c r="K35" s="51" t="n">
        <f aca="false">+K34/K8</f>
        <v>4.87683987937471</v>
      </c>
      <c r="L35" s="51" t="n">
        <f aca="false">+L34/L8</f>
        <v>4.04854622889786</v>
      </c>
      <c r="M35" s="51" t="n">
        <f aca="false">+M34/M8</f>
        <v>3.51441433443334</v>
      </c>
      <c r="N35" s="52" t="n">
        <f aca="false">+N34/N8</f>
        <v>3.41639096288893</v>
      </c>
    </row>
    <row r="36" customFormat="false" ht="13" hidden="false" customHeight="fals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53"/>
      <c r="L36" s="53"/>
      <c r="M36" s="53"/>
      <c r="N36" s="22"/>
    </row>
    <row r="37" customFormat="false" ht="13" hidden="false" customHeight="false" outlineLevel="0" collapsed="false">
      <c r="A37" s="22" t="s">
        <v>51</v>
      </c>
      <c r="B37" s="23"/>
      <c r="C37" s="23"/>
      <c r="D37" s="23"/>
      <c r="E37" s="23"/>
      <c r="F37" s="23"/>
      <c r="G37" s="23"/>
      <c r="H37" s="23"/>
      <c r="I37" s="23"/>
      <c r="J37" s="23"/>
      <c r="K37" s="53"/>
      <c r="L37" s="53"/>
      <c r="M37" s="53"/>
      <c r="N37" s="22"/>
    </row>
    <row r="38" customFormat="false" ht="15" hidden="false" customHeight="false" outlineLevel="0" collapsed="false">
      <c r="A38" s="23"/>
      <c r="B38" s="23" t="s">
        <v>52</v>
      </c>
      <c r="C38" s="23"/>
      <c r="D38" s="23"/>
      <c r="E38" s="23"/>
      <c r="F38" s="38" t="n">
        <v>2</v>
      </c>
      <c r="G38" s="23" t="s">
        <v>53</v>
      </c>
      <c r="H38" s="23"/>
      <c r="I38" s="54" t="n">
        <v>15</v>
      </c>
      <c r="J38" s="23" t="s">
        <v>54</v>
      </c>
      <c r="K38" s="27" t="n">
        <f aca="false">+$F$38*$I$38</f>
        <v>30</v>
      </c>
      <c r="L38" s="27" t="n">
        <f aca="false">+$F$38*$I$38</f>
        <v>30</v>
      </c>
      <c r="M38" s="27" t="n">
        <f aca="false">+$F$38*$I$38</f>
        <v>30</v>
      </c>
      <c r="N38" s="28" t="n">
        <f aca="false">+$F$38*$I$38</f>
        <v>30</v>
      </c>
    </row>
    <row r="39" customFormat="false" ht="15" hidden="false" customHeight="false" outlineLevel="0" collapsed="false">
      <c r="A39" s="23"/>
      <c r="B39" s="23" t="s">
        <v>55</v>
      </c>
      <c r="C39" s="23"/>
      <c r="D39" s="23"/>
      <c r="E39" s="23"/>
      <c r="F39" s="55" t="n">
        <v>0.05</v>
      </c>
      <c r="G39" s="23" t="s">
        <v>56</v>
      </c>
      <c r="H39" s="23"/>
      <c r="I39" s="23"/>
      <c r="J39" s="23"/>
      <c r="K39" s="56" t="n">
        <f aca="false">$F$39*K16</f>
        <v>20.306</v>
      </c>
      <c r="L39" s="56" t="n">
        <f aca="false">$F$39*L16</f>
        <v>25.006</v>
      </c>
      <c r="M39" s="56" t="n">
        <f aca="false">$F$39*M16</f>
        <v>29.706</v>
      </c>
      <c r="N39" s="57" t="n">
        <f aca="false">$F$39*N16</f>
        <v>30.74</v>
      </c>
    </row>
    <row r="40" customFormat="false" ht="15" hidden="false" customHeight="false" outlineLevel="0" collapsed="false">
      <c r="A40" s="23"/>
      <c r="B40" s="23" t="s">
        <v>57</v>
      </c>
      <c r="C40" s="23"/>
      <c r="D40" s="23"/>
      <c r="E40" s="23"/>
      <c r="F40" s="23"/>
      <c r="G40" s="23"/>
      <c r="H40" s="23"/>
      <c r="I40" s="23"/>
      <c r="J40" s="23"/>
      <c r="K40" s="27" t="n">
        <f aca="false">$I$108</f>
        <v>107.889921875</v>
      </c>
      <c r="L40" s="27" t="n">
        <f aca="false">$I$108</f>
        <v>107.889921875</v>
      </c>
      <c r="M40" s="27" t="n">
        <f aca="false">$I$108</f>
        <v>107.889921875</v>
      </c>
      <c r="N40" s="28" t="n">
        <f aca="false">$I$108</f>
        <v>107.889921875</v>
      </c>
    </row>
    <row r="41" customFormat="false" ht="15" hidden="false" customHeight="false" outlineLevel="0" collapsed="false">
      <c r="A41" s="23"/>
      <c r="B41" s="23" t="s">
        <v>58</v>
      </c>
      <c r="C41" s="23"/>
      <c r="D41" s="23"/>
      <c r="E41" s="23"/>
      <c r="F41" s="23"/>
      <c r="G41" s="23"/>
      <c r="H41" s="23"/>
      <c r="I41" s="23"/>
      <c r="J41" s="23"/>
      <c r="K41" s="27" t="n">
        <v>141</v>
      </c>
      <c r="L41" s="27" t="n">
        <v>187</v>
      </c>
      <c r="M41" s="27" t="n">
        <v>239</v>
      </c>
      <c r="N41" s="58" t="n">
        <v>239</v>
      </c>
    </row>
    <row r="42" customFormat="false" ht="15" hidden="false" customHeight="false" outlineLevel="0" collapsed="false">
      <c r="A42" s="23"/>
      <c r="B42" s="23" t="s">
        <v>44</v>
      </c>
      <c r="K42" s="1" t="n">
        <v>14.5</v>
      </c>
      <c r="L42" s="1" t="n">
        <v>14.5</v>
      </c>
      <c r="M42" s="1" t="n">
        <v>14.5</v>
      </c>
      <c r="N42" s="59" t="n">
        <v>14.5</v>
      </c>
    </row>
    <row r="43" customFormat="false" ht="13" hidden="false" customHeight="false" outlineLevel="0" collapsed="false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56"/>
      <c r="L43" s="56"/>
      <c r="M43" s="56"/>
      <c r="N43" s="60"/>
    </row>
    <row r="44" customFormat="false" ht="13" hidden="false" customHeight="false" outlineLevel="0" collapsed="false">
      <c r="A44" s="22" t="s">
        <v>59</v>
      </c>
      <c r="B44" s="23"/>
      <c r="C44" s="23"/>
      <c r="D44" s="23"/>
      <c r="E44" s="23"/>
      <c r="F44" s="23"/>
      <c r="G44" s="23"/>
      <c r="H44" s="23"/>
      <c r="I44" s="23"/>
      <c r="J44" s="23"/>
      <c r="K44" s="27" t="n">
        <f aca="false">SUM(K38:K43)</f>
        <v>313.695921875</v>
      </c>
      <c r="L44" s="27" t="n">
        <f aca="false">SUM(L38:L43)</f>
        <v>364.395921875</v>
      </c>
      <c r="M44" s="27" t="n">
        <f aca="false">SUM(M38:M43)</f>
        <v>421.095921875</v>
      </c>
      <c r="N44" s="28" t="n">
        <f aca="false">SUM(N38:N43)</f>
        <v>422.129921875</v>
      </c>
    </row>
    <row r="45" customFormat="false" ht="13" hidden="false" customHeight="false" outlineLevel="0" collapsed="false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7"/>
      <c r="L45" s="27"/>
      <c r="M45" s="27"/>
      <c r="N45" s="61"/>
    </row>
    <row r="46" customFormat="false" ht="13" hidden="false" customHeight="false" outlineLevel="0" collapsed="false">
      <c r="A46" s="22" t="s">
        <v>60</v>
      </c>
      <c r="B46" s="23"/>
      <c r="C46" s="23"/>
      <c r="D46" s="23"/>
      <c r="E46" s="23"/>
      <c r="F46" s="50" t="s">
        <v>49</v>
      </c>
      <c r="G46" s="23"/>
      <c r="H46" s="23"/>
      <c r="I46" s="23"/>
      <c r="J46" s="23"/>
      <c r="K46" s="27" t="n">
        <f aca="false">+K34+K44</f>
        <v>507.794149074113</v>
      </c>
      <c r="L46" s="27" t="n">
        <f aca="false">+L34+L44</f>
        <v>566.013524074113</v>
      </c>
      <c r="M46" s="27" t="n">
        <f aca="false">+M34+M44</f>
        <v>631.257899074113</v>
      </c>
      <c r="N46" s="28" t="n">
        <f aca="false">+N34+N44</f>
        <v>633.946161574113</v>
      </c>
    </row>
    <row r="47" customFormat="false" ht="13" hidden="false" customHeight="false" outlineLevel="0" collapsed="false">
      <c r="A47" s="22"/>
      <c r="B47" s="23"/>
      <c r="C47" s="23"/>
      <c r="D47" s="23"/>
      <c r="E47" s="23"/>
      <c r="F47" s="50" t="s">
        <v>50</v>
      </c>
      <c r="G47" s="23"/>
      <c r="H47" s="23"/>
      <c r="I47" s="23"/>
      <c r="J47" s="23"/>
      <c r="K47" s="27" t="n">
        <f aca="false">+K46/K8</f>
        <v>12.7586469616611</v>
      </c>
      <c r="L47" s="27" t="n">
        <f aca="false">+L46/L8</f>
        <v>11.3657334151428</v>
      </c>
      <c r="M47" s="27" t="n">
        <f aca="false">+M46/M8</f>
        <v>10.55615215843</v>
      </c>
      <c r="N47" s="28" t="n">
        <f aca="false">+N46/N8</f>
        <v>10.2249380899051</v>
      </c>
    </row>
    <row r="48" customFormat="false" ht="13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7"/>
      <c r="L48" s="27"/>
      <c r="M48" s="27"/>
      <c r="N48" s="61"/>
    </row>
    <row r="49" customFormat="false" ht="15" hidden="false" customHeight="false" outlineLevel="0" collapsed="false">
      <c r="A49" s="22" t="s">
        <v>61</v>
      </c>
      <c r="B49" s="23"/>
      <c r="C49" s="23"/>
      <c r="D49" s="23"/>
      <c r="E49" s="23"/>
      <c r="F49" s="23"/>
      <c r="G49" s="23"/>
      <c r="H49" s="23"/>
      <c r="I49" s="23"/>
      <c r="J49" s="23"/>
      <c r="K49" s="27" t="n">
        <f aca="false">+K16-K34</f>
        <v>212.021772800887</v>
      </c>
      <c r="L49" s="27" t="n">
        <f aca="false">+L16-L34</f>
        <v>298.502397800887</v>
      </c>
      <c r="M49" s="27" t="n">
        <f aca="false">+M16-M34</f>
        <v>383.958022800887</v>
      </c>
      <c r="N49" s="32" t="n">
        <f aca="false">+N16-N34</f>
        <v>402.983760300887</v>
      </c>
    </row>
    <row r="50" customFormat="false" ht="13" hidden="false" customHeight="false" outlineLevel="0" collapsed="false">
      <c r="A50" s="22" t="s">
        <v>62</v>
      </c>
      <c r="B50" s="23"/>
      <c r="C50" s="23"/>
      <c r="D50" s="23"/>
      <c r="E50" s="23"/>
      <c r="F50" s="23"/>
      <c r="G50" s="23"/>
      <c r="H50" s="23"/>
      <c r="I50" s="23"/>
      <c r="J50" s="23"/>
      <c r="K50" s="27" t="n">
        <f aca="false">K16-(K34+K41)</f>
        <v>71.0217728008866</v>
      </c>
      <c r="L50" s="27" t="n">
        <f aca="false">L16-(L34+L41)</f>
        <v>111.502397800887</v>
      </c>
      <c r="M50" s="27" t="n">
        <f aca="false">M16-(M34+M41)</f>
        <v>144.958022800887</v>
      </c>
      <c r="N50" s="27" t="n">
        <f aca="false">N16-(N34+N41)</f>
        <v>163.983760300887</v>
      </c>
    </row>
    <row r="51" customFormat="false" ht="13" hidden="false" customHeight="false" outlineLevel="0" collapsed="false">
      <c r="A51" s="13" t="s">
        <v>63</v>
      </c>
      <c r="B51" s="20"/>
      <c r="C51" s="20"/>
      <c r="D51" s="20"/>
      <c r="E51" s="20"/>
      <c r="F51" s="20"/>
      <c r="G51" s="20"/>
      <c r="H51" s="20"/>
      <c r="I51" s="20"/>
      <c r="J51" s="20"/>
      <c r="K51" s="56" t="n">
        <f aca="false">+K16-K46</f>
        <v>-101.674149074113</v>
      </c>
      <c r="L51" s="56" t="n">
        <f aca="false">+L16-L46</f>
        <v>-65.8935240741134</v>
      </c>
      <c r="M51" s="56" t="n">
        <f aca="false">+M16-M46</f>
        <v>-37.1378990741134</v>
      </c>
      <c r="N51" s="62" t="n">
        <f aca="false">+N16-N46</f>
        <v>-19.1461615741133</v>
      </c>
    </row>
    <row r="52" customFormat="false" ht="13" hidden="false" customHeight="false" outlineLevel="0" collapsed="false">
      <c r="A52" s="13" t="s">
        <v>64</v>
      </c>
      <c r="B52" s="20"/>
      <c r="C52" s="20"/>
      <c r="D52" s="20"/>
      <c r="E52" s="20"/>
      <c r="F52" s="20"/>
      <c r="G52" s="20"/>
      <c r="H52" s="20"/>
      <c r="I52" s="20"/>
      <c r="J52" s="20"/>
      <c r="K52" s="56" t="n">
        <f aca="false">K51+K41</f>
        <v>39.3258509258866</v>
      </c>
      <c r="L52" s="56" t="n">
        <f aca="false">L51+L41</f>
        <v>121.106475925887</v>
      </c>
      <c r="M52" s="56" t="n">
        <f aca="false">M51+M41</f>
        <v>201.862100925887</v>
      </c>
      <c r="N52" s="56" t="n">
        <f aca="false">N51+N41</f>
        <v>219.853838425887</v>
      </c>
    </row>
    <row r="53" customFormat="false" ht="13" hidden="false" customHeight="false" outlineLevel="0" collapsed="false">
      <c r="A53" s="22" t="s">
        <v>65</v>
      </c>
      <c r="B53" s="20"/>
      <c r="C53" s="20"/>
      <c r="D53" s="20"/>
      <c r="E53" s="20"/>
      <c r="F53" s="20"/>
      <c r="G53" s="20"/>
      <c r="H53" s="20"/>
      <c r="I53" s="20"/>
      <c r="J53" s="20"/>
      <c r="K53" s="56" t="n">
        <f aca="false">K51+K39+K38</f>
        <v>-51.3681490741134</v>
      </c>
      <c r="L53" s="56" t="n">
        <f aca="false">L51+L39+L38</f>
        <v>-10.8875240741134</v>
      </c>
      <c r="M53" s="56" t="n">
        <f aca="false">M51+M39+M38</f>
        <v>22.5681009258866</v>
      </c>
      <c r="N53" s="56" t="n">
        <f aca="false">N51+N39+N38</f>
        <v>41.5938384258867</v>
      </c>
    </row>
    <row r="54" customFormat="false" ht="13" hidden="false" customHeight="false" outlineLevel="0" collapsed="false">
      <c r="A54" s="16" t="s">
        <v>66</v>
      </c>
      <c r="B54" s="63"/>
      <c r="C54" s="63"/>
      <c r="D54" s="63"/>
      <c r="E54" s="63"/>
      <c r="F54" s="63"/>
      <c r="G54" s="16"/>
      <c r="H54" s="64"/>
      <c r="I54" s="63"/>
      <c r="J54" s="63"/>
      <c r="K54" s="65" t="n">
        <f aca="false">K51+K38+K39+K41</f>
        <v>89.6318509258866</v>
      </c>
      <c r="L54" s="66" t="n">
        <f aca="false">L51+L38+L39+L41</f>
        <v>176.112475925887</v>
      </c>
      <c r="M54" s="66" t="n">
        <f aca="false">M51+M38+M39+M41</f>
        <v>261.568100925887</v>
      </c>
      <c r="N54" s="66" t="n">
        <f aca="false">N51+N38+N39+N41</f>
        <v>280.593838425887</v>
      </c>
    </row>
    <row r="55" customFormat="false" ht="12.5" hidden="false" customHeight="false" outlineLevel="0" collapsed="false">
      <c r="A55" s="67" t="s">
        <v>67</v>
      </c>
      <c r="B55" s="67"/>
      <c r="C55" s="67"/>
      <c r="D55" s="68"/>
      <c r="E55" s="67"/>
      <c r="F55" s="67"/>
      <c r="G55" s="67"/>
      <c r="H55" s="67"/>
      <c r="I55" s="67"/>
      <c r="J55" s="67"/>
      <c r="K55" s="67"/>
      <c r="L55" s="69"/>
      <c r="M55" s="69"/>
      <c r="N55" s="20"/>
      <c r="P55" s="67"/>
    </row>
    <row r="56" customFormat="false" ht="12.5" hidden="false" customHeight="false" outlineLevel="0" collapsed="false">
      <c r="B56" s="67" t="s">
        <v>68</v>
      </c>
      <c r="C56" s="67"/>
      <c r="D56" s="67"/>
      <c r="E56" s="67"/>
      <c r="F56" s="67"/>
      <c r="G56" s="67"/>
      <c r="H56" s="67"/>
      <c r="I56" s="67"/>
      <c r="J56" s="67"/>
      <c r="K56" s="67"/>
      <c r="L56" s="69"/>
      <c r="M56" s="69"/>
      <c r="N56" s="20"/>
    </row>
    <row r="57" customFormat="false" ht="12.5" hidden="false" customHeight="false" outlineLevel="0" collapsed="false">
      <c r="A57" s="67" t="s">
        <v>69</v>
      </c>
      <c r="B57" s="67"/>
      <c r="C57" s="67"/>
      <c r="D57" s="70"/>
      <c r="E57" s="71"/>
      <c r="F57" s="67"/>
      <c r="G57" s="67"/>
      <c r="H57" s="67"/>
      <c r="I57" s="67"/>
      <c r="J57" s="67"/>
      <c r="K57" s="67"/>
      <c r="L57" s="69"/>
      <c r="M57" s="69"/>
      <c r="N57" s="20"/>
    </row>
    <row r="58" customFormat="false" ht="12.5" hidden="false" customHeight="false" outlineLevel="0" collapsed="false">
      <c r="A58" s="67"/>
      <c r="B58" s="67" t="s">
        <v>70</v>
      </c>
      <c r="C58" s="67"/>
      <c r="D58" s="71"/>
      <c r="E58" s="71"/>
      <c r="F58" s="67"/>
      <c r="G58" s="67"/>
      <c r="H58" s="67"/>
      <c r="I58" s="67"/>
      <c r="J58" s="67"/>
      <c r="K58" s="67"/>
      <c r="L58" s="69"/>
      <c r="M58" s="69"/>
      <c r="N58" s="20"/>
    </row>
    <row r="59" customFormat="false" ht="12.5" hidden="false" customHeight="false" outlineLevel="0" collapsed="false">
      <c r="A59" s="67" t="s">
        <v>71</v>
      </c>
      <c r="B59" s="67"/>
      <c r="C59" s="67"/>
      <c r="D59" s="72"/>
      <c r="E59" s="67"/>
      <c r="F59" s="67"/>
      <c r="G59" s="67"/>
      <c r="H59" s="67"/>
      <c r="I59" s="67"/>
      <c r="J59" s="67"/>
      <c r="K59" s="67"/>
      <c r="L59" s="69"/>
      <c r="M59" s="69"/>
      <c r="N59" s="20"/>
    </row>
    <row r="60" customFormat="false" ht="13.5" hidden="false" customHeight="false" outlineLevel="0" collapsed="false">
      <c r="A60" s="67" t="n">
        <v>1</v>
      </c>
      <c r="B60" s="67" t="s">
        <v>72</v>
      </c>
      <c r="C60" s="67"/>
      <c r="D60" s="67"/>
      <c r="E60" s="67"/>
      <c r="F60" s="67"/>
      <c r="G60" s="67"/>
      <c r="H60" s="67"/>
      <c r="I60" s="67"/>
      <c r="J60" s="67"/>
      <c r="K60" s="69"/>
      <c r="L60" s="69"/>
      <c r="M60" s="69"/>
      <c r="N60" s="23"/>
    </row>
    <row r="61" customFormat="false" ht="13.5" hidden="false" customHeight="false" outlineLevel="0" collapsed="false">
      <c r="A61" s="67"/>
      <c r="B61" s="67" t="s">
        <v>73</v>
      </c>
      <c r="C61" s="67"/>
      <c r="D61" s="67"/>
      <c r="E61" s="67"/>
      <c r="F61" s="67"/>
      <c r="G61" s="67"/>
      <c r="H61" s="67"/>
      <c r="I61" s="67"/>
      <c r="J61" s="67"/>
      <c r="K61" s="69"/>
      <c r="L61" s="69"/>
      <c r="M61" s="69"/>
      <c r="N61" s="23"/>
    </row>
    <row r="62" customFormat="false" ht="13.5" hidden="false" customHeight="false" outlineLevel="0" collapsed="false">
      <c r="A62" s="67" t="n">
        <v>2</v>
      </c>
      <c r="B62" s="67" t="s">
        <v>74</v>
      </c>
      <c r="C62" s="67"/>
      <c r="D62" s="67"/>
      <c r="E62" s="67"/>
      <c r="F62" s="67"/>
      <c r="G62" s="67"/>
      <c r="H62" s="67"/>
      <c r="I62" s="67"/>
      <c r="J62" s="67"/>
      <c r="K62" s="69"/>
      <c r="L62" s="69"/>
      <c r="M62" s="69"/>
      <c r="N62" s="23"/>
    </row>
    <row r="63" customFormat="false" ht="13.5" hidden="false" customHeight="false" outlineLevel="0" collapsed="false">
      <c r="A63" s="67" t="n">
        <v>3</v>
      </c>
      <c r="B63" s="67" t="s">
        <v>75</v>
      </c>
      <c r="C63" s="67"/>
      <c r="D63" s="67"/>
      <c r="E63" s="67"/>
      <c r="F63" s="67"/>
      <c r="G63" s="67"/>
      <c r="H63" s="67"/>
      <c r="I63" s="67"/>
      <c r="J63" s="67"/>
      <c r="K63" s="69"/>
      <c r="L63" s="69"/>
      <c r="M63" s="69"/>
      <c r="N63" s="67"/>
    </row>
    <row r="64" customFormat="false" ht="13.5" hidden="false" customHeight="false" outlineLevel="0" collapsed="false">
      <c r="A64" s="67" t="n">
        <v>4</v>
      </c>
      <c r="B64" s="67" t="s">
        <v>76</v>
      </c>
      <c r="C64" s="67"/>
      <c r="D64" s="67"/>
      <c r="E64" s="67"/>
      <c r="F64" s="67"/>
      <c r="G64" s="67"/>
      <c r="H64" s="67"/>
      <c r="I64" s="67"/>
      <c r="J64" s="67"/>
      <c r="K64" s="69"/>
      <c r="L64" s="69"/>
      <c r="M64" s="69"/>
      <c r="N64" s="67"/>
    </row>
    <row r="65" customFormat="false" ht="13.5" hidden="false" customHeight="false" outlineLevel="0" collapsed="false">
      <c r="A65" s="67"/>
      <c r="B65" s="67"/>
      <c r="C65" s="67" t="s">
        <v>77</v>
      </c>
      <c r="D65" s="67"/>
      <c r="E65" s="67"/>
      <c r="F65" s="67"/>
      <c r="G65" s="67"/>
      <c r="H65" s="67"/>
      <c r="I65" s="67"/>
      <c r="J65" s="67"/>
      <c r="K65" s="69"/>
      <c r="L65" s="69"/>
      <c r="M65" s="69"/>
      <c r="N65" s="67"/>
    </row>
    <row r="66" customFormat="false" ht="13.5" hidden="false" customHeight="false" outlineLevel="0" collapsed="false">
      <c r="A66" s="67"/>
      <c r="B66" s="67"/>
      <c r="C66" s="67" t="s">
        <v>78</v>
      </c>
      <c r="D66" s="67"/>
      <c r="E66" s="67"/>
      <c r="F66" s="67"/>
      <c r="G66" s="67"/>
      <c r="H66" s="67"/>
      <c r="I66" s="67"/>
      <c r="J66" s="67"/>
      <c r="K66" s="69"/>
      <c r="L66" s="69"/>
      <c r="M66" s="69"/>
      <c r="N66" s="67"/>
    </row>
    <row r="67" customFormat="false" ht="13.5" hidden="false" customHeight="false" outlineLevel="0" collapsed="false">
      <c r="A67" s="67"/>
      <c r="B67" s="67"/>
      <c r="C67" s="67" t="s">
        <v>79</v>
      </c>
      <c r="D67" s="67"/>
      <c r="E67" s="67"/>
      <c r="F67" s="68" t="n">
        <v>455</v>
      </c>
      <c r="G67" s="67" t="s">
        <v>80</v>
      </c>
      <c r="H67" s="67" t="s">
        <v>81</v>
      </c>
      <c r="I67" s="71"/>
      <c r="J67" s="68" t="n">
        <v>315</v>
      </c>
      <c r="K67" s="67" t="s">
        <v>80</v>
      </c>
      <c r="L67" s="69"/>
      <c r="M67" s="73"/>
      <c r="N67" s="69"/>
    </row>
    <row r="68" customFormat="false" ht="13.5" hidden="false" customHeight="false" outlineLevel="0" collapsed="false">
      <c r="A68" s="67" t="n">
        <v>5</v>
      </c>
      <c r="B68" s="67" t="s">
        <v>82</v>
      </c>
      <c r="C68" s="67"/>
      <c r="D68" s="67"/>
      <c r="E68" s="67"/>
      <c r="F68" s="67"/>
      <c r="G68" s="67"/>
      <c r="H68" s="67"/>
      <c r="I68" s="67"/>
      <c r="J68" s="67"/>
      <c r="K68" s="69"/>
      <c r="L68" s="69"/>
      <c r="M68" s="69"/>
      <c r="N68" s="67"/>
    </row>
    <row r="69" customFormat="false" ht="13.5" hidden="false" customHeight="false" outlineLevel="0" collapsed="false">
      <c r="A69" s="67"/>
      <c r="B69" s="67"/>
      <c r="C69" s="67" t="s">
        <v>83</v>
      </c>
      <c r="D69" s="67"/>
      <c r="E69" s="67"/>
      <c r="F69" s="67"/>
      <c r="G69" s="67"/>
      <c r="H69" s="67"/>
      <c r="I69" s="67"/>
      <c r="J69" s="67"/>
      <c r="K69" s="69"/>
      <c r="L69" s="69"/>
      <c r="M69" s="69"/>
      <c r="N69" s="67"/>
    </row>
    <row r="70" customFormat="false" ht="13.5" hidden="false" customHeight="false" outlineLevel="0" collapsed="false">
      <c r="A70" s="67"/>
      <c r="B70" s="67"/>
      <c r="C70" s="67" t="s">
        <v>84</v>
      </c>
      <c r="D70" s="67"/>
      <c r="E70" s="67"/>
      <c r="F70" s="67"/>
      <c r="G70" s="67"/>
      <c r="H70" s="67"/>
      <c r="I70" s="67"/>
      <c r="J70" s="67"/>
      <c r="K70" s="69"/>
      <c r="L70" s="69"/>
      <c r="M70" s="69"/>
      <c r="N70" s="67"/>
    </row>
    <row r="71" customFormat="false" ht="13.5" hidden="false" customHeight="false" outlineLevel="0" collapsed="false">
      <c r="A71" s="67"/>
      <c r="B71" s="67"/>
      <c r="C71" s="67" t="s">
        <v>85</v>
      </c>
      <c r="D71" s="67"/>
      <c r="E71" s="67"/>
      <c r="F71" s="67"/>
      <c r="G71" s="67"/>
      <c r="H71" s="67"/>
      <c r="I71" s="67"/>
      <c r="J71" s="67"/>
      <c r="K71" s="69"/>
      <c r="L71" s="69"/>
      <c r="M71" s="69"/>
      <c r="N71" s="67"/>
    </row>
    <row r="72" customFormat="false" ht="13.5" hidden="false" customHeight="false" outlineLevel="0" collapsed="false">
      <c r="A72" s="74" t="n">
        <v>6</v>
      </c>
      <c r="B72" s="75" t="s">
        <v>86</v>
      </c>
      <c r="C72" s="75"/>
      <c r="D72" s="75"/>
      <c r="E72" s="75"/>
      <c r="F72" s="67"/>
      <c r="G72" s="67"/>
      <c r="H72" s="67"/>
      <c r="I72" s="67"/>
      <c r="J72" s="67"/>
      <c r="K72" s="69"/>
      <c r="L72" s="69"/>
      <c r="M72" s="69"/>
      <c r="N72" s="67"/>
    </row>
    <row r="73" customFormat="false" ht="13.5" hidden="false" customHeight="false" outlineLevel="0" collapsed="false">
      <c r="A73" s="67" t="n">
        <v>7</v>
      </c>
      <c r="B73" s="67" t="s">
        <v>87</v>
      </c>
      <c r="C73" s="67"/>
      <c r="D73" s="67"/>
      <c r="E73" s="67"/>
      <c r="F73" s="67"/>
      <c r="G73" s="67"/>
      <c r="H73" s="67"/>
      <c r="I73" s="67"/>
      <c r="J73" s="67"/>
      <c r="K73" s="69"/>
      <c r="L73" s="69"/>
      <c r="M73" s="69"/>
      <c r="N73" s="67"/>
    </row>
    <row r="74" customFormat="false" ht="13.5" hidden="false" customHeight="false" outlineLevel="0" collapsed="false">
      <c r="A74" s="67" t="n">
        <v>8</v>
      </c>
      <c r="B74" s="67" t="s">
        <v>88</v>
      </c>
      <c r="C74" s="67"/>
      <c r="D74" s="67"/>
      <c r="E74" s="67"/>
      <c r="F74" s="67"/>
      <c r="G74" s="67"/>
      <c r="H74" s="67"/>
      <c r="I74" s="67"/>
      <c r="J74" s="67"/>
      <c r="K74" s="69"/>
      <c r="L74" s="69"/>
      <c r="M74" s="69"/>
      <c r="N74" s="67"/>
    </row>
    <row r="75" customFormat="false" ht="13.5" hidden="false" customHeight="false" outlineLevel="0" collapsed="false">
      <c r="A75" s="67" t="n">
        <v>9</v>
      </c>
      <c r="B75" s="67" t="s">
        <v>89</v>
      </c>
      <c r="C75" s="67"/>
      <c r="D75" s="67"/>
      <c r="E75" s="67"/>
      <c r="F75" s="67"/>
      <c r="G75" s="67"/>
      <c r="H75" s="67"/>
      <c r="I75" s="67"/>
      <c r="J75" s="67"/>
      <c r="K75" s="69"/>
      <c r="L75" s="69"/>
      <c r="M75" s="69"/>
      <c r="N75" s="67"/>
    </row>
    <row r="76" customFormat="false" ht="13.5" hidden="false" customHeight="false" outlineLevel="0" collapsed="false">
      <c r="A76" s="67" t="n">
        <v>10</v>
      </c>
      <c r="B76" s="67" t="s">
        <v>90</v>
      </c>
      <c r="C76" s="67"/>
      <c r="D76" s="67"/>
      <c r="E76" s="67"/>
      <c r="F76" s="67"/>
      <c r="G76" s="67"/>
      <c r="H76" s="67"/>
      <c r="I76" s="67"/>
      <c r="J76" s="67"/>
      <c r="K76" s="69"/>
      <c r="L76" s="69"/>
      <c r="M76" s="69"/>
      <c r="N76" s="67"/>
    </row>
    <row r="77" customFormat="false" ht="13.5" hidden="false" customHeight="false" outlineLevel="0" collapsed="false">
      <c r="A77" s="67"/>
      <c r="B77" s="67"/>
      <c r="C77" s="67" t="s">
        <v>91</v>
      </c>
      <c r="D77" s="67"/>
      <c r="E77" s="67"/>
      <c r="F77" s="67"/>
      <c r="G77" s="67"/>
      <c r="H77" s="67"/>
      <c r="I77" s="67"/>
      <c r="J77" s="67"/>
      <c r="K77" s="69"/>
      <c r="L77" s="69"/>
      <c r="M77" s="69"/>
      <c r="N77" s="67"/>
    </row>
    <row r="78" customFormat="false" ht="13.5" hidden="false" customHeight="false" outlineLevel="0" collapsed="false">
      <c r="A78" s="67" t="n">
        <v>11</v>
      </c>
      <c r="B78" s="67" t="s">
        <v>92</v>
      </c>
      <c r="C78" s="67"/>
      <c r="D78" s="67"/>
      <c r="E78" s="67"/>
      <c r="F78" s="67"/>
      <c r="G78" s="67"/>
      <c r="H78" s="67"/>
      <c r="I78" s="67"/>
      <c r="J78" s="67"/>
      <c r="K78" s="69"/>
      <c r="L78" s="69"/>
      <c r="M78" s="69"/>
      <c r="N78" s="67"/>
    </row>
    <row r="79" customFormat="false" ht="13.5" hidden="false" customHeight="false" outlineLevel="0" collapsed="false">
      <c r="A79" s="67" t="n">
        <v>12</v>
      </c>
      <c r="B79" s="67" t="s">
        <v>93</v>
      </c>
      <c r="C79" s="67"/>
      <c r="D79" s="67"/>
      <c r="E79" s="67"/>
      <c r="F79" s="67"/>
      <c r="G79" s="67"/>
      <c r="H79" s="67"/>
      <c r="I79" s="67"/>
      <c r="J79" s="67"/>
      <c r="K79" s="69"/>
      <c r="L79" s="69"/>
      <c r="M79" s="69"/>
      <c r="N79" s="67"/>
    </row>
    <row r="80" customFormat="false" ht="12.5" hidden="false" customHeight="false" outlineLevel="0" collapsed="false">
      <c r="A80" s="67"/>
      <c r="B80" s="67"/>
      <c r="C80" s="67" t="s">
        <v>94</v>
      </c>
      <c r="D80" s="67"/>
      <c r="E80" s="67"/>
      <c r="F80" s="67"/>
      <c r="G80" s="67"/>
      <c r="H80" s="67"/>
      <c r="I80" s="67"/>
      <c r="J80" s="67"/>
      <c r="K80" s="69"/>
      <c r="L80" s="69"/>
      <c r="M80" s="69"/>
      <c r="N80" s="67"/>
    </row>
    <row r="81" customFormat="false" ht="13.5" hidden="false" customHeight="false" outlineLevel="0" collapsed="false">
      <c r="A81" s="67"/>
      <c r="C81" s="67" t="s">
        <v>95</v>
      </c>
      <c r="D81" s="67"/>
      <c r="E81" s="67"/>
      <c r="F81" s="67"/>
      <c r="G81" s="67"/>
      <c r="H81" s="67"/>
      <c r="I81" s="67"/>
      <c r="J81" s="67"/>
      <c r="K81" s="69"/>
      <c r="L81" s="69"/>
      <c r="M81" s="69"/>
      <c r="N81" s="67"/>
    </row>
    <row r="82" customFormat="false" ht="13.5" hidden="false" customHeight="false" outlineLevel="0" collapsed="false">
      <c r="A82" s="67" t="n">
        <v>13</v>
      </c>
      <c r="B82" s="67" t="s">
        <v>96</v>
      </c>
      <c r="C82" s="67"/>
      <c r="D82" s="67"/>
      <c r="E82" s="67"/>
      <c r="F82" s="67"/>
      <c r="G82" s="67"/>
      <c r="H82" s="67"/>
      <c r="I82" s="67"/>
      <c r="J82" s="67"/>
      <c r="K82" s="69"/>
      <c r="L82" s="69"/>
      <c r="M82" s="69"/>
      <c r="N82" s="67"/>
    </row>
    <row r="83" customFormat="false" ht="13.5" hidden="false" customHeight="false" outlineLevel="0" collapsed="false">
      <c r="A83" s="67" t="n">
        <v>14</v>
      </c>
      <c r="B83" s="67" t="s">
        <v>97</v>
      </c>
      <c r="C83" s="67"/>
      <c r="D83" s="67"/>
      <c r="E83" s="67"/>
      <c r="F83" s="67"/>
      <c r="G83" s="67"/>
      <c r="H83" s="67"/>
      <c r="I83" s="67"/>
      <c r="J83" s="67"/>
      <c r="K83" s="69"/>
      <c r="L83" s="69"/>
      <c r="M83" s="69"/>
      <c r="N83" s="67"/>
    </row>
    <row r="84" customFormat="false" ht="13.5" hidden="false" customHeight="false" outlineLevel="0" collapsed="false">
      <c r="A84" s="67"/>
      <c r="B84" s="67"/>
      <c r="C84" s="67" t="s">
        <v>88</v>
      </c>
      <c r="D84" s="67"/>
      <c r="E84" s="67"/>
      <c r="F84" s="67"/>
      <c r="G84" s="67"/>
      <c r="H84" s="67"/>
      <c r="I84" s="67"/>
      <c r="J84" s="67"/>
      <c r="K84" s="69"/>
      <c r="L84" s="69"/>
      <c r="M84" s="69"/>
      <c r="N84" s="67"/>
    </row>
    <row r="85" customFormat="false" ht="13.5" hidden="false" customHeight="false" outlineLevel="0" collapsed="false">
      <c r="A85" s="67" t="n">
        <v>15</v>
      </c>
      <c r="B85" s="67" t="s">
        <v>98</v>
      </c>
      <c r="C85" s="67"/>
      <c r="D85" s="23"/>
      <c r="E85" s="23"/>
      <c r="F85" s="23"/>
      <c r="G85" s="67"/>
      <c r="H85" s="67"/>
      <c r="I85" s="67"/>
      <c r="J85" s="67"/>
      <c r="K85" s="69"/>
      <c r="L85" s="69"/>
      <c r="M85" s="69"/>
      <c r="N85" s="67"/>
    </row>
    <row r="86" customFormat="false" ht="13.5" hidden="false" customHeight="false" outlineLevel="0" collapsed="false">
      <c r="A86" s="67"/>
      <c r="C86" s="67" t="s">
        <v>99</v>
      </c>
      <c r="D86" s="23"/>
      <c r="E86" s="23"/>
      <c r="F86" s="23"/>
      <c r="G86" s="67"/>
      <c r="H86" s="67"/>
      <c r="I86" s="67"/>
      <c r="J86" s="67"/>
      <c r="K86" s="69"/>
      <c r="L86" s="69"/>
      <c r="M86" s="69"/>
      <c r="N86" s="67"/>
    </row>
    <row r="87" customFormat="false" ht="13.5" hidden="false" customHeight="false" outlineLevel="0" collapsed="false">
      <c r="A87" s="67" t="n">
        <v>16</v>
      </c>
      <c r="B87" s="67" t="s">
        <v>100</v>
      </c>
      <c r="C87" s="67"/>
      <c r="D87" s="23"/>
      <c r="E87" s="67"/>
      <c r="F87" s="67"/>
      <c r="G87" s="67"/>
      <c r="H87" s="67"/>
      <c r="I87" s="67"/>
      <c r="J87" s="67"/>
      <c r="K87" s="69"/>
      <c r="L87" s="69"/>
      <c r="M87" s="69"/>
      <c r="N87" s="67"/>
    </row>
    <row r="88" customFormat="false" ht="13.5" hidden="false" customHeight="false" outlineLevel="0" collapsed="false">
      <c r="A88" s="67"/>
      <c r="B88" s="67" t="s">
        <v>101</v>
      </c>
      <c r="C88" s="67"/>
      <c r="D88" s="23"/>
      <c r="E88" s="67"/>
      <c r="F88" s="67"/>
      <c r="G88" s="67"/>
      <c r="H88" s="67"/>
      <c r="I88" s="67"/>
      <c r="J88" s="67"/>
      <c r="K88" s="69"/>
      <c r="L88" s="69"/>
      <c r="M88" s="69"/>
      <c r="N88" s="67"/>
    </row>
    <row r="89" customFormat="false" ht="13.5" hidden="false" customHeight="false" outlineLevel="0" collapsed="false">
      <c r="A89" s="67"/>
      <c r="B89" s="67" t="s">
        <v>102</v>
      </c>
      <c r="C89" s="67"/>
      <c r="D89" s="23"/>
      <c r="E89" s="23"/>
      <c r="F89" s="23"/>
      <c r="G89" s="23"/>
      <c r="H89" s="23"/>
      <c r="I89" s="23"/>
      <c r="J89" s="23"/>
      <c r="K89" s="23"/>
      <c r="L89" s="24"/>
      <c r="M89" s="69"/>
      <c r="N89" s="67"/>
    </row>
    <row r="90" customFormat="false" ht="13.5" hidden="false" customHeight="false" outlineLevel="0" collapsed="false">
      <c r="A90" s="67"/>
      <c r="B90" s="67" t="s">
        <v>103</v>
      </c>
      <c r="C90" s="67"/>
      <c r="D90" s="23"/>
      <c r="E90" s="23"/>
      <c r="F90" s="23"/>
      <c r="G90" s="23"/>
      <c r="H90" s="23"/>
      <c r="I90" s="23"/>
      <c r="J90" s="23"/>
      <c r="K90" s="23"/>
      <c r="L90" s="24"/>
      <c r="M90" s="69"/>
      <c r="N90" s="67"/>
    </row>
    <row r="91" customFormat="false" ht="13.5" hidden="false" customHeight="false" outlineLevel="0" collapsed="false">
      <c r="A91" s="67"/>
      <c r="B91" s="67" t="s">
        <v>104</v>
      </c>
      <c r="E91" s="23"/>
      <c r="F91" s="23"/>
      <c r="G91" s="23"/>
      <c r="H91" s="23"/>
      <c r="I91" s="23"/>
      <c r="J91" s="23"/>
      <c r="K91" s="23"/>
      <c r="L91" s="24"/>
      <c r="M91" s="69"/>
      <c r="N91" s="67"/>
    </row>
    <row r="92" customFormat="false" ht="13.5" hidden="false" customHeight="false" outlineLevel="0" collapsed="false">
      <c r="A92" s="67"/>
      <c r="B92" s="67" t="s">
        <v>105</v>
      </c>
      <c r="C92" s="67"/>
      <c r="D92" s="67"/>
      <c r="E92" s="67"/>
      <c r="F92" s="67"/>
      <c r="G92" s="67"/>
      <c r="H92" s="67"/>
      <c r="I92" s="67"/>
      <c r="J92" s="67"/>
      <c r="K92" s="69"/>
      <c r="L92" s="69"/>
      <c r="M92" s="69"/>
      <c r="N92" s="67"/>
    </row>
    <row r="93" customFormat="false" ht="13.5" hidden="false" customHeight="false" outlineLevel="0" collapsed="false">
      <c r="A93" s="67"/>
      <c r="B93" s="67"/>
      <c r="C93" s="67" t="s">
        <v>106</v>
      </c>
      <c r="D93" s="67"/>
      <c r="E93" s="67"/>
      <c r="F93" s="67"/>
      <c r="G93" s="67"/>
      <c r="H93" s="67"/>
      <c r="I93" s="67"/>
      <c r="J93" s="67"/>
      <c r="K93" s="69"/>
      <c r="L93" s="69"/>
      <c r="M93" s="69"/>
      <c r="N93" s="67"/>
    </row>
    <row r="94" customFormat="false" ht="12.5" hidden="false" customHeight="false" outlineLevel="0" collapsed="false">
      <c r="A94" s="76" t="s">
        <v>107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67"/>
    </row>
    <row r="95" customFormat="false" ht="12.5" hidden="false" customHeight="false" outlineLevel="0" collapsed="false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9"/>
      <c r="L95" s="69"/>
      <c r="M95" s="69"/>
      <c r="N95" s="67"/>
    </row>
    <row r="96" customFormat="false" ht="25.5" hidden="false" customHeight="true" outlineLevel="0" collapsed="false">
      <c r="A96" s="67"/>
      <c r="B96" s="67"/>
      <c r="C96" s="67"/>
      <c r="D96" s="67"/>
      <c r="E96" s="77" t="s">
        <v>108</v>
      </c>
      <c r="F96" s="78" t="s">
        <v>109</v>
      </c>
      <c r="G96" s="78" t="s">
        <v>110</v>
      </c>
      <c r="H96" s="78"/>
      <c r="I96" s="78" t="s">
        <v>111</v>
      </c>
      <c r="J96" s="78" t="s">
        <v>112</v>
      </c>
      <c r="K96" s="78" t="s">
        <v>113</v>
      </c>
      <c r="L96" s="79" t="s">
        <v>114</v>
      </c>
      <c r="M96" s="78" t="s">
        <v>115</v>
      </c>
      <c r="N96" s="67"/>
    </row>
    <row r="97" customFormat="false" ht="12.5" hidden="false" customHeight="false" outlineLevel="0" collapsed="false">
      <c r="A97" s="67"/>
      <c r="B97" s="80" t="s">
        <v>116</v>
      </c>
      <c r="C97" s="80"/>
      <c r="D97" s="80"/>
      <c r="E97" s="81" t="n">
        <v>2</v>
      </c>
      <c r="F97" s="82" t="n">
        <v>242500</v>
      </c>
      <c r="G97" s="83" t="n">
        <v>2000</v>
      </c>
      <c r="H97" s="84"/>
      <c r="I97" s="85" t="n">
        <f aca="false">'machinery costs'!J2</f>
        <v>16.4710546875</v>
      </c>
      <c r="J97" s="86" t="n">
        <v>44.12</v>
      </c>
      <c r="K97" s="87" t="n">
        <f aca="false">0.07*E97</f>
        <v>0.14</v>
      </c>
      <c r="L97" s="88" t="n">
        <f aca="false">(G97*E97)/J97</f>
        <v>90.6618313689937</v>
      </c>
      <c r="M97" s="87" t="n">
        <f aca="false">3.15*E97</f>
        <v>6.3</v>
      </c>
      <c r="N97" s="67"/>
    </row>
    <row r="98" customFormat="false" ht="12.5" hidden="false" customHeight="false" outlineLevel="0" collapsed="false">
      <c r="A98" s="67"/>
      <c r="B98" s="68" t="s">
        <v>117</v>
      </c>
      <c r="C98" s="68"/>
      <c r="D98" s="68"/>
      <c r="E98" s="81" t="n">
        <v>1</v>
      </c>
      <c r="F98" s="82" t="n">
        <v>155000</v>
      </c>
      <c r="G98" s="83" t="n">
        <v>1000</v>
      </c>
      <c r="H98" s="84"/>
      <c r="I98" s="85" t="n">
        <f aca="false">'machinery costs'!J3</f>
        <v>19.626875</v>
      </c>
      <c r="J98" s="86" t="n">
        <v>14</v>
      </c>
      <c r="K98" s="87" t="n">
        <v>0.52</v>
      </c>
      <c r="L98" s="88" t="n">
        <f aca="false">(G98*E98)/J98</f>
        <v>71.4285714285714</v>
      </c>
      <c r="M98" s="87" t="n">
        <v>2.92</v>
      </c>
      <c r="N98" s="67"/>
      <c r="O98" s="89"/>
      <c r="P98" s="89"/>
    </row>
    <row r="99" customFormat="false" ht="12.5" hidden="false" customHeight="false" outlineLevel="0" collapsed="false">
      <c r="A99" s="67"/>
      <c r="B99" s="68" t="s">
        <v>118</v>
      </c>
      <c r="C99" s="68"/>
      <c r="D99" s="68"/>
      <c r="E99" s="81" t="n">
        <v>1</v>
      </c>
      <c r="F99" s="82" t="n">
        <v>360000</v>
      </c>
      <c r="G99" s="83" t="n">
        <v>2000</v>
      </c>
      <c r="H99" s="84"/>
      <c r="I99" s="85" t="n">
        <f aca="false">'machinery costs'!J4</f>
        <v>25.2815625</v>
      </c>
      <c r="J99" s="90" t="s">
        <v>119</v>
      </c>
      <c r="K99" s="91" t="s">
        <v>119</v>
      </c>
      <c r="L99" s="88" t="n">
        <f aca="false">L100</f>
        <v>98.2318271119843</v>
      </c>
      <c r="M99" s="92" t="n">
        <f aca="false">(L99*60.06)/1000</f>
        <v>5.89980353634578</v>
      </c>
      <c r="N99" s="67"/>
      <c r="O99" s="89"/>
      <c r="P99" s="89"/>
    </row>
    <row r="100" customFormat="false" ht="12.5" hidden="false" customHeight="false" outlineLevel="0" collapsed="false">
      <c r="A100" s="67"/>
      <c r="B100" s="68"/>
      <c r="C100" s="68" t="s">
        <v>120</v>
      </c>
      <c r="D100" s="68"/>
      <c r="E100" s="81" t="n">
        <v>1</v>
      </c>
      <c r="F100" s="82" t="n">
        <v>60000</v>
      </c>
      <c r="G100" s="83" t="n">
        <v>1000</v>
      </c>
      <c r="H100" s="84"/>
      <c r="I100" s="85" t="n">
        <f aca="false">'machinery costs'!J5</f>
        <v>8.4271875</v>
      </c>
      <c r="J100" s="93" t="n">
        <v>10.18</v>
      </c>
      <c r="K100" s="87" t="n">
        <v>1.49</v>
      </c>
      <c r="L100" s="88" t="n">
        <f aca="false">(G100*E100)/J100</f>
        <v>98.2318271119843</v>
      </c>
      <c r="M100" s="92" t="n">
        <v>0.31</v>
      </c>
      <c r="N100" s="67"/>
      <c r="O100" s="89"/>
      <c r="P100" s="89"/>
    </row>
    <row r="101" customFormat="false" ht="12.5" hidden="false" customHeight="false" outlineLevel="0" collapsed="false">
      <c r="A101" s="67"/>
      <c r="B101" s="68" t="s">
        <v>121</v>
      </c>
      <c r="C101" s="68"/>
      <c r="D101" s="68"/>
      <c r="E101" s="81" t="n">
        <v>1</v>
      </c>
      <c r="F101" s="82" t="n">
        <v>70000</v>
      </c>
      <c r="G101" s="83" t="n">
        <v>2000</v>
      </c>
      <c r="H101" s="84"/>
      <c r="I101" s="85" t="n">
        <f aca="false">'machinery costs'!J6</f>
        <v>4.69</v>
      </c>
      <c r="J101" s="90" t="s">
        <v>119</v>
      </c>
      <c r="K101" s="91" t="s">
        <v>122</v>
      </c>
      <c r="L101" s="94" t="s">
        <v>119</v>
      </c>
      <c r="M101" s="92" t="n">
        <v>3.5</v>
      </c>
      <c r="N101" s="67"/>
      <c r="O101" s="89"/>
      <c r="P101" s="89"/>
    </row>
    <row r="102" customFormat="false" ht="12.5" hidden="false" customHeight="false" outlineLevel="0" collapsed="false">
      <c r="A102" s="67"/>
      <c r="B102" s="68" t="s">
        <v>123</v>
      </c>
      <c r="C102" s="68"/>
      <c r="D102" s="68"/>
      <c r="E102" s="81" t="n">
        <v>1</v>
      </c>
      <c r="F102" s="82" t="n">
        <v>12000</v>
      </c>
      <c r="G102" s="83" t="n">
        <v>2000</v>
      </c>
      <c r="H102" s="84"/>
      <c r="I102" s="85" t="n">
        <f aca="false">'machinery costs'!J7</f>
        <v>0.8150625</v>
      </c>
      <c r="J102" s="95" t="n">
        <v>34</v>
      </c>
      <c r="K102" s="87" t="n">
        <f aca="false">0.12*E102</f>
        <v>0.12</v>
      </c>
      <c r="L102" s="88" t="n">
        <f aca="false">(G102*E102)/J102</f>
        <v>58.8235294117647</v>
      </c>
      <c r="M102" s="92" t="n">
        <v>0.15</v>
      </c>
      <c r="N102" s="67"/>
      <c r="O102" s="89"/>
      <c r="P102" s="89"/>
    </row>
    <row r="103" customFormat="false" ht="12.5" hidden="false" customHeight="false" outlineLevel="0" collapsed="false">
      <c r="A103" s="67"/>
      <c r="B103" s="68" t="s">
        <v>124</v>
      </c>
      <c r="C103" s="68"/>
      <c r="D103" s="68"/>
      <c r="E103" s="81" t="n">
        <v>1</v>
      </c>
      <c r="F103" s="82" t="n">
        <v>50500</v>
      </c>
      <c r="G103" s="96" t="n">
        <v>2000</v>
      </c>
      <c r="H103" s="84"/>
      <c r="I103" s="85" t="n">
        <f aca="false">'machinery costs'!J8</f>
        <v>3.4300546875</v>
      </c>
      <c r="J103" s="97" t="s">
        <v>119</v>
      </c>
      <c r="K103" s="87" t="n">
        <f aca="false">(L103*9.9)/1000</f>
        <v>0.486247544204322</v>
      </c>
      <c r="L103" s="88" t="n">
        <f aca="false">L100*0.5</f>
        <v>49.1159135559921</v>
      </c>
      <c r="M103" s="92" t="n">
        <v>1</v>
      </c>
      <c r="N103" s="67"/>
      <c r="O103" s="89"/>
      <c r="P103" s="89"/>
    </row>
    <row r="104" customFormat="false" ht="12.5" hidden="false" customHeight="false" outlineLevel="0" collapsed="false">
      <c r="A104" s="67"/>
      <c r="B104" s="68" t="s">
        <v>125</v>
      </c>
      <c r="C104" s="68"/>
      <c r="D104" s="68"/>
      <c r="E104" s="81" t="n">
        <v>2</v>
      </c>
      <c r="F104" s="82" t="n">
        <v>266000</v>
      </c>
      <c r="G104" s="83" t="n">
        <v>2000</v>
      </c>
      <c r="H104" s="98"/>
      <c r="I104" s="85" t="n">
        <f aca="false">'machinery costs'!J9</f>
        <v>17.822</v>
      </c>
      <c r="J104" s="99" t="s">
        <v>119</v>
      </c>
      <c r="K104" s="100" t="s">
        <v>119</v>
      </c>
      <c r="L104" s="88" t="n">
        <f aca="false">(L98+L103)</f>
        <v>120.544484984564</v>
      </c>
      <c r="M104" s="92" t="n">
        <f aca="false">(L104*4.26)/G104</f>
        <v>0.25675975301712</v>
      </c>
      <c r="N104" s="67"/>
      <c r="O104" s="89"/>
      <c r="P104" s="89"/>
    </row>
    <row r="105" customFormat="false" ht="12.5" hidden="false" customHeight="false" outlineLevel="0" collapsed="false">
      <c r="A105" s="67"/>
      <c r="B105" s="68" t="s">
        <v>126</v>
      </c>
      <c r="C105" s="68"/>
      <c r="D105" s="68"/>
      <c r="E105" s="81" t="n">
        <v>1</v>
      </c>
      <c r="F105" s="82" t="n">
        <v>72000</v>
      </c>
      <c r="G105" s="83" t="n">
        <v>1000</v>
      </c>
      <c r="H105" s="98"/>
      <c r="I105" s="85" t="n">
        <f aca="false">'machinery costs'!J10</f>
        <v>9.316125</v>
      </c>
      <c r="J105" s="101" t="s">
        <v>119</v>
      </c>
      <c r="K105" s="101" t="s">
        <v>119</v>
      </c>
      <c r="L105" s="88" t="n">
        <f aca="false">L102</f>
        <v>58.8235294117647</v>
      </c>
      <c r="M105" s="92" t="n">
        <f aca="false">(L105*2.16)/G105</f>
        <v>0.127058823529412</v>
      </c>
      <c r="N105" s="67"/>
      <c r="O105" s="89"/>
      <c r="P105" s="89"/>
    </row>
    <row r="106" customFormat="false" ht="12.5" hidden="false" customHeight="false" outlineLevel="0" collapsed="false">
      <c r="A106" s="67"/>
      <c r="B106" s="102" t="s">
        <v>127</v>
      </c>
      <c r="C106" s="102"/>
      <c r="D106" s="102"/>
      <c r="E106" s="103" t="n">
        <v>1</v>
      </c>
      <c r="F106" s="104" t="n">
        <v>30000</v>
      </c>
      <c r="G106" s="105" t="n">
        <v>2000</v>
      </c>
      <c r="H106" s="106"/>
      <c r="I106" s="107" t="n">
        <f aca="false">'machinery costs'!J11</f>
        <v>2.01</v>
      </c>
      <c r="J106" s="108" t="s">
        <v>119</v>
      </c>
      <c r="K106" s="109" t="n">
        <f aca="false">0.21*E106</f>
        <v>0.21</v>
      </c>
      <c r="L106" s="110"/>
      <c r="M106" s="111" t="n">
        <v>0.15</v>
      </c>
      <c r="N106" s="67"/>
      <c r="O106" s="23"/>
      <c r="P106" s="89"/>
    </row>
    <row r="107" customFormat="false" ht="12.5" hidden="false" customHeight="false" outlineLevel="0" collapsed="false">
      <c r="A107" s="67"/>
      <c r="B107" s="67"/>
      <c r="C107" s="67"/>
      <c r="D107" s="67"/>
      <c r="E107" s="112"/>
      <c r="F107" s="113"/>
      <c r="G107" s="101"/>
      <c r="H107" s="101"/>
      <c r="J107" s="114" t="s">
        <v>128</v>
      </c>
      <c r="K107" s="115" t="n">
        <f aca="false">SUM(K97:K106)*M111</f>
        <v>6.52574459724951</v>
      </c>
      <c r="L107" s="0"/>
      <c r="M107" s="116"/>
      <c r="N107" s="67"/>
      <c r="O107" s="24"/>
    </row>
    <row r="108" customFormat="false" ht="13" hidden="false" customHeight="false" outlineLevel="0" collapsed="false">
      <c r="A108" s="67"/>
      <c r="B108" s="117" t="s">
        <v>129</v>
      </c>
      <c r="C108" s="117"/>
      <c r="D108" s="117"/>
      <c r="E108" s="117"/>
      <c r="F108" s="118"/>
      <c r="G108" s="118"/>
      <c r="H108" s="118"/>
      <c r="I108" s="119" t="n">
        <f aca="false">SUM(I97:I106)</f>
        <v>107.889921875</v>
      </c>
      <c r="J108" s="114" t="s">
        <v>130</v>
      </c>
      <c r="K108" s="115" t="n">
        <f aca="false">(K107*0.1)+K107</f>
        <v>7.17831905697446</v>
      </c>
      <c r="L108" s="6" t="s">
        <v>131</v>
      </c>
      <c r="M108" s="115" t="n">
        <f aca="false">SUM(M97:M106)</f>
        <v>20.6136221128923</v>
      </c>
      <c r="N108" s="67"/>
    </row>
    <row r="109" customFormat="false" ht="12.5" hidden="false" customHeight="false" outlineLevel="0" collapsed="false">
      <c r="A109" s="67"/>
      <c r="B109" s="117"/>
      <c r="C109" s="67"/>
      <c r="D109" s="67"/>
      <c r="E109" s="67"/>
      <c r="F109" s="120"/>
      <c r="G109" s="121"/>
      <c r="H109" s="121"/>
      <c r="I109" s="117"/>
      <c r="J109" s="122"/>
      <c r="K109" s="122"/>
      <c r="L109" s="69"/>
      <c r="M109" s="69"/>
      <c r="N109" s="67"/>
    </row>
    <row r="110" customFormat="false" ht="12.5" hidden="false" customHeight="false" outlineLevel="0" collapsed="false">
      <c r="A110" s="67"/>
      <c r="B110" s="67"/>
      <c r="C110" s="67"/>
      <c r="D110" s="67"/>
      <c r="E110" s="67"/>
      <c r="F110" s="123"/>
      <c r="G110" s="123"/>
      <c r="H110" s="123"/>
      <c r="I110" s="117"/>
      <c r="J110" s="122"/>
      <c r="K110" s="122"/>
      <c r="L110" s="69"/>
      <c r="M110" s="69"/>
      <c r="N110" s="67"/>
    </row>
    <row r="111" customFormat="false" ht="12.5" hidden="false" customHeight="false" outlineLevel="0" collapsed="false">
      <c r="A111" s="67"/>
      <c r="B111" s="117"/>
      <c r="C111" s="117"/>
      <c r="D111" s="117"/>
      <c r="E111" s="117"/>
      <c r="F111" s="124"/>
      <c r="G111" s="121"/>
      <c r="H111" s="121"/>
      <c r="I111" s="117"/>
      <c r="J111" s="125" t="s">
        <v>132</v>
      </c>
      <c r="K111" s="122"/>
      <c r="L111" s="122"/>
      <c r="M111" s="126" t="n">
        <v>2.2</v>
      </c>
      <c r="N111" s="67"/>
    </row>
    <row r="112" customFormat="false" ht="12.5" hidden="false" customHeight="false" outlineLevel="0" collapsed="false">
      <c r="A112" s="67" t="s">
        <v>133</v>
      </c>
      <c r="B112" s="117"/>
      <c r="C112" s="117"/>
      <c r="D112" s="117"/>
      <c r="E112" s="117"/>
      <c r="F112" s="127"/>
      <c r="G112" s="127"/>
      <c r="H112" s="127"/>
      <c r="I112" s="121"/>
      <c r="J112" s="125"/>
      <c r="K112" s="122"/>
      <c r="L112" s="122"/>
      <c r="M112" s="128"/>
      <c r="N112" s="67"/>
    </row>
    <row r="113" customFormat="false" ht="12.5" hidden="false" customHeight="false" outlineLevel="0" collapsed="false">
      <c r="A113" s="67" t="s">
        <v>134</v>
      </c>
      <c r="B113" s="117"/>
      <c r="C113" s="117"/>
      <c r="D113" s="117"/>
      <c r="E113" s="117"/>
      <c r="F113" s="127"/>
      <c r="G113" s="127"/>
      <c r="H113" s="127"/>
      <c r="I113" s="121"/>
      <c r="J113" s="122"/>
      <c r="K113" s="122"/>
      <c r="L113" s="122"/>
      <c r="M113" s="69"/>
      <c r="N113" s="67"/>
    </row>
    <row r="114" customFormat="false" ht="12.5" hidden="false" customHeight="false" outlineLevel="0" collapsed="false">
      <c r="A114" s="67" t="s">
        <v>135</v>
      </c>
      <c r="B114" s="67"/>
      <c r="C114" s="67"/>
      <c r="D114" s="67"/>
      <c r="E114" s="67"/>
      <c r="F114" s="129"/>
      <c r="G114" s="129"/>
      <c r="H114" s="129"/>
      <c r="I114" s="121"/>
      <c r="J114" s="67"/>
      <c r="K114" s="69"/>
      <c r="L114" s="69"/>
      <c r="M114" s="69"/>
      <c r="N114" s="67"/>
    </row>
    <row r="115" customFormat="false" ht="12.5" hidden="false" customHeight="false" outlineLevel="0" collapsed="false">
      <c r="A115" s="67" t="s">
        <v>136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9"/>
      <c r="L115" s="69"/>
      <c r="M115" s="69"/>
      <c r="N115" s="67"/>
    </row>
    <row r="116" customFormat="false" ht="12.5" hidden="false" customHeight="false" outlineLevel="0" collapsed="false">
      <c r="A116" s="67" t="s">
        <v>137</v>
      </c>
      <c r="B116" s="67"/>
      <c r="C116" s="67"/>
      <c r="D116" s="67"/>
      <c r="E116" s="71"/>
      <c r="F116" s="71"/>
      <c r="G116" s="71"/>
      <c r="H116" s="71"/>
      <c r="I116" s="71"/>
      <c r="J116" s="67"/>
      <c r="K116" s="69"/>
      <c r="L116" s="69"/>
      <c r="M116" s="69"/>
      <c r="N116" s="67"/>
    </row>
    <row r="117" customFormat="false" ht="12.5" hidden="false" customHeight="false" outlineLevel="0" collapsed="false">
      <c r="A117" s="130" t="s">
        <v>138</v>
      </c>
      <c r="B117" s="67"/>
      <c r="C117" s="130"/>
      <c r="D117" s="67"/>
      <c r="E117" s="71"/>
      <c r="F117" s="71"/>
      <c r="G117" s="71"/>
      <c r="H117" s="71"/>
      <c r="I117" s="71"/>
      <c r="J117" s="67"/>
      <c r="K117" s="69"/>
      <c r="L117" s="69"/>
      <c r="M117" s="69"/>
      <c r="N117" s="67"/>
    </row>
    <row r="118" customFormat="false" ht="12.5" hidden="false" customHeight="false" outlineLevel="0" collapsed="false">
      <c r="A118" s="67" t="s">
        <v>139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9"/>
      <c r="L118" s="69"/>
      <c r="M118" s="69"/>
      <c r="N118" s="67"/>
    </row>
    <row r="119" customFormat="false" ht="12.5" hidden="false" customHeight="false" outlineLevel="0" collapsed="false">
      <c r="A119" s="67" t="s">
        <v>140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9"/>
      <c r="L119" s="69"/>
      <c r="M119" s="69"/>
      <c r="N119" s="67"/>
    </row>
    <row r="120" customFormat="false" ht="12.5" hidden="false" customHeight="false" outlineLevel="0" collapsed="false">
      <c r="A120" s="67" t="s">
        <v>141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9"/>
      <c r="L120" s="69"/>
      <c r="M120" s="69"/>
      <c r="N120" s="67"/>
    </row>
    <row r="121" customFormat="false" ht="12.5" hidden="false" customHeight="false" outlineLevel="0" collapsed="false">
      <c r="A121" s="67" t="s">
        <v>142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9"/>
      <c r="L121" s="69"/>
      <c r="M121" s="69"/>
      <c r="N121" s="67"/>
    </row>
    <row r="122" customFormat="false" ht="12.5" hidden="false" customHeight="false" outlineLevel="0" collapsed="false">
      <c r="A122" s="67" t="s">
        <v>143</v>
      </c>
      <c r="B122" s="67"/>
      <c r="C122" s="67"/>
      <c r="D122" s="67"/>
      <c r="E122" s="67"/>
      <c r="F122" s="67"/>
      <c r="G122" s="67"/>
      <c r="H122" s="67"/>
      <c r="I122" s="67"/>
    </row>
    <row r="123" customFormat="false" ht="12.5" hidden="false" customHeight="false" outlineLevel="0" collapsed="false">
      <c r="A123" s="67" t="s">
        <v>144</v>
      </c>
    </row>
    <row r="124" customFormat="false" ht="12.5" hidden="false" customHeight="false" outlineLevel="0" collapsed="false">
      <c r="A124" s="67" t="s">
        <v>145</v>
      </c>
    </row>
  </sheetData>
  <mergeCells count="9">
    <mergeCell ref="R3:AA3"/>
    <mergeCell ref="R4:AA4"/>
    <mergeCell ref="M5:N5"/>
    <mergeCell ref="S5:Y5"/>
    <mergeCell ref="E6:G6"/>
    <mergeCell ref="I6:J6"/>
    <mergeCell ref="K6:M6"/>
    <mergeCell ref="I7:J7"/>
    <mergeCell ref="A94:M94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2" activeCellId="0" sqref="E2"/>
    </sheetView>
  </sheetViews>
  <sheetFormatPr defaultRowHeight="12.5"/>
  <cols>
    <col collapsed="false" hidden="false" max="1" min="1" style="0" width="3.51020408163265"/>
    <col collapsed="false" hidden="false" max="3" min="2" style="0" width="13.2295918367347"/>
    <col collapsed="false" hidden="false" max="4" min="4" style="0" width="12.4183673469388"/>
    <col collapsed="false" hidden="false" max="5" min="5" style="0" width="12.2857142857143"/>
    <col collapsed="false" hidden="false" max="6" min="6" style="0" width="13.9030612244898"/>
    <col collapsed="false" hidden="false" max="7" min="7" style="0" width="11.7448979591837"/>
    <col collapsed="false" hidden="false" max="9" min="8" style="0" width="12.4183673469388"/>
    <col collapsed="false" hidden="false" max="1025" min="10" style="0" width="8.50510204081633"/>
  </cols>
  <sheetData>
    <row r="1" customFormat="false" ht="23.25" hidden="false" customHeight="true" outlineLevel="0" collapsed="false">
      <c r="A1" s="67" t="s">
        <v>146</v>
      </c>
      <c r="B1" s="67"/>
      <c r="C1" s="78" t="s">
        <v>147</v>
      </c>
      <c r="D1" s="78" t="s">
        <v>148</v>
      </c>
      <c r="E1" s="78" t="s">
        <v>149</v>
      </c>
      <c r="F1" s="78" t="s">
        <v>150</v>
      </c>
      <c r="G1" s="131" t="s">
        <v>151</v>
      </c>
      <c r="H1" s="78" t="s">
        <v>152</v>
      </c>
      <c r="I1" s="78" t="s">
        <v>153</v>
      </c>
      <c r="J1" s="78" t="s">
        <v>154</v>
      </c>
    </row>
    <row r="2" customFormat="false" ht="12.5" hidden="false" customHeight="false" outlineLevel="0" collapsed="false">
      <c r="A2" s="80" t="s">
        <v>116</v>
      </c>
      <c r="B2" s="80"/>
      <c r="C2" s="132" t="n">
        <f aca="false">('rr-soy-notill'!F97+('rr-soy-notill'!F97*0.34)+D2)/2</f>
        <v>172478.125</v>
      </c>
      <c r="D2" s="132" t="n">
        <f aca="false">('rr-soy-notill'!F97-('rr-soy-notill'!F97*0.34))/8</f>
        <v>20006.25</v>
      </c>
      <c r="E2" s="132" t="n">
        <f aca="false">0.06*C2</f>
        <v>10348.6875</v>
      </c>
      <c r="F2" s="132" t="n">
        <f aca="false">0.005*C2</f>
        <v>862.390625</v>
      </c>
      <c r="G2" s="132" t="n">
        <f aca="false">0.01*C2</f>
        <v>1724.78125</v>
      </c>
      <c r="H2" s="133" t="n">
        <f aca="false">SUM(D2:G2)</f>
        <v>32942.109375</v>
      </c>
      <c r="I2" s="134" t="n">
        <f aca="false">'rr-soy-notill'!G97</f>
        <v>2000</v>
      </c>
      <c r="J2" s="135" t="n">
        <f aca="false">H2/I2</f>
        <v>16.4710546875</v>
      </c>
    </row>
    <row r="3" customFormat="false" ht="12.5" hidden="false" customHeight="false" outlineLevel="0" collapsed="false">
      <c r="A3" s="68" t="s">
        <v>155</v>
      </c>
      <c r="B3" s="68"/>
      <c r="C3" s="136" t="n">
        <f aca="false">('rr-soy-notill'!F98+('rr-soy-notill'!F98*0.44)+D3)/2</f>
        <v>117025</v>
      </c>
      <c r="D3" s="136" t="n">
        <f aca="false">('rr-soy-notill'!F98-('rr-soy-notill'!F98*0.44))/8</f>
        <v>10850</v>
      </c>
      <c r="E3" s="136" t="n">
        <f aca="false">0.06*C3</f>
        <v>7021.5</v>
      </c>
      <c r="F3" s="136" t="n">
        <f aca="false">0.005*C3</f>
        <v>585.125</v>
      </c>
      <c r="G3" s="136" t="n">
        <f aca="false">0.01*C3</f>
        <v>1170.25</v>
      </c>
      <c r="H3" s="137" t="n">
        <f aca="false">SUM(D3:G3)</f>
        <v>19626.875</v>
      </c>
      <c r="I3" s="138" t="n">
        <f aca="false">'rr-soy-notill'!G98</f>
        <v>1000</v>
      </c>
      <c r="J3" s="97" t="n">
        <f aca="false">H3/I3</f>
        <v>19.626875</v>
      </c>
    </row>
    <row r="4" customFormat="false" ht="12.5" hidden="false" customHeight="false" outlineLevel="0" collapsed="false">
      <c r="A4" s="68" t="s">
        <v>156</v>
      </c>
      <c r="B4" s="68"/>
      <c r="C4" s="136" t="n">
        <f aca="false">('rr-soy-notill'!F99+('rr-soy-notill'!F99*0.29)+D4)/2</f>
        <v>248175</v>
      </c>
      <c r="D4" s="136" t="n">
        <f aca="false">('rr-soy-notill'!F99-('rr-soy-notill'!F99*0.29))/8</f>
        <v>31950</v>
      </c>
      <c r="E4" s="136" t="n">
        <f aca="false">0.06*C4</f>
        <v>14890.5</v>
      </c>
      <c r="F4" s="136" t="n">
        <f aca="false">0.005*C4</f>
        <v>1240.875</v>
      </c>
      <c r="G4" s="136" t="n">
        <f aca="false">0.01*C4</f>
        <v>2481.75</v>
      </c>
      <c r="H4" s="137" t="n">
        <f aca="false">SUM(D4:G4)</f>
        <v>50563.125</v>
      </c>
      <c r="I4" s="138" t="n">
        <f aca="false">'rr-soy-notill'!G99</f>
        <v>2000</v>
      </c>
      <c r="J4" s="97" t="n">
        <f aca="false">H4/I4</f>
        <v>25.2815625</v>
      </c>
    </row>
    <row r="5" customFormat="false" ht="12.5" hidden="false" customHeight="false" outlineLevel="0" collapsed="false">
      <c r="A5" s="68"/>
      <c r="B5" s="68" t="s">
        <v>157</v>
      </c>
      <c r="C5" s="136" t="n">
        <f aca="false">('rr-soy-notill'!F100+('rr-soy-notill'!F100*0.29)+D5)/2</f>
        <v>41362.5</v>
      </c>
      <c r="D5" s="136" t="n">
        <f aca="false">('rr-soy-notill'!F100-('rr-soy-notill'!F100*0.29))/8</f>
        <v>5325</v>
      </c>
      <c r="E5" s="136" t="n">
        <f aca="false">0.06*C5</f>
        <v>2481.75</v>
      </c>
      <c r="F5" s="136" t="n">
        <f aca="false">0.005*C5</f>
        <v>206.8125</v>
      </c>
      <c r="G5" s="136" t="n">
        <f aca="false">0.01*C5</f>
        <v>413.625</v>
      </c>
      <c r="H5" s="137" t="n">
        <f aca="false">SUM(D5:G5)</f>
        <v>8427.1875</v>
      </c>
      <c r="I5" s="138" t="n">
        <f aca="false">'rr-soy-notill'!G100</f>
        <v>1000</v>
      </c>
      <c r="J5" s="97" t="n">
        <f aca="false">H5/I5</f>
        <v>8.4271875</v>
      </c>
    </row>
    <row r="6" customFormat="false" ht="12.5" hidden="false" customHeight="false" outlineLevel="0" collapsed="false">
      <c r="A6" s="68" t="s">
        <v>121</v>
      </c>
      <c r="B6" s="68"/>
      <c r="C6" s="136" t="n">
        <f aca="false">('rr-soy-notill'!F101+('rr-soy-notill'!F101*0.36)+D6)/2</f>
        <v>50400</v>
      </c>
      <c r="D6" s="136" t="n">
        <f aca="false">('rr-soy-notill'!F101-('rr-soy-notill'!F101*0.36))/8</f>
        <v>5600</v>
      </c>
      <c r="E6" s="136" t="n">
        <f aca="false">0.06*C6</f>
        <v>3024</v>
      </c>
      <c r="F6" s="136" t="n">
        <f aca="false">0.005*C6</f>
        <v>252</v>
      </c>
      <c r="G6" s="136" t="n">
        <f aca="false">0.01*C6</f>
        <v>504</v>
      </c>
      <c r="H6" s="137" t="n">
        <f aca="false">SUM(D6:G6)</f>
        <v>9380</v>
      </c>
      <c r="I6" s="138" t="n">
        <f aca="false">'rr-soy-notill'!G101</f>
        <v>2000</v>
      </c>
      <c r="J6" s="97" t="n">
        <f aca="false">H6/I6</f>
        <v>4.69</v>
      </c>
    </row>
    <row r="7" customFormat="false" ht="12.5" hidden="false" customHeight="false" outlineLevel="0" collapsed="false">
      <c r="A7" s="68" t="s">
        <v>123</v>
      </c>
      <c r="B7" s="68"/>
      <c r="C7" s="136" t="n">
        <f aca="false">('rr-soy-notill'!F102+('rr-soy-notill'!F102*0.34)+D7)/2</f>
        <v>8535</v>
      </c>
      <c r="D7" s="136" t="n">
        <f aca="false">('rr-soy-notill'!F102-('rr-soy-notill'!F102*0.34))/8</f>
        <v>990</v>
      </c>
      <c r="E7" s="136" t="n">
        <f aca="false">0.06*C7</f>
        <v>512.1</v>
      </c>
      <c r="F7" s="136" t="n">
        <f aca="false">0.005*C7</f>
        <v>42.675</v>
      </c>
      <c r="G7" s="136" t="n">
        <f aca="false">0.01*C7</f>
        <v>85.35</v>
      </c>
      <c r="H7" s="137" t="n">
        <f aca="false">SUM(D7:G7)</f>
        <v>1630.125</v>
      </c>
      <c r="I7" s="138" t="n">
        <f aca="false">'rr-soy-notill'!G102</f>
        <v>2000</v>
      </c>
      <c r="J7" s="97" t="n">
        <f aca="false">H7/I7</f>
        <v>0.8150625</v>
      </c>
    </row>
    <row r="8" customFormat="false" ht="12.5" hidden="false" customHeight="false" outlineLevel="0" collapsed="false">
      <c r="A8" s="68" t="s">
        <v>124</v>
      </c>
      <c r="B8" s="68"/>
      <c r="C8" s="136" t="n">
        <f aca="false">('rr-soy-notill'!F103+('rr-soy-notill'!F103*0.34)+D8)/2</f>
        <v>35918.125</v>
      </c>
      <c r="D8" s="136" t="n">
        <f aca="false">('rr-soy-notill'!F103-('rr-soy-notill'!F103*0.34))/8</f>
        <v>4166.25</v>
      </c>
      <c r="E8" s="136" t="n">
        <f aca="false">0.06*C8</f>
        <v>2155.0875</v>
      </c>
      <c r="F8" s="136" t="n">
        <f aca="false">0.005*C8</f>
        <v>179.590625</v>
      </c>
      <c r="G8" s="136" t="n">
        <f aca="false">0.01*C8</f>
        <v>359.18125</v>
      </c>
      <c r="H8" s="137" t="n">
        <f aca="false">SUM(D8:G8)</f>
        <v>6860.109375</v>
      </c>
      <c r="I8" s="138" t="n">
        <f aca="false">'rr-soy-notill'!G103</f>
        <v>2000</v>
      </c>
      <c r="J8" s="97" t="n">
        <f aca="false">H8/I8</f>
        <v>3.4300546875</v>
      </c>
    </row>
    <row r="9" customFormat="false" ht="12.5" hidden="false" customHeight="false" outlineLevel="0" collapsed="false">
      <c r="A9" s="68" t="s">
        <v>125</v>
      </c>
      <c r="B9" s="68"/>
      <c r="C9" s="136" t="n">
        <f aca="false">('rr-soy-notill'!F104+('rr-soy-notill'!F104*0.36)+D9)/2</f>
        <v>191520</v>
      </c>
      <c r="D9" s="136" t="n">
        <f aca="false">('rr-soy-notill'!F104-('rr-soy-notill'!F104*0.36))/8</f>
        <v>21280</v>
      </c>
      <c r="E9" s="136" t="n">
        <f aca="false">0.06*C9</f>
        <v>11491.2</v>
      </c>
      <c r="F9" s="136" t="n">
        <f aca="false">0.005*C9</f>
        <v>957.6</v>
      </c>
      <c r="G9" s="136" t="n">
        <f aca="false">0.01*C9</f>
        <v>1915.2</v>
      </c>
      <c r="H9" s="137" t="n">
        <f aca="false">SUM(D9:G9)</f>
        <v>35644</v>
      </c>
      <c r="I9" s="138" t="n">
        <f aca="false">'rr-soy-notill'!G104</f>
        <v>2000</v>
      </c>
      <c r="J9" s="97" t="n">
        <f aca="false">H9/I9</f>
        <v>17.822</v>
      </c>
    </row>
    <row r="10" customFormat="false" ht="12.5" hidden="false" customHeight="false" outlineLevel="0" collapsed="false">
      <c r="A10" s="68" t="s">
        <v>126</v>
      </c>
      <c r="B10" s="68"/>
      <c r="C10" s="136" t="n">
        <f aca="false">('rr-soy-notill'!F105+('rr-soy-notill'!F105*0.41)+D10)/2</f>
        <v>53415</v>
      </c>
      <c r="D10" s="136" t="n">
        <f aca="false">('rr-soy-notill'!F105-('rr-soy-notill'!F105*0.41))/8</f>
        <v>5310</v>
      </c>
      <c r="E10" s="136" t="n">
        <f aca="false">0.06*C10</f>
        <v>3204.9</v>
      </c>
      <c r="F10" s="136" t="n">
        <f aca="false">0.005*C10</f>
        <v>267.075</v>
      </c>
      <c r="G10" s="136" t="n">
        <f aca="false">0.01*C10</f>
        <v>534.15</v>
      </c>
      <c r="H10" s="137" t="n">
        <f aca="false">SUM(D10:G10)</f>
        <v>9316.125</v>
      </c>
      <c r="I10" s="138" t="n">
        <f aca="false">'rr-soy-notill'!G105</f>
        <v>1000</v>
      </c>
      <c r="J10" s="97" t="n">
        <f aca="false">H10/I10</f>
        <v>9.316125</v>
      </c>
    </row>
    <row r="11" customFormat="false" ht="12.5" hidden="false" customHeight="false" outlineLevel="0" collapsed="false">
      <c r="A11" s="102" t="s">
        <v>127</v>
      </c>
      <c r="B11" s="102"/>
      <c r="C11" s="139" t="n">
        <f aca="false">('rr-soy-notill'!F106+('rr-soy-notill'!F106*0.36)+D11)/2</f>
        <v>21600</v>
      </c>
      <c r="D11" s="139" t="n">
        <f aca="false">('rr-soy-notill'!F106-('rr-soy-notill'!F106*0.36))/8</f>
        <v>2400</v>
      </c>
      <c r="E11" s="139" t="n">
        <f aca="false">0.06*C11</f>
        <v>1296</v>
      </c>
      <c r="F11" s="139" t="n">
        <f aca="false">0.005*C11</f>
        <v>108</v>
      </c>
      <c r="G11" s="139" t="n">
        <f aca="false">0.01*C11</f>
        <v>216</v>
      </c>
      <c r="H11" s="140" t="n">
        <f aca="false">SUM(D11:G11)</f>
        <v>4020</v>
      </c>
      <c r="I11" s="141" t="n">
        <f aca="false">'rr-soy-notill'!G106</f>
        <v>2000</v>
      </c>
      <c r="J11" s="142" t="n">
        <f aca="false">H11/I11</f>
        <v>2.01</v>
      </c>
    </row>
    <row r="12" customFormat="false" ht="12.5" hidden="false" customHeight="false" outlineLevel="0" collapsed="false">
      <c r="D12" s="143" t="n">
        <f aca="false">SUM(D2:D11)</f>
        <v>107877.5</v>
      </c>
      <c r="E12" s="143" t="n">
        <f aca="false">SUM(E2:E11)</f>
        <v>56425.725</v>
      </c>
      <c r="F12" s="143" t="n">
        <f aca="false">SUM(F2:F11)</f>
        <v>4702.14375</v>
      </c>
      <c r="G12" s="143" t="n">
        <f aca="false">SUM(G2:G11)</f>
        <v>9404.2875</v>
      </c>
      <c r="H12" s="143" t="n">
        <f aca="false">SUM(H2:H11)</f>
        <v>178409.65625</v>
      </c>
      <c r="I12" s="14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14" activeCellId="0" sqref="F14"/>
    </sheetView>
  </sheetViews>
  <sheetFormatPr defaultRowHeight="12.5"/>
  <cols>
    <col collapsed="false" hidden="false" max="2" min="1" style="0" width="8.50510204081633"/>
    <col collapsed="false" hidden="false" max="3" min="3" style="0" width="6.75"/>
    <col collapsed="false" hidden="false" max="4" min="4" style="0" width="13.3622448979592"/>
    <col collapsed="false" hidden="false" max="6" min="5" style="0" width="8.50510204081633"/>
    <col collapsed="false" hidden="false" max="7" min="7" style="0" width="15.2551020408163"/>
    <col collapsed="false" hidden="false" max="8" min="8" style="0" width="10.6632653061225"/>
    <col collapsed="false" hidden="false" max="9" min="9" style="0" width="13.2295918367347"/>
    <col collapsed="false" hidden="false" max="1025" min="10" style="0" width="8.50510204081633"/>
  </cols>
  <sheetData>
    <row r="1" customFormat="false" ht="12.5" hidden="false" customHeight="false" outlineLevel="0" collapsed="false">
      <c r="A1" s="144" t="s">
        <v>158</v>
      </c>
      <c r="B1" s="144"/>
      <c r="C1" s="144"/>
      <c r="D1" s="144"/>
      <c r="E1" s="144"/>
      <c r="F1" s="144"/>
      <c r="G1" s="144"/>
      <c r="H1" s="144"/>
      <c r="I1" s="144"/>
    </row>
    <row r="2" customFormat="false" ht="13" hidden="false" customHeight="false" outlineLevel="0" collapsed="false">
      <c r="A2" s="144"/>
      <c r="B2" s="144"/>
      <c r="C2" s="144"/>
      <c r="D2" s="144"/>
      <c r="E2" s="144"/>
      <c r="F2" s="144"/>
      <c r="G2" s="144"/>
      <c r="H2" s="144"/>
      <c r="I2" s="144"/>
    </row>
    <row r="3" customFormat="false" ht="20.5" hidden="false" customHeight="false" outlineLevel="0" collapsed="false">
      <c r="A3" s="145" t="s">
        <v>159</v>
      </c>
      <c r="B3" s="145"/>
      <c r="C3" s="145"/>
      <c r="D3" s="145" t="s">
        <v>160</v>
      </c>
      <c r="E3" s="145"/>
      <c r="F3" s="145"/>
      <c r="G3" s="146" t="s">
        <v>161</v>
      </c>
      <c r="H3" s="146"/>
      <c r="I3" s="146"/>
    </row>
    <row r="4" customFormat="false" ht="20" hidden="false" customHeight="false" outlineLevel="0" collapsed="false">
      <c r="A4" s="147" t="s">
        <v>162</v>
      </c>
      <c r="B4" s="148"/>
      <c r="C4" s="149"/>
      <c r="D4" s="149"/>
      <c r="E4" s="149"/>
      <c r="F4" s="149"/>
      <c r="G4" s="150" t="n">
        <f aca="false">'rr-soy-notill'!L8</f>
        <v>49.8</v>
      </c>
      <c r="H4" s="151"/>
      <c r="I4" s="152" t="n">
        <f aca="false">'rr-soy-notill'!M8</f>
        <v>59.8</v>
      </c>
    </row>
    <row r="5" customFormat="false" ht="20" hidden="false" customHeight="false" outlineLevel="0" collapsed="false">
      <c r="A5" s="153" t="s">
        <v>163</v>
      </c>
      <c r="B5" s="153"/>
      <c r="C5" s="154"/>
      <c r="D5" s="155" t="n">
        <f aca="false">'rr-soy-notill'!$I$11</f>
        <v>9.4</v>
      </c>
      <c r="E5" s="154" t="s">
        <v>164</v>
      </c>
      <c r="F5" s="154"/>
      <c r="G5" s="155" t="n">
        <f aca="false">'rr-soy-notill'!$L$11</f>
        <v>468.12</v>
      </c>
      <c r="H5" s="155"/>
      <c r="I5" s="156" t="n">
        <f aca="false">'rr-soy-notill'!$M$11</f>
        <v>562.12</v>
      </c>
    </row>
    <row r="6" customFormat="false" ht="20" hidden="false" customHeight="false" outlineLevel="0" collapsed="false">
      <c r="A6" s="157" t="s">
        <v>165</v>
      </c>
      <c r="B6" s="157"/>
      <c r="C6" s="157"/>
      <c r="D6" s="158"/>
      <c r="E6" s="157"/>
      <c r="F6" s="157"/>
      <c r="G6" s="158" t="n">
        <f aca="false">'rr-soy-notill'!$L$12</f>
        <v>32</v>
      </c>
      <c r="H6" s="158"/>
      <c r="I6" s="158" t="n">
        <f aca="false">'rr-soy-notill'!$M$12</f>
        <v>32</v>
      </c>
    </row>
    <row r="7" customFormat="false" ht="6" hidden="false" customHeight="true" outlineLevel="0" collapsed="false">
      <c r="A7" s="149"/>
      <c r="B7" s="149"/>
      <c r="C7" s="149"/>
      <c r="D7" s="159"/>
      <c r="E7" s="149"/>
      <c r="F7" s="160"/>
      <c r="G7" s="161"/>
      <c r="H7" s="161"/>
      <c r="I7" s="161"/>
    </row>
    <row r="8" customFormat="false" ht="20" hidden="false" customHeight="false" outlineLevel="0" collapsed="false">
      <c r="A8" s="162" t="s">
        <v>166</v>
      </c>
      <c r="B8" s="163"/>
      <c r="C8" s="148"/>
      <c r="D8" s="159"/>
      <c r="E8" s="149"/>
      <c r="F8" s="149"/>
      <c r="G8" s="164"/>
      <c r="H8" s="164"/>
      <c r="I8" s="164"/>
    </row>
    <row r="9" customFormat="false" ht="20" hidden="false" customHeight="false" outlineLevel="0" collapsed="false">
      <c r="A9" s="153" t="s">
        <v>167</v>
      </c>
      <c r="B9" s="153"/>
      <c r="C9" s="153"/>
      <c r="D9" s="165" t="n">
        <f aca="false">'rr-soy-notill'!$I$18</f>
        <v>0.371</v>
      </c>
      <c r="E9" s="154" t="s">
        <v>168</v>
      </c>
      <c r="F9" s="154"/>
      <c r="G9" s="155" t="n">
        <f aca="false">'rr-soy-notill'!$L$18</f>
        <v>64.925</v>
      </c>
      <c r="H9" s="155"/>
      <c r="I9" s="156" t="n">
        <f aca="false">'rr-soy-notill'!$M$18</f>
        <v>64.925</v>
      </c>
    </row>
    <row r="10" customFormat="false" ht="24" hidden="false" customHeight="false" outlineLevel="0" collapsed="false">
      <c r="A10" s="153" t="s">
        <v>169</v>
      </c>
      <c r="B10" s="153"/>
      <c r="C10" s="153"/>
      <c r="D10" s="166" t="n">
        <f aca="false">'rr-soy-notill'!$F$67</f>
        <v>455</v>
      </c>
      <c r="E10" s="153" t="s">
        <v>80</v>
      </c>
      <c r="F10" s="153"/>
      <c r="G10" s="167" t="n">
        <f aca="false">'rr-soy-notill'!$L$20</f>
        <v>17.43</v>
      </c>
      <c r="H10" s="167"/>
      <c r="I10" s="168" t="n">
        <f aca="false">'rr-soy-notill'!$M$20</f>
        <v>20.93</v>
      </c>
    </row>
    <row r="11" customFormat="false" ht="24" hidden="false" customHeight="false" outlineLevel="0" collapsed="false">
      <c r="A11" s="153" t="s">
        <v>170</v>
      </c>
      <c r="B11" s="153"/>
      <c r="C11" s="153"/>
      <c r="D11" s="166" t="n">
        <f aca="false">'rr-soy-notill'!$J$67</f>
        <v>315</v>
      </c>
      <c r="E11" s="153" t="s">
        <v>80</v>
      </c>
      <c r="F11" s="153"/>
      <c r="G11" s="167" t="n">
        <f aca="false">'rr-soy-notill'!$L$21</f>
        <v>18.3015</v>
      </c>
      <c r="H11" s="167"/>
      <c r="I11" s="168" t="n">
        <f aca="false">'rr-soy-notill'!$M$21</f>
        <v>21.9765</v>
      </c>
    </row>
    <row r="12" customFormat="false" ht="20" hidden="false" customHeight="false" outlineLevel="0" collapsed="false">
      <c r="A12" s="153" t="s">
        <v>171</v>
      </c>
      <c r="B12" s="153"/>
      <c r="C12" s="153"/>
      <c r="D12" s="169"/>
      <c r="E12" s="153"/>
      <c r="F12" s="153"/>
      <c r="G12" s="167" t="n">
        <f aca="false">SUM('rr-soy-notill'!$L$23:$L$25)</f>
        <v>45.7</v>
      </c>
      <c r="H12" s="167"/>
      <c r="I12" s="168" t="n">
        <f aca="false">SUM('rr-soy-notill'!$M$23:$M$25)</f>
        <v>45.7</v>
      </c>
    </row>
    <row r="13" customFormat="false" ht="20" hidden="false" customHeight="false" outlineLevel="0" collapsed="false">
      <c r="A13" s="157" t="s">
        <v>172</v>
      </c>
      <c r="B13" s="157"/>
      <c r="C13" s="157"/>
      <c r="D13" s="170" t="n">
        <f aca="false">'rr-soy-notill'!$M$111</f>
        <v>2.2</v>
      </c>
      <c r="E13" s="157" t="s">
        <v>173</v>
      </c>
      <c r="F13" s="153"/>
      <c r="G13" s="158" t="n">
        <f aca="false">'rr-soy-notill'!$L$27</f>
        <v>7.17831905697446</v>
      </c>
      <c r="H13" s="167"/>
      <c r="I13" s="171" t="n">
        <f aca="false">'rr-soy-notill'!$M$27</f>
        <v>7.17831905697446</v>
      </c>
    </row>
    <row r="14" customFormat="false" ht="18.75" hidden="false" customHeight="true" outlineLevel="0" collapsed="false">
      <c r="A14" s="149"/>
      <c r="B14" s="149"/>
      <c r="C14" s="172" t="s">
        <v>174</v>
      </c>
      <c r="D14" s="149"/>
      <c r="E14" s="149"/>
      <c r="F14" s="173"/>
      <c r="G14" s="167" t="n">
        <f aca="false">'rr-soy-notill'!L35</f>
        <v>4.04854622889786</v>
      </c>
      <c r="H14" s="174"/>
      <c r="I14" s="167" t="n">
        <f aca="false">'rr-soy-notill'!N35</f>
        <v>3.41639096288893</v>
      </c>
    </row>
    <row r="15" customFormat="false" ht="20" hidden="false" customHeight="false" outlineLevel="0" collapsed="false">
      <c r="A15" s="162" t="s">
        <v>175</v>
      </c>
      <c r="B15" s="148"/>
      <c r="C15" s="149"/>
      <c r="D15" s="149"/>
      <c r="E15" s="149"/>
      <c r="F15" s="149"/>
      <c r="G15" s="164"/>
      <c r="H15" s="164"/>
      <c r="I15" s="164"/>
    </row>
    <row r="16" customFormat="false" ht="20" hidden="false" customHeight="false" outlineLevel="0" collapsed="false">
      <c r="A16" s="175" t="s">
        <v>176</v>
      </c>
      <c r="B16" s="175"/>
      <c r="C16" s="175"/>
      <c r="D16" s="175"/>
      <c r="E16" s="175"/>
      <c r="F16" s="175"/>
      <c r="G16" s="155" t="n">
        <f aca="false">'rr-soy-notill'!L38+'rr-soy-notill'!L39</f>
        <v>55.006</v>
      </c>
      <c r="H16" s="155"/>
      <c r="I16" s="156" t="n">
        <f aca="false">'rr-soy-notill'!M38+'rr-soy-notill'!M39</f>
        <v>59.706</v>
      </c>
    </row>
    <row r="17" customFormat="false" ht="20" hidden="false" customHeight="false" outlineLevel="0" collapsed="false">
      <c r="A17" s="176" t="s">
        <v>109</v>
      </c>
      <c r="B17" s="176"/>
      <c r="C17" s="176"/>
      <c r="D17" s="176"/>
      <c r="E17" s="176"/>
      <c r="F17" s="176"/>
      <c r="G17" s="167" t="n">
        <f aca="false">'rr-soy-notill'!L40</f>
        <v>107.889921875</v>
      </c>
      <c r="H17" s="167"/>
      <c r="I17" s="168" t="n">
        <f aca="false">'rr-soy-notill'!M40</f>
        <v>107.889921875</v>
      </c>
    </row>
    <row r="18" customFormat="false" ht="20" hidden="false" customHeight="false" outlineLevel="0" collapsed="false">
      <c r="A18" s="157" t="s">
        <v>177</v>
      </c>
      <c r="B18" s="157"/>
      <c r="C18" s="157"/>
      <c r="D18" s="157"/>
      <c r="E18" s="157"/>
      <c r="F18" s="157"/>
      <c r="G18" s="158" t="n">
        <f aca="false">'rr-soy-notill'!L41</f>
        <v>187</v>
      </c>
      <c r="H18" s="158"/>
      <c r="I18" s="171" t="n">
        <f aca="false">'rr-soy-notill'!M41</f>
        <v>239</v>
      </c>
    </row>
    <row r="19" customFormat="false" ht="18.75" hidden="false" customHeight="true" outlineLevel="0" collapsed="false">
      <c r="A19" s="149"/>
      <c r="B19" s="149"/>
      <c r="C19" s="172" t="s">
        <v>174</v>
      </c>
      <c r="G19" s="167" t="n">
        <f aca="false">'rr-soy-notill'!L47</f>
        <v>11.3657334151428</v>
      </c>
      <c r="H19" s="177"/>
      <c r="I19" s="167" t="n">
        <f aca="false">'rr-soy-notill'!N47</f>
        <v>10.2249380899051</v>
      </c>
    </row>
    <row r="20" customFormat="false" ht="20" hidden="false" customHeight="false" outlineLevel="0" collapsed="false">
      <c r="A20" s="162" t="s">
        <v>178</v>
      </c>
      <c r="B20" s="148"/>
      <c r="C20" s="149"/>
      <c r="D20" s="149"/>
      <c r="E20" s="149"/>
      <c r="F20" s="149"/>
      <c r="G20" s="164"/>
      <c r="H20" s="164"/>
      <c r="I20" s="164"/>
    </row>
    <row r="21" customFormat="false" ht="20" hidden="false" customHeight="false" outlineLevel="0" collapsed="false">
      <c r="A21" s="175" t="s">
        <v>179</v>
      </c>
      <c r="B21" s="175"/>
      <c r="C21" s="175"/>
      <c r="D21" s="175"/>
      <c r="E21" s="175"/>
      <c r="F21" s="175"/>
      <c r="G21" s="155" t="n">
        <f aca="false">'rr-soy-notill'!$L$51</f>
        <v>-65.8935240741134</v>
      </c>
      <c r="H21" s="155"/>
      <c r="I21" s="156" t="n">
        <f aca="false">'rr-soy-notill'!$M$51</f>
        <v>-37.1378990741134</v>
      </c>
    </row>
    <row r="22" customFormat="false" ht="20" hidden="false" customHeight="false" outlineLevel="0" collapsed="false">
      <c r="A22" s="176" t="s">
        <v>180</v>
      </c>
      <c r="B22" s="176"/>
      <c r="C22" s="176"/>
      <c r="D22" s="176"/>
      <c r="E22" s="176"/>
      <c r="F22" s="176"/>
      <c r="G22" s="167" t="n">
        <f aca="false">'rr-soy-notill'!$L$49</f>
        <v>298.502397800887</v>
      </c>
      <c r="H22" s="167"/>
      <c r="I22" s="168" t="n">
        <f aca="false">'rr-soy-notill'!$M$49</f>
        <v>383.958022800887</v>
      </c>
    </row>
    <row r="23" customFormat="false" ht="20" hidden="false" customHeight="false" outlineLevel="0" collapsed="false">
      <c r="A23" s="157" t="s">
        <v>181</v>
      </c>
      <c r="B23" s="157"/>
      <c r="C23" s="157"/>
      <c r="D23" s="157"/>
      <c r="E23" s="157"/>
      <c r="F23" s="157"/>
      <c r="G23" s="158" t="n">
        <f aca="false">'rr-soy-notill'!$L$52</f>
        <v>121.106475925887</v>
      </c>
      <c r="H23" s="158"/>
      <c r="I23" s="171" t="n">
        <f aca="false">'rr-soy-notill'!$M$52</f>
        <v>201.862100925887</v>
      </c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2002-12-27T15:58:24Z</dcterms:created>
  <dc:creator>Robert Moore</dc:creator>
  <dc:description/>
  <dc:language>en-US</dc:language>
  <cp:lastModifiedBy>Julie Moose</cp:lastModifiedBy>
  <cp:lastPrinted>2017-05-15T18:37:38Z</cp:lastPrinted>
  <dcterms:modified xsi:type="dcterms:W3CDTF">2017-05-17T16:45:58Z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