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ose.14\Documents\Farm Management\"/>
    </mc:Choice>
  </mc:AlternateContent>
  <bookViews>
    <workbookView xWindow="0" yWindow="240" windowWidth="15480" windowHeight="10860"/>
  </bookViews>
  <sheets>
    <sheet name="rr-soy-notill" sheetId="1" r:id="rId1"/>
    <sheet name="machinery costs" sheetId="2" r:id="rId2"/>
    <sheet name="Quick Stats" sheetId="3" r:id="rId3"/>
  </sheets>
  <definedNames>
    <definedName name="_xlnm.Print_Area" localSheetId="0">'rr-soy-notill'!$A$1:$N$124</definedName>
  </definedNames>
  <calcPr calcId="152511"/>
</workbook>
</file>

<file path=xl/calcChain.xml><?xml version="1.0" encoding="utf-8"?>
<calcChain xmlns="http://schemas.openxmlformats.org/spreadsheetml/2006/main">
  <c r="I6" i="3" l="1"/>
  <c r="G6" i="3"/>
  <c r="N18" i="1" l="1"/>
  <c r="M18" i="1"/>
  <c r="L18" i="1"/>
  <c r="K18" i="1"/>
  <c r="M11" i="1" l="1"/>
  <c r="I5" i="3" s="1"/>
  <c r="I20" i="1"/>
  <c r="N20" i="1" s="1"/>
  <c r="I21" i="1"/>
  <c r="M26" i="1"/>
  <c r="K107" i="1"/>
  <c r="K108" i="1"/>
  <c r="M27" i="1"/>
  <c r="I13" i="3" s="1"/>
  <c r="L11" i="1"/>
  <c r="G5" i="3" s="1"/>
  <c r="L26" i="1"/>
  <c r="L27" i="1"/>
  <c r="G13" i="3" s="1"/>
  <c r="M97" i="1"/>
  <c r="K97" i="1"/>
  <c r="I8" i="2"/>
  <c r="D8" i="2"/>
  <c r="C8" i="2"/>
  <c r="N26" i="1"/>
  <c r="K26" i="1"/>
  <c r="D5" i="3"/>
  <c r="I18" i="3"/>
  <c r="G18" i="3"/>
  <c r="G12" i="3"/>
  <c r="I12" i="3"/>
  <c r="D13" i="3"/>
  <c r="D11" i="3"/>
  <c r="D10" i="3"/>
  <c r="D9" i="3"/>
  <c r="I4" i="3"/>
  <c r="G4" i="3"/>
  <c r="D3" i="2"/>
  <c r="C3" i="2"/>
  <c r="I3" i="2"/>
  <c r="D4" i="2"/>
  <c r="C4" i="2"/>
  <c r="I4" i="2"/>
  <c r="D5" i="2"/>
  <c r="C5" i="2"/>
  <c r="I5" i="2"/>
  <c r="D6" i="2"/>
  <c r="I6" i="2"/>
  <c r="D7" i="2"/>
  <c r="C7" i="2"/>
  <c r="I7" i="2"/>
  <c r="D9" i="2"/>
  <c r="C9" i="2"/>
  <c r="I9" i="2"/>
  <c r="D10" i="2"/>
  <c r="C10" i="2"/>
  <c r="I10" i="2"/>
  <c r="D11" i="2"/>
  <c r="I11" i="2"/>
  <c r="D2" i="2"/>
  <c r="I2" i="2"/>
  <c r="L97" i="1"/>
  <c r="L102" i="1"/>
  <c r="L105" i="1"/>
  <c r="M105" i="1"/>
  <c r="L100" i="1"/>
  <c r="L99" i="1"/>
  <c r="M99" i="1"/>
  <c r="L103" i="1"/>
  <c r="K103" i="1"/>
  <c r="L98" i="1"/>
  <c r="L104" i="1"/>
  <c r="M104" i="1"/>
  <c r="K106" i="1"/>
  <c r="K102" i="1"/>
  <c r="H21" i="1"/>
  <c r="G21" i="1"/>
  <c r="F21" i="1"/>
  <c r="E21" i="1"/>
  <c r="N11" i="1"/>
  <c r="N16" i="1" s="1"/>
  <c r="N39" i="1" s="1"/>
  <c r="N44" i="1" s="1"/>
  <c r="K11" i="1"/>
  <c r="K16" i="1" s="1"/>
  <c r="K39" i="1" s="1"/>
  <c r="K44" i="1" s="1"/>
  <c r="N22" i="1"/>
  <c r="M22" i="1"/>
  <c r="L22" i="1"/>
  <c r="K22" i="1"/>
  <c r="H20" i="1"/>
  <c r="N38" i="1"/>
  <c r="G20" i="1"/>
  <c r="M20" i="1" s="1"/>
  <c r="F20" i="1"/>
  <c r="E20" i="1"/>
  <c r="I9" i="3"/>
  <c r="G9" i="3"/>
  <c r="K38" i="1"/>
  <c r="L38" i="1"/>
  <c r="M38" i="1"/>
  <c r="M108" i="1"/>
  <c r="E7" i="2"/>
  <c r="G7" i="2"/>
  <c r="G9" i="2"/>
  <c r="F9" i="2"/>
  <c r="G5" i="2"/>
  <c r="E5" i="2"/>
  <c r="F5" i="2"/>
  <c r="F10" i="2"/>
  <c r="E10" i="2"/>
  <c r="G10" i="2"/>
  <c r="E9" i="2"/>
  <c r="D12" i="2"/>
  <c r="F8" i="2"/>
  <c r="G8" i="2"/>
  <c r="E8" i="2"/>
  <c r="E4" i="2"/>
  <c r="F4" i="2"/>
  <c r="G4" i="2"/>
  <c r="E3" i="2"/>
  <c r="G3" i="2"/>
  <c r="F3" i="2"/>
  <c r="F7" i="2"/>
  <c r="C2" i="2"/>
  <c r="C11" i="2"/>
  <c r="C6" i="2"/>
  <c r="M28" i="1"/>
  <c r="N28" i="1"/>
  <c r="L28" i="1"/>
  <c r="K28" i="1"/>
  <c r="H7" i="2"/>
  <c r="J7" i="2"/>
  <c r="I102" i="1"/>
  <c r="H9" i="2"/>
  <c r="J9" i="2"/>
  <c r="I104" i="1"/>
  <c r="H5" i="2"/>
  <c r="J5" i="2"/>
  <c r="I100" i="1"/>
  <c r="H8" i="2"/>
  <c r="J8" i="2"/>
  <c r="I103" i="1"/>
  <c r="H10" i="2"/>
  <c r="J10" i="2"/>
  <c r="I105" i="1"/>
  <c r="E11" i="2"/>
  <c r="F11" i="2"/>
  <c r="G11" i="2"/>
  <c r="F2" i="2"/>
  <c r="G2" i="2"/>
  <c r="E2" i="2"/>
  <c r="H3" i="2"/>
  <c r="J3" i="2"/>
  <c r="I98" i="1"/>
  <c r="H4" i="2"/>
  <c r="J4" i="2"/>
  <c r="I99" i="1"/>
  <c r="F6" i="2"/>
  <c r="E6" i="2"/>
  <c r="G6" i="2"/>
  <c r="F12" i="2"/>
  <c r="H6" i="2"/>
  <c r="J6" i="2"/>
  <c r="I101" i="1"/>
  <c r="E12" i="2"/>
  <c r="H2" i="2"/>
  <c r="G12" i="2"/>
  <c r="H11" i="2"/>
  <c r="J11" i="2"/>
  <c r="I106" i="1"/>
  <c r="J2" i="2"/>
  <c r="I97" i="1"/>
  <c r="I108" i="1"/>
  <c r="H12" i="2"/>
  <c r="L40" i="1"/>
  <c r="M40" i="1"/>
  <c r="K40" i="1"/>
  <c r="N40" i="1"/>
  <c r="I17" i="3"/>
  <c r="G17" i="3"/>
  <c r="N27" i="1"/>
  <c r="K27" i="1"/>
  <c r="M21" i="1" l="1"/>
  <c r="I11" i="3" s="1"/>
  <c r="L16" i="1"/>
  <c r="L39" i="1" s="1"/>
  <c r="L44" i="1" s="1"/>
  <c r="M16" i="1"/>
  <c r="M39" i="1" s="1"/>
  <c r="I16" i="3" s="1"/>
  <c r="K21" i="1"/>
  <c r="N21" i="1"/>
  <c r="N31" i="1" s="1"/>
  <c r="L21" i="1"/>
  <c r="G11" i="3" s="1"/>
  <c r="K20" i="1"/>
  <c r="L20" i="1"/>
  <c r="G10" i="3" s="1"/>
  <c r="M31" i="1"/>
  <c r="M34" i="1" s="1"/>
  <c r="I10" i="3"/>
  <c r="G16" i="3" l="1"/>
  <c r="M44" i="1"/>
  <c r="M46" i="1" s="1"/>
  <c r="K31" i="1"/>
  <c r="K34" i="1" s="1"/>
  <c r="K35" i="1" s="1"/>
  <c r="L31" i="1"/>
  <c r="L34" i="1" s="1"/>
  <c r="L46" i="1" s="1"/>
  <c r="N34" i="1"/>
  <c r="N46" i="1" s="1"/>
  <c r="N47" i="1" s="1"/>
  <c r="I19" i="3" s="1"/>
  <c r="M35" i="1"/>
  <c r="M50" i="1"/>
  <c r="M49" i="1"/>
  <c r="I22" i="3" s="1"/>
  <c r="K50" i="1" l="1"/>
  <c r="K46" i="1"/>
  <c r="K47" i="1" s="1"/>
  <c r="N49" i="1"/>
  <c r="L49" i="1"/>
  <c r="G22" i="3" s="1"/>
  <c r="K49" i="1"/>
  <c r="L35" i="1"/>
  <c r="G14" i="3" s="1"/>
  <c r="L50" i="1"/>
  <c r="N35" i="1"/>
  <c r="I14" i="3" s="1"/>
  <c r="N50" i="1"/>
  <c r="N51" i="1"/>
  <c r="M47" i="1"/>
  <c r="M51" i="1"/>
  <c r="L47" i="1"/>
  <c r="G19" i="3" s="1"/>
  <c r="L51" i="1"/>
  <c r="K51" i="1" l="1"/>
  <c r="K52" i="1" s="1"/>
  <c r="N53" i="1"/>
  <c r="N54" i="1"/>
  <c r="N52" i="1"/>
  <c r="M54" i="1"/>
  <c r="M52" i="1"/>
  <c r="I23" i="3" s="1"/>
  <c r="M53" i="1"/>
  <c r="I21" i="3"/>
  <c r="L54" i="1"/>
  <c r="L53" i="1"/>
  <c r="G21" i="3"/>
  <c r="L52" i="1"/>
  <c r="G23" i="3" s="1"/>
  <c r="K54" i="1" l="1"/>
  <c r="K53" i="1"/>
</calcChain>
</file>

<file path=xl/sharedStrings.xml><?xml version="1.0" encoding="utf-8"?>
<sst xmlns="http://schemas.openxmlformats.org/spreadsheetml/2006/main" count="209" uniqueCount="182">
  <si>
    <t>No-Tillage Practices</t>
  </si>
  <si>
    <t>ITEM</t>
  </si>
  <si>
    <t>EXPLANATION</t>
  </si>
  <si>
    <t>PRICE PER</t>
  </si>
  <si>
    <t xml:space="preserve">YOUR </t>
  </si>
  <si>
    <t>UNIT</t>
  </si>
  <si>
    <t>BUDGET</t>
  </si>
  <si>
    <t>RECEIPTS</t>
  </si>
  <si>
    <t>bu</t>
  </si>
  <si>
    <t>VARIABLE  COSTS</t>
  </si>
  <si>
    <t>P2O5(lbs)</t>
  </si>
  <si>
    <t>lb</t>
  </si>
  <si>
    <t>K2O(lbs)</t>
  </si>
  <si>
    <t>Lime(ton)</t>
  </si>
  <si>
    <t>ton</t>
  </si>
  <si>
    <t>mo.</t>
  </si>
  <si>
    <t>TOTAL VARIABLE COSTS</t>
  </si>
  <si>
    <t>FIXED COSTS</t>
  </si>
  <si>
    <t>hours</t>
  </si>
  <si>
    <t>/hr</t>
  </si>
  <si>
    <t>TOTAL FIXED COSTS</t>
  </si>
  <si>
    <t>TOTAL COSTS</t>
  </si>
  <si>
    <t>-Per Acre</t>
  </si>
  <si>
    <t>-Per Bushel</t>
  </si>
  <si>
    <t>RETURN ABOVE TOTAL COSTS</t>
  </si>
  <si>
    <t xml:space="preserve">weed control.  While this intrinsic value is not included in the budget, it should be considered when exploring </t>
  </si>
  <si>
    <t>See table below for specific calculations.</t>
  </si>
  <si>
    <t>Machinery Inventory</t>
  </si>
  <si>
    <t>Number times used</t>
  </si>
  <si>
    <t>Acres/  Hr</t>
  </si>
  <si>
    <t>Repairs ($/A)</t>
  </si>
  <si>
    <t>Fertilizer Spreader</t>
  </si>
  <si>
    <t>Price of Diesel Fuel</t>
  </si>
  <si>
    <t>*Fuel calculations are based on the implement plus tractor.</t>
  </si>
  <si>
    <t>TOTAL RECEIPTS</t>
  </si>
  <si>
    <t>Herbicide</t>
  </si>
  <si>
    <t>Insecticide</t>
  </si>
  <si>
    <t>Fungicide</t>
  </si>
  <si>
    <t>seeds</t>
  </si>
  <si>
    <r>
      <t>Fuel, Oil, Grease</t>
    </r>
    <r>
      <rPr>
        <vertAlign val="superscript"/>
        <sz val="10"/>
        <rFont val="Arial"/>
        <family val="2"/>
      </rPr>
      <t xml:space="preserve"> 7</t>
    </r>
  </si>
  <si>
    <r>
      <t xml:space="preserve">Repairs </t>
    </r>
    <r>
      <rPr>
        <vertAlign val="superscript"/>
        <sz val="10"/>
        <rFont val="Arial"/>
        <family val="2"/>
      </rPr>
      <t>8</t>
    </r>
  </si>
  <si>
    <r>
      <t xml:space="preserve">Crop Insurance </t>
    </r>
    <r>
      <rPr>
        <vertAlign val="superscript"/>
        <sz val="10"/>
        <rFont val="Arial"/>
        <family val="2"/>
      </rPr>
      <t>9</t>
    </r>
  </si>
  <si>
    <r>
      <t xml:space="preserve">Miscellaneous </t>
    </r>
    <r>
      <rPr>
        <vertAlign val="superscript"/>
        <sz val="10"/>
        <rFont val="Arial"/>
        <family val="2"/>
      </rPr>
      <t>10</t>
    </r>
  </si>
  <si>
    <r>
      <t xml:space="preserve">Int. on Oper. Cap. </t>
    </r>
    <r>
      <rPr>
        <vertAlign val="superscript"/>
        <sz val="10"/>
        <rFont val="Arial"/>
        <family val="2"/>
      </rPr>
      <t>11</t>
    </r>
  </si>
  <si>
    <r>
      <t xml:space="preserve">Hired Labor </t>
    </r>
    <r>
      <rPr>
        <vertAlign val="superscript"/>
        <sz val="10"/>
        <rFont val="Arial"/>
        <family val="2"/>
      </rPr>
      <t>12</t>
    </r>
  </si>
  <si>
    <r>
      <t>Labor Charge</t>
    </r>
    <r>
      <rPr>
        <vertAlign val="superscript"/>
        <sz val="10"/>
        <rFont val="Arial"/>
        <family val="2"/>
      </rPr>
      <t xml:space="preserve"> 12</t>
    </r>
  </si>
  <si>
    <t>Fuel</t>
  </si>
  <si>
    <t>F&amp;L</t>
  </si>
  <si>
    <t>Pickup Truck (1/2)**</t>
  </si>
  <si>
    <t>***</t>
  </si>
  <si>
    <t>**Semi Tractor Trailer and Pickup Truck are assumed to be used equipment.</t>
  </si>
  <si>
    <t>***Fuel for Semi is included in Budget as Trucking - Fuel Only</t>
  </si>
  <si>
    <t>See table below for specific calculations.  Lubrication costs are assumed to be 10% of fuel costs.</t>
  </si>
  <si>
    <t>Machinery Cost</t>
  </si>
  <si>
    <t>Acres per Year</t>
  </si>
  <si>
    <t>Cost per Acre</t>
  </si>
  <si>
    <t>Machinery and Equipment Charge</t>
  </si>
  <si>
    <t>Repairs</t>
  </si>
  <si>
    <t>PROD.</t>
  </si>
  <si>
    <t>YOUR</t>
  </si>
  <si>
    <t>NUMBERS</t>
  </si>
  <si>
    <t>of gross income</t>
  </si>
  <si>
    <t xml:space="preserve">Values highlighted in gold may be changed to assist in computing "Your Budget" Column using macros embeded within  </t>
  </si>
  <si>
    <t>the spreadsheet.</t>
  </si>
  <si>
    <t>These cells may be input manually, but macros will be overwritten!</t>
  </si>
  <si>
    <t>Values highlighted in gray are stand alone cells that require direct input from the user.</t>
  </si>
  <si>
    <t>-----</t>
  </si>
  <si>
    <t xml:space="preserve">Machinery and Equipment charge = </t>
  </si>
  <si>
    <t xml:space="preserve"> 6.0% Interest on Average Value, 0.5% Insurance Cost on Average Value and 1.0% Housing Cost on Average Value.</t>
  </si>
  <si>
    <t>Salvage Values are based on ASAE formulas.</t>
  </si>
  <si>
    <t xml:space="preserve">Machines are all assumed to be new and in the first year of use (Except for Semi Tractor Trailer and Pickup Truck). </t>
  </si>
  <si>
    <t>/1000</t>
  </si>
  <si>
    <t>/acre</t>
  </si>
  <si>
    <t>Updated:</t>
  </si>
  <si>
    <t>RETURN TO LAND</t>
  </si>
  <si>
    <t>/ton</t>
  </si>
  <si>
    <t>Assumes MAP(11-52-0):</t>
  </si>
  <si>
    <t>Potash(0-0-60):</t>
  </si>
  <si>
    <t>Cost per Acre = Machinery Cost (New Cost) Assumes 8 Year Useful Life using Straight Line Depreciation,</t>
  </si>
  <si>
    <t>Machinery</t>
  </si>
  <si>
    <t>Average Value</t>
  </si>
  <si>
    <t>Depreciation</t>
  </si>
  <si>
    <t>Cost Capital</t>
  </si>
  <si>
    <t>Insurance</t>
  </si>
  <si>
    <t>Housing</t>
  </si>
  <si>
    <t>Total</t>
  </si>
  <si>
    <t>Cost/acre</t>
  </si>
  <si>
    <t>Hours / Year</t>
  </si>
  <si>
    <t>Acres/Year</t>
  </si>
  <si>
    <t>Land charges vary throughout the state, check your local rates.</t>
  </si>
  <si>
    <t>Item</t>
  </si>
  <si>
    <t>Input</t>
  </si>
  <si>
    <t>Yield in bushels/acre</t>
  </si>
  <si>
    <t>Receipts</t>
  </si>
  <si>
    <t>/bushel</t>
  </si>
  <si>
    <t>Variable Costs</t>
  </si>
  <si>
    <t>Seed Cost</t>
  </si>
  <si>
    <t>Chemicals</t>
  </si>
  <si>
    <t>Fixed Costs</t>
  </si>
  <si>
    <t>Land Rent</t>
  </si>
  <si>
    <t xml:space="preserve">Fuel/Diesel </t>
  </si>
  <si>
    <t>/gallon</t>
  </si>
  <si>
    <t>Returns</t>
  </si>
  <si>
    <t>Return to Land</t>
  </si>
  <si>
    <t>Soybean Price</t>
  </si>
  <si>
    <t>/1000 seeds</t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</si>
  <si>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</si>
  <si>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</si>
  <si>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Labor and Management</t>
  </si>
  <si>
    <t>/gal Diesel</t>
  </si>
  <si>
    <t>miles</t>
  </si>
  <si>
    <t>30 Ft No-Till Drill</t>
  </si>
  <si>
    <t>30' Grain Head</t>
  </si>
  <si>
    <t>2 Semi Tractor Trailer**</t>
  </si>
  <si>
    <t>Grain Cart</t>
  </si>
  <si>
    <t>Fuel*        (gal/A)</t>
  </si>
  <si>
    <t>Seed costs are per 1000 seeds, treated.</t>
  </si>
  <si>
    <t>Boom Sprayer, Self Prop.</t>
  </si>
  <si>
    <t>Combine 340 HP</t>
  </si>
  <si>
    <t>310 HP Tractor</t>
  </si>
  <si>
    <t>105 HP Tractor</t>
  </si>
  <si>
    <t>Reflects 2000 acres, Conservation Tillage Corn/No-Till RR Soybeans</t>
  </si>
  <si>
    <t>The "machinery cost" tab (next tab at the bottom of this worksheet) shows details of "Machinery and Equipment Charge per Acre".</t>
  </si>
  <si>
    <t>RETURN TO LAND, LABOR, AND MANAGEMENT</t>
  </si>
  <si>
    <t>Grower or Market Premium</t>
  </si>
  <si>
    <t>Yield is based on Ohio Ag Stats Trend Yield for Ohio (1970-Present), plus and minus 20%</t>
  </si>
  <si>
    <t>Values highlighted in light blue are cells embedded with macros and will be calculated for the user based on data entered.</t>
  </si>
  <si>
    <t>Return to Total Costs</t>
  </si>
  <si>
    <t>Mark Loux, Extension Specialist - Weed Management in Field Crops</t>
  </si>
  <si>
    <t xml:space="preserve">Prepared by: Barry Ward, Leader, Production Business Management; Laura Lindsey, Extension Soybean and Small Grain Specialist, </t>
  </si>
  <si>
    <t>Combine 440 HP</t>
  </si>
  <si>
    <t>30' Draper Head</t>
  </si>
  <si>
    <t>Air Seeder Drill w/Cart '40</t>
  </si>
  <si>
    <t>Crop Insurance Indemnity</t>
  </si>
  <si>
    <t>Breakeven Cost / Bu</t>
  </si>
  <si>
    <t>Crop Insurance: Revenue Protection (with Trend Adjusted Yield Endorsement), Basic (without SCO), 75% coverage level.</t>
  </si>
  <si>
    <t>.</t>
  </si>
  <si>
    <r>
      <t>YIELD (bu/A)</t>
    </r>
    <r>
      <rPr>
        <b/>
        <vertAlign val="superscript"/>
        <sz val="10"/>
        <rFont val="Arial"/>
        <family val="2"/>
      </rPr>
      <t>1</t>
    </r>
  </si>
  <si>
    <t xml:space="preserve">Assumes only maintenance application of fertilizer needed, corn-soybean rotation, 3.8 O.M., 20 CEC, </t>
  </si>
  <si>
    <t>and soil test values of 25 ppm P/A and 125 ppm K/A.</t>
  </si>
  <si>
    <t xml:space="preserve">Fertilizer prices vary over time and by area.  Check with local sources for current prices. </t>
  </si>
  <si>
    <t xml:space="preserve">Includes marketing, farm insurance, dues and professional fees, supplies, utilities, soil tests, small tools, </t>
  </si>
  <si>
    <t>software/hardware, transport of supplies and equipment, etc…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</si>
  <si>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</si>
  <si>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</si>
  <si>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Labor rate includes cash wages plus benefits. </t>
  </si>
  <si>
    <t>Management Charge is calculated as 5% of total receipts.</t>
  </si>
  <si>
    <t xml:space="preserve">Machinery and Equipment Charge Reflects 2000 acres, conservation tillage corn/no-till RR soybean rotation. </t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</si>
  <si>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</si>
  <si>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</si>
  <si>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</si>
  <si>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</si>
  <si>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</si>
  <si>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</si>
  <si>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</si>
  <si>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</si>
  <si>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t>Assumes a ARC-CO Program Choice, 50/50 Corn/Soybean Program Acres, payment on 85% of program acres.</t>
  </si>
  <si>
    <r>
      <t>ARC/PLC Payment</t>
    </r>
    <r>
      <rPr>
        <vertAlign val="superscript"/>
        <sz val="10"/>
        <rFont val="Arial"/>
        <family val="2"/>
      </rPr>
      <t>2</t>
    </r>
  </si>
  <si>
    <r>
      <t>Seed</t>
    </r>
    <r>
      <rPr>
        <vertAlign val="superscript"/>
        <sz val="10"/>
        <rFont val="Arial"/>
        <family val="2"/>
      </rPr>
      <t>3</t>
    </r>
  </si>
  <si>
    <r>
      <t>Fertilizer</t>
    </r>
    <r>
      <rPr>
        <vertAlign val="superscript"/>
        <sz val="10"/>
        <rFont val="Arial"/>
        <family val="2"/>
      </rPr>
      <t>4</t>
    </r>
  </si>
  <si>
    <r>
      <t>Soybeans</t>
    </r>
    <r>
      <rPr>
        <vertAlign val="superscript"/>
        <sz val="10"/>
        <rFont val="Arial"/>
        <family val="2"/>
      </rPr>
      <t>1</t>
    </r>
  </si>
  <si>
    <r>
      <t>Chemicals</t>
    </r>
    <r>
      <rPr>
        <vertAlign val="superscript"/>
        <sz val="10"/>
        <rFont val="Arial"/>
        <family val="2"/>
      </rPr>
      <t>5</t>
    </r>
  </si>
  <si>
    <t>Trucking based on 900 bushel loads, 6 mpg, oil and lube at 10% of fuel cost, Enter on-road diesel price and total miles trucked</t>
  </si>
  <si>
    <r>
      <t>Trucking - Fuel Only</t>
    </r>
    <r>
      <rPr>
        <vertAlign val="superscript"/>
        <sz val="10"/>
        <rFont val="Arial"/>
        <family val="2"/>
      </rPr>
      <t>6</t>
    </r>
  </si>
  <si>
    <t>Interest on all variable costs, except drying and trucking</t>
  </si>
  <si>
    <r>
      <t>Management Charge</t>
    </r>
    <r>
      <rPr>
        <vertAlign val="superscript"/>
        <sz val="10"/>
        <rFont val="Arial"/>
        <family val="2"/>
      </rPr>
      <t>13</t>
    </r>
  </si>
  <si>
    <r>
      <t xml:space="preserve">Mach. and Equip. Charge </t>
    </r>
    <r>
      <rPr>
        <vertAlign val="superscript"/>
        <sz val="10"/>
        <rFont val="Arial"/>
        <family val="2"/>
      </rPr>
      <t>14</t>
    </r>
  </si>
  <si>
    <r>
      <t>Land Charge</t>
    </r>
    <r>
      <rPr>
        <vertAlign val="superscript"/>
        <sz val="10"/>
        <rFont val="Arial"/>
        <family val="2"/>
      </rPr>
      <t>15</t>
    </r>
  </si>
  <si>
    <t>RETURN TO LABOR AND MANAGEMENT</t>
  </si>
  <si>
    <r>
      <t>RETURN ABOVE VARIABLE COSTS</t>
    </r>
    <r>
      <rPr>
        <b/>
        <vertAlign val="superscript"/>
        <sz val="10"/>
        <rFont val="Arial"/>
        <family val="2"/>
      </rPr>
      <t>16</t>
    </r>
  </si>
  <si>
    <t>RETURN ABOVE VARIABLE AND LAND COSTS</t>
  </si>
  <si>
    <t>Return to Variable Costs</t>
  </si>
  <si>
    <t>Price is based on current Ohio November Futures less $0.30 basis</t>
  </si>
  <si>
    <t>ARC/PLC</t>
  </si>
  <si>
    <t>Based on use of: fall applied glyphosate plus 2,4-D with ammonium sulfate (AMS), preplant glyphosate, 2,4-D, Valor XLT and mtribuzin w/ AMS</t>
  </si>
  <si>
    <t xml:space="preserve">post glyphosate with MSO and AMS. Glyphosate tolerant soybeans are often used in part as a tool for perennial </t>
  </si>
  <si>
    <t>opportunities with glyphosate tolerant soybeans.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</si>
  <si>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</si>
  <si>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</si>
  <si>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t>9/15/2017</t>
  </si>
  <si>
    <t>SOYBEAN PRODUCTION BUDGET (Roundup Ready) - 2018</t>
  </si>
  <si>
    <t>SOYBEAN SELECTED BUDGET STATS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</si>
</sst>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0_);[Red]\(0\)"/>
    <numFmt numFmtId="168" formatCode="0.00_);[Red]\(0.00\)"/>
    <numFmt numFmtId="169" formatCode="0.000"/>
    <numFmt numFmtId="170" formatCode="_(* #,##0_);_(* \(#,##0\);_(* &quot;-&quot;??_);_(@_)"/>
  </numFmts>
  <fonts count="2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0"/>
      <color indexed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/>
    <xf numFmtId="0" fontId="4" fillId="0" borderId="2" xfId="0" applyFont="1" applyBorder="1"/>
    <xf numFmtId="0" fontId="2" fillId="0" borderId="0" xfId="0" applyFont="1" applyBorder="1"/>
    <xf numFmtId="2" fontId="2" fillId="0" borderId="0" xfId="0" applyNumberFormat="1" applyFont="1" applyBorder="1"/>
    <xf numFmtId="0" fontId="4" fillId="0" borderId="0" xfId="0" applyFont="1"/>
    <xf numFmtId="165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49" fontId="4" fillId="0" borderId="0" xfId="0" applyNumberFormat="1" applyFont="1"/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9" fontId="9" fillId="0" borderId="0" xfId="3" applyFont="1"/>
    <xf numFmtId="0" fontId="10" fillId="0" borderId="0" xfId="0" applyFont="1" applyAlignment="1">
      <alignment horizontal="center"/>
    </xf>
    <xf numFmtId="0" fontId="10" fillId="0" borderId="0" xfId="0" applyFont="1"/>
    <xf numFmtId="170" fontId="10" fillId="0" borderId="0" xfId="1" applyNumberFormat="1" applyFont="1" applyAlignment="1">
      <alignment horizontal="center"/>
    </xf>
    <xf numFmtId="9" fontId="9" fillId="0" borderId="0" xfId="3" applyFont="1" applyAlignment="1">
      <alignment horizontal="right"/>
    </xf>
    <xf numFmtId="170" fontId="9" fillId="0" borderId="0" xfId="1" applyNumberFormat="1" applyFont="1"/>
    <xf numFmtId="2" fontId="10" fillId="0" borderId="0" xfId="0" applyNumberFormat="1" applyFont="1"/>
    <xf numFmtId="1" fontId="10" fillId="0" borderId="0" xfId="3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left"/>
    </xf>
    <xf numFmtId="7" fontId="10" fillId="0" borderId="0" xfId="2" applyNumberFormat="1" applyFont="1"/>
    <xf numFmtId="0" fontId="9" fillId="0" borderId="0" xfId="0" applyFont="1" applyFill="1"/>
    <xf numFmtId="0" fontId="9" fillId="0" borderId="0" xfId="0" quotePrefix="1" applyFont="1" applyFill="1" applyAlignment="1">
      <alignment horizontal="left"/>
    </xf>
    <xf numFmtId="170" fontId="9" fillId="0" borderId="0" xfId="0" applyNumberFormat="1" applyFont="1" applyAlignment="1">
      <alignment horizontal="right"/>
    </xf>
    <xf numFmtId="0" fontId="0" fillId="0" borderId="2" xfId="0" applyBorder="1" applyAlignment="1">
      <alignment horizontal="center" wrapText="1"/>
    </xf>
    <xf numFmtId="2" fontId="0" fillId="0" borderId="2" xfId="0" applyNumberFormat="1" applyBorder="1"/>
    <xf numFmtId="0" fontId="9" fillId="0" borderId="0" xfId="0" applyNumberFormat="1" applyFont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9" fillId="0" borderId="2" xfId="2" applyNumberFormat="1" applyFont="1" applyBorder="1" applyAlignment="1">
      <alignment horizontal="center"/>
    </xf>
    <xf numFmtId="2" fontId="4" fillId="0" borderId="0" xfId="0" applyNumberFormat="1" applyFont="1"/>
    <xf numFmtId="0" fontId="3" fillId="0" borderId="0" xfId="0" applyFont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0" fontId="0" fillId="2" borderId="0" xfId="0" applyFill="1"/>
    <xf numFmtId="0" fontId="11" fillId="2" borderId="2" xfId="0" applyFont="1" applyFill="1" applyBorder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168" fontId="4" fillId="3" borderId="0" xfId="0" applyNumberFormat="1" applyFont="1" applyFill="1"/>
    <xf numFmtId="165" fontId="11" fillId="2" borderId="0" xfId="0" applyNumberFormat="1" applyFont="1" applyFill="1"/>
    <xf numFmtId="0" fontId="11" fillId="2" borderId="0" xfId="0" applyFont="1" applyFill="1"/>
    <xf numFmtId="2" fontId="11" fillId="2" borderId="0" xfId="0" applyNumberFormat="1" applyFont="1" applyFill="1"/>
    <xf numFmtId="0" fontId="11" fillId="0" borderId="0" xfId="0" applyFont="1"/>
    <xf numFmtId="0" fontId="4" fillId="2" borderId="0" xfId="0" applyFont="1" applyFill="1"/>
    <xf numFmtId="10" fontId="11" fillId="2" borderId="0" xfId="0" applyNumberFormat="1" applyFont="1" applyFill="1"/>
    <xf numFmtId="9" fontId="11" fillId="2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9" fillId="2" borderId="1" xfId="0" applyFont="1" applyFill="1" applyBorder="1"/>
    <xf numFmtId="0" fontId="9" fillId="2" borderId="0" xfId="0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9" fillId="2" borderId="0" xfId="0" applyNumberFormat="1" applyFont="1" applyFill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166" fontId="9" fillId="2" borderId="2" xfId="0" applyNumberFormat="1" applyFont="1" applyFill="1" applyBorder="1" applyAlignment="1">
      <alignment horizontal="center"/>
    </xf>
    <xf numFmtId="0" fontId="9" fillId="2" borderId="2" xfId="2" applyNumberFormat="1" applyFont="1" applyFill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2" fontId="9" fillId="0" borderId="0" xfId="0" quotePrefix="1" applyNumberFormat="1" applyFont="1" applyBorder="1" applyAlignment="1">
      <alignment horizontal="center"/>
    </xf>
    <xf numFmtId="164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" fontId="9" fillId="0" borderId="2" xfId="0" quotePrefix="1" applyNumberFormat="1" applyFont="1" applyBorder="1" applyAlignment="1">
      <alignment horizontal="center"/>
    </xf>
    <xf numFmtId="170" fontId="10" fillId="0" borderId="0" xfId="0" applyNumberFormat="1" applyFont="1" applyAlignment="1">
      <alignment horizontal="right"/>
    </xf>
    <xf numFmtId="0" fontId="9" fillId="0" borderId="0" xfId="0" applyFont="1" applyFill="1" applyAlignment="1">
      <alignment horizontal="left"/>
    </xf>
    <xf numFmtId="164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165" fontId="4" fillId="3" borderId="0" xfId="0" applyNumberFormat="1" applyFont="1" applyFill="1"/>
    <xf numFmtId="2" fontId="10" fillId="3" borderId="0" xfId="0" applyNumberFormat="1" applyFont="1" applyFill="1" applyAlignment="1">
      <alignment horizontal="center"/>
    </xf>
    <xf numFmtId="7" fontId="10" fillId="2" borderId="0" xfId="2" applyNumberFormat="1" applyFont="1" applyFill="1"/>
    <xf numFmtId="4" fontId="2" fillId="0" borderId="0" xfId="0" applyNumberFormat="1" applyFont="1"/>
    <xf numFmtId="4" fontId="4" fillId="3" borderId="0" xfId="0" applyNumberFormat="1" applyFont="1" applyFill="1"/>
    <xf numFmtId="4" fontId="0" fillId="0" borderId="0" xfId="0" applyNumberFormat="1"/>
    <xf numFmtId="4" fontId="4" fillId="4" borderId="0" xfId="0" applyNumberFormat="1" applyFont="1" applyFill="1"/>
    <xf numFmtId="4" fontId="2" fillId="0" borderId="0" xfId="0" quotePrefix="1" applyNumberFormat="1" applyFont="1" applyBorder="1"/>
    <xf numFmtId="4" fontId="4" fillId="0" borderId="0" xfId="0" quotePrefix="1" applyNumberFormat="1" applyFont="1" applyBorder="1"/>
    <xf numFmtId="4" fontId="4" fillId="0" borderId="0" xfId="0" applyNumberFormat="1" applyFont="1"/>
    <xf numFmtId="0" fontId="3" fillId="0" borderId="0" xfId="0" applyFont="1"/>
    <xf numFmtId="169" fontId="11" fillId="2" borderId="0" xfId="0" applyNumberFormat="1" applyFont="1" applyFill="1"/>
    <xf numFmtId="0" fontId="9" fillId="0" borderId="0" xfId="0" quotePrefix="1" applyFont="1"/>
    <xf numFmtId="2" fontId="9" fillId="0" borderId="0" xfId="0" quotePrefix="1" applyNumberFormat="1" applyFont="1"/>
    <xf numFmtId="1" fontId="9" fillId="0" borderId="0" xfId="0" applyNumberFormat="1" applyFont="1" applyFill="1"/>
    <xf numFmtId="0" fontId="9" fillId="2" borderId="0" xfId="0" quotePrefix="1" applyFont="1" applyFill="1"/>
    <xf numFmtId="4" fontId="4" fillId="0" borderId="0" xfId="0" applyNumberFormat="1" applyFont="1" applyFill="1"/>
    <xf numFmtId="2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4" fontId="0" fillId="0" borderId="0" xfId="0" applyNumberFormat="1" applyBorder="1"/>
    <xf numFmtId="4" fontId="0" fillId="0" borderId="1" xfId="0" applyNumberFormat="1" applyBorder="1"/>
    <xf numFmtId="164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4" fontId="0" fillId="0" borderId="2" xfId="0" applyNumberFormat="1" applyBorder="1"/>
    <xf numFmtId="164" fontId="9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12" fillId="0" borderId="2" xfId="0" applyNumberFormat="1" applyFont="1" applyBorder="1" applyAlignment="1">
      <alignment horizontal="center" wrapText="1"/>
    </xf>
    <xf numFmtId="2" fontId="0" fillId="3" borderId="0" xfId="0" applyNumberFormat="1" applyFill="1"/>
    <xf numFmtId="2" fontId="9" fillId="3" borderId="0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39" fontId="9" fillId="3" borderId="2" xfId="0" applyNumberFormat="1" applyFont="1" applyFill="1" applyBorder="1" applyAlignment="1">
      <alignment horizontal="center"/>
    </xf>
    <xf numFmtId="0" fontId="9" fillId="0" borderId="0" xfId="0" quotePrefix="1" applyFont="1" applyFill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2" fontId="0" fillId="0" borderId="0" xfId="0" quotePrefix="1" applyNumberFormat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16" fillId="0" borderId="0" xfId="0" applyFont="1"/>
    <xf numFmtId="0" fontId="15" fillId="5" borderId="3" xfId="0" applyFont="1" applyFill="1" applyBorder="1"/>
    <xf numFmtId="0" fontId="16" fillId="5" borderId="4" xfId="0" applyFont="1" applyFill="1" applyBorder="1"/>
    <xf numFmtId="0" fontId="16" fillId="4" borderId="2" xfId="0" applyFont="1" applyFill="1" applyBorder="1"/>
    <xf numFmtId="0" fontId="16" fillId="4" borderId="1" xfId="0" applyFont="1" applyFill="1" applyBorder="1"/>
    <xf numFmtId="165" fontId="16" fillId="0" borderId="0" xfId="0" applyNumberFormat="1" applyFont="1"/>
    <xf numFmtId="0" fontId="15" fillId="5" borderId="1" xfId="0" applyFont="1" applyFill="1" applyBorder="1"/>
    <xf numFmtId="0" fontId="16" fillId="4" borderId="0" xfId="0" applyFont="1" applyFill="1" applyBorder="1"/>
    <xf numFmtId="165" fontId="17" fillId="4" borderId="1" xfId="0" applyNumberFormat="1" applyFont="1" applyFill="1" applyBorder="1"/>
    <xf numFmtId="7" fontId="17" fillId="4" borderId="2" xfId="0" applyNumberFormat="1" applyFont="1" applyFill="1" applyBorder="1"/>
    <xf numFmtId="165" fontId="15" fillId="4" borderId="1" xfId="0" applyNumberFormat="1" applyFont="1" applyFill="1" applyBorder="1"/>
    <xf numFmtId="165" fontId="15" fillId="4" borderId="4" xfId="0" applyNumberFormat="1" applyFont="1" applyFill="1" applyBorder="1"/>
    <xf numFmtId="165" fontId="15" fillId="0" borderId="0" xfId="0" applyNumberFormat="1" applyFont="1"/>
    <xf numFmtId="165" fontId="15" fillId="4" borderId="0" xfId="0" applyNumberFormat="1" applyFont="1" applyFill="1" applyBorder="1"/>
    <xf numFmtId="165" fontId="15" fillId="4" borderId="6" xfId="0" applyNumberFormat="1" applyFont="1" applyFill="1" applyBorder="1"/>
    <xf numFmtId="0" fontId="16" fillId="0" borderId="1" xfId="0" applyFont="1" applyFill="1" applyBorder="1"/>
    <xf numFmtId="165" fontId="15" fillId="0" borderId="1" xfId="0" applyNumberFormat="1" applyFont="1" applyFill="1" applyBorder="1"/>
    <xf numFmtId="0" fontId="16" fillId="0" borderId="0" xfId="0" applyFont="1" applyFill="1" applyBorder="1"/>
    <xf numFmtId="0" fontId="16" fillId="5" borderId="1" xfId="0" applyFont="1" applyFill="1" applyBorder="1"/>
    <xf numFmtId="165" fontId="15" fillId="0" borderId="0" xfId="0" applyNumberFormat="1" applyFont="1" applyFill="1" applyBorder="1"/>
    <xf numFmtId="165" fontId="15" fillId="4" borderId="2" xfId="0" applyNumberFormat="1" applyFont="1" applyFill="1" applyBorder="1"/>
    <xf numFmtId="166" fontId="17" fillId="4" borderId="0" xfId="0" applyNumberFormat="1" applyFont="1" applyFill="1" applyBorder="1"/>
    <xf numFmtId="165" fontId="16" fillId="4" borderId="0" xfId="0" applyNumberFormat="1" applyFont="1" applyFill="1" applyBorder="1"/>
    <xf numFmtId="165" fontId="15" fillId="4" borderId="7" xfId="0" applyNumberFormat="1" applyFont="1" applyFill="1" applyBorder="1"/>
    <xf numFmtId="1" fontId="1" fillId="0" borderId="2" xfId="0" applyNumberFormat="1" applyFont="1" applyBorder="1"/>
    <xf numFmtId="0" fontId="1" fillId="0" borderId="0" xfId="0" applyFont="1"/>
    <xf numFmtId="4" fontId="2" fillId="0" borderId="0" xfId="0" applyNumberFormat="1" applyFont="1" applyBorder="1"/>
    <xf numFmtId="4" fontId="4" fillId="3" borderId="0" xfId="0" applyNumberFormat="1" applyFont="1" applyFill="1" applyBorder="1"/>
    <xf numFmtId="0" fontId="16" fillId="7" borderId="1" xfId="0" applyFont="1" applyFill="1" applyBorder="1"/>
    <xf numFmtId="2" fontId="1" fillId="0" borderId="0" xfId="0" applyNumberFormat="1" applyFont="1"/>
    <xf numFmtId="165" fontId="4" fillId="8" borderId="0" xfId="0" applyNumberFormat="1" applyFont="1" applyFill="1"/>
    <xf numFmtId="0" fontId="1" fillId="0" borderId="0" xfId="0" quotePrefix="1" applyFont="1"/>
    <xf numFmtId="3" fontId="11" fillId="2" borderId="0" xfId="0" applyNumberFormat="1" applyFont="1" applyFill="1"/>
    <xf numFmtId="2" fontId="4" fillId="9" borderId="0" xfId="0" applyNumberFormat="1" applyFont="1" applyFill="1"/>
    <xf numFmtId="2" fontId="1" fillId="0" borderId="0" xfId="0" applyNumberFormat="1" applyFont="1" applyFill="1"/>
    <xf numFmtId="1" fontId="9" fillId="8" borderId="0" xfId="0" applyNumberFormat="1" applyFont="1" applyFill="1" applyBorder="1" applyAlignment="1">
      <alignment horizontal="center"/>
    </xf>
    <xf numFmtId="2" fontId="9" fillId="0" borderId="0" xfId="0" quotePrefix="1" applyNumberFormat="1" applyFont="1" applyFill="1" applyBorder="1" applyAlignment="1">
      <alignment horizontal="center"/>
    </xf>
    <xf numFmtId="0" fontId="16" fillId="10" borderId="1" xfId="0" applyFont="1" applyFill="1" applyBorder="1"/>
    <xf numFmtId="0" fontId="16" fillId="7" borderId="0" xfId="0" applyFont="1" applyFill="1" applyBorder="1"/>
    <xf numFmtId="1" fontId="15" fillId="11" borderId="8" xfId="0" applyNumberFormat="1" applyFont="1" applyFill="1" applyBorder="1" applyAlignment="1"/>
    <xf numFmtId="0" fontId="15" fillId="11" borderId="2" xfId="0" applyFont="1" applyFill="1" applyBorder="1" applyAlignment="1"/>
    <xf numFmtId="1" fontId="15" fillId="11" borderId="7" xfId="0" applyNumberFormat="1" applyFont="1" applyFill="1" applyBorder="1" applyAlignment="1"/>
    <xf numFmtId="0" fontId="15" fillId="0" borderId="0" xfId="0" applyFont="1"/>
    <xf numFmtId="165" fontId="0" fillId="0" borderId="0" xfId="0" applyNumberFormat="1"/>
    <xf numFmtId="0" fontId="1" fillId="0" borderId="2" xfId="0" applyFont="1" applyBorder="1"/>
    <xf numFmtId="10" fontId="4" fillId="0" borderId="2" xfId="0" applyNumberFormat="1" applyFont="1" applyBorder="1"/>
    <xf numFmtId="40" fontId="1" fillId="0" borderId="2" xfId="0" applyNumberFormat="1" applyFont="1" applyBorder="1" applyAlignment="1">
      <alignment horizontal="right"/>
    </xf>
    <xf numFmtId="40" fontId="1" fillId="0" borderId="2" xfId="0" applyNumberFormat="1" applyFont="1" applyBorder="1" applyAlignment="1"/>
    <xf numFmtId="0" fontId="2" fillId="0" borderId="0" xfId="0" applyFont="1" applyFill="1"/>
    <xf numFmtId="165" fontId="11" fillId="0" borderId="0" xfId="0" applyNumberFormat="1" applyFont="1" applyFill="1"/>
    <xf numFmtId="4" fontId="2" fillId="0" borderId="0" xfId="0" applyNumberFormat="1" applyFont="1" applyFill="1"/>
    <xf numFmtId="4" fontId="0" fillId="0" borderId="0" xfId="0" applyNumberFormat="1" applyFill="1"/>
    <xf numFmtId="4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165" fontId="2" fillId="0" borderId="0" xfId="0" applyNumberFormat="1" applyFont="1" applyFill="1"/>
    <xf numFmtId="0" fontId="1" fillId="0" borderId="0" xfId="0" applyFont="1" applyFill="1"/>
    <xf numFmtId="2" fontId="4" fillId="10" borderId="0" xfId="0" applyNumberFormat="1" applyFont="1" applyFill="1"/>
    <xf numFmtId="2" fontId="2" fillId="0" borderId="0" xfId="0" quotePrefix="1" applyNumberFormat="1" applyFont="1" applyBorder="1"/>
    <xf numFmtId="2" fontId="4" fillId="0" borderId="0" xfId="0" quotePrefix="1" applyNumberFormat="1" applyFont="1" applyBorder="1"/>
    <xf numFmtId="0" fontId="8" fillId="0" borderId="0" xfId="0" applyFont="1" applyAlignment="1">
      <alignment horizontal="right"/>
    </xf>
    <xf numFmtId="0" fontId="9" fillId="0" borderId="0" xfId="0" applyFont="1" applyAlignment="1"/>
    <xf numFmtId="4" fontId="1" fillId="0" borderId="0" xfId="0" applyNumberFormat="1" applyFont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0" fillId="0" borderId="0" xfId="0"/>
    <xf numFmtId="0" fontId="16" fillId="10" borderId="0" xfId="0" applyFont="1" applyFill="1" applyBorder="1"/>
    <xf numFmtId="0" fontId="0" fillId="0" borderId="0" xfId="0"/>
    <xf numFmtId="0" fontId="10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4" fillId="0" borderId="0" xfId="0" quotePrefix="1" applyNumberFormat="1" applyFont="1" applyAlignment="1"/>
    <xf numFmtId="0" fontId="4" fillId="0" borderId="0" xfId="0" applyFont="1" applyAlignment="1"/>
    <xf numFmtId="0" fontId="14" fillId="6" borderId="9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76009</xdr:rowOff>
    </xdr:from>
    <xdr:to>
      <xdr:col>4</xdr:col>
      <xdr:colOff>552450</xdr:colOff>
      <xdr:row>3</xdr:row>
      <xdr:rowOff>47815</xdr:rowOff>
    </xdr:to>
    <xdr:pic>
      <xdr:nvPicPr>
        <xdr:cNvPr id="14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271801"/>
          <a:ext cx="2017183" cy="3633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4"/>
  <sheetViews>
    <sheetView tabSelected="1" view="pageBreakPreview" topLeftCell="A88" zoomScale="120" zoomScaleNormal="100" zoomScaleSheetLayoutView="120" workbookViewId="0">
      <selection activeCell="F10" sqref="F10"/>
    </sheetView>
  </sheetViews>
  <sheetFormatPr defaultRowHeight="12.5" x14ac:dyDescent="0.25"/>
  <cols>
    <col min="1" max="1" width="2.90625" customWidth="1"/>
    <col min="2" max="2" width="2.54296875" customWidth="1"/>
    <col min="3" max="3" width="9.08984375" customWidth="1"/>
    <col min="4" max="4" width="7" customWidth="1"/>
    <col min="5" max="5" width="8.54296875" customWidth="1"/>
    <col min="6" max="9" width="9.453125" customWidth="1"/>
    <col min="10" max="10" width="6.6328125" customWidth="1"/>
    <col min="11" max="13" width="8.54296875" style="17" customWidth="1"/>
    <col min="14" max="14" width="8.54296875" customWidth="1"/>
    <col min="16" max="16" width="9.36328125" bestFit="1" customWidth="1"/>
  </cols>
  <sheetData>
    <row r="1" spans="1:27" ht="15.5" x14ac:dyDescent="0.35">
      <c r="A1" s="177"/>
      <c r="B1" s="177"/>
      <c r="C1" s="179" t="s">
        <v>136</v>
      </c>
      <c r="D1" s="177"/>
      <c r="E1" s="177"/>
      <c r="G1" s="93" t="s">
        <v>180</v>
      </c>
      <c r="K1"/>
      <c r="N1" s="17"/>
    </row>
    <row r="2" spans="1:27" ht="15.5" x14ac:dyDescent="0.35">
      <c r="A2" s="177"/>
      <c r="B2" s="177"/>
      <c r="C2" s="177"/>
      <c r="D2" s="177"/>
      <c r="E2" s="177"/>
      <c r="G2" s="93" t="s">
        <v>0</v>
      </c>
      <c r="K2"/>
      <c r="N2" s="17"/>
    </row>
    <row r="3" spans="1:27" ht="15.5" x14ac:dyDescent="0.35">
      <c r="A3" s="177"/>
      <c r="B3" s="177"/>
      <c r="C3" s="177"/>
      <c r="D3" s="177"/>
      <c r="E3" s="177"/>
      <c r="G3" t="s">
        <v>121</v>
      </c>
      <c r="K3"/>
      <c r="N3" s="17"/>
      <c r="R3" s="195"/>
      <c r="S3" s="195"/>
      <c r="T3" s="195"/>
      <c r="U3" s="195"/>
      <c r="V3" s="195"/>
      <c r="W3" s="195"/>
      <c r="X3" s="195"/>
      <c r="Y3" s="195"/>
      <c r="Z3" s="195"/>
      <c r="AA3" s="195"/>
    </row>
    <row r="4" spans="1:27" ht="15.5" x14ac:dyDescent="0.35">
      <c r="A4" s="177"/>
      <c r="B4" s="177"/>
      <c r="C4" s="177"/>
      <c r="D4" s="177"/>
      <c r="E4" s="177"/>
      <c r="K4"/>
      <c r="N4" s="17"/>
      <c r="R4" s="195"/>
      <c r="S4" s="195"/>
      <c r="T4" s="195"/>
      <c r="U4" s="195"/>
      <c r="V4" s="195"/>
      <c r="W4" s="195"/>
      <c r="X4" s="195"/>
      <c r="Y4" s="195"/>
      <c r="Z4" s="195"/>
      <c r="AA4" s="195"/>
    </row>
    <row r="5" spans="1:27" ht="15.5" x14ac:dyDescent="0.35">
      <c r="A5" s="177"/>
      <c r="B5" s="177"/>
      <c r="C5" s="177"/>
      <c r="D5" s="177"/>
      <c r="E5" s="177"/>
      <c r="K5" s="46" t="s">
        <v>73</v>
      </c>
      <c r="M5" s="198" t="s">
        <v>179</v>
      </c>
      <c r="N5" s="199"/>
      <c r="R5" s="47"/>
      <c r="S5" s="196"/>
      <c r="T5" s="197"/>
      <c r="U5" s="197"/>
      <c r="V5" s="197"/>
      <c r="W5" s="197"/>
      <c r="X5" s="197"/>
      <c r="Y5" s="197"/>
      <c r="Z5" s="47"/>
      <c r="AA5" s="47"/>
    </row>
    <row r="6" spans="1:27" ht="14.25" customHeight="1" x14ac:dyDescent="0.3">
      <c r="A6" s="4"/>
      <c r="B6" s="4" t="s">
        <v>1</v>
      </c>
      <c r="C6" s="4"/>
      <c r="D6" s="4"/>
      <c r="E6" s="192" t="s">
        <v>2</v>
      </c>
      <c r="F6" s="192"/>
      <c r="G6" s="192"/>
      <c r="H6" s="5" t="s">
        <v>59</v>
      </c>
      <c r="I6" s="192" t="s">
        <v>3</v>
      </c>
      <c r="J6" s="192"/>
      <c r="K6" s="194" t="s">
        <v>137</v>
      </c>
      <c r="L6" s="194"/>
      <c r="M6" s="194"/>
      <c r="N6" s="5" t="s">
        <v>4</v>
      </c>
    </row>
    <row r="7" spans="1:27" ht="13" x14ac:dyDescent="0.3">
      <c r="A7" s="6"/>
      <c r="B7" s="6"/>
      <c r="C7" s="6"/>
      <c r="D7" s="6"/>
      <c r="E7" s="6"/>
      <c r="F7" s="6"/>
      <c r="G7" s="6"/>
      <c r="H7" s="7" t="s">
        <v>58</v>
      </c>
      <c r="I7" s="193" t="s">
        <v>5</v>
      </c>
      <c r="J7" s="193"/>
      <c r="K7" s="8"/>
      <c r="L7" s="8"/>
      <c r="M7" s="8"/>
      <c r="N7" s="7" t="s">
        <v>6</v>
      </c>
    </row>
    <row r="8" spans="1:27" ht="13" x14ac:dyDescent="0.3">
      <c r="A8" s="9"/>
      <c r="B8" s="9"/>
      <c r="C8" s="9"/>
      <c r="D8" s="9"/>
      <c r="E8" s="9"/>
      <c r="F8" s="9"/>
      <c r="G8" s="9"/>
      <c r="H8" s="48" t="s">
        <v>60</v>
      </c>
      <c r="I8" s="9"/>
      <c r="J8" s="9"/>
      <c r="K8" s="147">
        <v>40.4</v>
      </c>
      <c r="L8" s="147">
        <v>50.5</v>
      </c>
      <c r="M8" s="147">
        <v>60.6</v>
      </c>
      <c r="N8" s="50">
        <v>62</v>
      </c>
    </row>
    <row r="9" spans="1:27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0"/>
    </row>
    <row r="10" spans="1:27" ht="13" x14ac:dyDescent="0.3">
      <c r="A10" s="12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1"/>
      <c r="S10" s="49"/>
    </row>
    <row r="11" spans="1:27" ht="15" x14ac:dyDescent="0.3">
      <c r="A11" s="1"/>
      <c r="B11" s="1"/>
      <c r="C11" s="148" t="s">
        <v>160</v>
      </c>
      <c r="D11" s="1"/>
      <c r="E11" s="1"/>
      <c r="F11" s="1"/>
      <c r="G11" s="1"/>
      <c r="H11" s="1"/>
      <c r="I11" s="57">
        <v>9.6</v>
      </c>
      <c r="J11" s="1" t="s">
        <v>8</v>
      </c>
      <c r="K11" s="86">
        <f>+$I$11*K8</f>
        <v>387.84</v>
      </c>
      <c r="L11" s="86">
        <f>+$I$11*L8</f>
        <v>484.79999999999995</v>
      </c>
      <c r="M11" s="86">
        <f>+$I$11*M8</f>
        <v>581.76</v>
      </c>
      <c r="N11" s="87">
        <f>+$I$11*N8</f>
        <v>595.19999999999993</v>
      </c>
      <c r="O11" s="88"/>
      <c r="P11" s="88"/>
      <c r="Q11" s="88"/>
      <c r="R11" s="88"/>
    </row>
    <row r="12" spans="1:27" ht="15" x14ac:dyDescent="0.3">
      <c r="A12" s="1"/>
      <c r="B12" s="1"/>
      <c r="C12" s="148" t="s">
        <v>157</v>
      </c>
      <c r="D12" s="1"/>
      <c r="E12" s="1"/>
      <c r="F12" s="1"/>
      <c r="G12" s="1"/>
      <c r="H12" s="1"/>
      <c r="I12" s="172"/>
      <c r="J12" s="1"/>
      <c r="K12" s="86">
        <v>0</v>
      </c>
      <c r="L12" s="86">
        <v>0</v>
      </c>
      <c r="M12" s="86">
        <v>0</v>
      </c>
      <c r="N12" s="99">
        <v>0</v>
      </c>
      <c r="O12" s="88"/>
      <c r="P12" s="88"/>
      <c r="Q12" s="88"/>
      <c r="R12" s="88"/>
    </row>
    <row r="13" spans="1:27" ht="13" x14ac:dyDescent="0.3">
      <c r="A13" s="1"/>
      <c r="B13" s="1"/>
      <c r="C13" s="148" t="s">
        <v>133</v>
      </c>
      <c r="D13" s="1"/>
      <c r="E13" s="1"/>
      <c r="F13" s="1"/>
      <c r="G13" s="1"/>
      <c r="H13" s="1"/>
      <c r="I13" s="172"/>
      <c r="J13" s="1"/>
      <c r="K13" s="86">
        <v>0</v>
      </c>
      <c r="L13" s="86">
        <v>0</v>
      </c>
      <c r="M13" s="86">
        <v>0</v>
      </c>
      <c r="N13" s="99">
        <v>0</v>
      </c>
    </row>
    <row r="14" spans="1:27" ht="13" x14ac:dyDescent="0.3">
      <c r="A14" s="1"/>
      <c r="B14" s="171"/>
      <c r="C14" s="179" t="s">
        <v>124</v>
      </c>
      <c r="D14" s="171"/>
      <c r="E14" s="171"/>
      <c r="F14" s="172"/>
      <c r="G14" s="171"/>
      <c r="H14" s="171"/>
      <c r="I14" s="172"/>
      <c r="J14" s="171"/>
      <c r="K14" s="173">
        <v>0</v>
      </c>
      <c r="L14" s="173">
        <v>0</v>
      </c>
      <c r="M14" s="173">
        <v>0</v>
      </c>
      <c r="N14" s="99">
        <v>0</v>
      </c>
    </row>
    <row r="15" spans="1:27" ht="13" x14ac:dyDescent="0.3">
      <c r="A15" s="1"/>
      <c r="B15" s="171"/>
      <c r="C15" s="171"/>
      <c r="D15" s="171"/>
      <c r="E15" s="177"/>
      <c r="F15" s="177"/>
      <c r="G15" s="177"/>
      <c r="H15" s="177"/>
      <c r="I15" s="178"/>
      <c r="J15" s="176"/>
      <c r="K15" s="174"/>
      <c r="L15" s="173"/>
      <c r="M15" s="173"/>
      <c r="N15" s="175"/>
    </row>
    <row r="16" spans="1:27" ht="13" x14ac:dyDescent="0.3">
      <c r="A16" s="12" t="s">
        <v>34</v>
      </c>
      <c r="B16" s="1"/>
      <c r="C16" s="1"/>
      <c r="D16" s="1"/>
      <c r="E16" s="1"/>
      <c r="F16" s="1"/>
      <c r="G16" s="1"/>
      <c r="H16" s="1"/>
      <c r="I16" s="1"/>
      <c r="J16" s="1"/>
      <c r="K16" s="86">
        <f>SUM(K11:K14)</f>
        <v>387.84</v>
      </c>
      <c r="L16" s="86">
        <f>SUM(L11:L14)</f>
        <v>484.79999999999995</v>
      </c>
      <c r="M16" s="86">
        <f>SUM(M11:M14)</f>
        <v>581.76</v>
      </c>
      <c r="N16" s="87">
        <f>SUM(N11:N14)</f>
        <v>595.19999999999993</v>
      </c>
      <c r="O16" s="88"/>
      <c r="P16" s="88"/>
      <c r="Q16" s="88"/>
      <c r="R16" s="88"/>
    </row>
    <row r="17" spans="1:18" ht="13" x14ac:dyDescent="0.3">
      <c r="A17" s="12" t="s">
        <v>9</v>
      </c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46"/>
      <c r="O17" s="88"/>
      <c r="P17" s="88"/>
      <c r="Q17" s="88"/>
      <c r="R17" s="88"/>
    </row>
    <row r="18" spans="1:18" ht="15" x14ac:dyDescent="0.3">
      <c r="A18" s="1"/>
      <c r="B18" s="148" t="s">
        <v>158</v>
      </c>
      <c r="C18" s="1"/>
      <c r="D18" s="1"/>
      <c r="E18" s="1"/>
      <c r="F18" s="1">
        <v>175000</v>
      </c>
      <c r="G18" s="1" t="s">
        <v>38</v>
      </c>
      <c r="H18" s="58">
        <v>175000</v>
      </c>
      <c r="I18" s="94">
        <v>0.371</v>
      </c>
      <c r="J18" s="3" t="s">
        <v>71</v>
      </c>
      <c r="K18" s="2">
        <f>$H$18/1000*$I$18</f>
        <v>64.924999999999997</v>
      </c>
      <c r="L18" s="2">
        <f t="shared" ref="L18:N18" si="0">$H$18/1000*$I$18</f>
        <v>64.924999999999997</v>
      </c>
      <c r="M18" s="2">
        <f t="shared" si="0"/>
        <v>64.924999999999997</v>
      </c>
      <c r="N18" s="54">
        <f t="shared" si="0"/>
        <v>64.924999999999997</v>
      </c>
      <c r="O18" s="88"/>
      <c r="P18" s="88"/>
      <c r="Q18" s="88"/>
      <c r="R18" s="88"/>
    </row>
    <row r="19" spans="1:18" ht="15" x14ac:dyDescent="0.3">
      <c r="A19" s="1"/>
      <c r="B19" s="148" t="s">
        <v>159</v>
      </c>
      <c r="C19" s="1"/>
      <c r="D19" s="1"/>
      <c r="E19" s="1"/>
      <c r="F19" s="1"/>
      <c r="G19" s="1" t="s">
        <v>72</v>
      </c>
      <c r="H19" s="60"/>
      <c r="I19" s="60"/>
      <c r="J19" s="3" t="s">
        <v>38</v>
      </c>
      <c r="K19" s="2"/>
      <c r="L19" s="2"/>
      <c r="M19" s="2"/>
      <c r="N19" s="46"/>
      <c r="O19" s="88"/>
      <c r="P19" s="88"/>
      <c r="Q19" s="88"/>
      <c r="R19" s="88"/>
    </row>
    <row r="20" spans="1:18" ht="13" x14ac:dyDescent="0.3">
      <c r="A20" s="1"/>
      <c r="B20" s="1"/>
      <c r="C20" s="1" t="s">
        <v>10</v>
      </c>
      <c r="D20" s="1"/>
      <c r="E20" s="1">
        <f>K8*0.8</f>
        <v>32.32</v>
      </c>
      <c r="F20" s="1">
        <f>L8*0.8</f>
        <v>40.400000000000006</v>
      </c>
      <c r="G20" s="1">
        <f>M8*0.8</f>
        <v>48.480000000000004</v>
      </c>
      <c r="H20" s="58">
        <f>N8*0.8</f>
        <v>49.6</v>
      </c>
      <c r="I20" s="58">
        <f>F67/1040</f>
        <v>0.4375</v>
      </c>
      <c r="J20" s="1" t="s">
        <v>11</v>
      </c>
      <c r="K20" s="2">
        <f>+$I$20*E20</f>
        <v>14.14</v>
      </c>
      <c r="L20" s="2">
        <f>+$I$20*F20</f>
        <v>17.675000000000004</v>
      </c>
      <c r="M20" s="2">
        <f>+$I$20*G20</f>
        <v>21.21</v>
      </c>
      <c r="N20" s="54">
        <f>+$I$20*H20</f>
        <v>21.7</v>
      </c>
      <c r="O20" s="88"/>
      <c r="P20" s="88"/>
      <c r="Q20" s="88"/>
      <c r="R20" s="88"/>
    </row>
    <row r="21" spans="1:18" ht="13" x14ac:dyDescent="0.3">
      <c r="A21" s="1"/>
      <c r="B21" s="1"/>
      <c r="C21" s="1" t="s">
        <v>12</v>
      </c>
      <c r="D21" s="1"/>
      <c r="E21" s="1">
        <f>(K8*1.4)</f>
        <v>56.559999999999995</v>
      </c>
      <c r="F21" s="1">
        <f>(L8*1.4)</f>
        <v>70.699999999999989</v>
      </c>
      <c r="G21" s="1">
        <f>(M8*1.4)</f>
        <v>84.84</v>
      </c>
      <c r="H21" s="58">
        <f>(N8*1.4)</f>
        <v>86.8</v>
      </c>
      <c r="I21" s="58">
        <f>J67/1200</f>
        <v>0.26250000000000001</v>
      </c>
      <c r="J21" s="1" t="s">
        <v>11</v>
      </c>
      <c r="K21" s="2">
        <f>+$I$21*E21</f>
        <v>14.847</v>
      </c>
      <c r="L21" s="2">
        <f>+$I$21*F21</f>
        <v>18.558749999999996</v>
      </c>
      <c r="M21" s="2">
        <f>+$I$21*G21</f>
        <v>22.270500000000002</v>
      </c>
      <c r="N21" s="54">
        <f>+$I$21*H21</f>
        <v>22.785</v>
      </c>
      <c r="O21" s="88"/>
      <c r="P21" s="88"/>
      <c r="Q21" s="88"/>
      <c r="R21" s="88"/>
    </row>
    <row r="22" spans="1:18" ht="13" x14ac:dyDescent="0.3">
      <c r="A22" s="1"/>
      <c r="B22" s="1"/>
      <c r="C22" s="1" t="s">
        <v>13</v>
      </c>
      <c r="D22" s="1"/>
      <c r="E22" s="1"/>
      <c r="F22" s="1">
        <v>0.25</v>
      </c>
      <c r="G22" s="1"/>
      <c r="H22" s="58">
        <v>0.25</v>
      </c>
      <c r="I22" s="58">
        <v>25</v>
      </c>
      <c r="J22" s="1" t="s">
        <v>14</v>
      </c>
      <c r="K22" s="2">
        <f>+$F22*$I22</f>
        <v>6.25</v>
      </c>
      <c r="L22" s="2">
        <f>+$F22*$I22</f>
        <v>6.25</v>
      </c>
      <c r="M22" s="2">
        <f>+$F22*$I22</f>
        <v>6.25</v>
      </c>
      <c r="N22" s="54">
        <f>+$F22*$I22</f>
        <v>6.25</v>
      </c>
      <c r="O22" s="88"/>
      <c r="P22" s="88"/>
      <c r="Q22" s="88"/>
      <c r="R22" s="88"/>
    </row>
    <row r="23" spans="1:18" ht="15" x14ac:dyDescent="0.3">
      <c r="A23" s="1"/>
      <c r="B23" s="148" t="s">
        <v>161</v>
      </c>
      <c r="C23" s="1"/>
      <c r="D23" s="1" t="s">
        <v>35</v>
      </c>
      <c r="E23" s="1"/>
      <c r="F23" s="1"/>
      <c r="G23" s="1"/>
      <c r="H23" s="1"/>
      <c r="I23" s="1"/>
      <c r="J23" s="1"/>
      <c r="K23" s="2">
        <v>45.7</v>
      </c>
      <c r="L23" s="2">
        <v>45.7</v>
      </c>
      <c r="M23" s="2">
        <v>45.7</v>
      </c>
      <c r="N23" s="55">
        <v>45.7</v>
      </c>
      <c r="O23" s="88"/>
      <c r="P23" s="88"/>
      <c r="Q23" s="88"/>
      <c r="R23" s="88"/>
    </row>
    <row r="24" spans="1:18" ht="13" x14ac:dyDescent="0.3">
      <c r="A24" s="1"/>
      <c r="B24" s="1"/>
      <c r="C24" s="1"/>
      <c r="D24" s="1" t="s">
        <v>36</v>
      </c>
      <c r="E24" s="1"/>
      <c r="F24" s="1"/>
      <c r="G24" s="1"/>
      <c r="H24" s="1"/>
      <c r="I24" s="1"/>
      <c r="J24" s="1"/>
      <c r="K24" s="2">
        <v>0</v>
      </c>
      <c r="L24" s="2">
        <v>0</v>
      </c>
      <c r="M24" s="2">
        <v>0</v>
      </c>
      <c r="N24" s="55">
        <v>0</v>
      </c>
      <c r="O24" s="88"/>
      <c r="P24" s="88"/>
      <c r="Q24" s="88"/>
      <c r="R24" s="88"/>
    </row>
    <row r="25" spans="1:18" ht="13" x14ac:dyDescent="0.3">
      <c r="A25" s="1"/>
      <c r="B25" s="1"/>
      <c r="C25" s="1"/>
      <c r="D25" s="1" t="s">
        <v>37</v>
      </c>
      <c r="E25" s="1"/>
      <c r="F25" s="1"/>
      <c r="G25" s="1"/>
      <c r="H25" s="1"/>
      <c r="I25" s="1"/>
      <c r="J25" s="1"/>
      <c r="K25" s="2">
        <v>0</v>
      </c>
      <c r="L25" s="2">
        <v>0</v>
      </c>
      <c r="M25" s="2">
        <v>0</v>
      </c>
      <c r="N25" s="55">
        <v>0</v>
      </c>
      <c r="O25" s="88"/>
      <c r="P25" s="88"/>
      <c r="Q25" s="88"/>
      <c r="R25" s="88"/>
    </row>
    <row r="26" spans="1:18" ht="15" x14ac:dyDescent="0.3">
      <c r="A26" s="1"/>
      <c r="B26" s="148" t="s">
        <v>163</v>
      </c>
      <c r="C26" s="1"/>
      <c r="D26" s="1"/>
      <c r="E26" s="13"/>
      <c r="F26" s="153">
        <v>2.7</v>
      </c>
      <c r="G26" s="154" t="s">
        <v>109</v>
      </c>
      <c r="H26" s="148"/>
      <c r="I26" s="155">
        <v>30</v>
      </c>
      <c r="J26" s="148" t="s">
        <v>110</v>
      </c>
      <c r="K26" s="152">
        <f>(((($I$26/6)*$F$26)/900)*K8)+(((($I$26/6)*$F$26)/900)*K8)*0.1</f>
        <v>0.66659999999999997</v>
      </c>
      <c r="L26" s="152">
        <f>(((($I$26/6)*$F$26)/900)*L8)+(((($I$26/6)*$F$26)/900)*L8)*0.1</f>
        <v>0.83324999999999994</v>
      </c>
      <c r="M26" s="152">
        <f>(((($I$26/6)*$F$26)/900)*M8)+(((($I$26/6)*$F$26)/900)*M8)*0.1</f>
        <v>0.99990000000000001</v>
      </c>
      <c r="N26" s="156">
        <f>(((($I$26/6)*$F$26)/900)*N8)+(((($I$26/6)*$F$26)/900)*N8)*0.1</f>
        <v>1.0229999999999999</v>
      </c>
      <c r="O26" s="88"/>
      <c r="P26" s="88"/>
      <c r="Q26" s="88"/>
      <c r="R26" s="88"/>
    </row>
    <row r="27" spans="1:18" ht="15" x14ac:dyDescent="0.3">
      <c r="A27" s="1"/>
      <c r="B27" s="1" t="s">
        <v>39</v>
      </c>
      <c r="C27" s="1"/>
      <c r="D27" s="1"/>
      <c r="E27" s="1"/>
      <c r="F27" s="1"/>
      <c r="G27" s="1"/>
      <c r="H27" s="1"/>
      <c r="I27" s="1"/>
      <c r="J27" s="1"/>
      <c r="K27" s="2">
        <f>+$K$108</f>
        <v>7.1783190569744599</v>
      </c>
      <c r="L27" s="2">
        <f>+$K$108</f>
        <v>7.1783190569744599</v>
      </c>
      <c r="M27" s="2">
        <f>+$K$108</f>
        <v>7.1783190569744599</v>
      </c>
      <c r="N27" s="54">
        <f>+$K$108</f>
        <v>7.1783190569744599</v>
      </c>
      <c r="O27" s="88"/>
      <c r="P27" s="88"/>
      <c r="Q27" s="88"/>
      <c r="R27" s="88"/>
    </row>
    <row r="28" spans="1:18" ht="15" x14ac:dyDescent="0.3">
      <c r="A28" s="1"/>
      <c r="B28" s="1" t="s">
        <v>40</v>
      </c>
      <c r="C28" s="1"/>
      <c r="D28" s="1"/>
      <c r="E28" s="1"/>
      <c r="F28" s="1"/>
      <c r="G28" s="1"/>
      <c r="H28" s="1"/>
      <c r="I28" s="1"/>
      <c r="J28" s="1"/>
      <c r="K28" s="157">
        <f>+$M$108</f>
        <v>20.613622112892308</v>
      </c>
      <c r="L28" s="157">
        <f>+$M$108</f>
        <v>20.613622112892308</v>
      </c>
      <c r="M28" s="157">
        <f>+$M$108</f>
        <v>20.613622112892308</v>
      </c>
      <c r="N28" s="54">
        <f>+$M$108</f>
        <v>20.613622112892308</v>
      </c>
      <c r="O28" s="88"/>
      <c r="P28" s="88"/>
      <c r="Q28" s="88"/>
      <c r="R28" s="88"/>
    </row>
    <row r="29" spans="1:18" ht="15" x14ac:dyDescent="0.3">
      <c r="A29" s="1"/>
      <c r="B29" s="1" t="s">
        <v>41</v>
      </c>
      <c r="C29" s="1"/>
      <c r="D29" s="1"/>
      <c r="E29" s="1"/>
      <c r="F29" s="1"/>
      <c r="G29" s="1"/>
      <c r="H29" s="1"/>
      <c r="I29" s="1"/>
      <c r="J29" s="1"/>
      <c r="K29" s="2">
        <v>12</v>
      </c>
      <c r="L29" s="2">
        <v>12</v>
      </c>
      <c r="M29" s="2">
        <v>13</v>
      </c>
      <c r="N29" s="55">
        <v>13</v>
      </c>
      <c r="O29" s="88"/>
      <c r="P29" s="88"/>
      <c r="Q29" s="88"/>
      <c r="R29" s="88"/>
    </row>
    <row r="30" spans="1:18" ht="15" x14ac:dyDescent="0.3">
      <c r="A30" s="1"/>
      <c r="B30" s="1" t="s">
        <v>42</v>
      </c>
      <c r="C30" s="1"/>
      <c r="D30" s="1"/>
      <c r="E30" s="1"/>
      <c r="F30" s="1"/>
      <c r="G30" s="1"/>
      <c r="H30" s="1"/>
      <c r="I30" s="1"/>
      <c r="J30" s="1"/>
      <c r="K30" s="2">
        <v>3.5</v>
      </c>
      <c r="L30" s="2">
        <v>3.5</v>
      </c>
      <c r="M30" s="2">
        <v>3.5</v>
      </c>
      <c r="N30" s="55">
        <v>3.5</v>
      </c>
      <c r="O30" s="88"/>
      <c r="P30" s="88"/>
      <c r="Q30" s="88"/>
      <c r="R30" s="88"/>
    </row>
    <row r="31" spans="1:18" ht="15" x14ac:dyDescent="0.3">
      <c r="A31" s="1"/>
      <c r="B31" s="1" t="s">
        <v>43</v>
      </c>
      <c r="C31" s="1"/>
      <c r="D31" s="1"/>
      <c r="E31" s="1"/>
      <c r="F31" s="61">
        <v>6</v>
      </c>
      <c r="G31" s="1" t="s">
        <v>15</v>
      </c>
      <c r="H31" s="1"/>
      <c r="I31" s="62">
        <v>0.05</v>
      </c>
      <c r="J31" s="1"/>
      <c r="K31" s="2">
        <f>(SUM(K18:K30)-K26)*$I$31*($F$31/12)</f>
        <v>4.7288485292466689</v>
      </c>
      <c r="L31" s="2">
        <f>(SUM(L18:L30)-L26)*$I$31*($F$31/12)</f>
        <v>4.9100172792466692</v>
      </c>
      <c r="M31" s="2">
        <f>(SUM(M18:M30)-M26)*$I$31*($F$31/12)</f>
        <v>5.1161860292466699</v>
      </c>
      <c r="N31" s="54">
        <f>(SUM(N18:N30)-N26)*$I$31*($F$31/12)</f>
        <v>5.1412985292466695</v>
      </c>
      <c r="O31" s="88"/>
      <c r="P31" s="88"/>
      <c r="Q31" s="88"/>
      <c r="R31" s="88"/>
    </row>
    <row r="32" spans="1:18" ht="15" x14ac:dyDescent="0.3">
      <c r="A32" s="1"/>
      <c r="B32" s="1" t="s">
        <v>44</v>
      </c>
      <c r="C32" s="1"/>
      <c r="D32" s="1"/>
      <c r="E32" s="1"/>
      <c r="F32" s="1"/>
      <c r="G32" s="1"/>
      <c r="H32" s="1"/>
      <c r="I32" s="1"/>
      <c r="J32" s="1"/>
      <c r="K32" s="2">
        <v>0</v>
      </c>
      <c r="L32" s="2">
        <v>0</v>
      </c>
      <c r="M32" s="2">
        <v>0</v>
      </c>
      <c r="N32" s="55">
        <v>0</v>
      </c>
      <c r="O32" s="88"/>
      <c r="P32" s="88"/>
      <c r="Q32" s="88"/>
      <c r="R32" s="88"/>
    </row>
    <row r="33" spans="1:18" ht="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81"/>
      <c r="L33" s="181"/>
      <c r="M33" s="181"/>
      <c r="N33" s="182"/>
      <c r="O33" s="88"/>
      <c r="P33" s="88"/>
      <c r="Q33" s="88"/>
      <c r="R33" s="88"/>
    </row>
    <row r="34" spans="1:18" ht="13" x14ac:dyDescent="0.3">
      <c r="A34" s="12" t="s">
        <v>16</v>
      </c>
      <c r="B34" s="1"/>
      <c r="C34" s="1"/>
      <c r="D34" s="1"/>
      <c r="E34" s="1"/>
      <c r="F34" s="16" t="s">
        <v>22</v>
      </c>
      <c r="G34" s="1"/>
      <c r="H34" s="1"/>
      <c r="I34" s="1"/>
      <c r="J34" s="1"/>
      <c r="K34" s="2">
        <f>SUM(K18:K33)</f>
        <v>194.54938969911342</v>
      </c>
      <c r="L34" s="2">
        <f>SUM(L18:L33)</f>
        <v>202.1439584491134</v>
      </c>
      <c r="M34" s="2">
        <f>SUM(M18:M33)</f>
        <v>210.76352719911344</v>
      </c>
      <c r="N34" s="54">
        <f>SUM(N18:N33)</f>
        <v>211.81623969911345</v>
      </c>
      <c r="O34" s="88"/>
      <c r="P34" s="88"/>
      <c r="Q34" s="88"/>
      <c r="R34" s="88"/>
    </row>
    <row r="35" spans="1:18" ht="13" x14ac:dyDescent="0.3">
      <c r="A35" s="1"/>
      <c r="B35" s="1"/>
      <c r="C35" s="1"/>
      <c r="D35" s="1"/>
      <c r="E35" s="1"/>
      <c r="F35" s="16" t="s">
        <v>23</v>
      </c>
      <c r="G35" s="1"/>
      <c r="H35" s="1"/>
      <c r="I35" s="1"/>
      <c r="J35" s="1"/>
      <c r="K35" s="15">
        <f>+K34/K8</f>
        <v>4.8155789529483517</v>
      </c>
      <c r="L35" s="15">
        <f>+L34/L8</f>
        <v>4.0028506623586813</v>
      </c>
      <c r="M35" s="15">
        <f>+M34/M8</f>
        <v>3.4779459933847101</v>
      </c>
      <c r="N35" s="56">
        <f>+N34/N8</f>
        <v>3.4163909628889266</v>
      </c>
      <c r="O35" s="88"/>
      <c r="P35" s="88"/>
      <c r="Q35" s="88"/>
      <c r="R35" s="88"/>
    </row>
    <row r="36" spans="1:18" ht="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4"/>
      <c r="L36" s="14"/>
      <c r="M36" s="14"/>
      <c r="N36" s="12"/>
      <c r="O36" s="88"/>
      <c r="P36" s="88"/>
      <c r="Q36" s="88"/>
      <c r="R36" s="88"/>
    </row>
    <row r="37" spans="1:18" ht="13" x14ac:dyDescent="0.3">
      <c r="A37" s="12" t="s">
        <v>17</v>
      </c>
      <c r="B37" s="1"/>
      <c r="C37" s="1"/>
      <c r="D37" s="1"/>
      <c r="E37" s="1"/>
      <c r="F37" s="1"/>
      <c r="G37" s="1"/>
      <c r="H37" s="1"/>
      <c r="I37" s="1"/>
      <c r="J37" s="1"/>
      <c r="K37" s="14"/>
      <c r="L37" s="14"/>
      <c r="M37" s="14"/>
      <c r="N37" s="12"/>
      <c r="O37" s="88"/>
      <c r="P37" s="88"/>
      <c r="Q37" s="88"/>
      <c r="R37" s="88"/>
    </row>
    <row r="38" spans="1:18" ht="15" x14ac:dyDescent="0.3">
      <c r="A38" s="1"/>
      <c r="B38" s="1" t="s">
        <v>45</v>
      </c>
      <c r="C38" s="1"/>
      <c r="D38" s="1"/>
      <c r="E38" s="1"/>
      <c r="F38" s="58">
        <v>2</v>
      </c>
      <c r="G38" s="1" t="s">
        <v>18</v>
      </c>
      <c r="H38" s="1"/>
      <c r="I38" s="59">
        <v>15</v>
      </c>
      <c r="J38" s="1" t="s">
        <v>19</v>
      </c>
      <c r="K38" s="86">
        <f>+$F$38*$I$38</f>
        <v>30</v>
      </c>
      <c r="L38" s="86">
        <f>+$F$38*$I$38</f>
        <v>30</v>
      </c>
      <c r="M38" s="86">
        <f>+$F$38*$I$38</f>
        <v>30</v>
      </c>
      <c r="N38" s="87">
        <f>+$F$38*$I$38</f>
        <v>30</v>
      </c>
      <c r="O38" s="88"/>
      <c r="P38" s="88"/>
      <c r="Q38" s="88"/>
      <c r="R38" s="88"/>
    </row>
    <row r="39" spans="1:18" ht="15" x14ac:dyDescent="0.3">
      <c r="A39" s="1"/>
      <c r="B39" s="148" t="s">
        <v>165</v>
      </c>
      <c r="C39" s="1"/>
      <c r="D39" s="1"/>
      <c r="E39" s="1"/>
      <c r="F39" s="63">
        <v>0.05</v>
      </c>
      <c r="G39" s="1" t="s">
        <v>61</v>
      </c>
      <c r="H39" s="1"/>
      <c r="I39" s="1"/>
      <c r="J39" s="1"/>
      <c r="K39" s="149">
        <f>$F$39*K16</f>
        <v>19.391999999999999</v>
      </c>
      <c r="L39" s="149">
        <f>$F$39*L16</f>
        <v>24.24</v>
      </c>
      <c r="M39" s="149">
        <f>$F$39*M16</f>
        <v>29.088000000000001</v>
      </c>
      <c r="N39" s="150">
        <f>$F$39*N16</f>
        <v>29.759999999999998</v>
      </c>
      <c r="O39" s="88"/>
      <c r="P39" s="88"/>
      <c r="Q39" s="88"/>
      <c r="R39" s="88"/>
    </row>
    <row r="40" spans="1:18" ht="15" x14ac:dyDescent="0.3">
      <c r="A40" s="1"/>
      <c r="B40" s="148" t="s">
        <v>166</v>
      </c>
      <c r="C40" s="1"/>
      <c r="D40" s="1"/>
      <c r="E40" s="1"/>
      <c r="F40" s="1"/>
      <c r="G40" s="1"/>
      <c r="H40" s="1"/>
      <c r="I40" s="1"/>
      <c r="J40" s="1"/>
      <c r="K40" s="86">
        <f>$I$108</f>
        <v>107.88992187499998</v>
      </c>
      <c r="L40" s="86">
        <f>$I$108</f>
        <v>107.88992187499998</v>
      </c>
      <c r="M40" s="86">
        <f>$I$108</f>
        <v>107.88992187499998</v>
      </c>
      <c r="N40" s="87">
        <f>$I$108</f>
        <v>107.88992187499998</v>
      </c>
      <c r="O40" s="88"/>
      <c r="P40" s="88"/>
      <c r="Q40" s="88"/>
      <c r="R40" s="88"/>
    </row>
    <row r="41" spans="1:18" ht="15" x14ac:dyDescent="0.3">
      <c r="A41" s="1"/>
      <c r="B41" s="148" t="s">
        <v>167</v>
      </c>
      <c r="C41" s="1"/>
      <c r="D41" s="1"/>
      <c r="E41" s="1"/>
      <c r="F41" s="1"/>
      <c r="G41" s="1"/>
      <c r="H41" s="1"/>
      <c r="I41" s="1"/>
      <c r="J41" s="1"/>
      <c r="K41" s="86">
        <v>141</v>
      </c>
      <c r="L41" s="86">
        <v>187</v>
      </c>
      <c r="M41" s="86">
        <v>239</v>
      </c>
      <c r="N41" s="89">
        <v>239</v>
      </c>
      <c r="O41" s="88"/>
      <c r="P41" s="88"/>
      <c r="Q41" s="88"/>
      <c r="R41" s="88"/>
    </row>
    <row r="42" spans="1:18" ht="15" x14ac:dyDescent="0.3">
      <c r="A42" s="1"/>
      <c r="B42" s="1" t="s">
        <v>42</v>
      </c>
      <c r="K42" s="17">
        <v>14.5</v>
      </c>
      <c r="L42" s="17">
        <v>14.5</v>
      </c>
      <c r="M42" s="17">
        <v>14.5</v>
      </c>
      <c r="N42" s="180">
        <v>14.5</v>
      </c>
      <c r="O42" s="88"/>
      <c r="P42" s="88"/>
      <c r="Q42" s="88"/>
      <c r="R42" s="88"/>
    </row>
    <row r="43" spans="1:18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90"/>
      <c r="L43" s="90"/>
      <c r="M43" s="90"/>
      <c r="N43" s="91"/>
      <c r="O43" s="88"/>
      <c r="P43" s="88"/>
      <c r="Q43" s="88"/>
      <c r="R43" s="88"/>
    </row>
    <row r="44" spans="1:18" ht="13" x14ac:dyDescent="0.3">
      <c r="A44" s="12" t="s">
        <v>20</v>
      </c>
      <c r="B44" s="1"/>
      <c r="C44" s="1"/>
      <c r="D44" s="1"/>
      <c r="E44" s="1"/>
      <c r="F44" s="1"/>
      <c r="G44" s="1"/>
      <c r="H44" s="1"/>
      <c r="I44" s="1"/>
      <c r="J44" s="1"/>
      <c r="K44" s="86">
        <f>SUM(K38:K43)</f>
        <v>312.78192187499997</v>
      </c>
      <c r="L44" s="86">
        <f>SUM(L38:L43)</f>
        <v>363.62992187499998</v>
      </c>
      <c r="M44" s="86">
        <f>SUM(M38:M43)</f>
        <v>420.47792187499999</v>
      </c>
      <c r="N44" s="87">
        <f>SUM(N38:N43)</f>
        <v>421.14992187500002</v>
      </c>
      <c r="O44" s="88"/>
      <c r="P44" s="88"/>
      <c r="Q44" s="88"/>
      <c r="R44" s="88"/>
    </row>
    <row r="45" spans="1:18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86"/>
      <c r="L45" s="86"/>
      <c r="M45" s="86"/>
      <c r="N45" s="92"/>
      <c r="O45" s="88"/>
      <c r="P45" s="88"/>
      <c r="Q45" s="88"/>
      <c r="R45" s="88"/>
    </row>
    <row r="46" spans="1:18" ht="13" x14ac:dyDescent="0.3">
      <c r="A46" s="12" t="s">
        <v>21</v>
      </c>
      <c r="B46" s="1"/>
      <c r="C46" s="1"/>
      <c r="D46" s="1"/>
      <c r="E46" s="1"/>
      <c r="F46" s="16" t="s">
        <v>22</v>
      </c>
      <c r="G46" s="1"/>
      <c r="H46" s="1"/>
      <c r="I46" s="1"/>
      <c r="J46" s="1"/>
      <c r="K46" s="86">
        <f>+K34+K44</f>
        <v>507.33131157411339</v>
      </c>
      <c r="L46" s="86">
        <f>+L34+L44</f>
        <v>565.77388032411341</v>
      </c>
      <c r="M46" s="86">
        <f>+M34+M44</f>
        <v>631.24144907411346</v>
      </c>
      <c r="N46" s="87">
        <f>+N34+N44</f>
        <v>632.96616157411347</v>
      </c>
      <c r="O46" s="88"/>
      <c r="P46" s="88"/>
      <c r="Q46" s="88"/>
      <c r="R46" s="88"/>
    </row>
    <row r="47" spans="1:18" ht="13" x14ac:dyDescent="0.3">
      <c r="A47" s="12"/>
      <c r="B47" s="1"/>
      <c r="C47" s="1"/>
      <c r="D47" s="1"/>
      <c r="E47" s="1"/>
      <c r="F47" s="16" t="s">
        <v>23</v>
      </c>
      <c r="G47" s="1"/>
      <c r="H47" s="1"/>
      <c r="I47" s="1"/>
      <c r="J47" s="1"/>
      <c r="K47" s="86">
        <f>+K46/K8</f>
        <v>12.55770573203251</v>
      </c>
      <c r="L47" s="86">
        <f>+L46/L8</f>
        <v>11.203443174734918</v>
      </c>
      <c r="M47" s="86">
        <f>+M46/M8</f>
        <v>10.4165255622791</v>
      </c>
      <c r="N47" s="87">
        <f>+N46/N8</f>
        <v>10.209131638292153</v>
      </c>
      <c r="O47" s="88"/>
      <c r="P47" s="88"/>
      <c r="Q47" s="88"/>
      <c r="R47" s="88"/>
    </row>
    <row r="48" spans="1:18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86"/>
      <c r="L48" s="86"/>
      <c r="M48" s="86"/>
      <c r="N48" s="92"/>
      <c r="O48" s="88"/>
      <c r="P48" s="88"/>
      <c r="Q48" s="88"/>
      <c r="R48" s="88"/>
    </row>
    <row r="49" spans="1:18" ht="15" x14ac:dyDescent="0.3">
      <c r="A49" s="12" t="s">
        <v>169</v>
      </c>
      <c r="B49" s="1"/>
      <c r="C49" s="1"/>
      <c r="D49" s="1"/>
      <c r="E49" s="1"/>
      <c r="F49" s="1"/>
      <c r="G49" s="1"/>
      <c r="H49" s="1"/>
      <c r="I49" s="1"/>
      <c r="J49" s="1"/>
      <c r="K49" s="86">
        <f>+K16-K34</f>
        <v>193.29061030088656</v>
      </c>
      <c r="L49" s="86">
        <f>+L16-L34</f>
        <v>282.65604155088658</v>
      </c>
      <c r="M49" s="86">
        <f>+M16-M34</f>
        <v>370.99647280088652</v>
      </c>
      <c r="N49" s="186">
        <f>+N16-N34</f>
        <v>383.38376030088648</v>
      </c>
      <c r="O49" s="88"/>
      <c r="P49" s="88"/>
      <c r="Q49" s="88"/>
      <c r="R49" s="88"/>
    </row>
    <row r="50" spans="1:18" ht="13" x14ac:dyDescent="0.3">
      <c r="A50" s="12" t="s">
        <v>170</v>
      </c>
      <c r="B50" s="1"/>
      <c r="C50" s="1"/>
      <c r="D50" s="1"/>
      <c r="E50" s="1"/>
      <c r="F50" s="1"/>
      <c r="G50" s="1"/>
      <c r="H50" s="1"/>
      <c r="I50" s="1"/>
      <c r="J50" s="1"/>
      <c r="K50" s="185">
        <f>K16-(K34+K41)</f>
        <v>52.290610300886556</v>
      </c>
      <c r="L50" s="185">
        <f>L16-(L34+L41)</f>
        <v>95.656041550886584</v>
      </c>
      <c r="M50" s="185">
        <f>M16-(M34+M41)</f>
        <v>131.99647280088652</v>
      </c>
      <c r="N50" s="185">
        <f>N16-(N34+N41)</f>
        <v>144.38376030088648</v>
      </c>
      <c r="O50" s="88"/>
      <c r="P50" s="88"/>
      <c r="Q50" s="88"/>
      <c r="R50" s="88"/>
    </row>
    <row r="51" spans="1:18" ht="13" x14ac:dyDescent="0.3">
      <c r="A51" s="6" t="s">
        <v>24</v>
      </c>
      <c r="B51" s="10"/>
      <c r="C51" s="10"/>
      <c r="D51" s="10"/>
      <c r="E51" s="10"/>
      <c r="F51" s="10"/>
      <c r="G51" s="10"/>
      <c r="H51" s="10"/>
      <c r="I51" s="10"/>
      <c r="J51" s="10"/>
      <c r="K51" s="149">
        <f>+K16-K46</f>
        <v>-119.49131157411341</v>
      </c>
      <c r="L51" s="149">
        <f>+L16-L46</f>
        <v>-80.973880324113452</v>
      </c>
      <c r="M51" s="149">
        <f>+M16-M46</f>
        <v>-49.48144907411347</v>
      </c>
      <c r="N51" s="187">
        <f>+N16-N46</f>
        <v>-37.766161574113539</v>
      </c>
      <c r="O51" s="88"/>
      <c r="P51" s="88"/>
      <c r="Q51" s="88"/>
      <c r="R51" s="88"/>
    </row>
    <row r="52" spans="1:18" ht="13" x14ac:dyDescent="0.3">
      <c r="A52" s="6" t="s">
        <v>74</v>
      </c>
      <c r="B52" s="10"/>
      <c r="C52" s="10"/>
      <c r="D52" s="10"/>
      <c r="E52" s="10"/>
      <c r="F52" s="10"/>
      <c r="G52" s="10"/>
      <c r="H52" s="10"/>
      <c r="I52" s="10"/>
      <c r="J52" s="10"/>
      <c r="K52" s="149">
        <f>K51+K41</f>
        <v>21.508688425886589</v>
      </c>
      <c r="L52" s="149">
        <f>L51+L41</f>
        <v>106.02611967588655</v>
      </c>
      <c r="M52" s="149">
        <f>M51+M41</f>
        <v>189.51855092588653</v>
      </c>
      <c r="N52" s="149">
        <f>N51+N41</f>
        <v>201.23383842588646</v>
      </c>
      <c r="O52" s="88"/>
      <c r="P52" s="88"/>
      <c r="Q52" s="88"/>
      <c r="R52" s="88"/>
    </row>
    <row r="53" spans="1:18" ht="13" x14ac:dyDescent="0.3">
      <c r="A53" s="12" t="s">
        <v>168</v>
      </c>
      <c r="B53" s="10"/>
      <c r="C53" s="10"/>
      <c r="D53" s="10"/>
      <c r="E53" s="10"/>
      <c r="F53" s="10"/>
      <c r="G53" s="10"/>
      <c r="H53" s="10"/>
      <c r="I53" s="10"/>
      <c r="J53" s="10"/>
      <c r="K53" s="149">
        <f>K51+K39+K38</f>
        <v>-70.099311574113415</v>
      </c>
      <c r="L53" s="149">
        <f>L51+L39+L38</f>
        <v>-26.733880324113457</v>
      </c>
      <c r="M53" s="149">
        <f>M51+M39+M38</f>
        <v>9.6065509258865305</v>
      </c>
      <c r="N53" s="149">
        <f>N51+N39+N38</f>
        <v>21.993838425886459</v>
      </c>
      <c r="O53" s="88"/>
      <c r="P53" s="88"/>
      <c r="Q53" s="88"/>
      <c r="R53" s="88"/>
    </row>
    <row r="54" spans="1:18" ht="13" x14ac:dyDescent="0.3">
      <c r="A54" s="9" t="s">
        <v>123</v>
      </c>
      <c r="B54" s="167"/>
      <c r="C54" s="167"/>
      <c r="D54" s="167"/>
      <c r="E54" s="167"/>
      <c r="F54" s="167"/>
      <c r="G54" s="9"/>
      <c r="H54" s="168"/>
      <c r="I54" s="167"/>
      <c r="J54" s="167"/>
      <c r="K54" s="170">
        <f>K51+K38+K39+K41</f>
        <v>70.900688425886585</v>
      </c>
      <c r="L54" s="169">
        <f>L51+L38+L39+L41</f>
        <v>160.26611967588656</v>
      </c>
      <c r="M54" s="169">
        <f>M51+M38+M39+M41</f>
        <v>248.60655092588652</v>
      </c>
      <c r="N54" s="169">
        <f>N51+N38+N39+N41</f>
        <v>260.99383842588645</v>
      </c>
      <c r="O54" s="88"/>
      <c r="P54" s="88"/>
      <c r="Q54" s="88"/>
      <c r="R54" s="88"/>
    </row>
    <row r="55" spans="1:18" x14ac:dyDescent="0.25">
      <c r="A55" s="20" t="s">
        <v>62</v>
      </c>
      <c r="B55" s="20"/>
      <c r="C55" s="20"/>
      <c r="D55" s="51"/>
      <c r="E55" s="20"/>
      <c r="F55" s="20"/>
      <c r="G55" s="20"/>
      <c r="H55" s="20"/>
      <c r="I55" s="20"/>
      <c r="J55" s="20"/>
      <c r="K55" s="20"/>
      <c r="L55" s="21"/>
      <c r="M55" s="21"/>
      <c r="N55" s="10"/>
      <c r="P55" s="20"/>
    </row>
    <row r="56" spans="1:18" x14ac:dyDescent="0.25">
      <c r="B56" s="20" t="s">
        <v>63</v>
      </c>
      <c r="C56" s="20"/>
      <c r="D56" s="20"/>
      <c r="E56" s="20"/>
      <c r="F56" s="20"/>
      <c r="G56" s="20"/>
      <c r="H56" s="20"/>
      <c r="I56" s="20"/>
      <c r="J56" s="20"/>
      <c r="K56" s="20"/>
      <c r="L56" s="21"/>
      <c r="M56" s="21"/>
      <c r="N56" s="10"/>
    </row>
    <row r="57" spans="1:18" x14ac:dyDescent="0.25">
      <c r="A57" s="20" t="s">
        <v>126</v>
      </c>
      <c r="B57" s="20"/>
      <c r="C57" s="20"/>
      <c r="D57" s="52"/>
      <c r="E57" s="38"/>
      <c r="F57" s="20"/>
      <c r="G57" s="20"/>
      <c r="H57" s="20"/>
      <c r="I57" s="20"/>
      <c r="J57" s="20"/>
      <c r="K57" s="20"/>
      <c r="L57" s="21"/>
      <c r="M57" s="21"/>
      <c r="N57" s="10"/>
    </row>
    <row r="58" spans="1:18" x14ac:dyDescent="0.25">
      <c r="A58" s="20"/>
      <c r="B58" s="20" t="s">
        <v>64</v>
      </c>
      <c r="C58" s="20"/>
      <c r="D58" s="38"/>
      <c r="E58" s="38"/>
      <c r="F58" s="20"/>
      <c r="G58" s="20"/>
      <c r="H58" s="20"/>
      <c r="I58" s="20"/>
      <c r="J58" s="20"/>
      <c r="K58" s="20"/>
      <c r="L58" s="21"/>
      <c r="M58" s="21"/>
      <c r="N58" s="10"/>
    </row>
    <row r="59" spans="1:18" x14ac:dyDescent="0.25">
      <c r="A59" s="20" t="s">
        <v>65</v>
      </c>
      <c r="B59" s="20"/>
      <c r="C59" s="20"/>
      <c r="D59" s="53"/>
      <c r="E59" s="20"/>
      <c r="F59" s="20"/>
      <c r="G59" s="20"/>
      <c r="H59" s="20"/>
      <c r="I59" s="20"/>
      <c r="J59" s="20"/>
      <c r="K59" s="20"/>
      <c r="L59" s="21"/>
      <c r="M59" s="21"/>
      <c r="N59" s="10"/>
    </row>
    <row r="60" spans="1:18" ht="13.5" x14ac:dyDescent="0.25">
      <c r="A60" s="19">
        <v>1</v>
      </c>
      <c r="B60" s="20" t="s">
        <v>125</v>
      </c>
      <c r="C60" s="20"/>
      <c r="D60" s="20"/>
      <c r="E60" s="20"/>
      <c r="F60" s="20"/>
      <c r="G60" s="20"/>
      <c r="H60" s="20"/>
      <c r="I60" s="20"/>
      <c r="J60" s="20"/>
      <c r="K60" s="21"/>
      <c r="L60" s="21"/>
      <c r="M60" s="21"/>
      <c r="N60" s="1"/>
    </row>
    <row r="61" spans="1:18" ht="13.5" x14ac:dyDescent="0.25">
      <c r="A61" s="19"/>
      <c r="B61" s="20" t="s">
        <v>172</v>
      </c>
      <c r="C61" s="20"/>
      <c r="D61" s="20"/>
      <c r="E61" s="20"/>
      <c r="F61" s="20"/>
      <c r="G61" s="20"/>
      <c r="H61" s="20"/>
      <c r="I61" s="20"/>
      <c r="J61" s="20"/>
      <c r="K61" s="21"/>
      <c r="L61" s="21"/>
      <c r="M61" s="21"/>
      <c r="N61" s="1"/>
    </row>
    <row r="62" spans="1:18" ht="13.5" x14ac:dyDescent="0.25">
      <c r="A62" s="19">
        <v>2</v>
      </c>
      <c r="B62" s="20" t="s">
        <v>156</v>
      </c>
      <c r="C62" s="20"/>
      <c r="D62" s="20"/>
      <c r="E62" s="20"/>
      <c r="F62" s="20"/>
      <c r="G62" s="20"/>
      <c r="H62" s="20"/>
      <c r="I62" s="20"/>
      <c r="J62" s="20"/>
      <c r="K62" s="21"/>
      <c r="L62" s="21"/>
      <c r="M62" s="21"/>
      <c r="N62" s="1"/>
    </row>
    <row r="63" spans="1:18" ht="13.5" x14ac:dyDescent="0.25">
      <c r="A63" s="19">
        <v>3</v>
      </c>
      <c r="B63" s="20" t="s">
        <v>116</v>
      </c>
      <c r="C63" s="20"/>
      <c r="D63" s="20"/>
      <c r="E63" s="20"/>
      <c r="F63" s="20"/>
      <c r="G63" s="20"/>
      <c r="H63" s="20"/>
      <c r="I63" s="20"/>
      <c r="J63" s="20"/>
      <c r="K63" s="21"/>
      <c r="L63" s="21"/>
      <c r="M63" s="21"/>
      <c r="N63" s="20"/>
    </row>
    <row r="64" spans="1:18" ht="13.5" x14ac:dyDescent="0.25">
      <c r="A64" s="19">
        <v>4</v>
      </c>
      <c r="B64" s="20" t="s">
        <v>138</v>
      </c>
      <c r="C64" s="20"/>
      <c r="D64" s="20"/>
      <c r="E64" s="20"/>
      <c r="F64" s="20"/>
      <c r="G64" s="20"/>
      <c r="H64" s="20"/>
      <c r="I64" s="20"/>
      <c r="J64" s="20"/>
      <c r="K64" s="21"/>
      <c r="L64" s="21"/>
      <c r="M64" s="21"/>
      <c r="N64" s="20"/>
    </row>
    <row r="65" spans="1:14" ht="13.5" x14ac:dyDescent="0.25">
      <c r="A65" s="19"/>
      <c r="B65" s="20"/>
      <c r="C65" s="20" t="s">
        <v>139</v>
      </c>
      <c r="D65" s="20"/>
      <c r="E65" s="20"/>
      <c r="F65" s="20"/>
      <c r="G65" s="20"/>
      <c r="H65" s="20"/>
      <c r="I65" s="20"/>
      <c r="J65" s="20"/>
      <c r="K65" s="21"/>
      <c r="L65" s="21"/>
      <c r="M65" s="21"/>
      <c r="N65" s="20"/>
    </row>
    <row r="66" spans="1:14" ht="13.5" x14ac:dyDescent="0.25">
      <c r="A66" s="19"/>
      <c r="B66" s="20"/>
      <c r="C66" s="20" t="s">
        <v>140</v>
      </c>
      <c r="D66" s="20"/>
      <c r="E66" s="20"/>
      <c r="F66" s="20"/>
      <c r="G66" s="20"/>
      <c r="H66" s="20"/>
      <c r="I66" s="20"/>
      <c r="J66" s="20"/>
      <c r="K66" s="21"/>
      <c r="L66" s="21"/>
      <c r="M66" s="21"/>
      <c r="N66" s="20"/>
    </row>
    <row r="67" spans="1:14" ht="13.5" x14ac:dyDescent="0.25">
      <c r="A67" s="19"/>
      <c r="B67" s="20"/>
      <c r="C67" s="20" t="s">
        <v>76</v>
      </c>
      <c r="D67" s="20"/>
      <c r="E67" s="20"/>
      <c r="F67" s="51">
        <v>455</v>
      </c>
      <c r="G67" s="95" t="s">
        <v>75</v>
      </c>
      <c r="H67" s="20" t="s">
        <v>77</v>
      </c>
      <c r="I67" s="38"/>
      <c r="J67" s="98">
        <v>315</v>
      </c>
      <c r="K67" s="95" t="s">
        <v>75</v>
      </c>
      <c r="L67" s="21"/>
      <c r="M67" s="97"/>
      <c r="N67" s="96"/>
    </row>
    <row r="68" spans="1:14" ht="13.5" x14ac:dyDescent="0.25">
      <c r="A68" s="19">
        <v>5</v>
      </c>
      <c r="B68" s="20" t="s">
        <v>174</v>
      </c>
      <c r="C68" s="20"/>
      <c r="D68" s="20"/>
      <c r="E68" s="20"/>
      <c r="F68" s="20"/>
      <c r="G68" s="20"/>
      <c r="H68" s="20"/>
      <c r="I68" s="20"/>
      <c r="J68" s="20"/>
      <c r="K68" s="21"/>
      <c r="L68" s="21"/>
      <c r="M68" s="21"/>
      <c r="N68" s="20"/>
    </row>
    <row r="69" spans="1:14" ht="13.5" x14ac:dyDescent="0.25">
      <c r="A69" s="19"/>
      <c r="B69" s="20"/>
      <c r="C69" s="20" t="s">
        <v>175</v>
      </c>
      <c r="D69" s="20"/>
      <c r="E69" s="20"/>
      <c r="F69" s="20"/>
      <c r="G69" s="20"/>
      <c r="H69" s="20"/>
      <c r="I69" s="20"/>
      <c r="J69" s="20"/>
      <c r="K69" s="21"/>
      <c r="L69" s="21"/>
      <c r="M69" s="21"/>
      <c r="N69" s="20"/>
    </row>
    <row r="70" spans="1:14" ht="13.5" x14ac:dyDescent="0.25">
      <c r="A70" s="19"/>
      <c r="B70" s="20"/>
      <c r="C70" s="20" t="s">
        <v>25</v>
      </c>
      <c r="D70" s="20"/>
      <c r="E70" s="20"/>
      <c r="F70" s="20"/>
      <c r="G70" s="20"/>
      <c r="H70" s="20"/>
      <c r="I70" s="20"/>
      <c r="J70" s="20"/>
      <c r="K70" s="21"/>
      <c r="L70" s="21"/>
      <c r="M70" s="21"/>
      <c r="N70" s="20"/>
    </row>
    <row r="71" spans="1:14" ht="13.5" x14ac:dyDescent="0.25">
      <c r="A71" s="19"/>
      <c r="B71" s="20"/>
      <c r="C71" s="20" t="s">
        <v>176</v>
      </c>
      <c r="D71" s="20"/>
      <c r="E71" s="20"/>
      <c r="F71" s="20"/>
      <c r="G71" s="20"/>
      <c r="H71" s="20"/>
      <c r="I71" s="20"/>
      <c r="J71" s="20"/>
      <c r="K71" s="21"/>
      <c r="L71" s="21"/>
      <c r="M71" s="21"/>
      <c r="N71" s="20"/>
    </row>
    <row r="72" spans="1:14" ht="13.5" x14ac:dyDescent="0.25">
      <c r="A72" s="183">
        <v>6</v>
      </c>
      <c r="B72" s="184" t="s">
        <v>162</v>
      </c>
      <c r="C72" s="184"/>
      <c r="D72" s="184"/>
      <c r="E72" s="184"/>
      <c r="F72" s="20"/>
      <c r="G72" s="20"/>
      <c r="H72" s="20"/>
      <c r="I72" s="20"/>
      <c r="J72" s="20"/>
      <c r="K72" s="21"/>
      <c r="L72" s="21"/>
      <c r="M72" s="21"/>
      <c r="N72" s="20"/>
    </row>
    <row r="73" spans="1:14" ht="13.5" x14ac:dyDescent="0.25">
      <c r="A73" s="19">
        <v>7</v>
      </c>
      <c r="B73" s="20" t="s">
        <v>52</v>
      </c>
      <c r="C73" s="20"/>
      <c r="D73" s="20"/>
      <c r="E73" s="20"/>
      <c r="F73" s="20"/>
      <c r="G73" s="20"/>
      <c r="H73" s="20"/>
      <c r="I73" s="20"/>
      <c r="J73" s="20"/>
      <c r="K73" s="21"/>
      <c r="L73" s="21"/>
      <c r="M73" s="21"/>
      <c r="N73" s="20"/>
    </row>
    <row r="74" spans="1:14" ht="13.5" x14ac:dyDescent="0.25">
      <c r="A74" s="19">
        <v>8</v>
      </c>
      <c r="B74" s="20" t="s">
        <v>26</v>
      </c>
      <c r="C74" s="20"/>
      <c r="D74" s="20"/>
      <c r="E74" s="20"/>
      <c r="F74" s="20"/>
      <c r="G74" s="20"/>
      <c r="H74" s="20"/>
      <c r="I74" s="20"/>
      <c r="J74" s="20"/>
      <c r="K74" s="21"/>
      <c r="L74" s="21"/>
      <c r="M74" s="21"/>
      <c r="N74" s="20"/>
    </row>
    <row r="75" spans="1:14" ht="13.5" x14ac:dyDescent="0.25">
      <c r="A75" s="19">
        <v>9</v>
      </c>
      <c r="B75" s="20" t="s">
        <v>135</v>
      </c>
      <c r="C75" s="20"/>
      <c r="D75" s="20"/>
      <c r="E75" s="20"/>
      <c r="F75" s="20"/>
      <c r="G75" s="20"/>
      <c r="H75" s="20"/>
      <c r="I75" s="20"/>
      <c r="J75" s="20"/>
      <c r="K75" s="21"/>
      <c r="L75" s="21"/>
      <c r="M75" s="21"/>
      <c r="N75" s="20"/>
    </row>
    <row r="76" spans="1:14" ht="13.5" x14ac:dyDescent="0.25">
      <c r="A76" s="19">
        <v>10</v>
      </c>
      <c r="B76" s="20" t="s">
        <v>141</v>
      </c>
      <c r="C76" s="20"/>
      <c r="D76" s="20"/>
      <c r="E76" s="20"/>
      <c r="F76" s="20"/>
      <c r="G76" s="20"/>
      <c r="H76" s="20"/>
      <c r="I76" s="20"/>
      <c r="J76" s="20"/>
      <c r="K76" s="21"/>
      <c r="L76" s="21"/>
      <c r="M76" s="21"/>
      <c r="N76" s="20"/>
    </row>
    <row r="77" spans="1:14" ht="13.5" x14ac:dyDescent="0.25">
      <c r="A77" s="19"/>
      <c r="B77" s="20"/>
      <c r="C77" s="20" t="s">
        <v>142</v>
      </c>
      <c r="D77" s="20"/>
      <c r="E77" s="20"/>
      <c r="F77" s="20"/>
      <c r="G77" s="20"/>
      <c r="H77" s="20"/>
      <c r="I77" s="20"/>
      <c r="J77" s="20"/>
      <c r="K77" s="21"/>
      <c r="L77" s="21"/>
      <c r="M77" s="21"/>
      <c r="N77" s="20"/>
    </row>
    <row r="78" spans="1:14" ht="13.5" x14ac:dyDescent="0.25">
      <c r="A78" s="19">
        <v>11</v>
      </c>
      <c r="B78" s="20" t="s">
        <v>164</v>
      </c>
      <c r="C78" s="20"/>
      <c r="D78" s="20"/>
      <c r="E78" s="20"/>
      <c r="F78" s="20"/>
      <c r="G78" s="20"/>
      <c r="H78" s="20"/>
      <c r="I78" s="20"/>
      <c r="J78" s="20"/>
      <c r="K78" s="21"/>
      <c r="L78" s="21"/>
      <c r="M78" s="21"/>
      <c r="N78" s="20"/>
    </row>
    <row r="79" spans="1:14" ht="13.5" x14ac:dyDescent="0.25">
      <c r="A79" s="19">
        <v>12</v>
      </c>
      <c r="B79" s="20" t="s">
        <v>143</v>
      </c>
      <c r="C79" s="20"/>
      <c r="D79" s="20"/>
      <c r="E79" s="20"/>
      <c r="F79" s="20"/>
      <c r="G79" s="20"/>
      <c r="H79" s="20"/>
      <c r="I79" s="20"/>
      <c r="J79" s="20"/>
      <c r="K79" s="21"/>
      <c r="L79" s="21"/>
      <c r="M79" s="21"/>
      <c r="N79" s="20"/>
    </row>
    <row r="80" spans="1:14" x14ac:dyDescent="0.25">
      <c r="A80" s="20"/>
      <c r="B80" s="20"/>
      <c r="C80" s="20" t="s">
        <v>144</v>
      </c>
      <c r="D80" s="20"/>
      <c r="E80" s="20"/>
      <c r="F80" s="20"/>
      <c r="G80" s="20"/>
      <c r="H80" s="20"/>
      <c r="I80" s="20"/>
      <c r="J80" s="20"/>
      <c r="K80" s="21"/>
      <c r="L80" s="21"/>
      <c r="M80" s="21"/>
      <c r="N80" s="20"/>
    </row>
    <row r="81" spans="1:14" ht="13.5" x14ac:dyDescent="0.25">
      <c r="A81" s="19"/>
      <c r="C81" s="20" t="s">
        <v>145</v>
      </c>
      <c r="D81" s="20"/>
      <c r="E81" s="20"/>
      <c r="F81" s="20"/>
      <c r="G81" s="20"/>
      <c r="H81" s="20"/>
      <c r="I81" s="20"/>
      <c r="J81" s="20"/>
      <c r="K81" s="21"/>
      <c r="L81" s="21"/>
      <c r="M81" s="21"/>
      <c r="N81" s="20"/>
    </row>
    <row r="82" spans="1:14" ht="13.5" x14ac:dyDescent="0.25">
      <c r="A82" s="19">
        <v>13</v>
      </c>
      <c r="B82" s="20" t="s">
        <v>146</v>
      </c>
      <c r="C82" s="20"/>
      <c r="D82" s="20"/>
      <c r="E82" s="20"/>
      <c r="F82" s="20"/>
      <c r="G82" s="20"/>
      <c r="H82" s="20"/>
      <c r="I82" s="20"/>
      <c r="J82" s="20"/>
      <c r="K82" s="21"/>
      <c r="L82" s="21"/>
      <c r="M82" s="21"/>
      <c r="N82" s="20"/>
    </row>
    <row r="83" spans="1:14" ht="13.5" x14ac:dyDescent="0.25">
      <c r="A83" s="19">
        <v>14</v>
      </c>
      <c r="B83" s="20" t="s">
        <v>147</v>
      </c>
      <c r="C83" s="20"/>
      <c r="D83" s="20"/>
      <c r="E83" s="20"/>
      <c r="F83" s="20"/>
      <c r="G83" s="20"/>
      <c r="H83" s="20"/>
      <c r="I83" s="20"/>
      <c r="J83" s="20"/>
      <c r="K83" s="21"/>
      <c r="L83" s="21"/>
      <c r="M83" s="21"/>
      <c r="N83" s="20"/>
    </row>
    <row r="84" spans="1:14" ht="13.5" x14ac:dyDescent="0.25">
      <c r="A84" s="19"/>
      <c r="B84" s="20"/>
      <c r="C84" s="20" t="s">
        <v>26</v>
      </c>
      <c r="D84" s="20"/>
      <c r="E84" s="20"/>
      <c r="F84" s="20"/>
      <c r="G84" s="20"/>
      <c r="H84" s="20"/>
      <c r="I84" s="20"/>
      <c r="J84" s="20"/>
      <c r="K84" s="21"/>
      <c r="L84" s="21"/>
      <c r="M84" s="21"/>
      <c r="N84" s="20"/>
    </row>
    <row r="85" spans="1:14" ht="13.5" x14ac:dyDescent="0.25">
      <c r="A85" s="19">
        <v>15</v>
      </c>
      <c r="B85" s="20" t="s">
        <v>177</v>
      </c>
      <c r="C85" s="20"/>
      <c r="D85" s="148"/>
      <c r="E85" s="148"/>
      <c r="F85" s="148"/>
      <c r="G85" s="20"/>
      <c r="H85" s="20"/>
      <c r="I85" s="20"/>
      <c r="J85" s="20"/>
      <c r="K85" s="21"/>
      <c r="L85" s="21"/>
      <c r="M85" s="21"/>
      <c r="N85" s="20"/>
    </row>
    <row r="86" spans="1:14" ht="13.5" x14ac:dyDescent="0.25">
      <c r="A86" s="19"/>
      <c r="C86" s="20" t="s">
        <v>89</v>
      </c>
      <c r="D86" s="148"/>
      <c r="E86" s="148"/>
      <c r="F86" s="148"/>
      <c r="G86" s="20"/>
      <c r="H86" s="20"/>
      <c r="I86" s="20"/>
      <c r="J86" s="20"/>
      <c r="K86" s="21"/>
      <c r="L86" s="21"/>
      <c r="M86" s="21"/>
      <c r="N86" s="20"/>
    </row>
    <row r="87" spans="1:14" ht="13.5" x14ac:dyDescent="0.25">
      <c r="A87" s="19">
        <v>16</v>
      </c>
      <c r="B87" s="20" t="s">
        <v>148</v>
      </c>
      <c r="C87" s="20"/>
      <c r="D87" s="148"/>
      <c r="E87" s="20"/>
      <c r="F87" s="20"/>
      <c r="G87" s="20"/>
      <c r="H87" s="20"/>
      <c r="I87" s="20"/>
      <c r="J87" s="20"/>
      <c r="K87" s="21"/>
      <c r="L87" s="21"/>
      <c r="M87" s="21"/>
      <c r="N87" s="20"/>
    </row>
    <row r="88" spans="1:14" ht="13.5" x14ac:dyDescent="0.25">
      <c r="A88" s="19"/>
      <c r="B88" s="20" t="s">
        <v>149</v>
      </c>
      <c r="C88" s="20"/>
      <c r="D88" s="148"/>
      <c r="E88" s="20"/>
      <c r="F88" s="20"/>
      <c r="G88" s="20"/>
      <c r="H88" s="20"/>
      <c r="I88" s="20"/>
      <c r="J88" s="20"/>
      <c r="K88" s="21"/>
      <c r="L88" s="21"/>
      <c r="M88" s="21"/>
      <c r="N88" s="20"/>
    </row>
    <row r="89" spans="1:14" ht="13.5" x14ac:dyDescent="0.25">
      <c r="A89" s="19"/>
      <c r="B89" s="20" t="s">
        <v>150</v>
      </c>
      <c r="C89" s="20"/>
      <c r="D89" s="148"/>
      <c r="E89" s="1"/>
      <c r="F89" s="1"/>
      <c r="G89" s="1"/>
      <c r="H89" s="1"/>
      <c r="I89" s="1"/>
      <c r="J89" s="1"/>
      <c r="K89" s="1"/>
      <c r="L89" s="2"/>
      <c r="M89" s="21"/>
      <c r="N89" s="20"/>
    </row>
    <row r="90" spans="1:14" ht="13.5" x14ac:dyDescent="0.25">
      <c r="A90" s="19"/>
      <c r="B90" s="20" t="s">
        <v>151</v>
      </c>
      <c r="C90" s="20"/>
      <c r="D90" s="148"/>
      <c r="E90" s="1"/>
      <c r="F90" s="1"/>
      <c r="G90" s="1"/>
      <c r="H90" s="1"/>
      <c r="I90" s="1"/>
      <c r="J90" s="1"/>
      <c r="K90" s="1"/>
      <c r="L90" s="2"/>
      <c r="M90" s="21"/>
      <c r="N90" s="20"/>
    </row>
    <row r="91" spans="1:14" ht="13.5" x14ac:dyDescent="0.25">
      <c r="A91" s="19"/>
      <c r="B91" s="20" t="s">
        <v>152</v>
      </c>
      <c r="E91" s="1"/>
      <c r="F91" s="1"/>
      <c r="G91" s="1"/>
      <c r="H91" s="1"/>
      <c r="I91" s="1"/>
      <c r="J91" s="1"/>
      <c r="K91" s="1"/>
      <c r="L91" s="2"/>
      <c r="M91" s="21"/>
      <c r="N91" s="20"/>
    </row>
    <row r="92" spans="1:14" ht="13.5" x14ac:dyDescent="0.25">
      <c r="A92" s="19"/>
      <c r="B92" s="20" t="s">
        <v>153</v>
      </c>
      <c r="C92" s="20"/>
      <c r="D92" s="20"/>
      <c r="E92" s="20"/>
      <c r="F92" s="20"/>
      <c r="G92" s="20"/>
      <c r="H92" s="20"/>
      <c r="I92" s="20"/>
      <c r="J92" s="20"/>
      <c r="K92" s="21"/>
      <c r="L92" s="21"/>
      <c r="M92" s="21"/>
      <c r="N92" s="20"/>
    </row>
    <row r="93" spans="1:14" ht="13.5" x14ac:dyDescent="0.25">
      <c r="A93" s="19"/>
      <c r="B93" s="20"/>
      <c r="C93" s="20" t="s">
        <v>154</v>
      </c>
      <c r="D93" s="20"/>
      <c r="E93" s="20"/>
      <c r="F93" s="20"/>
      <c r="G93" s="20"/>
      <c r="H93" s="20"/>
      <c r="I93" s="20"/>
      <c r="J93" s="20"/>
      <c r="K93" s="21"/>
      <c r="L93" s="21"/>
      <c r="M93" s="21"/>
      <c r="N93" s="20"/>
    </row>
    <row r="94" spans="1:14" x14ac:dyDescent="0.25">
      <c r="A94" s="191" t="s">
        <v>27</v>
      </c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20"/>
    </row>
    <row r="95" spans="1:14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1"/>
      <c r="L95" s="21"/>
      <c r="M95" s="21"/>
      <c r="N95" s="20"/>
    </row>
    <row r="96" spans="1:14" ht="25.5" customHeight="1" x14ac:dyDescent="0.25">
      <c r="A96" s="20"/>
      <c r="B96" s="20"/>
      <c r="C96" s="20"/>
      <c r="D96" s="20"/>
      <c r="E96" s="117" t="s">
        <v>28</v>
      </c>
      <c r="F96" s="22" t="s">
        <v>53</v>
      </c>
      <c r="G96" s="22" t="s">
        <v>54</v>
      </c>
      <c r="H96" s="22"/>
      <c r="I96" s="116" t="s">
        <v>55</v>
      </c>
      <c r="J96" s="22" t="s">
        <v>29</v>
      </c>
      <c r="K96" s="22" t="s">
        <v>115</v>
      </c>
      <c r="L96" s="109" t="s">
        <v>87</v>
      </c>
      <c r="M96" s="22" t="s">
        <v>30</v>
      </c>
      <c r="N96" s="20"/>
    </row>
    <row r="97" spans="1:16" x14ac:dyDescent="0.25">
      <c r="A97" s="20"/>
      <c r="B97" s="65" t="s">
        <v>117</v>
      </c>
      <c r="C97" s="65"/>
      <c r="D97" s="65"/>
      <c r="E97" s="66">
        <v>2</v>
      </c>
      <c r="F97" s="67">
        <v>242500</v>
      </c>
      <c r="G97" s="68">
        <v>2000</v>
      </c>
      <c r="H97" s="43"/>
      <c r="I97" s="64">
        <f>'machinery costs'!J2</f>
        <v>16.471054687500001</v>
      </c>
      <c r="J97" s="80">
        <v>44.12</v>
      </c>
      <c r="K97" s="111">
        <f>0.07*E97</f>
        <v>0.14000000000000001</v>
      </c>
      <c r="L97" s="110">
        <f>(G97*E97)/J97</f>
        <v>90.66183136899366</v>
      </c>
      <c r="M97" s="111">
        <f>3.15*E97</f>
        <v>6.3</v>
      </c>
      <c r="N97" s="20"/>
    </row>
    <row r="98" spans="1:16" x14ac:dyDescent="0.25">
      <c r="A98" s="20"/>
      <c r="B98" s="51" t="s">
        <v>132</v>
      </c>
      <c r="C98" s="51"/>
      <c r="D98" s="51"/>
      <c r="E98" s="66">
        <v>1</v>
      </c>
      <c r="F98" s="67">
        <v>155000</v>
      </c>
      <c r="G98" s="68">
        <v>1000</v>
      </c>
      <c r="H98" s="43"/>
      <c r="I98" s="64">
        <f>'machinery costs'!J3</f>
        <v>19.626874999999998</v>
      </c>
      <c r="J98" s="80">
        <v>14</v>
      </c>
      <c r="K98" s="111">
        <v>0.52</v>
      </c>
      <c r="L98" s="110">
        <f>(G98*E98)/J98</f>
        <v>71.428571428571431</v>
      </c>
      <c r="M98" s="111">
        <v>2.92</v>
      </c>
      <c r="N98" s="20"/>
      <c r="O98" s="18"/>
      <c r="P98" s="18"/>
    </row>
    <row r="99" spans="1:16" x14ac:dyDescent="0.25">
      <c r="A99" s="20"/>
      <c r="B99" s="51" t="s">
        <v>130</v>
      </c>
      <c r="C99" s="51"/>
      <c r="D99" s="51"/>
      <c r="E99" s="66">
        <v>1</v>
      </c>
      <c r="F99" s="67">
        <v>360000</v>
      </c>
      <c r="G99" s="68">
        <v>2000</v>
      </c>
      <c r="H99" s="43"/>
      <c r="I99" s="64">
        <f>'machinery costs'!J4</f>
        <v>25.2815625</v>
      </c>
      <c r="J99" s="73" t="s">
        <v>66</v>
      </c>
      <c r="K99" s="74" t="s">
        <v>66</v>
      </c>
      <c r="L99" s="110">
        <f>L100</f>
        <v>98.231827111984288</v>
      </c>
      <c r="M99" s="112">
        <f>(L99*60.06)/1000</f>
        <v>5.899803536345777</v>
      </c>
      <c r="N99" s="20"/>
      <c r="O99" s="18"/>
      <c r="P99" s="18"/>
    </row>
    <row r="100" spans="1:16" x14ac:dyDescent="0.25">
      <c r="A100" s="20"/>
      <c r="B100" s="51"/>
      <c r="C100" s="51" t="s">
        <v>131</v>
      </c>
      <c r="D100" s="51"/>
      <c r="E100" s="66">
        <v>1</v>
      </c>
      <c r="F100" s="67">
        <v>60000</v>
      </c>
      <c r="G100" s="68">
        <v>1000</v>
      </c>
      <c r="H100" s="43"/>
      <c r="I100" s="64">
        <f>'machinery costs'!J5</f>
        <v>8.4271875000000005</v>
      </c>
      <c r="J100" s="82">
        <v>10.18</v>
      </c>
      <c r="K100" s="111">
        <v>1.49</v>
      </c>
      <c r="L100" s="110">
        <f>(G100*E100)/J100</f>
        <v>98.231827111984288</v>
      </c>
      <c r="M100" s="112">
        <v>0.31</v>
      </c>
      <c r="N100" s="20"/>
      <c r="O100" s="18"/>
      <c r="P100" s="18"/>
    </row>
    <row r="101" spans="1:16" x14ac:dyDescent="0.25">
      <c r="A101" s="20"/>
      <c r="B101" s="51" t="s">
        <v>113</v>
      </c>
      <c r="C101" s="51"/>
      <c r="D101" s="51"/>
      <c r="E101" s="66">
        <v>1</v>
      </c>
      <c r="F101" s="67">
        <v>70000</v>
      </c>
      <c r="G101" s="68">
        <v>2000</v>
      </c>
      <c r="H101" s="43"/>
      <c r="I101" s="64">
        <f>'machinery costs'!J6</f>
        <v>4.6900000000000004</v>
      </c>
      <c r="J101" s="73" t="s">
        <v>66</v>
      </c>
      <c r="K101" s="25" t="s">
        <v>49</v>
      </c>
      <c r="L101" s="118" t="s">
        <v>66</v>
      </c>
      <c r="M101" s="112">
        <v>3.5</v>
      </c>
      <c r="N101" s="20"/>
      <c r="O101" s="18"/>
      <c r="P101" s="18"/>
    </row>
    <row r="102" spans="1:16" x14ac:dyDescent="0.25">
      <c r="A102" s="20"/>
      <c r="B102" s="51" t="s">
        <v>31</v>
      </c>
      <c r="C102" s="51"/>
      <c r="D102" s="51"/>
      <c r="E102" s="66">
        <v>1</v>
      </c>
      <c r="F102" s="67">
        <v>12000</v>
      </c>
      <c r="G102" s="68">
        <v>2000</v>
      </c>
      <c r="H102" s="43"/>
      <c r="I102" s="64">
        <f>'machinery costs'!J7</f>
        <v>0.81506249999999991</v>
      </c>
      <c r="J102" s="81">
        <v>34</v>
      </c>
      <c r="K102" s="111">
        <f>0.12*E102</f>
        <v>0.12</v>
      </c>
      <c r="L102" s="110">
        <f>(G102*E102)/J102</f>
        <v>58.823529411764703</v>
      </c>
      <c r="M102" s="112">
        <v>0.15</v>
      </c>
      <c r="N102" s="20"/>
      <c r="O102" s="18"/>
      <c r="P102" s="18"/>
    </row>
    <row r="103" spans="1:16" x14ac:dyDescent="0.25">
      <c r="A103" s="20"/>
      <c r="B103" s="51" t="s">
        <v>114</v>
      </c>
      <c r="C103" s="51"/>
      <c r="D103" s="51"/>
      <c r="E103" s="66">
        <v>1</v>
      </c>
      <c r="F103" s="67">
        <v>50500</v>
      </c>
      <c r="G103" s="158">
        <v>2000</v>
      </c>
      <c r="H103" s="43"/>
      <c r="I103" s="64">
        <f>'machinery costs'!J8</f>
        <v>3.4300546874999998</v>
      </c>
      <c r="J103" s="159" t="s">
        <v>66</v>
      </c>
      <c r="K103" s="111">
        <f>(L103*9.9)/1000</f>
        <v>0.48624754420432226</v>
      </c>
      <c r="L103" s="110">
        <f>L100*0.5</f>
        <v>49.115913555992144</v>
      </c>
      <c r="M103" s="112">
        <v>1</v>
      </c>
      <c r="N103" s="20"/>
      <c r="O103" s="18"/>
      <c r="P103" s="18"/>
    </row>
    <row r="104" spans="1:16" x14ac:dyDescent="0.25">
      <c r="A104" s="20"/>
      <c r="B104" s="51" t="s">
        <v>119</v>
      </c>
      <c r="C104" s="51"/>
      <c r="D104" s="51"/>
      <c r="E104" s="66">
        <v>2</v>
      </c>
      <c r="F104" s="67">
        <v>266000</v>
      </c>
      <c r="G104" s="68">
        <v>2000</v>
      </c>
      <c r="H104" s="44"/>
      <c r="I104" s="64">
        <f>'machinery costs'!J9</f>
        <v>17.821999999999996</v>
      </c>
      <c r="J104" s="75" t="s">
        <v>66</v>
      </c>
      <c r="K104" s="115" t="s">
        <v>66</v>
      </c>
      <c r="L104" s="110">
        <f>(L98+L103)</f>
        <v>120.54448498456358</v>
      </c>
      <c r="M104" s="112">
        <f>(L104*4.26)/G104</f>
        <v>0.25675975301712045</v>
      </c>
      <c r="N104" s="20"/>
      <c r="O104" s="18"/>
      <c r="P104" s="18"/>
    </row>
    <row r="105" spans="1:16" x14ac:dyDescent="0.25">
      <c r="A105" s="20"/>
      <c r="B105" s="51" t="s">
        <v>120</v>
      </c>
      <c r="C105" s="51"/>
      <c r="D105" s="51"/>
      <c r="E105" s="66">
        <v>1</v>
      </c>
      <c r="F105" s="67">
        <v>72000</v>
      </c>
      <c r="G105" s="68">
        <v>1000</v>
      </c>
      <c r="H105" s="44"/>
      <c r="I105" s="64">
        <f>'machinery costs'!J10</f>
        <v>9.3161249999999995</v>
      </c>
      <c r="J105" s="76" t="s">
        <v>66</v>
      </c>
      <c r="K105" s="76" t="s">
        <v>66</v>
      </c>
      <c r="L105" s="110">
        <f>L102</f>
        <v>58.823529411764703</v>
      </c>
      <c r="M105" s="112">
        <f>(L105*2.16)/G105</f>
        <v>0.12705882352941178</v>
      </c>
      <c r="N105" s="20"/>
      <c r="O105" s="18"/>
      <c r="P105" s="18"/>
    </row>
    <row r="106" spans="1:16" x14ac:dyDescent="0.25">
      <c r="A106" s="20"/>
      <c r="B106" s="69" t="s">
        <v>48</v>
      </c>
      <c r="C106" s="69"/>
      <c r="D106" s="69"/>
      <c r="E106" s="70">
        <v>1</v>
      </c>
      <c r="F106" s="71">
        <v>30000</v>
      </c>
      <c r="G106" s="72">
        <v>2000</v>
      </c>
      <c r="H106" s="45"/>
      <c r="I106" s="122">
        <f>'machinery costs'!J11</f>
        <v>2.0099999999999998</v>
      </c>
      <c r="J106" s="77" t="s">
        <v>66</v>
      </c>
      <c r="K106" s="114">
        <f>0.21*E106</f>
        <v>0.21</v>
      </c>
      <c r="L106" s="42"/>
      <c r="M106" s="113">
        <v>0.15</v>
      </c>
      <c r="N106" s="20"/>
      <c r="O106" s="1"/>
      <c r="P106" s="18"/>
    </row>
    <row r="107" spans="1:16" x14ac:dyDescent="0.25">
      <c r="A107" s="20"/>
      <c r="B107" s="20"/>
      <c r="C107" s="20"/>
      <c r="D107" s="20"/>
      <c r="E107" s="27"/>
      <c r="F107" s="24"/>
      <c r="G107" s="23"/>
      <c r="H107" s="23"/>
      <c r="J107" s="28" t="s">
        <v>46</v>
      </c>
      <c r="K107" s="84">
        <f>SUM(K97:K106)*M111</f>
        <v>6.5257445972495089</v>
      </c>
      <c r="M107" s="26"/>
      <c r="N107" s="20"/>
      <c r="O107" s="2"/>
    </row>
    <row r="108" spans="1:16" ht="13" x14ac:dyDescent="0.3">
      <c r="A108" s="20"/>
      <c r="B108" s="29" t="s">
        <v>56</v>
      </c>
      <c r="C108" s="29"/>
      <c r="D108" s="29"/>
      <c r="E108" s="29"/>
      <c r="F108" s="30"/>
      <c r="G108" s="30"/>
      <c r="H108" s="30"/>
      <c r="I108" s="83">
        <f>SUM(I97:I106)</f>
        <v>107.88992187499998</v>
      </c>
      <c r="J108" s="28" t="s">
        <v>47</v>
      </c>
      <c r="K108" s="84">
        <f>(K107*0.1)+K107</f>
        <v>7.1783190569744599</v>
      </c>
      <c r="L108" s="46" t="s">
        <v>57</v>
      </c>
      <c r="M108" s="84">
        <f>SUM(M97:M106)</f>
        <v>20.613622112892308</v>
      </c>
      <c r="N108" s="20"/>
    </row>
    <row r="109" spans="1:16" x14ac:dyDescent="0.25">
      <c r="A109" s="20"/>
      <c r="B109" s="29"/>
      <c r="C109" s="20"/>
      <c r="D109" s="20"/>
      <c r="E109" s="20"/>
      <c r="F109" s="31"/>
      <c r="G109" s="32"/>
      <c r="H109" s="32"/>
      <c r="I109" s="29"/>
      <c r="J109" s="33"/>
      <c r="K109" s="33"/>
      <c r="L109" s="21"/>
      <c r="M109" s="21"/>
      <c r="N109" s="20"/>
    </row>
    <row r="110" spans="1:16" x14ac:dyDescent="0.25">
      <c r="A110" s="20"/>
      <c r="B110" s="20"/>
      <c r="C110" s="20"/>
      <c r="D110" s="20"/>
      <c r="E110" s="20"/>
      <c r="F110" s="34"/>
      <c r="G110" s="34"/>
      <c r="H110" s="34"/>
      <c r="I110" s="29"/>
      <c r="J110" s="33"/>
      <c r="K110" s="33"/>
      <c r="L110" s="21"/>
      <c r="M110" s="21"/>
      <c r="N110" s="20"/>
    </row>
    <row r="111" spans="1:16" x14ac:dyDescent="0.25">
      <c r="A111" s="20"/>
      <c r="B111" s="29"/>
      <c r="C111" s="29"/>
      <c r="D111" s="29"/>
      <c r="E111" s="29"/>
      <c r="F111" s="35"/>
      <c r="G111" s="32"/>
      <c r="H111" s="32"/>
      <c r="I111" s="29"/>
      <c r="J111" s="36" t="s">
        <v>32</v>
      </c>
      <c r="K111" s="33"/>
      <c r="L111" s="33"/>
      <c r="M111" s="85">
        <v>2.2000000000000002</v>
      </c>
      <c r="N111" s="20"/>
    </row>
    <row r="112" spans="1:16" x14ac:dyDescent="0.25">
      <c r="A112" s="20" t="s">
        <v>155</v>
      </c>
      <c r="B112" s="29"/>
      <c r="C112" s="29"/>
      <c r="D112" s="29"/>
      <c r="E112" s="29"/>
      <c r="F112" s="78"/>
      <c r="G112" s="78"/>
      <c r="H112" s="78"/>
      <c r="I112" s="32"/>
      <c r="J112" s="36"/>
      <c r="K112" s="33"/>
      <c r="L112" s="33"/>
      <c r="M112" s="37"/>
      <c r="N112" s="20"/>
    </row>
    <row r="113" spans="1:14" x14ac:dyDescent="0.25">
      <c r="A113" s="20" t="s">
        <v>178</v>
      </c>
      <c r="B113" s="29"/>
      <c r="C113" s="29"/>
      <c r="D113" s="29"/>
      <c r="E113" s="29"/>
      <c r="F113" s="78"/>
      <c r="G113" s="78"/>
      <c r="H113" s="78"/>
      <c r="I113" s="32"/>
      <c r="J113" s="33"/>
      <c r="K113" s="33"/>
      <c r="L113" s="33"/>
      <c r="M113" s="21"/>
      <c r="N113" s="20"/>
    </row>
    <row r="114" spans="1:14" x14ac:dyDescent="0.25">
      <c r="A114" s="20" t="s">
        <v>67</v>
      </c>
      <c r="B114" s="20"/>
      <c r="C114" s="20"/>
      <c r="D114" s="20"/>
      <c r="E114" s="20"/>
      <c r="F114" s="40"/>
      <c r="G114" s="40"/>
      <c r="H114" s="40"/>
      <c r="I114" s="32"/>
      <c r="J114" s="20"/>
      <c r="K114" s="21"/>
      <c r="L114" s="21"/>
      <c r="M114" s="21"/>
      <c r="N114" s="20"/>
    </row>
    <row r="115" spans="1:14" x14ac:dyDescent="0.25">
      <c r="A115" s="20" t="s">
        <v>78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1"/>
      <c r="L115" s="21"/>
      <c r="M115" s="21"/>
      <c r="N115" s="20"/>
    </row>
    <row r="116" spans="1:14" x14ac:dyDescent="0.25">
      <c r="A116" s="20" t="s">
        <v>68</v>
      </c>
      <c r="B116" s="20"/>
      <c r="C116" s="20"/>
      <c r="D116" s="20"/>
      <c r="E116" s="38"/>
      <c r="F116" s="38"/>
      <c r="G116" s="38"/>
      <c r="H116" s="38"/>
      <c r="I116" s="38"/>
      <c r="J116" s="20"/>
      <c r="K116" s="21"/>
      <c r="L116" s="21"/>
      <c r="M116" s="21"/>
      <c r="N116" s="20"/>
    </row>
    <row r="117" spans="1:14" x14ac:dyDescent="0.25">
      <c r="A117" s="79" t="s">
        <v>69</v>
      </c>
      <c r="B117" s="20"/>
      <c r="C117" s="39"/>
      <c r="D117" s="20"/>
      <c r="E117" s="38"/>
      <c r="F117" s="38"/>
      <c r="G117" s="38"/>
      <c r="H117" s="38"/>
      <c r="I117" s="38"/>
      <c r="J117" s="20"/>
      <c r="K117" s="21"/>
      <c r="L117" s="21"/>
      <c r="M117" s="21"/>
      <c r="N117" s="20"/>
    </row>
    <row r="118" spans="1:14" x14ac:dyDescent="0.25">
      <c r="A118" s="20" t="s">
        <v>70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1"/>
      <c r="L118" s="21"/>
      <c r="M118" s="21"/>
      <c r="N118" s="20"/>
    </row>
    <row r="119" spans="1:14" x14ac:dyDescent="0.25">
      <c r="A119" s="20" t="s">
        <v>122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1"/>
      <c r="L119" s="21"/>
      <c r="M119" s="21"/>
      <c r="N119" s="20"/>
    </row>
    <row r="120" spans="1:14" x14ac:dyDescent="0.25">
      <c r="A120" s="20" t="s">
        <v>33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1"/>
      <c r="L120" s="21"/>
      <c r="M120" s="21"/>
      <c r="N120" s="20"/>
    </row>
    <row r="121" spans="1:14" x14ac:dyDescent="0.25">
      <c r="A121" s="20" t="s">
        <v>50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1"/>
      <c r="L121" s="21"/>
      <c r="M121" s="21"/>
      <c r="N121" s="20"/>
    </row>
    <row r="122" spans="1:14" x14ac:dyDescent="0.25">
      <c r="A122" s="20" t="s">
        <v>51</v>
      </c>
      <c r="B122" s="20"/>
      <c r="C122" s="20"/>
      <c r="D122" s="20"/>
      <c r="E122" s="20"/>
      <c r="F122" s="20"/>
      <c r="G122" s="20"/>
      <c r="H122" s="20"/>
      <c r="I122" s="20"/>
    </row>
    <row r="123" spans="1:14" x14ac:dyDescent="0.25">
      <c r="A123" s="20" t="s">
        <v>129</v>
      </c>
    </row>
    <row r="124" spans="1:14" x14ac:dyDescent="0.25">
      <c r="A124" s="20" t="s">
        <v>128</v>
      </c>
    </row>
  </sheetData>
  <mergeCells count="9">
    <mergeCell ref="A94:M94"/>
    <mergeCell ref="I6:J6"/>
    <mergeCell ref="I7:J7"/>
    <mergeCell ref="K6:M6"/>
    <mergeCell ref="R3:AA3"/>
    <mergeCell ref="R4:AA4"/>
    <mergeCell ref="S5:Y5"/>
    <mergeCell ref="M5:N5"/>
    <mergeCell ref="E6:G6"/>
  </mergeCells>
  <phoneticPr fontId="0" type="noConversion"/>
  <printOptions horizontalCentered="1"/>
  <pageMargins left="0.5" right="0.5" top="0.5" bottom="0.5" header="0.5" footer="0.5"/>
  <pageSetup scale="85" fitToHeight="2" orientation="portrait" r:id="rId1"/>
  <headerFooter alignWithMargins="0"/>
  <rowBreaks count="1" manualBreakCount="1">
    <brk id="59" max="13" man="1"/>
  </rowBreaks>
  <ignoredErrors>
    <ignoredError sqref="L9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"/>
    </sheetView>
  </sheetViews>
  <sheetFormatPr defaultRowHeight="12.5" x14ac:dyDescent="0.25"/>
  <cols>
    <col min="1" max="1" width="3.6328125" customWidth="1"/>
    <col min="2" max="3" width="13.36328125" customWidth="1"/>
    <col min="4" max="4" width="12.6328125" customWidth="1"/>
    <col min="5" max="5" width="12.36328125" customWidth="1"/>
    <col min="6" max="6" width="14.08984375" customWidth="1"/>
    <col min="7" max="7" width="12" customWidth="1"/>
    <col min="8" max="9" width="12.54296875" customWidth="1"/>
  </cols>
  <sheetData>
    <row r="1" spans="1:10" ht="23.25" customHeight="1" x14ac:dyDescent="0.25">
      <c r="A1" s="20" t="s">
        <v>79</v>
      </c>
      <c r="B1" s="20"/>
      <c r="C1" s="22" t="s">
        <v>80</v>
      </c>
      <c r="D1" s="22" t="s">
        <v>81</v>
      </c>
      <c r="E1" s="22" t="s">
        <v>82</v>
      </c>
      <c r="F1" s="22" t="s">
        <v>83</v>
      </c>
      <c r="G1" s="41" t="s">
        <v>84</v>
      </c>
      <c r="H1" s="22" t="s">
        <v>85</v>
      </c>
      <c r="I1" s="22" t="s">
        <v>88</v>
      </c>
      <c r="J1" s="22" t="s">
        <v>86</v>
      </c>
    </row>
    <row r="2" spans="1:10" x14ac:dyDescent="0.25">
      <c r="A2" s="65" t="s">
        <v>117</v>
      </c>
      <c r="B2" s="65"/>
      <c r="C2" s="103">
        <f>('rr-soy-notill'!F97+('rr-soy-notill'!F97*0.34)+D2)/2</f>
        <v>172478.125</v>
      </c>
      <c r="D2" s="103">
        <f>('rr-soy-notill'!F97-('rr-soy-notill'!F97*0.34))/8</f>
        <v>20006.25</v>
      </c>
      <c r="E2" s="103">
        <f>0.06*C2</f>
        <v>10348.6875</v>
      </c>
      <c r="F2" s="103">
        <f>0.005*C2</f>
        <v>862.390625</v>
      </c>
      <c r="G2" s="103">
        <f>0.01*C2</f>
        <v>1724.78125</v>
      </c>
      <c r="H2" s="104">
        <f>SUM(D2:G2)</f>
        <v>32942.109375</v>
      </c>
      <c r="I2" s="119">
        <f>'rr-soy-notill'!G97</f>
        <v>2000</v>
      </c>
      <c r="J2" s="105">
        <f>H2/I2</f>
        <v>16.471054687500001</v>
      </c>
    </row>
    <row r="3" spans="1:10" x14ac:dyDescent="0.25">
      <c r="A3" s="51" t="s">
        <v>111</v>
      </c>
      <c r="B3" s="51"/>
      <c r="C3" s="102">
        <f>('rr-soy-notill'!F98+('rr-soy-notill'!F98*0.44)+D3)/2</f>
        <v>117025</v>
      </c>
      <c r="D3" s="102">
        <f>('rr-soy-notill'!F98-('rr-soy-notill'!F98*0.44))/8</f>
        <v>10850</v>
      </c>
      <c r="E3" s="102">
        <f t="shared" ref="E3:E11" si="0">0.06*C3</f>
        <v>7021.5</v>
      </c>
      <c r="F3" s="102">
        <f t="shared" ref="F3:F11" si="1">0.005*C3</f>
        <v>585.125</v>
      </c>
      <c r="G3" s="102">
        <f t="shared" ref="G3:G11" si="2">0.01*C3</f>
        <v>1170.25</v>
      </c>
      <c r="H3" s="101">
        <f t="shared" ref="H3:H11" si="3">SUM(D3:G3)</f>
        <v>19626.875</v>
      </c>
      <c r="I3" s="120">
        <f>'rr-soy-notill'!G98</f>
        <v>1000</v>
      </c>
      <c r="J3" s="100">
        <f t="shared" ref="J3:J11" si="4">H3/I3</f>
        <v>19.626874999999998</v>
      </c>
    </row>
    <row r="4" spans="1:10" x14ac:dyDescent="0.25">
      <c r="A4" s="51" t="s">
        <v>118</v>
      </c>
      <c r="B4" s="51"/>
      <c r="C4" s="102">
        <f>('rr-soy-notill'!F99+('rr-soy-notill'!F99*0.29)+D4)/2</f>
        <v>248175</v>
      </c>
      <c r="D4" s="102">
        <f>('rr-soy-notill'!F99-('rr-soy-notill'!F99*0.29))/8</f>
        <v>31950</v>
      </c>
      <c r="E4" s="102">
        <f t="shared" si="0"/>
        <v>14890.5</v>
      </c>
      <c r="F4" s="102">
        <f t="shared" si="1"/>
        <v>1240.875</v>
      </c>
      <c r="G4" s="102">
        <f t="shared" si="2"/>
        <v>2481.75</v>
      </c>
      <c r="H4" s="101">
        <f t="shared" si="3"/>
        <v>50563.125</v>
      </c>
      <c r="I4" s="120">
        <f>'rr-soy-notill'!G99</f>
        <v>2000</v>
      </c>
      <c r="J4" s="100">
        <f t="shared" si="4"/>
        <v>25.2815625</v>
      </c>
    </row>
    <row r="5" spans="1:10" x14ac:dyDescent="0.25">
      <c r="A5" s="51"/>
      <c r="B5" s="51" t="s">
        <v>112</v>
      </c>
      <c r="C5" s="102">
        <f>('rr-soy-notill'!F100+('rr-soy-notill'!F100*0.29)+D5)/2</f>
        <v>41362.5</v>
      </c>
      <c r="D5" s="102">
        <f>('rr-soy-notill'!F100-('rr-soy-notill'!F100*0.29))/8</f>
        <v>5325</v>
      </c>
      <c r="E5" s="102">
        <f t="shared" si="0"/>
        <v>2481.75</v>
      </c>
      <c r="F5" s="102">
        <f t="shared" si="1"/>
        <v>206.8125</v>
      </c>
      <c r="G5" s="102">
        <f t="shared" si="2"/>
        <v>413.625</v>
      </c>
      <c r="H5" s="101">
        <f t="shared" si="3"/>
        <v>8427.1875</v>
      </c>
      <c r="I5" s="120">
        <f>'rr-soy-notill'!G100</f>
        <v>1000</v>
      </c>
      <c r="J5" s="100">
        <f t="shared" si="4"/>
        <v>8.4271875000000005</v>
      </c>
    </row>
    <row r="6" spans="1:10" x14ac:dyDescent="0.25">
      <c r="A6" s="51" t="s">
        <v>113</v>
      </c>
      <c r="B6" s="51"/>
      <c r="C6" s="102">
        <f>('rr-soy-notill'!F101+('rr-soy-notill'!F101*0.36)+D6)/2</f>
        <v>50400</v>
      </c>
      <c r="D6" s="102">
        <f>('rr-soy-notill'!F101-('rr-soy-notill'!F101*0.36))/8</f>
        <v>5600</v>
      </c>
      <c r="E6" s="102">
        <f t="shared" si="0"/>
        <v>3024</v>
      </c>
      <c r="F6" s="102">
        <f t="shared" si="1"/>
        <v>252</v>
      </c>
      <c r="G6" s="102">
        <f t="shared" si="2"/>
        <v>504</v>
      </c>
      <c r="H6" s="101">
        <f t="shared" si="3"/>
        <v>9380</v>
      </c>
      <c r="I6" s="120">
        <f>'rr-soy-notill'!G101</f>
        <v>2000</v>
      </c>
      <c r="J6" s="100">
        <f t="shared" si="4"/>
        <v>4.6900000000000004</v>
      </c>
    </row>
    <row r="7" spans="1:10" x14ac:dyDescent="0.25">
      <c r="A7" s="51" t="s">
        <v>31</v>
      </c>
      <c r="B7" s="51"/>
      <c r="C7" s="102">
        <f>('rr-soy-notill'!F102+('rr-soy-notill'!F102*0.34)+D7)/2</f>
        <v>8535</v>
      </c>
      <c r="D7" s="102">
        <f>('rr-soy-notill'!F102-('rr-soy-notill'!F102*0.34))/8</f>
        <v>990</v>
      </c>
      <c r="E7" s="102">
        <f t="shared" si="0"/>
        <v>512.1</v>
      </c>
      <c r="F7" s="102">
        <f t="shared" si="1"/>
        <v>42.675000000000004</v>
      </c>
      <c r="G7" s="102">
        <f t="shared" si="2"/>
        <v>85.350000000000009</v>
      </c>
      <c r="H7" s="101">
        <f t="shared" si="3"/>
        <v>1630.1249999999998</v>
      </c>
      <c r="I7" s="120">
        <f>'rr-soy-notill'!G102</f>
        <v>2000</v>
      </c>
      <c r="J7" s="100">
        <f t="shared" si="4"/>
        <v>0.81506249999999991</v>
      </c>
    </row>
    <row r="8" spans="1:10" x14ac:dyDescent="0.25">
      <c r="A8" s="51" t="s">
        <v>114</v>
      </c>
      <c r="B8" s="51"/>
      <c r="C8" s="102">
        <f>('rr-soy-notill'!F103+('rr-soy-notill'!F103*0.34)+D8)/2</f>
        <v>35918.125</v>
      </c>
      <c r="D8" s="102">
        <f>('rr-soy-notill'!F103-('rr-soy-notill'!F103*0.34))/8</f>
        <v>4166.25</v>
      </c>
      <c r="E8" s="102">
        <f>0.06*C8</f>
        <v>2155.0875000000001</v>
      </c>
      <c r="F8" s="102">
        <f>0.005*C8</f>
        <v>179.59062500000002</v>
      </c>
      <c r="G8" s="102">
        <f>0.01*C8</f>
        <v>359.18125000000003</v>
      </c>
      <c r="H8" s="101">
        <f>SUM(D8:G8)</f>
        <v>6860.1093749999991</v>
      </c>
      <c r="I8" s="120">
        <f>'rr-soy-notill'!G103</f>
        <v>2000</v>
      </c>
      <c r="J8" s="100">
        <f>H8/I8</f>
        <v>3.4300546874999998</v>
      </c>
    </row>
    <row r="9" spans="1:10" x14ac:dyDescent="0.25">
      <c r="A9" s="51" t="s">
        <v>119</v>
      </c>
      <c r="B9" s="51"/>
      <c r="C9" s="102">
        <f>('rr-soy-notill'!F104+('rr-soy-notill'!F104*0.36)+D9)/2</f>
        <v>191520</v>
      </c>
      <c r="D9" s="102">
        <f>('rr-soy-notill'!F104-('rr-soy-notill'!F104*0.36))/8</f>
        <v>21280</v>
      </c>
      <c r="E9" s="102">
        <f t="shared" si="0"/>
        <v>11491.199999999999</v>
      </c>
      <c r="F9" s="102">
        <f t="shared" si="1"/>
        <v>957.6</v>
      </c>
      <c r="G9" s="102">
        <f t="shared" si="2"/>
        <v>1915.2</v>
      </c>
      <c r="H9" s="101">
        <f t="shared" si="3"/>
        <v>35643.999999999993</v>
      </c>
      <c r="I9" s="120">
        <f>'rr-soy-notill'!G104</f>
        <v>2000</v>
      </c>
      <c r="J9" s="100">
        <f t="shared" si="4"/>
        <v>17.821999999999996</v>
      </c>
    </row>
    <row r="10" spans="1:10" x14ac:dyDescent="0.25">
      <c r="A10" s="51" t="s">
        <v>120</v>
      </c>
      <c r="B10" s="51"/>
      <c r="C10" s="102">
        <f>('rr-soy-notill'!F105+('rr-soy-notill'!F105*0.41)+D10)/2</f>
        <v>53415</v>
      </c>
      <c r="D10" s="102">
        <f>('rr-soy-notill'!F105-('rr-soy-notill'!F105*0.41))/8</f>
        <v>5310</v>
      </c>
      <c r="E10" s="102">
        <f t="shared" si="0"/>
        <v>3204.9</v>
      </c>
      <c r="F10" s="102">
        <f t="shared" si="1"/>
        <v>267.07499999999999</v>
      </c>
      <c r="G10" s="102">
        <f t="shared" si="2"/>
        <v>534.15</v>
      </c>
      <c r="H10" s="101">
        <f t="shared" si="3"/>
        <v>9316.125</v>
      </c>
      <c r="I10" s="120">
        <f>'rr-soy-notill'!G105</f>
        <v>1000</v>
      </c>
      <c r="J10" s="100">
        <f t="shared" si="4"/>
        <v>9.3161249999999995</v>
      </c>
    </row>
    <row r="11" spans="1:10" x14ac:dyDescent="0.25">
      <c r="A11" s="69" t="s">
        <v>48</v>
      </c>
      <c r="B11" s="69"/>
      <c r="C11" s="106">
        <f>('rr-soy-notill'!F106+('rr-soy-notill'!F106*0.36)+D11)/2</f>
        <v>21600</v>
      </c>
      <c r="D11" s="106">
        <f>('rr-soy-notill'!F106-('rr-soy-notill'!F106*0.36))/8</f>
        <v>2400</v>
      </c>
      <c r="E11" s="106">
        <f t="shared" si="0"/>
        <v>1296</v>
      </c>
      <c r="F11" s="106">
        <f t="shared" si="1"/>
        <v>108</v>
      </c>
      <c r="G11" s="106">
        <f t="shared" si="2"/>
        <v>216</v>
      </c>
      <c r="H11" s="107">
        <f t="shared" si="3"/>
        <v>4020</v>
      </c>
      <c r="I11" s="121">
        <f>'rr-soy-notill'!G106</f>
        <v>2000</v>
      </c>
      <c r="J11" s="108">
        <f t="shared" si="4"/>
        <v>2.0099999999999998</v>
      </c>
    </row>
    <row r="12" spans="1:10" x14ac:dyDescent="0.25">
      <c r="D12" s="88">
        <f>SUM(D2:D11)</f>
        <v>107877.5</v>
      </c>
      <c r="E12" s="88">
        <f>SUM(E2:E11)</f>
        <v>56425.724999999999</v>
      </c>
      <c r="F12" s="88">
        <f>SUM(F2:F11)</f>
        <v>4702.1437500000002</v>
      </c>
      <c r="G12" s="88">
        <f>SUM(G2:G11)</f>
        <v>9404.2875000000004</v>
      </c>
      <c r="H12" s="88">
        <f>SUM(H2:H11)</f>
        <v>178409.65625</v>
      </c>
      <c r="I12" s="8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sqref="A1:I23"/>
    </sheetView>
  </sheetViews>
  <sheetFormatPr defaultRowHeight="12.5" x14ac:dyDescent="0.25"/>
  <cols>
    <col min="3" max="3" width="6.90625" customWidth="1"/>
    <col min="4" max="4" width="13.54296875" customWidth="1"/>
    <col min="7" max="7" width="15.36328125" customWidth="1"/>
    <col min="8" max="8" width="10.90625" customWidth="1"/>
    <col min="9" max="9" width="13.36328125" customWidth="1"/>
  </cols>
  <sheetData>
    <row r="1" spans="1:9" x14ac:dyDescent="0.25">
      <c r="A1" s="200" t="s">
        <v>181</v>
      </c>
      <c r="B1" s="201"/>
      <c r="C1" s="201"/>
      <c r="D1" s="201"/>
      <c r="E1" s="201"/>
      <c r="F1" s="201"/>
      <c r="G1" s="201"/>
      <c r="H1" s="201"/>
      <c r="I1" s="202"/>
    </row>
    <row r="2" spans="1:9" ht="13" thickBot="1" x14ac:dyDescent="0.3">
      <c r="A2" s="203"/>
      <c r="B2" s="204"/>
      <c r="C2" s="204"/>
      <c r="D2" s="204"/>
      <c r="E2" s="204"/>
      <c r="F2" s="204"/>
      <c r="G2" s="204"/>
      <c r="H2" s="204"/>
      <c r="I2" s="205"/>
    </row>
    <row r="3" spans="1:9" ht="20.5" thickTop="1" x14ac:dyDescent="0.4">
      <c r="A3" s="206" t="s">
        <v>90</v>
      </c>
      <c r="B3" s="206"/>
      <c r="C3" s="206"/>
      <c r="D3" s="206" t="s">
        <v>91</v>
      </c>
      <c r="E3" s="206"/>
      <c r="F3" s="206"/>
      <c r="G3" s="207" t="s">
        <v>92</v>
      </c>
      <c r="H3" s="207"/>
      <c r="I3" s="208"/>
    </row>
    <row r="4" spans="1:9" ht="20" x14ac:dyDescent="0.4">
      <c r="A4" s="124" t="s">
        <v>93</v>
      </c>
      <c r="B4" s="125"/>
      <c r="C4" s="123"/>
      <c r="D4" s="123"/>
      <c r="E4" s="123"/>
      <c r="F4" s="123"/>
      <c r="G4" s="162">
        <f>'rr-soy-notill'!L8</f>
        <v>50.5</v>
      </c>
      <c r="H4" s="163"/>
      <c r="I4" s="164">
        <f>'rr-soy-notill'!M8</f>
        <v>60.6</v>
      </c>
    </row>
    <row r="5" spans="1:9" ht="20" x14ac:dyDescent="0.4">
      <c r="A5" s="130" t="s">
        <v>104</v>
      </c>
      <c r="B5" s="130"/>
      <c r="C5" s="127"/>
      <c r="D5" s="133">
        <f>'rr-soy-notill'!$I$11</f>
        <v>9.6</v>
      </c>
      <c r="E5" s="127" t="s">
        <v>94</v>
      </c>
      <c r="F5" s="127"/>
      <c r="G5" s="133">
        <f>'rr-soy-notill'!$L$11</f>
        <v>484.79999999999995</v>
      </c>
      <c r="H5" s="133"/>
      <c r="I5" s="134">
        <f>'rr-soy-notill'!$M$11</f>
        <v>581.76</v>
      </c>
    </row>
    <row r="6" spans="1:9" s="190" customFormat="1" ht="20" x14ac:dyDescent="0.4">
      <c r="A6" s="126" t="s">
        <v>173</v>
      </c>
      <c r="B6" s="126"/>
      <c r="C6" s="126"/>
      <c r="D6" s="143"/>
      <c r="E6" s="126"/>
      <c r="F6" s="126"/>
      <c r="G6" s="143">
        <f>'rr-soy-notill'!$L$12</f>
        <v>0</v>
      </c>
      <c r="H6" s="143"/>
      <c r="I6" s="143">
        <f>'rr-soy-notill'!$M$12</f>
        <v>0</v>
      </c>
    </row>
    <row r="7" spans="1:9" ht="6" customHeight="1" x14ac:dyDescent="0.4">
      <c r="A7" s="123"/>
      <c r="B7" s="123"/>
      <c r="C7" s="123"/>
      <c r="D7" s="128"/>
      <c r="E7" s="123"/>
      <c r="F7" s="140"/>
      <c r="G7" s="142"/>
      <c r="H7" s="142"/>
      <c r="I7" s="142"/>
    </row>
    <row r="8" spans="1:9" ht="20" x14ac:dyDescent="0.4">
      <c r="A8" s="129" t="s">
        <v>95</v>
      </c>
      <c r="B8" s="141"/>
      <c r="C8" s="125"/>
      <c r="D8" s="128"/>
      <c r="E8" s="123"/>
      <c r="F8" s="123"/>
      <c r="G8" s="135"/>
      <c r="H8" s="135"/>
      <c r="I8" s="135"/>
    </row>
    <row r="9" spans="1:9" ht="20" x14ac:dyDescent="0.4">
      <c r="A9" s="130" t="s">
        <v>96</v>
      </c>
      <c r="B9" s="130"/>
      <c r="C9" s="130"/>
      <c r="D9" s="131">
        <f>'rr-soy-notill'!$I$18</f>
        <v>0.371</v>
      </c>
      <c r="E9" s="127" t="s">
        <v>105</v>
      </c>
      <c r="F9" s="127"/>
      <c r="G9" s="133">
        <f>'rr-soy-notill'!$L$18</f>
        <v>64.924999999999997</v>
      </c>
      <c r="H9" s="133"/>
      <c r="I9" s="134">
        <f>'rr-soy-notill'!$M$18</f>
        <v>64.924999999999997</v>
      </c>
    </row>
    <row r="10" spans="1:9" ht="24" x14ac:dyDescent="0.6">
      <c r="A10" s="130" t="s">
        <v>106</v>
      </c>
      <c r="B10" s="130"/>
      <c r="C10" s="130"/>
      <c r="D10" s="144">
        <f>'rr-soy-notill'!$F$67</f>
        <v>455</v>
      </c>
      <c r="E10" s="130" t="s">
        <v>75</v>
      </c>
      <c r="F10" s="130"/>
      <c r="G10" s="136">
        <f>'rr-soy-notill'!$L$20</f>
        <v>17.675000000000004</v>
      </c>
      <c r="H10" s="136"/>
      <c r="I10" s="137">
        <f>'rr-soy-notill'!$M$20</f>
        <v>21.21</v>
      </c>
    </row>
    <row r="11" spans="1:9" ht="24" x14ac:dyDescent="0.6">
      <c r="A11" s="130" t="s">
        <v>107</v>
      </c>
      <c r="B11" s="130"/>
      <c r="C11" s="130"/>
      <c r="D11" s="144">
        <f>'rr-soy-notill'!$J$67</f>
        <v>315</v>
      </c>
      <c r="E11" s="130" t="s">
        <v>75</v>
      </c>
      <c r="F11" s="130"/>
      <c r="G11" s="136">
        <f>'rr-soy-notill'!$L$21</f>
        <v>18.558749999999996</v>
      </c>
      <c r="H11" s="136"/>
      <c r="I11" s="137">
        <f>'rr-soy-notill'!$M$21</f>
        <v>22.270500000000002</v>
      </c>
    </row>
    <row r="12" spans="1:9" ht="20" x14ac:dyDescent="0.4">
      <c r="A12" s="130" t="s">
        <v>97</v>
      </c>
      <c r="B12" s="130"/>
      <c r="C12" s="130"/>
      <c r="D12" s="145"/>
      <c r="E12" s="130"/>
      <c r="F12" s="130"/>
      <c r="G12" s="136">
        <f>SUM('rr-soy-notill'!$L$23:$L$25)</f>
        <v>45.7</v>
      </c>
      <c r="H12" s="136"/>
      <c r="I12" s="137">
        <f>SUM('rr-soy-notill'!$M$23:$M$25)</f>
        <v>45.7</v>
      </c>
    </row>
    <row r="13" spans="1:9" ht="20" x14ac:dyDescent="0.4">
      <c r="A13" s="126" t="s">
        <v>100</v>
      </c>
      <c r="B13" s="126"/>
      <c r="C13" s="126"/>
      <c r="D13" s="132">
        <f>'rr-soy-notill'!$M$111</f>
        <v>2.2000000000000002</v>
      </c>
      <c r="E13" s="126" t="s">
        <v>101</v>
      </c>
      <c r="F13" s="130"/>
      <c r="G13" s="143">
        <f>'rr-soy-notill'!$L$27</f>
        <v>7.1783190569744599</v>
      </c>
      <c r="H13" s="136"/>
      <c r="I13" s="146">
        <f>'rr-soy-notill'!$M$27</f>
        <v>7.1783190569744599</v>
      </c>
    </row>
    <row r="14" spans="1:9" ht="18.75" customHeight="1" x14ac:dyDescent="0.4">
      <c r="A14" s="123"/>
      <c r="B14" s="123"/>
      <c r="C14" s="165" t="s">
        <v>134</v>
      </c>
      <c r="D14" s="123"/>
      <c r="E14" s="123"/>
      <c r="F14" s="138"/>
      <c r="G14" s="136">
        <f>'rr-soy-notill'!L35</f>
        <v>4.0028506623586813</v>
      </c>
      <c r="H14" s="139"/>
      <c r="I14" s="136">
        <f>'rr-soy-notill'!N35</f>
        <v>3.4163909628889266</v>
      </c>
    </row>
    <row r="15" spans="1:9" ht="20" x14ac:dyDescent="0.4">
      <c r="A15" s="129" t="s">
        <v>98</v>
      </c>
      <c r="B15" s="125"/>
      <c r="C15" s="123"/>
      <c r="D15" s="123"/>
      <c r="E15" s="123"/>
      <c r="F15" s="123"/>
      <c r="G15" s="135"/>
      <c r="H15" s="135"/>
      <c r="I15" s="135"/>
    </row>
    <row r="16" spans="1:9" ht="20" x14ac:dyDescent="0.4">
      <c r="A16" s="151" t="s">
        <v>108</v>
      </c>
      <c r="B16" s="151"/>
      <c r="C16" s="151"/>
      <c r="D16" s="151"/>
      <c r="E16" s="151"/>
      <c r="F16" s="151"/>
      <c r="G16" s="133">
        <f>'rr-soy-notill'!L38+'rr-soy-notill'!L39</f>
        <v>54.239999999999995</v>
      </c>
      <c r="H16" s="133"/>
      <c r="I16" s="134">
        <f>'rr-soy-notill'!M38+'rr-soy-notill'!M39</f>
        <v>59.088000000000001</v>
      </c>
    </row>
    <row r="17" spans="1:9" ht="20" x14ac:dyDescent="0.4">
      <c r="A17" s="161" t="s">
        <v>53</v>
      </c>
      <c r="B17" s="161"/>
      <c r="C17" s="161"/>
      <c r="D17" s="161"/>
      <c r="E17" s="161"/>
      <c r="F17" s="161"/>
      <c r="G17" s="136">
        <f>'rr-soy-notill'!L40</f>
        <v>107.88992187499998</v>
      </c>
      <c r="H17" s="136"/>
      <c r="I17" s="137">
        <f>'rr-soy-notill'!M40</f>
        <v>107.88992187499998</v>
      </c>
    </row>
    <row r="18" spans="1:9" ht="20" x14ac:dyDescent="0.4">
      <c r="A18" s="126" t="s">
        <v>99</v>
      </c>
      <c r="B18" s="126"/>
      <c r="C18" s="126"/>
      <c r="D18" s="126"/>
      <c r="E18" s="126"/>
      <c r="F18" s="126"/>
      <c r="G18" s="143">
        <f>'rr-soy-notill'!L41</f>
        <v>187</v>
      </c>
      <c r="H18" s="143"/>
      <c r="I18" s="146">
        <f>'rr-soy-notill'!M41</f>
        <v>239</v>
      </c>
    </row>
    <row r="19" spans="1:9" ht="18.75" customHeight="1" x14ac:dyDescent="0.4">
      <c r="A19" s="123"/>
      <c r="B19" s="123"/>
      <c r="C19" s="165" t="s">
        <v>134</v>
      </c>
      <c r="G19" s="136">
        <f>'rr-soy-notill'!L47</f>
        <v>11.203443174734918</v>
      </c>
      <c r="H19" s="166"/>
      <c r="I19" s="136">
        <f>'rr-soy-notill'!N47</f>
        <v>10.209131638292153</v>
      </c>
    </row>
    <row r="20" spans="1:9" ht="20" x14ac:dyDescent="0.4">
      <c r="A20" s="129" t="s">
        <v>102</v>
      </c>
      <c r="B20" s="125"/>
      <c r="C20" s="123"/>
      <c r="D20" s="123"/>
      <c r="E20" s="123"/>
      <c r="F20" s="123"/>
      <c r="G20" s="135"/>
      <c r="H20" s="135"/>
      <c r="I20" s="135"/>
    </row>
    <row r="21" spans="1:9" ht="20" x14ac:dyDescent="0.4">
      <c r="A21" s="160" t="s">
        <v>127</v>
      </c>
      <c r="B21" s="160"/>
      <c r="C21" s="160"/>
      <c r="D21" s="160"/>
      <c r="E21" s="160"/>
      <c r="F21" s="160"/>
      <c r="G21" s="133">
        <f>'rr-soy-notill'!$L$51</f>
        <v>-80.973880324113452</v>
      </c>
      <c r="H21" s="133"/>
      <c r="I21" s="134">
        <f>'rr-soy-notill'!$M$51</f>
        <v>-49.48144907411347</v>
      </c>
    </row>
    <row r="22" spans="1:9" s="188" customFormat="1" ht="20" x14ac:dyDescent="0.4">
      <c r="A22" s="189" t="s">
        <v>171</v>
      </c>
      <c r="B22" s="189"/>
      <c r="C22" s="189"/>
      <c r="D22" s="189"/>
      <c r="E22" s="189"/>
      <c r="F22" s="189"/>
      <c r="G22" s="136">
        <f>'rr-soy-notill'!$L$49</f>
        <v>282.65604155088658</v>
      </c>
      <c r="H22" s="136"/>
      <c r="I22" s="137">
        <f>'rr-soy-notill'!$M$49</f>
        <v>370.99647280088652</v>
      </c>
    </row>
    <row r="23" spans="1:9" ht="20" x14ac:dyDescent="0.4">
      <c r="A23" s="126" t="s">
        <v>103</v>
      </c>
      <c r="B23" s="126"/>
      <c r="C23" s="126"/>
      <c r="D23" s="126"/>
      <c r="E23" s="126"/>
      <c r="F23" s="126"/>
      <c r="G23" s="143">
        <f>'rr-soy-notill'!$L$52</f>
        <v>106.02611967588655</v>
      </c>
      <c r="H23" s="143"/>
      <c r="I23" s="146">
        <f>'rr-soy-notill'!$M$52</f>
        <v>189.51855092588653</v>
      </c>
    </row>
  </sheetData>
  <mergeCells count="4">
    <mergeCell ref="A1:I2"/>
    <mergeCell ref="A3:C3"/>
    <mergeCell ref="D3:F3"/>
    <mergeCell ref="G3:I3"/>
  </mergeCells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rr-soy-notill</vt:lpstr>
      <vt:lpstr>machinery costs</vt:lpstr>
      <vt:lpstr>Quick Stats</vt:lpstr>
      <vt:lpstr>'rr-soy-notill'!Print_Area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Julie Moose</cp:lastModifiedBy>
  <cp:lastPrinted>2017-09-18T13:07:54Z</cp:lastPrinted>
  <dcterms:created xsi:type="dcterms:W3CDTF">2002-12-27T15:58:24Z</dcterms:created>
  <dcterms:modified xsi:type="dcterms:W3CDTF">2017-09-18T13:08:15Z</dcterms:modified>
</cp:coreProperties>
</file>