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heat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wheat!$A$1:$N$139</definedName>
    <definedName function="false" hidden="false" localSheetId="0" name="_xlnm.Print_Area" vbProcedure="false">wheat!$A$1:$N$139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<sst xmlns="http://schemas.openxmlformats.org/spreadsheetml/2006/main" count="252" uniqueCount="187">
  <si>
    <t xml:space="preserve">WHEAT PRODUCTION BUDGET Conservation Till- 2013</t>
  </si>
  <si>
    <t xml:space="preserve">Grain and Straw Harvested</t>
  </si>
  <si>
    <t xml:space="preserve">Reflects 2000 acres, Conservation Tillage Wheat/Corn/No-Till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</si>
  <si>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</si>
  <si>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</si>
  <si>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</si>
  <si>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</si>
  <si>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</si>
  <si>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</si>
  <si>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</si>
  <si>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</si>
  <si>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</si>
  <si>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</si>
  <si>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</si>
  <si>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</si>
  <si>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Wheat (Grain Only)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</si>
  <si>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</si>
  <si>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t xml:space="preserve">Grower or Market Premium</t>
  </si>
  <si>
    <t xml:space="preserve">Total Wheat Receipts</t>
  </si>
  <si>
    <t xml:space="preserve">VARIABLE  COSTS</t>
  </si>
  <si>
    <t xml:space="preserve">Seed</t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</si>
  <si>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</si>
  <si>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</si>
  <si>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3</t>
    </r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</si>
  <si>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</si>
  <si>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</si>
  <si>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</si>
  <si>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</si>
  <si>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</si>
  <si>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</si>
  <si>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</si>
  <si>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</si>
  <si>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</si>
  <si>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</si>
  <si>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</si>
  <si>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</si>
  <si>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</si>
  <si>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 </t>
    </r>
    <r>
      <rPr>
        <vertAlign val="superscript"/>
        <sz val="10"/>
        <rFont val="Arial"/>
        <family val="2"/>
        <charset val="1"/>
      </rPr>
      <t xml:space="preserve">5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</si>
  <si>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</si>
  <si>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Crop Insurance</t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</si>
  <si>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7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</si>
  <si>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8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</si>
  <si>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</si>
  <si>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</si>
  <si>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</si>
  <si>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</si>
  <si>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</si>
  <si>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</si>
  <si>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</si>
  <si>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hours</t>
  </si>
  <si>
    <t xml:space="preserve">/hr</t>
  </si>
  <si>
    <t xml:space="preserve">Management Charge</t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</si>
  <si>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</si>
  <si>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10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</si>
  <si>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</si>
  <si>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TOTAL FIXED COSTS</t>
  </si>
  <si>
    <t xml:space="preserve">TOTAL COSTS  (Grain Only)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</si>
  <si>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</si>
  <si>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TO LAND</t>
  </si>
  <si>
    <t xml:space="preserve">RETURN ABOVE VARIABLE COSTS</t>
  </si>
  <si>
    <t xml:space="preserve">RETURN ABOVE TOTAL COSTS</t>
  </si>
  <si>
    <t xml:space="preserve">RECEIPTS (Straw Only)</t>
  </si>
  <si>
    <t xml:space="preserve">VARIABLE COSTS (Straw Only)</t>
  </si>
  <si>
    <t xml:space="preserve">Miscellaneous</t>
  </si>
  <si>
    <t xml:space="preserve">TOTAL VARIABLE COSTS- Per Acre</t>
  </si>
  <si>
    <t xml:space="preserve">FIXED COSTS (Straw Only)</t>
  </si>
  <si>
    <t xml:space="preserve">/hour</t>
  </si>
  <si>
    <r>
      <rPr>
        <sz val="10"/>
        <rFont val="Arial"/>
        <family val="2"/>
        <charset val="1"/>
      </rPr>
      <t xml:space="preserve">Mach. &amp; Equip. Charge </t>
    </r>
    <r>
      <rPr>
        <vertAlign val="superscript"/>
        <sz val="10"/>
        <rFont val="Arial"/>
        <family val="2"/>
        <charset val="1"/>
      </rPr>
      <t xml:space="preserve">10</t>
    </r>
  </si>
  <si>
    <t xml:space="preserve">TOTAL COSTS (Straw Only)- Per Acre </t>
  </si>
  <si>
    <r>
      <rPr>
        <b val="true"/>
        <sz val="10"/>
        <rFont val="Arial"/>
        <family val="2"/>
        <charset val="1"/>
      </rPr>
      <t xml:space="preserve">RETURN TO LABOR AND MANAGEMENT (Straw Only)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</si>
  <si>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ABOVE VARIABLE COSTS (Straw Only)</t>
  </si>
  <si>
    <t xml:space="preserve">RETURN ABOVE TOTAL COSTS (Straw Only)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</si>
  <si>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</si>
  <si>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</si>
  <si>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</si>
  <si>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</si>
  <si>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</si>
  <si>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Price is based on current Ohio September Forward contract price</t>
  </si>
  <si>
    <t xml:space="preserve">LDP is calculated as loan rate minus market price. LDP is 0 if market price is greater than loan rate.</t>
  </si>
  <si>
    <t xml:space="preserve">Direct Payments (DP) are calculated by multiplying DP Yields by 85% by the DP Price of $0.52/bu. </t>
  </si>
  <si>
    <t xml:space="preserve">(Direct payments are paid only on 85% of base acres.) Direct payment yields are calculated as 85%,</t>
  </si>
  <si>
    <t xml:space="preserve">80%, and 80% of the Program Yields 50/bushels per acre (bpa), 65/bpa, and 80/bpa, respectively.</t>
  </si>
  <si>
    <t xml:space="preserve">Counter Cyclical Payments (CCP) are calculated and included when market price + DP is less than</t>
  </si>
  <si>
    <t xml:space="preserve">the Target Price of $3.92/bu. Calculation of the CCP is based on Counter Cyclical (CC) Yield multiplied</t>
  </si>
  <si>
    <t xml:space="preserve">by 85% multiplied by the CCP Rate ((Target Price - (Mkt Price + DP)). CC Yield assumed to be 93.5%of </t>
  </si>
  <si>
    <t xml:space="preserve">Program Yield (50,65 and 80 bpa, respectively.)</t>
  </si>
  <si>
    <t xml:space="preserve">Assumes only maintenance application of fertilizer needed, soil test values of 20 PPM P/A and 125 PPM K/A, </t>
  </si>
  <si>
    <t xml:space="preserve">and 20 CEC. Fertilizer prices vary over time and by area.  </t>
  </si>
  <si>
    <t xml:space="preserve">Fertilizer amounts and costs listed are amounts in addition to fertilizer amounts listed for wheat.</t>
  </si>
  <si>
    <t xml:space="preserve">Assumes UAN(28-0-0):</t>
  </si>
  <si>
    <t xml:space="preserve">/ton     MAP(11-52-0):</t>
  </si>
  <si>
    <t xml:space="preserve">/ton     Potash(0-0-60):</t>
  </si>
  <si>
    <t xml:space="preserve">Based on use of Spring application of 0.75 oz of Harmony and 1/2 pint of 2,4-D (4 lb/gal)</t>
  </si>
  <si>
    <t xml:space="preserve">See tables below for specific calculations. Lubrication costs are assumed to be 10% of fuel costs.</t>
  </si>
  <si>
    <t xml:space="preserve">See tables below for specific calculations.</t>
  </si>
  <si>
    <t xml:space="preserve">Includes supplies, utilities, soil tests, small tools, etc… </t>
  </si>
  <si>
    <t xml:space="preserve">Interest on all variable costs, except trucking.</t>
  </si>
  <si>
    <t xml:space="preserve">Part or all of labor may be a variable cost if paid labor varies with acres farmed. </t>
  </si>
  <si>
    <t xml:space="preserve">It's a fixed cost if labor costs do not change with acres farmed. </t>
  </si>
  <si>
    <t xml:space="preserve">Reflects 2000 acres, conservation tillage. Wheat grown 1 out of 5 years. See tables below for specific calculations.</t>
  </si>
  <si>
    <t xml:space="preserve">Average based on "Ohio Cropland Values and Cash Rents" Factsheet</t>
  </si>
  <si>
    <t xml:space="preserve">Land charges vary throughout the state, check your local rates.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</si>
  <si>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</si>
  <si>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</si>
  <si>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Returns do not account for increased returns to corn and soybeans as a result of wheat in the rotation.</t>
  </si>
  <si>
    <t xml:space="preserve">Machinery Inventory - Wheat Only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</si>
  <si>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</si>
  <si>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</si>
  <si>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</si>
  <si>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</si>
  <si>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</si>
  <si>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</si>
  <si>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</si>
  <si>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</si>
  <si>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</si>
  <si>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47 ft. Field Cultivator</t>
  </si>
  <si>
    <t xml:space="preserve">Boom Sprayer, Self. Prop.</t>
  </si>
  <si>
    <t xml:space="preserve">30 Ft. No-Till Drill</t>
  </si>
  <si>
    <t xml:space="preserve">Combine 340 HP</t>
  </si>
  <si>
    <t xml:space="preserve">-----</t>
  </si>
  <si>
    <t xml:space="preserve">30' Grain Head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</si>
  <si>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</si>
  <si>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</si>
  <si>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</si>
  <si>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</si>
  <si>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310 HP Tractor</t>
  </si>
  <si>
    <t xml:space="preserve">260 HP Tractor</t>
  </si>
  <si>
    <t xml:space="preserve">Pickup Truck (1/2)**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</si>
  <si>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</si>
  <si>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</si>
  <si>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</si>
  <si>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</si>
  <si>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</si>
  <si>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</si>
  <si>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</si>
  <si>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</si>
  <si>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</si>
  <si>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</si>
  <si>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</si>
  <si>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</si>
  <si>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Tractor-Trailer and Pickup-Truck).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</si>
  <si>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</si>
  <si>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</si>
  <si>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</si>
  <si>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</si>
  <si>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Machinery Inventory - Straw Only</t>
  </si>
  <si>
    <t xml:space="preserve">Cost </t>
  </si>
  <si>
    <t xml:space="preserve">Hours/Year</t>
  </si>
  <si>
    <t xml:space="preserve">Hay Baler PTO Twine 12 ft.</t>
  </si>
  <si>
    <t xml:space="preserve">Hay Wagon - 2</t>
  </si>
  <si>
    <t xml:space="preserve">Hay Rake (Hyd) 9 ft.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</si>
  <si>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</si>
  <si>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</si>
  <si>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 Inventory Explanations - Wheat Only</t>
  </si>
  <si>
    <t xml:space="preserve">Machinery</t>
  </si>
  <si>
    <t xml:space="preserve">Average Value</t>
  </si>
  <si>
    <t xml:space="preserve">Depreciation</t>
  </si>
  <si>
    <t xml:space="preserve">Cost Cap.</t>
  </si>
  <si>
    <t xml:space="preserve">Insurance</t>
  </si>
  <si>
    <t xml:space="preserve">Housing</t>
  </si>
  <si>
    <t xml:space="preserve">Total</t>
  </si>
  <si>
    <t xml:space="preserve">Acres / Year</t>
  </si>
  <si>
    <t xml:space="preserve">Cost/acre</t>
  </si>
  <si>
    <t xml:space="preserve">Machinery Inventory Explanations - Hay Only</t>
  </si>
  <si>
    <t xml:space="preserve">WHEAT SELECTED BUDGET STATS - 2013</t>
  </si>
  <si>
    <t xml:space="preserve">Item</t>
  </si>
  <si>
    <t xml:space="preserve">Input</t>
  </si>
  <si>
    <t xml:space="preserve">Yield in bushels/acre</t>
  </si>
  <si>
    <t xml:space="preserve">Receipts</t>
  </si>
  <si>
    <t xml:space="preserve">Wheat Price</t>
  </si>
  <si>
    <t xml:space="preserve">/bushel</t>
  </si>
  <si>
    <t xml:space="preserve">Variable Costs</t>
  </si>
  <si>
    <t xml:space="preserve">Seed Cost</t>
  </si>
  <si>
    <t xml:space="preserve">/1000 seeds</t>
  </si>
  <si>
    <t xml:space="preserve">N (UAN)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</si>
  <si>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</si>
  <si>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</si>
  <si>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</si>
  <si>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</si>
  <si>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</si>
  <si>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Fixed Costs</t>
  </si>
  <si>
    <t xml:space="preserve">Labor and Management</t>
  </si>
  <si>
    <t xml:space="preserve">Land Rent</t>
  </si>
  <si>
    <t xml:space="preserve">Breakeven Cost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</si>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</sst>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#,##0"/>
    <numFmt numFmtId="171" formatCode="0.0000"/>
    <numFmt numFmtId="172" formatCode="0.0"/>
    <numFmt numFmtId="173" formatCode="#,##0.000"/>
    <numFmt numFmtId="174" formatCode="0.0%"/>
    <numFmt numFmtId="175" formatCode="0%"/>
    <numFmt numFmtId="176" formatCode="\$#,##0"/>
    <numFmt numFmtId="177" formatCode="_(\$* #,##0.00_);_(\$* \(#,##0.00\);_(\$* \-??_);_(@_)"/>
    <numFmt numFmtId="178" formatCode="#,##0.00_);\(#,##0.00\)"/>
    <numFmt numFmtId="179" formatCode="_(* #,##0.00_);_(* \(#,##0.00\);_(* \-??_);_(@_)"/>
    <numFmt numFmtId="180" formatCode="_(* #,##0_);_(* \(#,##0\);_(* \-??_);_(@_)"/>
    <numFmt numFmtId="181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EBF1DE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8EB4E3"/>
        <bgColor rgb="FF9999FF"/>
      </patternFill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  <fill>
      <patternFill patternType="solid">
        <fgColor rgb="FFEBF1D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3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D7E4B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76320</xdr:rowOff>
    </xdr:from>
    <xdr:to>
      <xdr:col>2</xdr:col>
      <xdr:colOff>393480</xdr:colOff>
      <xdr:row>4</xdr:row>
      <xdr:rowOff>88560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8000" y="76320"/>
          <a:ext cx="647280" cy="7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8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5"/>
  <cols>
    <col collapsed="false" hidden="false" max="2" min="1" style="0" width="2.56632653061224"/>
    <col collapsed="false" hidden="false" max="5" min="3" style="0" width="8.50510204081633"/>
    <col collapsed="false" hidden="false" max="6" min="6" style="0" width="9.98979591836735"/>
    <col collapsed="false" hidden="false" max="7" min="7" style="0" width="9.17857142857143"/>
    <col collapsed="false" hidden="false" max="8" min="8" style="0" width="9.58673469387755"/>
    <col collapsed="false" hidden="false" max="9" min="9" style="0" width="7.83163265306122"/>
    <col collapsed="false" hidden="false" max="10" min="10" style="0" width="7.69387755102041"/>
    <col collapsed="false" hidden="false" max="11" min="11" style="1" width="6.88265306122449"/>
    <col collapsed="false" hidden="false" max="12" min="12" style="1" width="7.1530612244898"/>
    <col collapsed="false" hidden="false" max="13" min="13" style="1" width="6.88265306122449"/>
    <col collapsed="false" hidden="false" max="14" min="14" style="0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" hidden="false" customHeight="false" outlineLevel="0" collapsed="false"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2.5" hidden="false" customHeight="false" outlineLevel="0" collapsed="false">
      <c r="D3" s="5" t="s">
        <v>2</v>
      </c>
      <c r="E3" s="5"/>
      <c r="F3" s="5"/>
      <c r="G3" s="5"/>
      <c r="H3" s="5"/>
      <c r="I3" s="5"/>
      <c r="J3" s="5"/>
      <c r="K3" s="5"/>
      <c r="L3" s="5"/>
      <c r="M3" s="0"/>
    </row>
    <row r="4" customFormat="false" ht="15.75" hidden="false" customHeight="true" outlineLevel="0" collapsed="false">
      <c r="D4" s="6"/>
      <c r="E4" s="7"/>
      <c r="G4" s="7"/>
      <c r="H4" s="7"/>
      <c r="I4" s="7"/>
      <c r="K4" s="8" t="s">
        <v>3</v>
      </c>
      <c r="L4" s="0"/>
      <c r="M4" s="9" t="n">
        <v>41355</v>
      </c>
      <c r="N4" s="9"/>
    </row>
    <row r="5" s="10" customFormat="true" ht="15.75" hidden="false" customHeight="true" outlineLevel="0" collapsed="false">
      <c r="C5" s="11"/>
      <c r="D5" s="11"/>
      <c r="E5" s="11"/>
      <c r="F5" s="7"/>
      <c r="G5" s="6"/>
      <c r="H5" s="6"/>
      <c r="I5" s="12"/>
      <c r="J5" s="11"/>
      <c r="K5" s="11"/>
      <c r="L5" s="11"/>
      <c r="M5" s="11"/>
    </row>
    <row r="6" s="16" customFormat="true" ht="13" hidden="false" customHeight="false" outlineLevel="0" collapsed="false">
      <c r="A6" s="13" t="s">
        <v>4</v>
      </c>
      <c r="B6" s="13"/>
      <c r="C6" s="13"/>
      <c r="D6" s="13"/>
      <c r="E6" s="14"/>
      <c r="F6" s="13" t="s">
        <v>5</v>
      </c>
      <c r="G6" s="13"/>
      <c r="H6" s="13" t="s">
        <v>6</v>
      </c>
      <c r="I6" s="13" t="s">
        <v>7</v>
      </c>
      <c r="J6" s="13"/>
      <c r="K6" s="15" t="s">
        <v>8</v>
      </c>
      <c r="L6" s="15"/>
      <c r="M6" s="15"/>
      <c r="N6" s="13" t="s">
        <v>9</v>
      </c>
    </row>
    <row r="7" customFormat="false" ht="13" hidden="false" customHeight="false" outlineLevel="0" collapsed="false">
      <c r="H7" s="3" t="s">
        <v>10</v>
      </c>
      <c r="I7" s="3" t="s">
        <v>11</v>
      </c>
      <c r="J7" s="3"/>
      <c r="K7" s="17"/>
      <c r="L7" s="17"/>
      <c r="M7" s="17"/>
      <c r="N7" s="3" t="s">
        <v>12</v>
      </c>
    </row>
    <row r="8" customFormat="false" ht="13" hidden="false" customHeight="false" outlineLevel="0" collapsed="false">
      <c r="A8" s="18"/>
      <c r="B8" s="18"/>
      <c r="C8" s="18"/>
      <c r="D8" s="18"/>
      <c r="E8" s="18"/>
      <c r="F8" s="18"/>
      <c r="G8" s="18"/>
      <c r="H8" s="18" t="s">
        <v>13</v>
      </c>
      <c r="I8" s="18"/>
      <c r="J8" s="18"/>
      <c r="K8" s="19" t="n">
        <v>56</v>
      </c>
      <c r="L8" s="19" t="n">
        <v>70</v>
      </c>
      <c r="M8" s="19" t="n">
        <v>84</v>
      </c>
      <c r="N8" s="20" t="n">
        <v>91</v>
      </c>
    </row>
    <row r="9" s="10" customFormat="true" ht="13" hidden="false" customHeight="false" outlineLevel="0" collapsed="false">
      <c r="A9" s="21" t="s">
        <v>14</v>
      </c>
      <c r="K9" s="1"/>
      <c r="L9" s="1"/>
      <c r="M9" s="1"/>
    </row>
    <row r="10" customFormat="false" ht="15" hidden="false" customHeight="false" outlineLevel="0" collapsed="false">
      <c r="B10" s="10" t="s">
        <v>15</v>
      </c>
      <c r="C10" s="10"/>
      <c r="D10" s="10"/>
      <c r="E10" s="10"/>
      <c r="F10" s="10"/>
      <c r="G10" s="10"/>
      <c r="H10" s="10"/>
      <c r="I10" s="22" t="n">
        <v>6.9</v>
      </c>
      <c r="J10" s="0" t="s">
        <v>16</v>
      </c>
      <c r="K10" s="23" t="n">
        <f aca="false">+$I$10*K8</f>
        <v>386.4</v>
      </c>
      <c r="L10" s="23" t="n">
        <f aca="false">+$I$10*L8</f>
        <v>483</v>
      </c>
      <c r="M10" s="23" t="n">
        <f aca="false">+$I$10*M8</f>
        <v>579.6</v>
      </c>
      <c r="N10" s="24" t="n">
        <f aca="false">+$I$10*N8</f>
        <v>627.9</v>
      </c>
    </row>
    <row r="11" customFormat="false" ht="13" hidden="false" customHeight="false" outlineLevel="0" collapsed="false">
      <c r="B11" s="6" t="s">
        <v>17</v>
      </c>
      <c r="I11" s="25"/>
      <c r="K11" s="23" t="n">
        <v>0</v>
      </c>
      <c r="L11" s="23" t="n">
        <v>0</v>
      </c>
      <c r="M11" s="23" t="n">
        <v>0</v>
      </c>
      <c r="N11" s="24" t="n">
        <v>0</v>
      </c>
    </row>
    <row r="12" customFormat="false" ht="13" hidden="false" customHeight="false" outlineLevel="0" collapsed="false">
      <c r="B12" s="6"/>
      <c r="C12" s="6"/>
      <c r="D12" s="6"/>
      <c r="E12" s="26"/>
      <c r="F12" s="26"/>
      <c r="G12" s="26"/>
      <c r="H12" s="26"/>
      <c r="I12" s="27"/>
      <c r="J12" s="26"/>
      <c r="K12" s="28"/>
      <c r="L12" s="28"/>
      <c r="M12" s="28"/>
      <c r="N12" s="29"/>
    </row>
    <row r="13" customFormat="false" ht="13" hidden="false" customHeight="false" outlineLevel="0" collapsed="false">
      <c r="A13" s="21" t="s">
        <v>18</v>
      </c>
      <c r="B13" s="6"/>
      <c r="C13" s="6"/>
      <c r="D13" s="6"/>
      <c r="E13" s="26"/>
      <c r="F13" s="26"/>
      <c r="G13" s="26"/>
      <c r="H13" s="26"/>
      <c r="I13" s="27"/>
      <c r="J13" s="26"/>
      <c r="K13" s="28" t="n">
        <f aca="false">SUM(K10:K11)</f>
        <v>386.4</v>
      </c>
      <c r="L13" s="28" t="n">
        <f aca="false">SUM(L10:L11)</f>
        <v>483</v>
      </c>
      <c r="M13" s="28" t="n">
        <f aca="false">SUM(M10:M11)</f>
        <v>579.6</v>
      </c>
      <c r="N13" s="24" t="n">
        <f aca="false">SUM(N10:N11)</f>
        <v>627.9</v>
      </c>
    </row>
    <row r="14" customFormat="false" ht="13" hidden="false" customHeight="false" outlineLevel="0" collapsed="false">
      <c r="A14" s="21" t="s">
        <v>19</v>
      </c>
      <c r="K14" s="23"/>
      <c r="L14" s="23"/>
      <c r="M14" s="23"/>
      <c r="N14" s="29"/>
    </row>
    <row r="15" customFormat="false" ht="13" hidden="false" customHeight="false" outlineLevel="0" collapsed="false">
      <c r="B15" s="0" t="s">
        <v>20</v>
      </c>
      <c r="F15" s="30" t="n">
        <v>1400000</v>
      </c>
      <c r="G15" s="0" t="s">
        <v>21</v>
      </c>
      <c r="H15" s="31" t="n">
        <v>1400000</v>
      </c>
      <c r="I15" s="32" t="n">
        <v>0.03</v>
      </c>
      <c r="J15" s="0" t="s">
        <v>22</v>
      </c>
      <c r="K15" s="23" t="n">
        <f aca="false">$F$15/1000*$I$15</f>
        <v>42</v>
      </c>
      <c r="L15" s="23" t="n">
        <f aca="false">$F$15/1000*$I$15</f>
        <v>42</v>
      </c>
      <c r="M15" s="23" t="n">
        <f aca="false">$F$15/1000*$I$15</f>
        <v>42</v>
      </c>
      <c r="N15" s="24" t="n">
        <f aca="false">$F$15/1000*$I$15</f>
        <v>42</v>
      </c>
    </row>
    <row r="16" customFormat="false" ht="15" hidden="false" customHeight="false" outlineLevel="0" collapsed="false">
      <c r="B16" s="0" t="s">
        <v>23</v>
      </c>
      <c r="H16" s="33"/>
      <c r="I16" s="33"/>
      <c r="J16" s="0" t="s">
        <v>21</v>
      </c>
      <c r="K16" s="23"/>
      <c r="L16" s="23"/>
      <c r="M16" s="23"/>
      <c r="N16" s="29"/>
    </row>
    <row r="17" customFormat="false" ht="13" hidden="false" customHeight="false" outlineLevel="0" collapsed="false">
      <c r="C17" s="0" t="s">
        <v>24</v>
      </c>
      <c r="E17" s="34" t="n">
        <f aca="false">40+(1.75*(K8-50))</f>
        <v>50.5</v>
      </c>
      <c r="F17" s="34" t="n">
        <f aca="false">40+(1.75*(L8-50))</f>
        <v>75</v>
      </c>
      <c r="G17" s="34" t="n">
        <f aca="false">40+(1.75*(M8-50))</f>
        <v>99.5</v>
      </c>
      <c r="H17" s="35" t="n">
        <f aca="false">40+(1.75*(N8-50))</f>
        <v>111.75</v>
      </c>
      <c r="I17" s="36" t="n">
        <f aca="false">F86/560</f>
        <v>0.705357142857143</v>
      </c>
      <c r="J17" s="0" t="s">
        <v>25</v>
      </c>
      <c r="K17" s="23" t="n">
        <f aca="false">+$I$17*E17</f>
        <v>35.6205357142857</v>
      </c>
      <c r="L17" s="23" t="n">
        <f aca="false">+$I$17*F17</f>
        <v>52.9017857142857</v>
      </c>
      <c r="M17" s="23" t="n">
        <f aca="false">+$I$17*G17</f>
        <v>70.1830357142857</v>
      </c>
      <c r="N17" s="24" t="n">
        <f aca="false">+$I$17*H17</f>
        <v>78.8236607142857</v>
      </c>
    </row>
    <row r="18" customFormat="false" ht="15.5" hidden="false" customHeight="false" outlineLevel="0" collapsed="false">
      <c r="C18" s="0" t="s">
        <v>26</v>
      </c>
      <c r="E18" s="34" t="n">
        <f aca="false">K8*0.63</f>
        <v>35.28</v>
      </c>
      <c r="F18" s="34" t="n">
        <f aca="false">L8*0.63</f>
        <v>44.1</v>
      </c>
      <c r="G18" s="34" t="n">
        <f aca="false">M8*0.63</f>
        <v>52.92</v>
      </c>
      <c r="H18" s="35" t="n">
        <f aca="false">N8*0.63</f>
        <v>57.33</v>
      </c>
      <c r="I18" s="36" t="n">
        <f aca="false">I86/1040</f>
        <v>0.625</v>
      </c>
      <c r="J18" s="0" t="s">
        <v>25</v>
      </c>
      <c r="K18" s="23" t="n">
        <f aca="false">+$I$18*E18</f>
        <v>22.05</v>
      </c>
      <c r="L18" s="23" t="n">
        <f aca="false">+$I$18*F18</f>
        <v>27.5625</v>
      </c>
      <c r="M18" s="23" t="n">
        <f aca="false">+$I$18*G18</f>
        <v>33.075</v>
      </c>
      <c r="N18" s="24" t="n">
        <f aca="false">+$I$18*H18</f>
        <v>35.83125</v>
      </c>
    </row>
    <row r="19" customFormat="false" ht="15.5" hidden="false" customHeight="false" outlineLevel="0" collapsed="false">
      <c r="C19" s="0" t="s">
        <v>27</v>
      </c>
      <c r="E19" s="34" t="n">
        <f aca="false">(K8*0.37)+20</f>
        <v>40.72</v>
      </c>
      <c r="F19" s="34" t="n">
        <f aca="false">(L8*0.37)+20</f>
        <v>45.9</v>
      </c>
      <c r="G19" s="34" t="n">
        <f aca="false">(M8*0.37)+20</f>
        <v>51.08</v>
      </c>
      <c r="H19" s="35" t="n">
        <f aca="false">(N8*0.37)+20</f>
        <v>53.67</v>
      </c>
      <c r="I19" s="36" t="n">
        <f aca="false">M86/1200</f>
        <v>0.479166666666667</v>
      </c>
      <c r="J19" s="0" t="s">
        <v>25</v>
      </c>
      <c r="K19" s="23" t="n">
        <f aca="false">+$I$19*E19</f>
        <v>19.5116666666667</v>
      </c>
      <c r="L19" s="23" t="n">
        <f aca="false">+$I$19*F19</f>
        <v>21.99375</v>
      </c>
      <c r="M19" s="23" t="n">
        <f aca="false">+$I$19*G19</f>
        <v>24.4758333333333</v>
      </c>
      <c r="N19" s="24" t="n">
        <f aca="false">+$I$19*H19</f>
        <v>25.716875</v>
      </c>
    </row>
    <row r="20" customFormat="false" ht="13" hidden="false" customHeight="false" outlineLevel="0" collapsed="false">
      <c r="C20" s="0" t="s">
        <v>28</v>
      </c>
      <c r="F20" s="37" t="n">
        <v>0.25</v>
      </c>
      <c r="H20" s="33"/>
      <c r="I20" s="37" t="n">
        <v>25</v>
      </c>
      <c r="J20" s="0" t="s">
        <v>29</v>
      </c>
      <c r="K20" s="23" t="n">
        <f aca="false">+F20*I20</f>
        <v>6.25</v>
      </c>
      <c r="L20" s="23" t="n">
        <f aca="false">+F20*I20</f>
        <v>6.25</v>
      </c>
      <c r="M20" s="23" t="n">
        <f aca="false">+$F$20*$I$20</f>
        <v>6.25</v>
      </c>
      <c r="N20" s="24" t="n">
        <f aca="false">+$F$20*$I$20</f>
        <v>6.25</v>
      </c>
    </row>
    <row r="21" customFormat="false" ht="15" hidden="false" customHeight="false" outlineLevel="0" collapsed="false">
      <c r="B21" s="0" t="s">
        <v>30</v>
      </c>
      <c r="D21" s="6" t="s">
        <v>31</v>
      </c>
      <c r="H21" s="33"/>
      <c r="I21" s="33"/>
      <c r="K21" s="23" t="n">
        <v>13</v>
      </c>
      <c r="L21" s="23" t="n">
        <v>13</v>
      </c>
      <c r="M21" s="23" t="n">
        <v>13</v>
      </c>
      <c r="N21" s="38" t="n">
        <v>13</v>
      </c>
    </row>
    <row r="22" customFormat="false" ht="13" hidden="false" customHeight="false" outlineLevel="0" collapsed="false">
      <c r="D22" s="6" t="s">
        <v>32</v>
      </c>
      <c r="H22" s="33"/>
      <c r="I22" s="33"/>
      <c r="K22" s="23" t="n">
        <v>0</v>
      </c>
      <c r="L22" s="23" t="n">
        <v>0</v>
      </c>
      <c r="M22" s="23" t="n">
        <v>0</v>
      </c>
      <c r="N22" s="38" t="n">
        <v>0</v>
      </c>
      <c r="O22" s="23"/>
    </row>
    <row r="23" customFormat="false" ht="13" hidden="false" customHeight="false" outlineLevel="0" collapsed="false">
      <c r="D23" s="6" t="s">
        <v>33</v>
      </c>
      <c r="H23" s="33"/>
      <c r="I23" s="33"/>
      <c r="K23" s="23" t="n">
        <v>0</v>
      </c>
      <c r="L23" s="23" t="n">
        <v>0</v>
      </c>
      <c r="M23" s="23" t="n">
        <v>0</v>
      </c>
      <c r="N23" s="38" t="n">
        <v>0</v>
      </c>
    </row>
    <row r="24" customFormat="false" ht="13" hidden="false" customHeight="false" outlineLevel="0" collapsed="false">
      <c r="B24" s="0" t="s">
        <v>34</v>
      </c>
      <c r="F24" s="39" t="n">
        <v>4</v>
      </c>
      <c r="G24" s="6" t="s">
        <v>35</v>
      </c>
      <c r="H24" s="6"/>
      <c r="I24" s="31" t="n">
        <v>30</v>
      </c>
      <c r="J24" s="6" t="s">
        <v>36</v>
      </c>
      <c r="K24" s="40" t="n">
        <f aca="false">(((($I$24/6)*$F$24)/900)*K8)+(((($I$24/6)*$F$24)/900)*K8)*0.1</f>
        <v>1.36888888888889</v>
      </c>
      <c r="L24" s="40" t="n">
        <f aca="false">(((($I$24/6)*$F$24)/900)*L8)+(((($I$24/6)*$F$24)/900)*L8)*0.1</f>
        <v>1.71111111111111</v>
      </c>
      <c r="M24" s="40" t="n">
        <f aca="false">(((($I$24/6)*$F$24)/900)*M8)+(((($I$24/6)*$F$24)/900)*M8)*0.1</f>
        <v>2.05333333333333</v>
      </c>
      <c r="N24" s="41" t="n">
        <f aca="false">(((($I$24/6)*$F$24)/900)*N8)+(((($I$24/6)*$F$24)/900)*N8)*0.1</f>
        <v>2.22444444444444</v>
      </c>
    </row>
    <row r="25" customFormat="false" ht="15" hidden="false" customHeight="false" outlineLevel="0" collapsed="false">
      <c r="B25" s="0" t="s">
        <v>37</v>
      </c>
      <c r="K25" s="23" t="n">
        <f aca="false">$K$115</f>
        <v>16.6410588235294</v>
      </c>
      <c r="L25" s="23" t="n">
        <f aca="false">$K$115</f>
        <v>16.6410588235294</v>
      </c>
      <c r="M25" s="23" t="n">
        <f aca="false">$K$115</f>
        <v>16.6410588235294</v>
      </c>
      <c r="N25" s="24" t="n">
        <f aca="false">$K$115</f>
        <v>16.6410588235294</v>
      </c>
    </row>
    <row r="26" customFormat="false" ht="15" hidden="false" customHeight="false" outlineLevel="0" collapsed="false">
      <c r="B26" s="0" t="s">
        <v>38</v>
      </c>
      <c r="K26" s="23" t="n">
        <f aca="false">+$M$115</f>
        <v>14.3851663702983</v>
      </c>
      <c r="L26" s="23" t="n">
        <f aca="false">+$M$115</f>
        <v>14.3851663702983</v>
      </c>
      <c r="M26" s="23" t="n">
        <f aca="false">+$M$115</f>
        <v>14.3851663702983</v>
      </c>
      <c r="N26" s="24" t="n">
        <f aca="false">+$M$115</f>
        <v>14.3851663702983</v>
      </c>
    </row>
    <row r="27" customFormat="false" ht="13" hidden="false" customHeight="false" outlineLevel="0" collapsed="false">
      <c r="B27" s="0" t="s">
        <v>39</v>
      </c>
      <c r="K27" s="23" t="n">
        <v>14</v>
      </c>
      <c r="L27" s="23" t="n">
        <v>14</v>
      </c>
      <c r="M27" s="23" t="n">
        <v>14</v>
      </c>
      <c r="N27" s="38" t="n">
        <v>15</v>
      </c>
    </row>
    <row r="28" customFormat="false" ht="15" hidden="false" customHeight="false" outlineLevel="0" collapsed="false">
      <c r="B28" s="0" t="s">
        <v>40</v>
      </c>
      <c r="K28" s="23" t="n">
        <v>6</v>
      </c>
      <c r="L28" s="23" t="n">
        <v>6</v>
      </c>
      <c r="M28" s="23" t="n">
        <v>6</v>
      </c>
      <c r="N28" s="38" t="n">
        <v>6</v>
      </c>
    </row>
    <row r="29" customFormat="false" ht="15" hidden="false" customHeight="false" outlineLevel="0" collapsed="false">
      <c r="B29" s="0" t="s">
        <v>41</v>
      </c>
      <c r="E29" s="42"/>
      <c r="F29" s="43" t="n">
        <v>8</v>
      </c>
      <c r="G29" s="0" t="s">
        <v>42</v>
      </c>
      <c r="I29" s="44" t="n">
        <v>0.04</v>
      </c>
      <c r="K29" s="23" t="n">
        <f aca="false">(SUM(K15:K28)-K24)*$I$29*($F$29/12)</f>
        <v>5.05222473532747</v>
      </c>
      <c r="L29" s="23" t="n">
        <f aca="false">(SUM(L15:L28)-L24)*$I$29*($F$29/12)</f>
        <v>5.72624695754969</v>
      </c>
      <c r="M29" s="23" t="n">
        <f aca="false">(SUM(M15:M28)-M24)*$I$29*($F$29/12)</f>
        <v>6.40026917977191</v>
      </c>
      <c r="N29" s="24" t="n">
        <f aca="false">(SUM(N15:N28)-N24)*$I$29*($F$29/12)</f>
        <v>6.76394695754969</v>
      </c>
    </row>
    <row r="30" customFormat="false" ht="15" hidden="false" customHeight="false" outlineLevel="0" collapsed="false">
      <c r="B30" s="0" t="s">
        <v>43</v>
      </c>
      <c r="K30" s="23" t="n">
        <v>0</v>
      </c>
      <c r="L30" s="23" t="n">
        <v>0</v>
      </c>
      <c r="M30" s="23" t="n">
        <v>0</v>
      </c>
      <c r="N30" s="38" t="n">
        <v>0</v>
      </c>
    </row>
    <row r="31" customFormat="false" ht="13" hidden="false" customHeight="false" outlineLevel="0" collapsed="false">
      <c r="K31" s="45"/>
      <c r="L31" s="45"/>
      <c r="M31" s="45"/>
      <c r="N31" s="46"/>
    </row>
    <row r="32" customFormat="false" ht="13" hidden="false" customHeight="false" outlineLevel="0" collapsed="false">
      <c r="A32" s="21" t="s">
        <v>44</v>
      </c>
      <c r="F32" s="21" t="s">
        <v>45</v>
      </c>
      <c r="K32" s="23" t="n">
        <f aca="false">SUM(K15:K31)</f>
        <v>195.879541198996</v>
      </c>
      <c r="L32" s="23" t="n">
        <f aca="false">SUM(L15:L31)</f>
        <v>222.171618976774</v>
      </c>
      <c r="M32" s="23" t="n">
        <f aca="false">SUM(M15:M31)</f>
        <v>248.463696754552</v>
      </c>
      <c r="N32" s="24" t="n">
        <f aca="false">SUM(N15:N31)</f>
        <v>262.636402310108</v>
      </c>
    </row>
    <row r="33" customFormat="false" ht="13" hidden="false" customHeight="false" outlineLevel="0" collapsed="false">
      <c r="F33" s="21" t="s">
        <v>46</v>
      </c>
      <c r="K33" s="23" t="n">
        <f aca="false">+K32/K8</f>
        <v>3.49784894998208</v>
      </c>
      <c r="L33" s="23" t="n">
        <f aca="false">+L32/L8</f>
        <v>3.17388027109677</v>
      </c>
      <c r="M33" s="23" t="n">
        <f aca="false">+M32/M8</f>
        <v>2.9579011518399</v>
      </c>
      <c r="N33" s="24" t="n">
        <f aca="false">+N32/N8</f>
        <v>2.88611431110008</v>
      </c>
    </row>
    <row r="34" customFormat="false" ht="13" hidden="false" customHeight="false" outlineLevel="0" collapsed="false">
      <c r="A34" s="21" t="s">
        <v>47</v>
      </c>
      <c r="K34" s="23"/>
      <c r="L34" s="23"/>
      <c r="M34" s="23"/>
      <c r="N34" s="29"/>
    </row>
    <row r="35" customFormat="false" ht="15" hidden="false" customHeight="false" outlineLevel="0" collapsed="false">
      <c r="B35" s="0" t="s">
        <v>48</v>
      </c>
      <c r="F35" s="37" t="n">
        <v>1.5</v>
      </c>
      <c r="G35" s="0" t="s">
        <v>49</v>
      </c>
      <c r="I35" s="47" t="n">
        <v>15</v>
      </c>
      <c r="J35" s="0" t="s">
        <v>50</v>
      </c>
      <c r="K35" s="23" t="n">
        <f aca="false">+$F$35*$I$35</f>
        <v>22.5</v>
      </c>
      <c r="L35" s="23" t="n">
        <f aca="false">+$F$35*$I$35</f>
        <v>22.5</v>
      </c>
      <c r="M35" s="23" t="n">
        <f aca="false">+$F$35*$I$35</f>
        <v>22.5</v>
      </c>
      <c r="N35" s="24" t="n">
        <f aca="false">+$F$35*$I$35</f>
        <v>22.5</v>
      </c>
    </row>
    <row r="36" customFormat="false" ht="13" hidden="false" customHeight="false" outlineLevel="0" collapsed="false">
      <c r="B36" s="0" t="s">
        <v>51</v>
      </c>
      <c r="F36" s="48" t="n">
        <v>0.05</v>
      </c>
      <c r="G36" s="0" t="s">
        <v>52</v>
      </c>
      <c r="K36" s="23" t="n">
        <f aca="false">$F$36*K10</f>
        <v>19.32</v>
      </c>
      <c r="L36" s="23" t="n">
        <f aca="false">$F$36*L10</f>
        <v>24.15</v>
      </c>
      <c r="M36" s="23" t="n">
        <f aca="false">$F$36*M10</f>
        <v>28.98</v>
      </c>
      <c r="N36" s="24" t="n">
        <f aca="false">$F$36*N10</f>
        <v>31.395</v>
      </c>
    </row>
    <row r="37" customFormat="false" ht="15" hidden="false" customHeight="false" outlineLevel="0" collapsed="false">
      <c r="B37" s="0" t="s">
        <v>53</v>
      </c>
      <c r="K37" s="23" t="n">
        <f aca="false">+$I$115</f>
        <v>99.0806197916667</v>
      </c>
      <c r="L37" s="23" t="n">
        <f aca="false">+$I$115</f>
        <v>99.0806197916667</v>
      </c>
      <c r="M37" s="23" t="n">
        <f aca="false">+$I$115</f>
        <v>99.0806197916667</v>
      </c>
      <c r="N37" s="24" t="n">
        <f aca="false">+$I$115</f>
        <v>99.0806197916667</v>
      </c>
    </row>
    <row r="38" customFormat="false" ht="15" hidden="false" customHeight="false" outlineLevel="0" collapsed="false">
      <c r="B38" s="0" t="s">
        <v>54</v>
      </c>
      <c r="K38" s="28" t="n">
        <v>150</v>
      </c>
      <c r="L38" s="28" t="n">
        <v>195</v>
      </c>
      <c r="M38" s="28" t="n">
        <v>250</v>
      </c>
      <c r="N38" s="38" t="n">
        <v>250</v>
      </c>
    </row>
    <row r="39" customFormat="false" ht="13" hidden="false" customHeight="false" outlineLevel="0" collapsed="false">
      <c r="K39" s="45"/>
      <c r="L39" s="45"/>
      <c r="M39" s="45"/>
      <c r="N39" s="46"/>
    </row>
    <row r="40" customFormat="false" ht="13" hidden="false" customHeight="false" outlineLevel="0" collapsed="false">
      <c r="A40" s="21" t="s">
        <v>55</v>
      </c>
      <c r="K40" s="23" t="n">
        <f aca="false">SUM(K35:K39)</f>
        <v>290.900619791667</v>
      </c>
      <c r="L40" s="23" t="n">
        <f aca="false">SUM(L35:L39)</f>
        <v>340.730619791667</v>
      </c>
      <c r="M40" s="23" t="n">
        <f aca="false">SUM(M35:M39)</f>
        <v>400.560619791667</v>
      </c>
      <c r="N40" s="24" t="n">
        <f aca="false">SUM(N35:N39)</f>
        <v>402.975619791667</v>
      </c>
    </row>
    <row r="41" customFormat="false" ht="13" hidden="false" customHeight="false" outlineLevel="0" collapsed="false">
      <c r="K41" s="23"/>
      <c r="L41" s="23"/>
      <c r="M41" s="23"/>
      <c r="N41" s="29"/>
    </row>
    <row r="42" customFormat="false" ht="13" hidden="false" customHeight="false" outlineLevel="0" collapsed="false">
      <c r="A42" s="21" t="s">
        <v>56</v>
      </c>
      <c r="F42" s="21" t="s">
        <v>45</v>
      </c>
      <c r="K42" s="23" t="n">
        <f aca="false">+K32+K40</f>
        <v>486.780160990663</v>
      </c>
      <c r="L42" s="23" t="n">
        <f aca="false">+L32+L40</f>
        <v>562.902238768441</v>
      </c>
      <c r="M42" s="23" t="n">
        <f aca="false">+M32+M40</f>
        <v>649.024316546219</v>
      </c>
      <c r="N42" s="24" t="n">
        <f aca="false">+N32+N40</f>
        <v>665.612022101774</v>
      </c>
    </row>
    <row r="43" customFormat="false" ht="13" hidden="false" customHeight="false" outlineLevel="0" collapsed="false">
      <c r="A43" s="21"/>
      <c r="F43" s="21" t="s">
        <v>46</v>
      </c>
      <c r="K43" s="49" t="n">
        <f aca="false">+(K40/45)+K33</f>
        <v>9.96230716757467</v>
      </c>
      <c r="L43" s="49" t="n">
        <f aca="false">+(L40/60)+L33</f>
        <v>8.85272393429122</v>
      </c>
      <c r="M43" s="49" t="n">
        <f aca="false">+(M40/75)+M33</f>
        <v>8.29870941572879</v>
      </c>
      <c r="N43" s="50" t="n">
        <f aca="false">+(N40/75)+N33</f>
        <v>8.25912257498897</v>
      </c>
    </row>
    <row r="44" customFormat="false" ht="15" hidden="false" customHeight="false" outlineLevel="0" collapsed="false">
      <c r="A44" s="21" t="s">
        <v>57</v>
      </c>
      <c r="K44" s="23" t="n">
        <f aca="false">+K47+K36+K35</f>
        <v>-58.5601609906631</v>
      </c>
      <c r="L44" s="23" t="n">
        <f aca="false">+L47+L36+L35</f>
        <v>-33.2522387684408</v>
      </c>
      <c r="M44" s="23" t="n">
        <f aca="false">+M47+M36+M35</f>
        <v>-17.9443165462186</v>
      </c>
      <c r="N44" s="51" t="n">
        <f aca="false">+N47+N36+N35</f>
        <v>16.1829778982257</v>
      </c>
    </row>
    <row r="45" customFormat="false" ht="13" hidden="false" customHeight="false" outlineLevel="0" collapsed="false">
      <c r="A45" s="21" t="s">
        <v>58</v>
      </c>
      <c r="K45" s="23" t="n">
        <f aca="false">K47+K38</f>
        <v>49.6198390093369</v>
      </c>
      <c r="L45" s="23" t="n">
        <f aca="false">L47+L38</f>
        <v>115.097761231559</v>
      </c>
      <c r="M45" s="23" t="n">
        <f aca="false">M47+M38</f>
        <v>180.575683453781</v>
      </c>
      <c r="N45" s="51" t="n">
        <f aca="false">N47+N38</f>
        <v>212.287977898226</v>
      </c>
    </row>
    <row r="46" customFormat="false" ht="13" hidden="false" customHeight="false" outlineLevel="0" collapsed="false">
      <c r="A46" s="21" t="s">
        <v>59</v>
      </c>
      <c r="K46" s="23" t="n">
        <f aca="false">+K13-K32</f>
        <v>190.520458801004</v>
      </c>
      <c r="L46" s="23" t="n">
        <f aca="false">+L13-L32</f>
        <v>260.828381023226</v>
      </c>
      <c r="M46" s="23" t="n">
        <f aca="false">+M13-M32</f>
        <v>331.136303245448</v>
      </c>
      <c r="N46" s="24" t="n">
        <f aca="false">+N13-N32</f>
        <v>365.263597689892</v>
      </c>
    </row>
    <row r="47" customFormat="false" ht="13.5" hidden="false" customHeight="false" outlineLevel="0" collapsed="false">
      <c r="A47" s="21" t="s">
        <v>60</v>
      </c>
      <c r="K47" s="23" t="n">
        <f aca="false">+K13-K42</f>
        <v>-100.380160990663</v>
      </c>
      <c r="L47" s="23" t="n">
        <f aca="false">+L13-L42</f>
        <v>-79.9022387684408</v>
      </c>
      <c r="M47" s="23" t="n">
        <f aca="false">+M13-M42</f>
        <v>-69.4243165462186</v>
      </c>
      <c r="N47" s="52" t="n">
        <f aca="false">+N13-N42</f>
        <v>-37.7120221017743</v>
      </c>
    </row>
    <row r="48" s="53" customFormat="true" ht="9" hidden="false" customHeight="true" outlineLevel="0" collapsed="false">
      <c r="K48" s="54"/>
      <c r="L48" s="54"/>
      <c r="M48" s="54"/>
      <c r="N48" s="16"/>
    </row>
    <row r="49" customFormat="false" ht="13" hidden="false" customHeight="false" outlineLevel="0" collapsed="false">
      <c r="A49" s="21" t="s">
        <v>61</v>
      </c>
      <c r="E49" s="0" t="n">
        <v>1</v>
      </c>
      <c r="F49" s="0" t="n">
        <v>1.1</v>
      </c>
      <c r="G49" s="0" t="n">
        <v>1.2</v>
      </c>
      <c r="H49" s="37" t="n">
        <v>1.2</v>
      </c>
      <c r="I49" s="37" t="n">
        <v>150</v>
      </c>
      <c r="J49" s="0" t="s">
        <v>29</v>
      </c>
      <c r="K49" s="23" t="n">
        <f aca="false">+E49*$I$49</f>
        <v>150</v>
      </c>
      <c r="L49" s="23" t="n">
        <f aca="false">+F49*$I$49</f>
        <v>165</v>
      </c>
      <c r="M49" s="23" t="n">
        <f aca="false">+G49*$I$49</f>
        <v>180</v>
      </c>
      <c r="N49" s="24" t="n">
        <f aca="false">+H49*$I$49</f>
        <v>180</v>
      </c>
    </row>
    <row r="50" customFormat="false" ht="13" hidden="false" customHeight="false" outlineLevel="0" collapsed="false">
      <c r="A50" s="21" t="s">
        <v>62</v>
      </c>
      <c r="H50" s="33"/>
      <c r="I50" s="33"/>
      <c r="K50" s="23"/>
      <c r="L50" s="23"/>
      <c r="M50" s="23"/>
      <c r="N50" s="16"/>
    </row>
    <row r="51" customFormat="false" ht="15" hidden="false" customHeight="false" outlineLevel="0" collapsed="false">
      <c r="A51" s="21"/>
      <c r="B51" s="0" t="s">
        <v>23</v>
      </c>
      <c r="H51" s="33"/>
      <c r="I51" s="33"/>
      <c r="K51" s="23"/>
      <c r="L51" s="23"/>
      <c r="M51" s="23"/>
      <c r="N51" s="16"/>
    </row>
    <row r="52" customFormat="false" ht="15.5" hidden="false" customHeight="false" outlineLevel="0" collapsed="false">
      <c r="A52" s="21"/>
      <c r="C52" s="0" t="s">
        <v>26</v>
      </c>
      <c r="E52" s="34" t="n">
        <f aca="false">K8*0.09</f>
        <v>5.04</v>
      </c>
      <c r="F52" s="34" t="n">
        <f aca="false">L8*0.09</f>
        <v>6.3</v>
      </c>
      <c r="G52" s="34" t="n">
        <f aca="false">M8*0.09</f>
        <v>7.56</v>
      </c>
      <c r="H52" s="35" t="n">
        <f aca="false">N8*0.09</f>
        <v>8.19</v>
      </c>
      <c r="I52" s="36" t="n">
        <f aca="false">I86/1040</f>
        <v>0.625</v>
      </c>
      <c r="J52" s="0" t="s">
        <v>25</v>
      </c>
      <c r="K52" s="23" t="n">
        <f aca="false">+$I$52*E52</f>
        <v>3.15</v>
      </c>
      <c r="L52" s="23" t="n">
        <f aca="false">+$I$52*F52</f>
        <v>3.9375</v>
      </c>
      <c r="M52" s="23" t="n">
        <f aca="false">+$I$52*G52</f>
        <v>4.725</v>
      </c>
      <c r="N52" s="24" t="n">
        <f aca="false">+$I$52*H52</f>
        <v>5.11875</v>
      </c>
    </row>
    <row r="53" customFormat="false" ht="15.5" hidden="false" customHeight="false" outlineLevel="0" collapsed="false">
      <c r="A53" s="21"/>
      <c r="C53" s="0" t="s">
        <v>27</v>
      </c>
      <c r="E53" s="34" t="n">
        <f aca="false">(K8*0.91)</f>
        <v>50.96</v>
      </c>
      <c r="F53" s="34" t="n">
        <f aca="false">(L8*0.91)</f>
        <v>63.7</v>
      </c>
      <c r="G53" s="34" t="n">
        <f aca="false">(M8*0.91)</f>
        <v>76.44</v>
      </c>
      <c r="H53" s="35" t="n">
        <f aca="false">(N8*0.91)</f>
        <v>82.81</v>
      </c>
      <c r="I53" s="36" t="n">
        <f aca="false">M86/1200</f>
        <v>0.479166666666667</v>
      </c>
      <c r="J53" s="0" t="s">
        <v>25</v>
      </c>
      <c r="K53" s="23" t="n">
        <f aca="false">+$I$53*E53</f>
        <v>24.4183333333333</v>
      </c>
      <c r="L53" s="23" t="n">
        <f aca="false">+$I$53*F53</f>
        <v>30.5229166666667</v>
      </c>
      <c r="M53" s="23" t="n">
        <f aca="false">+$I$53*G53</f>
        <v>36.6275</v>
      </c>
      <c r="N53" s="24" t="n">
        <f aca="false">+$I$53*H53</f>
        <v>39.6797916666667</v>
      </c>
    </row>
    <row r="54" customFormat="false" ht="15" hidden="false" customHeight="false" outlineLevel="0" collapsed="false">
      <c r="B54" s="0" t="s">
        <v>37</v>
      </c>
      <c r="K54" s="23" t="n">
        <f aca="false">+$K$137</f>
        <v>3.0415</v>
      </c>
      <c r="L54" s="23" t="n">
        <f aca="false">+$K$137</f>
        <v>3.0415</v>
      </c>
      <c r="M54" s="23" t="n">
        <f aca="false">+$K$137</f>
        <v>3.0415</v>
      </c>
      <c r="N54" s="24" t="n">
        <f aca="false">+$K$137</f>
        <v>3.0415</v>
      </c>
    </row>
    <row r="55" customFormat="false" ht="15" hidden="false" customHeight="false" outlineLevel="0" collapsed="false">
      <c r="B55" s="0" t="s">
        <v>38</v>
      </c>
      <c r="K55" s="23" t="n">
        <f aca="false">+$M$137</f>
        <v>2.89</v>
      </c>
      <c r="L55" s="23" t="n">
        <f aca="false">+$M$137</f>
        <v>2.89</v>
      </c>
      <c r="M55" s="23" t="n">
        <f aca="false">+$M$137</f>
        <v>2.89</v>
      </c>
      <c r="N55" s="24" t="n">
        <f aca="false">+$M$137</f>
        <v>2.89</v>
      </c>
    </row>
    <row r="56" customFormat="false" ht="13" hidden="false" customHeight="false" outlineLevel="0" collapsed="false">
      <c r="B56" s="0" t="s">
        <v>63</v>
      </c>
      <c r="K56" s="23" t="n">
        <v>2</v>
      </c>
      <c r="L56" s="23" t="n">
        <v>2</v>
      </c>
      <c r="M56" s="23" t="n">
        <v>2</v>
      </c>
      <c r="N56" s="38" t="n">
        <v>2</v>
      </c>
    </row>
    <row r="57" customFormat="false" ht="15" hidden="false" customHeight="false" outlineLevel="0" collapsed="false">
      <c r="B57" s="0" t="s">
        <v>43</v>
      </c>
      <c r="K57" s="23" t="n">
        <v>0</v>
      </c>
      <c r="L57" s="23" t="n">
        <v>0</v>
      </c>
      <c r="M57" s="23" t="n">
        <v>0</v>
      </c>
      <c r="N57" s="38" t="n">
        <v>0</v>
      </c>
    </row>
    <row r="58" customFormat="false" ht="13" hidden="false" customHeight="false" outlineLevel="0" collapsed="false">
      <c r="A58" s="21" t="s">
        <v>64</v>
      </c>
      <c r="K58" s="23" t="n">
        <f aca="false">SUM(K52:K57)</f>
        <v>35.4998333333333</v>
      </c>
      <c r="L58" s="23" t="n">
        <f aca="false">SUM(L52:L57)</f>
        <v>42.3919166666667</v>
      </c>
      <c r="M58" s="23" t="n">
        <f aca="false">SUM(M52:M57)</f>
        <v>49.284</v>
      </c>
      <c r="N58" s="24" t="n">
        <f aca="false">SUM(N52:N57)</f>
        <v>52.7300416666667</v>
      </c>
    </row>
    <row r="59" customFormat="false" ht="13" hidden="false" customHeight="false" outlineLevel="0" collapsed="false">
      <c r="A59" s="21" t="s">
        <v>65</v>
      </c>
      <c r="K59" s="23"/>
      <c r="L59" s="23"/>
      <c r="M59" s="23"/>
      <c r="N59" s="16"/>
    </row>
    <row r="60" customFormat="false" ht="15" hidden="false" customHeight="false" outlineLevel="0" collapsed="false">
      <c r="B60" s="0" t="s">
        <v>48</v>
      </c>
      <c r="F60" s="37" t="n">
        <v>1.5</v>
      </c>
      <c r="G60" s="0" t="s">
        <v>49</v>
      </c>
      <c r="I60" s="47" t="n">
        <v>13.5</v>
      </c>
      <c r="J60" s="0" t="s">
        <v>66</v>
      </c>
      <c r="K60" s="23" t="n">
        <f aca="false">$F$60*$I$60</f>
        <v>20.25</v>
      </c>
      <c r="L60" s="23" t="n">
        <f aca="false">$F$60*$I$60</f>
        <v>20.25</v>
      </c>
      <c r="M60" s="23" t="n">
        <f aca="false">$F$60*$I$60</f>
        <v>20.25</v>
      </c>
      <c r="N60" s="24" t="n">
        <f aca="false">$F$60*$I$60</f>
        <v>20.25</v>
      </c>
    </row>
    <row r="61" customFormat="false" ht="13" hidden="false" customHeight="false" outlineLevel="0" collapsed="false">
      <c r="B61" s="0" t="s">
        <v>51</v>
      </c>
      <c r="F61" s="48" t="n">
        <v>0.05</v>
      </c>
      <c r="G61" s="0" t="s">
        <v>52</v>
      </c>
      <c r="K61" s="23" t="n">
        <f aca="false">$F$61*K49</f>
        <v>7.5</v>
      </c>
      <c r="L61" s="23" t="n">
        <f aca="false">$F$61*L49</f>
        <v>8.25</v>
      </c>
      <c r="M61" s="23" t="n">
        <f aca="false">$F$61*M49</f>
        <v>9</v>
      </c>
      <c r="N61" s="24" t="n">
        <f aca="false">$F$61*N49</f>
        <v>9</v>
      </c>
    </row>
    <row r="62" customFormat="false" ht="15" hidden="false" customHeight="false" outlineLevel="0" collapsed="false">
      <c r="B62" s="0" t="s">
        <v>67</v>
      </c>
      <c r="K62" s="23" t="n">
        <f aca="false">$I$137</f>
        <v>9.24965625</v>
      </c>
      <c r="L62" s="23" t="n">
        <f aca="false">+$I$137</f>
        <v>9.24965625</v>
      </c>
      <c r="M62" s="23" t="n">
        <f aca="false">+$I$137</f>
        <v>9.24965625</v>
      </c>
      <c r="N62" s="24" t="n">
        <f aca="false">+$I$137</f>
        <v>9.24965625</v>
      </c>
    </row>
    <row r="63" customFormat="false" ht="13" hidden="false" customHeight="false" outlineLevel="0" collapsed="false">
      <c r="A63" s="21" t="s">
        <v>55</v>
      </c>
      <c r="K63" s="23" t="n">
        <f aca="false">SUM(K60:K62)</f>
        <v>36.99965625</v>
      </c>
      <c r="L63" s="23" t="n">
        <f aca="false">SUM(L60:L62)</f>
        <v>37.74965625</v>
      </c>
      <c r="M63" s="23" t="n">
        <f aca="false">SUM(M60:M62)</f>
        <v>38.49965625</v>
      </c>
      <c r="N63" s="24" t="n">
        <f aca="false">SUM(N60:N62)</f>
        <v>38.49965625</v>
      </c>
    </row>
    <row r="64" customFormat="false" ht="13" hidden="false" customHeight="false" outlineLevel="0" collapsed="false">
      <c r="A64" s="21" t="s">
        <v>68</v>
      </c>
      <c r="K64" s="23" t="n">
        <f aca="false">+K58+K63</f>
        <v>72.4994895833333</v>
      </c>
      <c r="L64" s="23" t="n">
        <f aca="false">+L58+L63</f>
        <v>80.1415729166667</v>
      </c>
      <c r="M64" s="23" t="n">
        <f aca="false">+M58+M63</f>
        <v>87.78365625</v>
      </c>
      <c r="N64" s="24" t="n">
        <f aca="false">+N58+N63</f>
        <v>91.2296979166667</v>
      </c>
    </row>
    <row r="65" customFormat="false" ht="15" hidden="false" customHeight="false" outlineLevel="0" collapsed="false">
      <c r="A65" s="16" t="s">
        <v>69</v>
      </c>
      <c r="B65" s="10"/>
      <c r="C65" s="10"/>
      <c r="D65" s="10"/>
      <c r="E65" s="10"/>
      <c r="F65" s="10"/>
      <c r="G65" s="10"/>
      <c r="H65" s="10"/>
      <c r="I65" s="10"/>
      <c r="J65" s="10"/>
      <c r="K65" s="55" t="n">
        <f aca="false">+K67+K61+K60</f>
        <v>105.250510416667</v>
      </c>
      <c r="L65" s="55" t="n">
        <f aca="false">+L67+L61+L60</f>
        <v>113.358427083333</v>
      </c>
      <c r="M65" s="55" t="n">
        <f aca="false">+M67+M61+M60</f>
        <v>121.46634375</v>
      </c>
      <c r="N65" s="51" t="n">
        <f aca="false">+N67+N61+N60</f>
        <v>118.020302083333</v>
      </c>
    </row>
    <row r="66" customFormat="false" ht="13" hidden="false" customHeight="false" outlineLevel="0" collapsed="false">
      <c r="A66" s="21" t="s">
        <v>70</v>
      </c>
      <c r="K66" s="23" t="n">
        <f aca="false">+K49-K58</f>
        <v>114.500166666667</v>
      </c>
      <c r="L66" s="23" t="n">
        <f aca="false">+L49-L58</f>
        <v>122.608083333333</v>
      </c>
      <c r="M66" s="23" t="n">
        <f aca="false">+M49-M58</f>
        <v>130.716</v>
      </c>
      <c r="N66" s="24" t="n">
        <f aca="false">+N49-N58</f>
        <v>127.269958333333</v>
      </c>
    </row>
    <row r="67" customFormat="false" ht="13" hidden="false" customHeight="false" outlineLevel="0" collapsed="false">
      <c r="A67" s="21" t="s">
        <v>71</v>
      </c>
      <c r="K67" s="23" t="n">
        <f aca="false">+K49-K64</f>
        <v>77.5005104166667</v>
      </c>
      <c r="L67" s="23" t="n">
        <f aca="false">+L49-L64</f>
        <v>84.8584270833333</v>
      </c>
      <c r="M67" s="23" t="n">
        <f aca="false">+M49-M64</f>
        <v>92.21634375</v>
      </c>
      <c r="N67" s="24" t="n">
        <f aca="false">+N49-N64</f>
        <v>88.7703020833333</v>
      </c>
    </row>
    <row r="68" s="10" customFormat="true" ht="3.75" hidden="false" customHeight="true" outlineLevel="0" collapsed="false">
      <c r="C68" s="16"/>
      <c r="K68" s="56"/>
      <c r="L68" s="56"/>
      <c r="M68" s="56"/>
    </row>
    <row r="69" customFormat="false" ht="12.5" hidden="false" customHeight="false" outlineLevel="0" collapsed="false">
      <c r="A69" s="57" t="s">
        <v>72</v>
      </c>
      <c r="B69" s="57"/>
      <c r="C69" s="57"/>
      <c r="D69" s="58"/>
      <c r="E69" s="57"/>
      <c r="F69" s="57"/>
      <c r="G69" s="57"/>
      <c r="H69" s="57"/>
      <c r="I69" s="57"/>
      <c r="J69" s="57"/>
      <c r="K69" s="57"/>
      <c r="L69" s="59"/>
      <c r="M69" s="59"/>
    </row>
    <row r="70" customFormat="false" ht="12.5" hidden="false" customHeight="false" outlineLevel="0" collapsed="false">
      <c r="B70" s="57" t="s">
        <v>73</v>
      </c>
      <c r="C70" s="57"/>
      <c r="D70" s="57"/>
      <c r="E70" s="57"/>
      <c r="F70" s="57"/>
      <c r="G70" s="57"/>
      <c r="H70" s="57"/>
      <c r="I70" s="57"/>
      <c r="J70" s="57"/>
      <c r="K70" s="57"/>
      <c r="L70" s="59"/>
      <c r="M70" s="59"/>
    </row>
    <row r="71" customFormat="false" ht="12.5" hidden="false" customHeight="false" outlineLevel="0" collapsed="false">
      <c r="A71" s="57" t="s">
        <v>74</v>
      </c>
      <c r="B71" s="57"/>
      <c r="C71" s="57"/>
      <c r="D71" s="60"/>
      <c r="E71" s="61"/>
      <c r="F71" s="57"/>
      <c r="G71" s="57"/>
      <c r="H71" s="57"/>
      <c r="I71" s="57"/>
      <c r="J71" s="57"/>
      <c r="K71" s="57"/>
      <c r="L71" s="59"/>
      <c r="M71" s="59"/>
    </row>
    <row r="72" customFormat="false" ht="12.5" hidden="false" customHeight="false" outlineLevel="0" collapsed="false">
      <c r="A72" s="57"/>
      <c r="B72" s="57" t="s">
        <v>75</v>
      </c>
      <c r="C72" s="57"/>
      <c r="D72" s="61"/>
      <c r="E72" s="61"/>
      <c r="F72" s="57"/>
      <c r="G72" s="57"/>
      <c r="H72" s="57"/>
      <c r="I72" s="57"/>
      <c r="J72" s="57"/>
      <c r="K72" s="57"/>
      <c r="L72" s="59"/>
      <c r="M72" s="59"/>
    </row>
    <row r="73" customFormat="false" ht="12.5" hidden="false" customHeight="false" outlineLevel="0" collapsed="false">
      <c r="A73" s="57" t="s">
        <v>76</v>
      </c>
      <c r="B73" s="57"/>
      <c r="C73" s="57"/>
      <c r="D73" s="62"/>
      <c r="E73" s="57"/>
      <c r="F73" s="57"/>
      <c r="G73" s="57"/>
      <c r="H73" s="57"/>
      <c r="I73" s="57"/>
      <c r="J73" s="57"/>
      <c r="K73" s="57"/>
      <c r="L73" s="59"/>
      <c r="M73" s="59"/>
    </row>
    <row r="74" customFormat="false" ht="13.5" hidden="false" customHeight="false" outlineLevel="0" collapsed="false">
      <c r="A74" s="57" t="n">
        <v>1</v>
      </c>
      <c r="B74" s="57" t="s">
        <v>77</v>
      </c>
      <c r="C74" s="57"/>
      <c r="D74" s="57"/>
      <c r="E74" s="57"/>
      <c r="F74" s="57"/>
      <c r="G74" s="57"/>
      <c r="H74" s="57"/>
      <c r="K74" s="42"/>
      <c r="L74" s="42"/>
      <c r="M74" s="42"/>
    </row>
    <row r="75" customFormat="false" ht="13.5" hidden="false" customHeight="false" outlineLevel="0" collapsed="false">
      <c r="A75" s="57" t="n">
        <v>2</v>
      </c>
      <c r="B75" s="57" t="s">
        <v>78</v>
      </c>
      <c r="C75" s="57"/>
      <c r="D75" s="57"/>
      <c r="E75" s="57"/>
      <c r="F75" s="57"/>
      <c r="G75" s="57"/>
      <c r="H75" s="57"/>
      <c r="I75" s="57"/>
      <c r="J75" s="57"/>
      <c r="K75" s="59"/>
      <c r="L75" s="59"/>
      <c r="M75" s="59"/>
    </row>
    <row r="76" customFormat="false" ht="13.5" hidden="false" customHeight="false" outlineLevel="0" collapsed="false">
      <c r="A76" s="57"/>
      <c r="B76" s="57" t="s">
        <v>79</v>
      </c>
      <c r="C76" s="57"/>
      <c r="D76" s="57"/>
      <c r="E76" s="57"/>
      <c r="F76" s="57"/>
      <c r="G76" s="57"/>
      <c r="H76" s="57"/>
      <c r="I76" s="57"/>
      <c r="J76" s="57"/>
      <c r="K76" s="59"/>
      <c r="L76" s="59"/>
      <c r="M76" s="59"/>
    </row>
    <row r="77" customFormat="false" ht="13.5" hidden="false" customHeight="false" outlineLevel="0" collapsed="false">
      <c r="A77" s="57"/>
      <c r="B77" s="57"/>
      <c r="C77" s="57" t="s">
        <v>80</v>
      </c>
      <c r="D77" s="57"/>
      <c r="E77" s="57"/>
      <c r="F77" s="57"/>
      <c r="G77" s="57"/>
      <c r="H77" s="57"/>
      <c r="I77" s="57"/>
      <c r="J77" s="57"/>
      <c r="K77" s="59"/>
      <c r="L77" s="59"/>
      <c r="M77" s="59"/>
    </row>
    <row r="78" customFormat="false" ht="13.5" hidden="false" customHeight="false" outlineLevel="0" collapsed="false">
      <c r="A78" s="57"/>
      <c r="B78" s="57"/>
      <c r="C78" s="57" t="s">
        <v>81</v>
      </c>
      <c r="D78" s="57"/>
      <c r="E78" s="57"/>
      <c r="F78" s="57"/>
      <c r="G78" s="57"/>
      <c r="H78" s="57"/>
      <c r="I78" s="57"/>
      <c r="J78" s="57"/>
      <c r="K78" s="59"/>
      <c r="L78" s="59"/>
      <c r="M78" s="59"/>
    </row>
    <row r="79" customFormat="false" ht="13.5" hidden="false" customHeight="false" outlineLevel="0" collapsed="false">
      <c r="A79" s="57"/>
      <c r="B79" s="57" t="s">
        <v>82</v>
      </c>
      <c r="C79" s="57"/>
      <c r="D79" s="57"/>
      <c r="E79" s="57"/>
      <c r="F79" s="57"/>
      <c r="G79" s="57"/>
      <c r="H79" s="57"/>
      <c r="I79" s="57"/>
      <c r="J79" s="57"/>
      <c r="K79" s="59"/>
      <c r="L79" s="59"/>
      <c r="M79" s="59"/>
    </row>
    <row r="80" customFormat="false" ht="13.5" hidden="false" customHeight="false" outlineLevel="0" collapsed="false">
      <c r="A80" s="57"/>
      <c r="B80" s="57"/>
      <c r="C80" s="57" t="s">
        <v>83</v>
      </c>
      <c r="D80" s="57"/>
      <c r="E80" s="57"/>
      <c r="F80" s="57"/>
      <c r="G80" s="57"/>
      <c r="H80" s="57"/>
      <c r="I80" s="57"/>
      <c r="J80" s="57"/>
      <c r="K80" s="59"/>
      <c r="L80" s="59"/>
      <c r="M80" s="59"/>
    </row>
    <row r="81" customFormat="false" ht="13.5" hidden="false" customHeight="false" outlineLevel="0" collapsed="false">
      <c r="A81" s="57"/>
      <c r="B81" s="57"/>
      <c r="C81" s="57" t="s">
        <v>84</v>
      </c>
      <c r="D81" s="57"/>
      <c r="E81" s="57"/>
      <c r="F81" s="57"/>
      <c r="G81" s="57"/>
      <c r="H81" s="57"/>
      <c r="I81" s="57"/>
      <c r="J81" s="57"/>
      <c r="K81" s="59"/>
      <c r="L81" s="59"/>
      <c r="M81" s="59"/>
    </row>
    <row r="82" customFormat="false" ht="13.5" hidden="false" customHeight="false" outlineLevel="0" collapsed="false">
      <c r="A82" s="57"/>
      <c r="B82" s="57"/>
      <c r="C82" s="57" t="s">
        <v>85</v>
      </c>
      <c r="D82" s="57"/>
      <c r="E82" s="57"/>
      <c r="F82" s="57"/>
      <c r="G82" s="57"/>
      <c r="H82" s="57"/>
      <c r="I82" s="57"/>
      <c r="J82" s="57"/>
      <c r="K82" s="59"/>
      <c r="L82" s="59"/>
      <c r="M82" s="59"/>
    </row>
    <row r="83" customFormat="false" ht="14.5" hidden="false" customHeight="false" outlineLevel="0" collapsed="false">
      <c r="A83" s="6" t="n">
        <v>3</v>
      </c>
      <c r="B83" s="0" t="s">
        <v>86</v>
      </c>
      <c r="K83" s="42"/>
      <c r="L83" s="42"/>
      <c r="M83" s="42"/>
    </row>
    <row r="84" customFormat="false" ht="14.5" hidden="false" customHeight="false" outlineLevel="0" collapsed="false">
      <c r="A84" s="6"/>
      <c r="C84" s="0" t="s">
        <v>87</v>
      </c>
      <c r="K84" s="42"/>
      <c r="L84" s="42"/>
      <c r="M84" s="42"/>
    </row>
    <row r="85" customFormat="false" ht="14.5" hidden="false" customHeight="false" outlineLevel="0" collapsed="false">
      <c r="A85" s="6"/>
      <c r="C85" s="0" t="s">
        <v>88</v>
      </c>
      <c r="K85" s="42"/>
      <c r="L85" s="42"/>
      <c r="M85" s="42"/>
    </row>
    <row r="86" customFormat="false" ht="14.5" hidden="false" customHeight="false" outlineLevel="0" collapsed="false">
      <c r="A86" s="6"/>
      <c r="C86" s="57" t="s">
        <v>89</v>
      </c>
      <c r="D86" s="57"/>
      <c r="E86" s="57"/>
      <c r="F86" s="58" t="n">
        <v>395</v>
      </c>
      <c r="G86" s="57" t="s">
        <v>90</v>
      </c>
      <c r="H86" s="57"/>
      <c r="I86" s="58" t="n">
        <v>650</v>
      </c>
      <c r="J86" s="57" t="s">
        <v>91</v>
      </c>
      <c r="K86" s="57"/>
      <c r="L86" s="59"/>
      <c r="M86" s="63" t="n">
        <v>575</v>
      </c>
      <c r="N86" s="59" t="s">
        <v>29</v>
      </c>
    </row>
    <row r="87" customFormat="false" ht="14.5" hidden="false" customHeight="false" outlineLevel="0" collapsed="false">
      <c r="A87" s="6" t="n">
        <v>4</v>
      </c>
      <c r="B87" s="0" t="s">
        <v>92</v>
      </c>
      <c r="K87" s="42"/>
      <c r="L87" s="42"/>
      <c r="M87" s="42"/>
    </row>
    <row r="88" customFormat="false" ht="14.5" hidden="false" customHeight="false" outlineLevel="0" collapsed="false">
      <c r="A88" s="6" t="n">
        <v>5</v>
      </c>
      <c r="B88" s="6" t="s">
        <v>93</v>
      </c>
      <c r="K88" s="42"/>
      <c r="L88" s="42"/>
      <c r="M88" s="42"/>
    </row>
    <row r="89" customFormat="false" ht="14.5" hidden="false" customHeight="false" outlineLevel="0" collapsed="false">
      <c r="A89" s="6" t="n">
        <v>6</v>
      </c>
      <c r="B89" s="6" t="s">
        <v>94</v>
      </c>
      <c r="K89" s="42"/>
      <c r="L89" s="42"/>
      <c r="M89" s="42"/>
    </row>
    <row r="90" customFormat="false" ht="14.5" hidden="false" customHeight="false" outlineLevel="0" collapsed="false">
      <c r="A90" s="6" t="n">
        <v>7</v>
      </c>
      <c r="B90" s="0" t="s">
        <v>95</v>
      </c>
      <c r="K90" s="42"/>
      <c r="L90" s="42"/>
      <c r="M90" s="42"/>
    </row>
    <row r="91" customFormat="false" ht="14.5" hidden="false" customHeight="false" outlineLevel="0" collapsed="false">
      <c r="A91" s="6" t="n">
        <v>8</v>
      </c>
      <c r="B91" s="0" t="s">
        <v>96</v>
      </c>
      <c r="K91" s="42"/>
      <c r="L91" s="42"/>
      <c r="M91" s="42"/>
    </row>
    <row r="92" customFormat="false" ht="14.5" hidden="false" customHeight="false" outlineLevel="0" collapsed="false">
      <c r="A92" s="6" t="n">
        <v>9</v>
      </c>
      <c r="B92" s="0" t="s">
        <v>97</v>
      </c>
      <c r="K92" s="42"/>
      <c r="L92" s="42"/>
      <c r="M92" s="42"/>
    </row>
    <row r="93" customFormat="false" ht="14.5" hidden="false" customHeight="false" outlineLevel="0" collapsed="false">
      <c r="A93" s="6"/>
      <c r="C93" s="0" t="s">
        <v>98</v>
      </c>
      <c r="K93" s="42"/>
      <c r="L93" s="42"/>
      <c r="M93" s="42"/>
    </row>
    <row r="94" customFormat="false" ht="14.5" hidden="false" customHeight="false" outlineLevel="0" collapsed="false">
      <c r="A94" s="6" t="n">
        <v>10</v>
      </c>
      <c r="B94" s="6" t="s">
        <v>99</v>
      </c>
      <c r="K94" s="42"/>
      <c r="L94" s="42"/>
      <c r="M94" s="42"/>
    </row>
    <row r="95" customFormat="false" ht="14.5" hidden="false" customHeight="false" outlineLevel="0" collapsed="false">
      <c r="A95" s="6" t="n">
        <v>11</v>
      </c>
      <c r="B95" s="6" t="s">
        <v>100</v>
      </c>
      <c r="C95" s="6"/>
      <c r="D95" s="6"/>
      <c r="E95" s="6"/>
      <c r="F95" s="6"/>
      <c r="G95" s="6"/>
      <c r="H95" s="6"/>
      <c r="K95" s="42"/>
      <c r="L95" s="42"/>
      <c r="M95" s="42"/>
    </row>
    <row r="96" customFormat="false" ht="14.5" hidden="false" customHeight="false" outlineLevel="0" collapsed="false">
      <c r="A96" s="6"/>
      <c r="B96" s="6" t="s">
        <v>101</v>
      </c>
      <c r="C96" s="6"/>
      <c r="D96" s="6"/>
      <c r="E96" s="6"/>
      <c r="F96" s="6"/>
      <c r="G96" s="6"/>
      <c r="H96" s="6"/>
      <c r="K96" s="42"/>
      <c r="L96" s="42"/>
      <c r="M96" s="42"/>
    </row>
    <row r="97" customFormat="false" ht="14.5" hidden="false" customHeight="false" outlineLevel="0" collapsed="false">
      <c r="A97" s="6" t="n">
        <v>12</v>
      </c>
      <c r="B97" s="6" t="s">
        <v>102</v>
      </c>
      <c r="C97" s="6"/>
      <c r="K97" s="42"/>
      <c r="L97" s="42"/>
      <c r="M97" s="42"/>
    </row>
    <row r="98" customFormat="false" ht="12.5" hidden="false" customHeight="false" outlineLevel="0" collapsed="false">
      <c r="B98" s="6"/>
      <c r="C98" s="6" t="s">
        <v>103</v>
      </c>
      <c r="K98" s="42"/>
      <c r="L98" s="42"/>
      <c r="M98" s="42"/>
    </row>
    <row r="99" customFormat="false" ht="12.5" hidden="false" customHeight="false" outlineLevel="0" collapsed="false">
      <c r="C99" s="0" t="s">
        <v>104</v>
      </c>
      <c r="K99" s="42"/>
      <c r="L99" s="42"/>
      <c r="M99" s="42"/>
    </row>
    <row r="100" customFormat="false" ht="13" hidden="false" customHeight="false" outlineLevel="0" collapsed="false">
      <c r="A100" s="64" t="s">
        <v>105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"/>
    </row>
    <row r="101" customFormat="false" ht="23" hidden="false" customHeight="false" outlineLevel="0" collapsed="false">
      <c r="A101" s="57"/>
      <c r="B101" s="57"/>
      <c r="C101" s="57"/>
      <c r="D101" s="57"/>
      <c r="E101" s="65" t="s">
        <v>106</v>
      </c>
      <c r="F101" s="66" t="s">
        <v>107</v>
      </c>
      <c r="G101" s="65" t="s">
        <v>108</v>
      </c>
      <c r="H101" s="65"/>
      <c r="I101" s="66" t="s">
        <v>109</v>
      </c>
      <c r="J101" s="66" t="s">
        <v>110</v>
      </c>
      <c r="K101" s="66" t="s">
        <v>111</v>
      </c>
      <c r="L101" s="67" t="s">
        <v>112</v>
      </c>
      <c r="M101" s="66" t="s">
        <v>113</v>
      </c>
      <c r="N101" s="6"/>
    </row>
    <row r="102" customFormat="false" ht="15.75" hidden="false" customHeight="true" outlineLevel="0" collapsed="false">
      <c r="A102" s="57"/>
      <c r="B102" s="58" t="s">
        <v>114</v>
      </c>
      <c r="C102" s="58"/>
      <c r="D102" s="58"/>
      <c r="E102" s="68" t="n">
        <v>1</v>
      </c>
      <c r="F102" s="69" t="n">
        <v>41000</v>
      </c>
      <c r="G102" s="70" t="n">
        <v>1200</v>
      </c>
      <c r="H102" s="71"/>
      <c r="I102" s="72" t="n">
        <f aca="false">'machinery costs'!J3</f>
        <v>4.641328125</v>
      </c>
      <c r="J102" s="73" t="n">
        <v>21</v>
      </c>
      <c r="K102" s="74" t="n">
        <f aca="false">0.6*E102</f>
        <v>0.6</v>
      </c>
      <c r="L102" s="75" t="n">
        <f aca="false">(G102*E102)/J102</f>
        <v>57.1428571428571</v>
      </c>
      <c r="M102" s="74" t="n">
        <v>0.58</v>
      </c>
      <c r="N102" s="6"/>
    </row>
    <row r="103" customFormat="false" ht="12.5" hidden="false" customHeight="false" outlineLevel="0" collapsed="false">
      <c r="A103" s="57"/>
      <c r="B103" s="58" t="s">
        <v>115</v>
      </c>
      <c r="C103" s="58"/>
      <c r="D103" s="58"/>
      <c r="E103" s="68" t="n">
        <v>1</v>
      </c>
      <c r="F103" s="69" t="n">
        <v>59000</v>
      </c>
      <c r="G103" s="70" t="n">
        <v>1200</v>
      </c>
      <c r="H103" s="71"/>
      <c r="I103" s="72" t="n">
        <f aca="false">'machinery costs'!J4</f>
        <v>6.678984375</v>
      </c>
      <c r="J103" s="73" t="n">
        <v>33.9</v>
      </c>
      <c r="K103" s="74" t="n">
        <f aca="false">0.32*E103</f>
        <v>0.32</v>
      </c>
      <c r="L103" s="75" t="n">
        <f aca="false">(G103*E103)/J103</f>
        <v>35.3982300884956</v>
      </c>
      <c r="M103" s="74" t="n">
        <v>0.57</v>
      </c>
    </row>
    <row r="104" customFormat="false" ht="12.5" hidden="false" customHeight="false" outlineLevel="0" collapsed="false">
      <c r="A104" s="57"/>
      <c r="B104" s="58" t="s">
        <v>116</v>
      </c>
      <c r="C104" s="58"/>
      <c r="D104" s="58"/>
      <c r="E104" s="68" t="n">
        <v>2</v>
      </c>
      <c r="F104" s="69" t="n">
        <v>208000</v>
      </c>
      <c r="G104" s="70" t="n">
        <v>2000</v>
      </c>
      <c r="H104" s="71"/>
      <c r="I104" s="72" t="n">
        <f aca="false">'machinery costs'!J5</f>
        <v>14.12775</v>
      </c>
      <c r="J104" s="73" t="n">
        <v>33.1</v>
      </c>
      <c r="K104" s="74" t="n">
        <v>0.07</v>
      </c>
      <c r="L104" s="75" t="n">
        <f aca="false">(G104*E104)/J104</f>
        <v>120.845921450151</v>
      </c>
      <c r="M104" s="74" t="n">
        <f aca="false">1.42*E104</f>
        <v>2.84</v>
      </c>
      <c r="O104" s="76"/>
      <c r="P104" s="76"/>
    </row>
    <row r="105" customFormat="false" ht="12.5" hidden="false" customHeight="false" outlineLevel="0" collapsed="false">
      <c r="A105" s="57"/>
      <c r="B105" s="58" t="s">
        <v>117</v>
      </c>
      <c r="C105" s="58"/>
      <c r="D105" s="58"/>
      <c r="E105" s="68" t="n">
        <v>1</v>
      </c>
      <c r="F105" s="69" t="n">
        <v>63000</v>
      </c>
      <c r="G105" s="70" t="n">
        <v>1200</v>
      </c>
      <c r="H105" s="71"/>
      <c r="I105" s="72" t="n">
        <f aca="false">'machinery costs'!J6</f>
        <v>6.6478125</v>
      </c>
      <c r="J105" s="73" t="n">
        <v>12.7</v>
      </c>
      <c r="K105" s="74" t="n">
        <f aca="false">0.81*E105</f>
        <v>0.81</v>
      </c>
      <c r="L105" s="75" t="n">
        <f aca="false">(G105*E105)/J105</f>
        <v>94.488188976378</v>
      </c>
      <c r="M105" s="74" t="n">
        <f aca="false">1.68*E105</f>
        <v>1.68</v>
      </c>
      <c r="O105" s="76"/>
      <c r="P105" s="76"/>
    </row>
    <row r="106" customFormat="false" ht="12.5" hidden="false" customHeight="false" outlineLevel="0" collapsed="false">
      <c r="A106" s="57"/>
      <c r="B106" s="58" t="s">
        <v>118</v>
      </c>
      <c r="C106" s="58"/>
      <c r="D106" s="58"/>
      <c r="E106" s="68" t="n">
        <v>1</v>
      </c>
      <c r="F106" s="69" t="n">
        <v>296000</v>
      </c>
      <c r="G106" s="70" t="n">
        <v>2000</v>
      </c>
      <c r="H106" s="71"/>
      <c r="I106" s="72" t="n">
        <f aca="false">'machinery costs'!J7</f>
        <v>20.7870625</v>
      </c>
      <c r="J106" s="77" t="s">
        <v>119</v>
      </c>
      <c r="K106" s="78" t="s">
        <v>119</v>
      </c>
      <c r="L106" s="75" t="n">
        <f aca="false">L107</f>
        <v>117.647058823529</v>
      </c>
      <c r="M106" s="79" t="n">
        <f aca="false">(L106*45.71)/G106</f>
        <v>2.68882352941176</v>
      </c>
      <c r="O106" s="76"/>
      <c r="P106" s="76"/>
    </row>
    <row r="107" customFormat="false" ht="12.5" hidden="false" customHeight="false" outlineLevel="0" collapsed="false">
      <c r="A107" s="57"/>
      <c r="B107" s="58"/>
      <c r="C107" s="58" t="s">
        <v>120</v>
      </c>
      <c r="D107" s="58"/>
      <c r="E107" s="68" t="n">
        <v>1</v>
      </c>
      <c r="F107" s="69" t="n">
        <v>26000</v>
      </c>
      <c r="G107" s="80" t="n">
        <v>1200</v>
      </c>
      <c r="H107" s="81"/>
      <c r="I107" s="72" t="n">
        <f aca="false">'machinery costs'!J8</f>
        <v>3.04315104166667</v>
      </c>
      <c r="J107" s="82" t="n">
        <v>10.2</v>
      </c>
      <c r="K107" s="74" t="n">
        <f aca="false">1.49*E107</f>
        <v>1.49</v>
      </c>
      <c r="L107" s="75" t="n">
        <f aca="false">(G107*E107)/J107</f>
        <v>117.647058823529</v>
      </c>
      <c r="M107" s="79" t="n">
        <v>0.33</v>
      </c>
      <c r="O107" s="76"/>
      <c r="P107" s="76"/>
    </row>
    <row r="108" customFormat="false" ht="12.5" hidden="false" customHeight="false" outlineLevel="0" collapsed="false">
      <c r="A108" s="57"/>
      <c r="B108" s="58" t="s">
        <v>121</v>
      </c>
      <c r="C108" s="58"/>
      <c r="D108" s="58"/>
      <c r="E108" s="68" t="n">
        <v>2</v>
      </c>
      <c r="F108" s="69" t="n">
        <v>12000</v>
      </c>
      <c r="G108" s="70" t="n">
        <v>2000</v>
      </c>
      <c r="H108" s="71"/>
      <c r="I108" s="72" t="n">
        <f aca="false">'machinery costs'!J9</f>
        <v>0.8150625</v>
      </c>
      <c r="J108" s="82" t="n">
        <v>34</v>
      </c>
      <c r="K108" s="74" t="n">
        <f aca="false">0.12*E108</f>
        <v>0.24</v>
      </c>
      <c r="L108" s="75" t="n">
        <f aca="false">(G108*E108)/J108</f>
        <v>117.647058823529</v>
      </c>
      <c r="M108" s="79" t="n">
        <f aca="false">0.15*E108</f>
        <v>0.3</v>
      </c>
      <c r="O108" s="76"/>
      <c r="P108" s="76"/>
      <c r="Q108" s="83"/>
    </row>
    <row r="109" customFormat="false" ht="12.5" hidden="false" customHeight="false" outlineLevel="0" collapsed="false">
      <c r="A109" s="57"/>
      <c r="B109" s="58" t="s">
        <v>122</v>
      </c>
      <c r="C109" s="58"/>
      <c r="D109" s="58"/>
      <c r="E109" s="68" t="n">
        <v>1</v>
      </c>
      <c r="F109" s="69" t="n">
        <v>70000</v>
      </c>
      <c r="G109" s="70" t="n">
        <v>2000</v>
      </c>
      <c r="H109" s="71"/>
      <c r="I109" s="72" t="n">
        <f aca="false">'machinery costs'!J10</f>
        <v>4.69</v>
      </c>
      <c r="J109" s="77" t="s">
        <v>119</v>
      </c>
      <c r="K109" s="78" t="s">
        <v>123</v>
      </c>
      <c r="L109" s="84" t="s">
        <v>119</v>
      </c>
      <c r="M109" s="79" t="n">
        <f aca="false">3.5*E109</f>
        <v>3.5</v>
      </c>
      <c r="O109" s="76"/>
      <c r="P109" s="76"/>
    </row>
    <row r="110" customFormat="false" ht="12.5" hidden="false" customHeight="false" outlineLevel="0" collapsed="false">
      <c r="A110" s="57"/>
      <c r="B110" s="58" t="s">
        <v>124</v>
      </c>
      <c r="C110" s="58"/>
      <c r="D110" s="58"/>
      <c r="E110" s="68" t="n">
        <v>1</v>
      </c>
      <c r="F110" s="69" t="n">
        <v>62500</v>
      </c>
      <c r="G110" s="70" t="n">
        <v>2000</v>
      </c>
      <c r="H110" s="71"/>
      <c r="I110" s="72" t="n">
        <f aca="false">'machinery costs'!J11</f>
        <v>4.1875</v>
      </c>
      <c r="J110" s="85"/>
      <c r="K110" s="74" t="n">
        <f aca="false">(L110*9.9)/1000</f>
        <v>0.582352941176471</v>
      </c>
      <c r="L110" s="79" t="n">
        <f aca="false">L106*0.5</f>
        <v>58.8235294117647</v>
      </c>
      <c r="M110" s="79" t="n">
        <v>1</v>
      </c>
      <c r="O110" s="76"/>
      <c r="P110" s="76"/>
    </row>
    <row r="111" customFormat="false" ht="12.5" hidden="false" customHeight="false" outlineLevel="0" collapsed="false">
      <c r="A111" s="57"/>
      <c r="B111" s="58" t="s">
        <v>125</v>
      </c>
      <c r="C111" s="58"/>
      <c r="D111" s="58"/>
      <c r="E111" s="68" t="n">
        <v>2</v>
      </c>
      <c r="F111" s="69" t="n">
        <v>267000</v>
      </c>
      <c r="G111" s="70" t="n">
        <v>2000</v>
      </c>
      <c r="H111" s="71"/>
      <c r="I111" s="72" t="n">
        <f aca="false">'machinery costs'!J12</f>
        <v>17.889</v>
      </c>
      <c r="J111" s="86" t="s">
        <v>119</v>
      </c>
      <c r="K111" s="87" t="s">
        <v>119</v>
      </c>
      <c r="L111" s="75" t="n">
        <f aca="false">L102+L104+L110+L133</f>
        <v>328.555427270828</v>
      </c>
      <c r="M111" s="79" t="n">
        <f aca="false">(L111*3.17)/G111</f>
        <v>0.520760352224262</v>
      </c>
      <c r="O111" s="76"/>
      <c r="P111" s="76"/>
    </row>
    <row r="112" customFormat="false" ht="12.5" hidden="false" customHeight="false" outlineLevel="0" collapsed="false">
      <c r="A112" s="57"/>
      <c r="B112" s="58" t="s">
        <v>126</v>
      </c>
      <c r="C112" s="58"/>
      <c r="D112" s="58"/>
      <c r="E112" s="68" t="n">
        <v>4</v>
      </c>
      <c r="F112" s="69" t="n">
        <v>220000</v>
      </c>
      <c r="G112" s="70" t="n">
        <v>2000</v>
      </c>
      <c r="H112" s="71"/>
      <c r="I112" s="72" t="n">
        <f aca="false">'machinery costs'!J13</f>
        <v>14.23296875</v>
      </c>
      <c r="J112" s="87" t="s">
        <v>119</v>
      </c>
      <c r="K112" s="87" t="s">
        <v>119</v>
      </c>
      <c r="L112" s="75" t="n">
        <f aca="false">L103+L108+L135</f>
        <v>218.511737357197</v>
      </c>
      <c r="M112" s="79" t="n">
        <f aca="false">(L112*2.98)/G111</f>
        <v>0.325582488662223</v>
      </c>
      <c r="O112" s="6"/>
      <c r="P112" s="76"/>
    </row>
    <row r="113" customFormat="false" ht="12.5" hidden="false" customHeight="false" outlineLevel="0" collapsed="false">
      <c r="A113" s="57"/>
      <c r="B113" s="88" t="s">
        <v>127</v>
      </c>
      <c r="C113" s="88"/>
      <c r="D113" s="88"/>
      <c r="E113" s="89" t="n">
        <v>1</v>
      </c>
      <c r="F113" s="90" t="n">
        <v>20000</v>
      </c>
      <c r="G113" s="91" t="n">
        <v>2000</v>
      </c>
      <c r="H113" s="92"/>
      <c r="I113" s="93" t="n">
        <f aca="false">'machinery costs'!J14</f>
        <v>1.34</v>
      </c>
      <c r="J113" s="94" t="s">
        <v>119</v>
      </c>
      <c r="K113" s="95" t="n">
        <f aca="false">0.21*E113</f>
        <v>0.21</v>
      </c>
      <c r="L113" s="96"/>
      <c r="M113" s="97" t="n">
        <f aca="false">0.05*E113</f>
        <v>0.05</v>
      </c>
      <c r="N113" s="6"/>
      <c r="O113" s="40"/>
    </row>
    <row r="114" customFormat="false" ht="12.5" hidden="false" customHeight="false" outlineLevel="0" collapsed="false">
      <c r="A114" s="57"/>
      <c r="C114" s="57"/>
      <c r="D114" s="57"/>
      <c r="E114" s="98"/>
      <c r="F114" s="87"/>
      <c r="G114" s="87"/>
      <c r="H114" s="87"/>
      <c r="I114" s="99"/>
      <c r="J114" s="100" t="s">
        <v>128</v>
      </c>
      <c r="K114" s="101" t="n">
        <f aca="false">SUM(K102:K113)*M117</f>
        <v>15.1282352941176</v>
      </c>
      <c r="L114" s="0"/>
      <c r="M114" s="102"/>
      <c r="N114" s="6"/>
    </row>
    <row r="115" customFormat="false" ht="13" hidden="false" customHeight="false" outlineLevel="0" collapsed="false">
      <c r="A115" s="57"/>
      <c r="C115" s="103"/>
      <c r="D115" s="103" t="s">
        <v>129</v>
      </c>
      <c r="E115" s="103"/>
      <c r="F115" s="104"/>
      <c r="G115" s="104"/>
      <c r="H115" s="104"/>
      <c r="I115" s="101" t="n">
        <f aca="false">SUM(I102:I113)</f>
        <v>99.0806197916667</v>
      </c>
      <c r="J115" s="100" t="s">
        <v>130</v>
      </c>
      <c r="K115" s="101" t="n">
        <f aca="false">(K114*0.1)+K114</f>
        <v>16.6410588235294</v>
      </c>
      <c r="L115" s="105" t="s">
        <v>131</v>
      </c>
      <c r="M115" s="101" t="n">
        <f aca="false">SUM(M102:M113)</f>
        <v>14.3851663702983</v>
      </c>
      <c r="N115" s="6"/>
    </row>
    <row r="116" customFormat="false" ht="12.5" hidden="false" customHeight="false" outlineLevel="0" collapsed="false">
      <c r="A116" s="57"/>
      <c r="B116" s="103"/>
      <c r="C116" s="57"/>
      <c r="D116" s="57"/>
      <c r="E116" s="57"/>
      <c r="F116" s="106"/>
      <c r="G116" s="107"/>
      <c r="H116" s="107"/>
      <c r="I116" s="108"/>
      <c r="J116" s="103"/>
      <c r="K116" s="109"/>
      <c r="L116" s="109"/>
      <c r="M116" s="109"/>
      <c r="N116" s="6"/>
    </row>
    <row r="117" customFormat="false" ht="12.5" hidden="false" customHeight="false" outlineLevel="0" collapsed="false">
      <c r="A117" s="57"/>
      <c r="B117" s="57"/>
      <c r="C117" s="103"/>
      <c r="D117" s="103"/>
      <c r="E117" s="103"/>
      <c r="F117" s="110"/>
      <c r="G117" s="110"/>
      <c r="H117" s="110"/>
      <c r="I117" s="110"/>
      <c r="J117" s="111" t="s">
        <v>132</v>
      </c>
      <c r="K117" s="111"/>
      <c r="L117" s="111"/>
      <c r="M117" s="112" t="n">
        <v>3.5</v>
      </c>
      <c r="N117" s="6"/>
    </row>
    <row r="118" customFormat="false" ht="12.5" hidden="false" customHeight="false" outlineLevel="0" collapsed="false">
      <c r="A118" s="57"/>
      <c r="B118" s="57"/>
      <c r="C118" s="103"/>
      <c r="D118" s="103"/>
      <c r="E118" s="103"/>
      <c r="F118" s="110"/>
      <c r="G118" s="110"/>
      <c r="H118" s="110"/>
      <c r="I118" s="110"/>
      <c r="J118" s="113"/>
      <c r="K118" s="113"/>
      <c r="L118" s="113"/>
      <c r="M118" s="114"/>
      <c r="N118" s="6"/>
    </row>
    <row r="119" customFormat="false" ht="12.5" hidden="false" customHeight="false" outlineLevel="0" collapsed="false">
      <c r="A119" s="57" t="s">
        <v>133</v>
      </c>
      <c r="B119" s="103"/>
      <c r="C119" s="103"/>
      <c r="D119" s="103"/>
      <c r="E119" s="103"/>
      <c r="F119" s="110"/>
      <c r="G119" s="110"/>
      <c r="H119" s="110"/>
      <c r="I119" s="110"/>
      <c r="J119" s="113"/>
      <c r="K119" s="113"/>
      <c r="L119" s="113"/>
      <c r="M119" s="114"/>
      <c r="N119" s="6"/>
    </row>
    <row r="120" customFormat="false" ht="12.5" hidden="false" customHeight="false" outlineLevel="0" collapsed="false">
      <c r="A120" s="57" t="s">
        <v>134</v>
      </c>
      <c r="B120" s="103"/>
      <c r="C120" s="103"/>
      <c r="D120" s="103"/>
      <c r="E120" s="103"/>
      <c r="F120" s="110"/>
      <c r="G120" s="110"/>
      <c r="H120" s="110"/>
      <c r="I120" s="110"/>
      <c r="J120" s="113"/>
      <c r="K120" s="113"/>
      <c r="L120" s="113"/>
      <c r="M120" s="114"/>
      <c r="N120" s="6"/>
    </row>
    <row r="121" customFormat="false" ht="13" hidden="false" customHeight="false" outlineLevel="0" collapsed="false">
      <c r="A121" s="115" t="s">
        <v>135</v>
      </c>
      <c r="B121" s="103"/>
      <c r="C121" s="103"/>
      <c r="D121" s="103"/>
      <c r="E121" s="103"/>
      <c r="F121" s="110"/>
      <c r="G121" s="110"/>
      <c r="H121" s="116"/>
      <c r="I121" s="21"/>
      <c r="J121" s="8"/>
      <c r="K121" s="8"/>
      <c r="L121" s="0"/>
      <c r="M121" s="40"/>
      <c r="N121" s="6"/>
    </row>
    <row r="122" customFormat="false" ht="12.5" hidden="false" customHeight="false" outlineLevel="0" collapsed="false">
      <c r="A122" s="57" t="s">
        <v>136</v>
      </c>
      <c r="B122" s="57"/>
      <c r="C122" s="57"/>
      <c r="D122" s="57"/>
      <c r="E122" s="57"/>
      <c r="F122" s="117"/>
      <c r="G122" s="117"/>
      <c r="H122" s="116"/>
      <c r="I122" s="6"/>
      <c r="J122" s="40"/>
      <c r="K122" s="40"/>
      <c r="L122" s="40"/>
      <c r="M122" s="40"/>
      <c r="N122" s="6"/>
    </row>
    <row r="123" customFormat="false" ht="12.5" hidden="false" customHeight="false" outlineLevel="0" collapsed="false">
      <c r="A123" s="57" t="s">
        <v>137</v>
      </c>
      <c r="B123" s="57"/>
      <c r="C123" s="57"/>
      <c r="D123" s="57"/>
      <c r="E123" s="57"/>
      <c r="F123" s="57"/>
      <c r="G123" s="57"/>
      <c r="H123" s="6"/>
      <c r="I123" s="6"/>
      <c r="J123" s="6"/>
      <c r="K123" s="6"/>
      <c r="L123" s="40"/>
      <c r="M123" s="40"/>
      <c r="N123" s="6"/>
    </row>
    <row r="124" customFormat="false" ht="12.5" hidden="false" customHeight="false" outlineLevel="0" collapsed="false">
      <c r="A124" s="57" t="s">
        <v>138</v>
      </c>
      <c r="B124" s="57"/>
      <c r="C124" s="57"/>
      <c r="D124" s="57"/>
      <c r="E124" s="61"/>
      <c r="F124" s="61"/>
      <c r="G124" s="61"/>
      <c r="H124" s="118"/>
      <c r="I124" s="118"/>
      <c r="J124" s="6"/>
      <c r="K124" s="6"/>
      <c r="L124" s="40"/>
      <c r="M124" s="40"/>
      <c r="N124" s="6"/>
    </row>
    <row r="125" customFormat="false" ht="12.5" hidden="false" customHeight="false" outlineLevel="0" collapsed="false">
      <c r="A125" s="119" t="s">
        <v>139</v>
      </c>
      <c r="B125" s="57"/>
      <c r="C125" s="119"/>
      <c r="D125" s="57"/>
      <c r="E125" s="61"/>
      <c r="F125" s="61"/>
      <c r="G125" s="61"/>
      <c r="H125" s="118"/>
      <c r="I125" s="118"/>
      <c r="J125" s="6"/>
      <c r="K125" s="6"/>
      <c r="L125" s="40"/>
      <c r="M125" s="40"/>
      <c r="N125" s="6"/>
    </row>
    <row r="126" customFormat="false" ht="12.5" hidden="false" customHeight="false" outlineLevel="0" collapsed="false">
      <c r="A126" s="6" t="s">
        <v>140</v>
      </c>
      <c r="B126" s="6"/>
      <c r="C126" s="6"/>
      <c r="D126" s="6"/>
      <c r="E126" s="6"/>
      <c r="F126" s="6"/>
      <c r="G126" s="6"/>
      <c r="H126" s="6"/>
      <c r="I126" s="6"/>
      <c r="J126" s="6"/>
      <c r="K126" s="40"/>
      <c r="L126" s="40"/>
      <c r="M126" s="40"/>
      <c r="N126" s="6"/>
    </row>
    <row r="127" customFormat="false" ht="12.5" hidden="false" customHeight="false" outlineLevel="0" collapsed="false">
      <c r="A127" s="57" t="s">
        <v>141</v>
      </c>
      <c r="G127" s="6"/>
      <c r="H127" s="6"/>
      <c r="I127" s="6"/>
      <c r="K127" s="0"/>
      <c r="L127" s="0"/>
      <c r="M127" s="0"/>
    </row>
    <row r="128" customFormat="false" ht="12.5" hidden="false" customHeight="false" outlineLevel="0" collapsed="false">
      <c r="A128" s="6" t="s">
        <v>142</v>
      </c>
      <c r="G128" s="6"/>
      <c r="H128" s="6"/>
      <c r="K128" s="0"/>
      <c r="L128" s="0"/>
      <c r="M128" s="0"/>
    </row>
    <row r="129" customFormat="false" ht="12.5" hidden="false" customHeight="false" outlineLevel="0" collapsed="false">
      <c r="A129" s="57" t="s">
        <v>143</v>
      </c>
      <c r="B129" s="57"/>
      <c r="C129" s="57"/>
      <c r="D129" s="57"/>
      <c r="G129" s="6"/>
      <c r="H129" s="6"/>
      <c r="K129" s="0"/>
      <c r="L129" s="0"/>
      <c r="M129" s="0"/>
    </row>
    <row r="130" customFormat="false" ht="12.5" hidden="false" customHeight="false" outlineLevel="0" collapsed="false">
      <c r="A130" s="57" t="s">
        <v>144</v>
      </c>
      <c r="B130" s="57"/>
      <c r="C130" s="57"/>
      <c r="D130" s="57"/>
      <c r="G130" s="6"/>
      <c r="H130" s="6"/>
      <c r="K130" s="0"/>
      <c r="L130" s="0"/>
      <c r="M130" s="0"/>
    </row>
    <row r="131" customFormat="false" ht="13" hidden="false" customHeight="false" outlineLevel="0" collapsed="false">
      <c r="A131" s="64" t="s">
        <v>145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"/>
    </row>
    <row r="132" customFormat="false" ht="25.5" hidden="false" customHeight="true" outlineLevel="0" collapsed="false">
      <c r="A132" s="6"/>
      <c r="B132" s="6"/>
      <c r="C132" s="6"/>
      <c r="D132" s="6"/>
      <c r="E132" s="120" t="s">
        <v>106</v>
      </c>
      <c r="F132" s="121" t="s">
        <v>146</v>
      </c>
      <c r="G132" s="122" t="s">
        <v>108</v>
      </c>
      <c r="H132" s="122"/>
      <c r="I132" s="123" t="s">
        <v>109</v>
      </c>
      <c r="J132" s="123" t="s">
        <v>110</v>
      </c>
      <c r="K132" s="123" t="s">
        <v>111</v>
      </c>
      <c r="L132" s="124" t="s">
        <v>147</v>
      </c>
      <c r="M132" s="123" t="s">
        <v>113</v>
      </c>
      <c r="N132" s="6"/>
    </row>
    <row r="133" customFormat="false" ht="12.5" hidden="false" customHeight="false" outlineLevel="0" collapsed="false">
      <c r="A133" s="6"/>
      <c r="B133" s="83" t="s">
        <v>148</v>
      </c>
      <c r="C133" s="83"/>
      <c r="D133" s="83"/>
      <c r="E133" s="125" t="n">
        <v>1</v>
      </c>
      <c r="F133" s="69" t="n">
        <v>23000</v>
      </c>
      <c r="G133" s="68" t="n">
        <v>400</v>
      </c>
      <c r="H133" s="87"/>
      <c r="I133" s="72" t="n">
        <f aca="false">'machinery costs'!J18</f>
        <v>7.91703125</v>
      </c>
      <c r="J133" s="73" t="n">
        <v>4.36</v>
      </c>
      <c r="K133" s="74" t="n">
        <f aca="false">0.4*E133</f>
        <v>0.4</v>
      </c>
      <c r="L133" s="75" t="n">
        <f aca="false">(G133*E133)/J133</f>
        <v>91.743119266055</v>
      </c>
      <c r="M133" s="74" t="n">
        <f aca="false">2.54*E133</f>
        <v>2.54</v>
      </c>
    </row>
    <row r="134" customFormat="false" ht="12.5" hidden="false" customHeight="false" outlineLevel="0" collapsed="false">
      <c r="A134" s="6"/>
      <c r="B134" s="83" t="s">
        <v>149</v>
      </c>
      <c r="C134" s="83"/>
      <c r="D134" s="83"/>
      <c r="E134" s="125" t="n">
        <v>1</v>
      </c>
      <c r="F134" s="69" t="n">
        <v>8000</v>
      </c>
      <c r="G134" s="68" t="n">
        <v>400</v>
      </c>
      <c r="H134" s="87"/>
      <c r="I134" s="72" t="n">
        <f aca="false">'machinery costs'!J19</f>
        <v>0.690083333333333</v>
      </c>
      <c r="J134" s="73" t="n">
        <v>4.4</v>
      </c>
      <c r="K134" s="74" t="n">
        <f aca="false">0.1*E134</f>
        <v>0.1</v>
      </c>
      <c r="L134" s="75" t="n">
        <f aca="false">L133</f>
        <v>91.743119266055</v>
      </c>
      <c r="M134" s="74" t="n">
        <f aca="false">0.1*E134</f>
        <v>0.1</v>
      </c>
      <c r="O134" s="76"/>
      <c r="P134" s="76"/>
    </row>
    <row r="135" customFormat="false" ht="12.5" hidden="false" customHeight="false" outlineLevel="0" collapsed="false">
      <c r="A135" s="126"/>
      <c r="B135" s="127" t="s">
        <v>150</v>
      </c>
      <c r="C135" s="127"/>
      <c r="D135" s="127"/>
      <c r="E135" s="128" t="n">
        <v>1</v>
      </c>
      <c r="F135" s="129" t="n">
        <v>7000</v>
      </c>
      <c r="G135" s="89" t="n">
        <v>400</v>
      </c>
      <c r="H135" s="130"/>
      <c r="I135" s="93" t="n">
        <f aca="false">'machinery costs'!J20</f>
        <v>0.642541666666667</v>
      </c>
      <c r="J135" s="131" t="n">
        <v>6.11</v>
      </c>
      <c r="K135" s="97" t="n">
        <f aca="false">0.29*E135</f>
        <v>0.29</v>
      </c>
      <c r="L135" s="132" t="n">
        <f aca="false">(G135*E135)/J135</f>
        <v>65.4664484451719</v>
      </c>
      <c r="M135" s="97" t="n">
        <f aca="false">0.25*E135</f>
        <v>0.25</v>
      </c>
      <c r="O135" s="76"/>
      <c r="P135" s="76"/>
    </row>
    <row r="136" customFormat="false" ht="12.5" hidden="false" customHeight="false" outlineLevel="0" collapsed="false">
      <c r="A136" s="6"/>
      <c r="E136" s="4"/>
      <c r="F136" s="133"/>
      <c r="I136" s="100"/>
      <c r="J136" s="100" t="s">
        <v>128</v>
      </c>
      <c r="K136" s="101" t="n">
        <f aca="false">SUM(K133:K135)*M117</f>
        <v>2.765</v>
      </c>
      <c r="L136" s="78"/>
      <c r="M136" s="59"/>
      <c r="O136" s="76"/>
      <c r="P136" s="76"/>
    </row>
    <row r="137" customFormat="false" ht="12.5" hidden="false" customHeight="false" outlineLevel="0" collapsed="false">
      <c r="A137" s="6"/>
      <c r="D137" s="134" t="s">
        <v>129</v>
      </c>
      <c r="E137" s="134"/>
      <c r="F137" s="134"/>
      <c r="G137" s="134"/>
      <c r="H137" s="134"/>
      <c r="I137" s="101" t="n">
        <f aca="false">SUM(I133:I135)</f>
        <v>9.24965625</v>
      </c>
      <c r="J137" s="100" t="s">
        <v>130</v>
      </c>
      <c r="K137" s="101" t="n">
        <f aca="false">(K136*0.1)+K136</f>
        <v>3.0415</v>
      </c>
      <c r="L137" s="135" t="s">
        <v>131</v>
      </c>
      <c r="M137" s="101" t="n">
        <f aca="false">SUM(M133:M135)</f>
        <v>2.89</v>
      </c>
      <c r="O137" s="76"/>
      <c r="P137" s="76"/>
    </row>
    <row r="138" customFormat="false" ht="13" hidden="false" customHeight="false" outlineLevel="0" collapsed="false">
      <c r="A138" s="57" t="s">
        <v>151</v>
      </c>
      <c r="B138" s="6"/>
      <c r="C138" s="6"/>
      <c r="I138" s="21"/>
      <c r="J138" s="136"/>
      <c r="K138" s="8"/>
      <c r="L138" s="0"/>
      <c r="M138" s="40"/>
      <c r="O138" s="76"/>
      <c r="P138" s="76"/>
    </row>
    <row r="139" customFormat="false" ht="13" hidden="false" customHeight="false" outlineLevel="0" collapsed="false">
      <c r="A139" s="0" t="s">
        <v>152</v>
      </c>
      <c r="B139" s="21"/>
      <c r="C139" s="21"/>
      <c r="D139" s="21"/>
      <c r="E139" s="21"/>
      <c r="F139" s="137"/>
      <c r="G139" s="116"/>
      <c r="H139" s="116"/>
      <c r="I139" s="138"/>
      <c r="J139" s="138"/>
      <c r="K139" s="138"/>
      <c r="L139" s="139"/>
      <c r="M139" s="40"/>
      <c r="O139" s="76"/>
      <c r="P139" s="76"/>
    </row>
    <row r="142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8" customFormat="false" ht="13" hidden="false" customHeight="false" outlineLevel="0" collapsed="false"/>
  </sheetData>
  <mergeCells count="13">
    <mergeCell ref="C1:M1"/>
    <mergeCell ref="C2:M2"/>
    <mergeCell ref="D3:L3"/>
    <mergeCell ref="M4:N4"/>
    <mergeCell ref="A6:D6"/>
    <mergeCell ref="F6:G6"/>
    <mergeCell ref="I6:J6"/>
    <mergeCell ref="K6:M6"/>
    <mergeCell ref="I7:J7"/>
    <mergeCell ref="A100:M100"/>
    <mergeCell ref="J117:L117"/>
    <mergeCell ref="A131:M131"/>
    <mergeCell ref="D137:H137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4" activeCellId="0" sqref="A14"/>
    </sheetView>
  </sheetViews>
  <sheetFormatPr defaultRowHeight="12.5"/>
  <cols>
    <col collapsed="false" hidden="false" max="1" min="1" style="0" width="3.64285714285714"/>
    <col collapsed="false" hidden="false" max="2" min="2" style="0" width="19.0357142857143"/>
    <col collapsed="false" hidden="false" max="3" min="3" style="0" width="13.6326530612245"/>
    <col collapsed="false" hidden="false" max="4" min="4" style="0" width="13.9030612244898"/>
    <col collapsed="false" hidden="false" max="5" min="5" style="0" width="11.0714285714286"/>
    <col collapsed="false" hidden="false" max="6" min="6" style="0" width="13.7704081632653"/>
    <col collapsed="false" hidden="false" max="7" min="7" style="0" width="8.50510204081633"/>
    <col collapsed="false" hidden="false" max="9" min="8" style="0" width="10.9336734693878"/>
    <col collapsed="false" hidden="false" max="1025" min="10" style="0" width="8.50510204081633"/>
  </cols>
  <sheetData>
    <row r="1" customFormat="false" ht="13" hidden="false" customHeight="false" outlineLevel="0" collapsed="false">
      <c r="D1" s="21" t="s">
        <v>153</v>
      </c>
    </row>
    <row r="2" customFormat="false" ht="17.25" hidden="false" customHeight="true" outlineLevel="0" collapsed="false">
      <c r="A2" s="57" t="s">
        <v>154</v>
      </c>
      <c r="B2" s="57"/>
      <c r="C2" s="66" t="s">
        <v>155</v>
      </c>
      <c r="D2" s="66" t="s">
        <v>156</v>
      </c>
      <c r="E2" s="66" t="s">
        <v>157</v>
      </c>
      <c r="F2" s="66" t="s">
        <v>158</v>
      </c>
      <c r="G2" s="66" t="s">
        <v>159</v>
      </c>
      <c r="H2" s="66" t="s">
        <v>160</v>
      </c>
      <c r="I2" s="66" t="s">
        <v>161</v>
      </c>
      <c r="J2" s="66" t="s">
        <v>162</v>
      </c>
    </row>
    <row r="3" customFormat="false" ht="12.5" hidden="false" customHeight="false" outlineLevel="0" collapsed="false">
      <c r="A3" s="58" t="s">
        <v>114</v>
      </c>
      <c r="B3" s="58"/>
      <c r="C3" s="140" t="n">
        <f aca="false">(wheat!F102+(wheat!F102*0.34)+D3)/2</f>
        <v>29161.25</v>
      </c>
      <c r="D3" s="140" t="n">
        <f aca="false">(wheat!F102-(wheat!F102*0.34))/8</f>
        <v>3382.5</v>
      </c>
      <c r="E3" s="140" t="n">
        <f aca="false">0.06*C3</f>
        <v>1749.675</v>
      </c>
      <c r="F3" s="140" t="n">
        <f aca="false">0.005*C3</f>
        <v>145.80625</v>
      </c>
      <c r="G3" s="140" t="n">
        <f aca="false">0.01*C3</f>
        <v>291.6125</v>
      </c>
      <c r="H3" s="141" t="n">
        <f aca="false">SUM(D3:G3)</f>
        <v>5569.59375</v>
      </c>
      <c r="I3" s="141" t="n">
        <f aca="false">wheat!G102</f>
        <v>1200</v>
      </c>
      <c r="J3" s="142" t="n">
        <f aca="false">H3/I3</f>
        <v>4.641328125</v>
      </c>
    </row>
    <row r="4" customFormat="false" ht="12.5" hidden="false" customHeight="false" outlineLevel="0" collapsed="false">
      <c r="A4" s="58" t="s">
        <v>115</v>
      </c>
      <c r="B4" s="58"/>
      <c r="C4" s="55" t="n">
        <f aca="false">(wheat!F103+(wheat!F103*0.34)+D4)/2</f>
        <v>41963.75</v>
      </c>
      <c r="D4" s="55" t="n">
        <f aca="false">(wheat!F103-(wheat!F103*0.34))/8</f>
        <v>4867.5</v>
      </c>
      <c r="E4" s="55" t="n">
        <f aca="false">0.06*C4</f>
        <v>2517.825</v>
      </c>
      <c r="F4" s="55" t="n">
        <f aca="false">0.005*C4</f>
        <v>209.81875</v>
      </c>
      <c r="G4" s="55" t="n">
        <f aca="false">0.01*C4</f>
        <v>419.6375</v>
      </c>
      <c r="H4" s="85" t="n">
        <f aca="false">SUM(D4:G4)</f>
        <v>8014.78125</v>
      </c>
      <c r="I4" s="85" t="n">
        <f aca="false">wheat!G103</f>
        <v>1200</v>
      </c>
      <c r="J4" s="143" t="n">
        <f aca="false">H4/I4</f>
        <v>6.678984375</v>
      </c>
    </row>
    <row r="5" customFormat="false" ht="12.5" hidden="false" customHeight="false" outlineLevel="0" collapsed="false">
      <c r="A5" s="58" t="s">
        <v>116</v>
      </c>
      <c r="B5" s="58"/>
      <c r="C5" s="55" t="n">
        <f aca="false">(wheat!F104+(wheat!F104*0.34)+D5)/2</f>
        <v>147940</v>
      </c>
      <c r="D5" s="55" t="n">
        <f aca="false">(wheat!F104-(wheat!F104*0.34))/8</f>
        <v>17160</v>
      </c>
      <c r="E5" s="55" t="n">
        <f aca="false">0.06*C5</f>
        <v>8876.4</v>
      </c>
      <c r="F5" s="55" t="n">
        <f aca="false">0.005*C5</f>
        <v>739.7</v>
      </c>
      <c r="G5" s="55" t="n">
        <f aca="false">0.01*C5</f>
        <v>1479.4</v>
      </c>
      <c r="H5" s="85" t="n">
        <f aca="false">SUM(D5:G5)</f>
        <v>28255.5</v>
      </c>
      <c r="I5" s="85" t="n">
        <f aca="false">wheat!G104</f>
        <v>2000</v>
      </c>
      <c r="J5" s="143" t="n">
        <f aca="false">H5/I5</f>
        <v>14.12775</v>
      </c>
    </row>
    <row r="6" customFormat="false" ht="12.5" hidden="false" customHeight="false" outlineLevel="0" collapsed="false">
      <c r="A6" s="58" t="s">
        <v>117</v>
      </c>
      <c r="B6" s="58"/>
      <c r="C6" s="55" t="n">
        <f aca="false">(wheat!F105+(wheat!F105*0.44)+D6)/2</f>
        <v>47565</v>
      </c>
      <c r="D6" s="55" t="n">
        <f aca="false">(wheat!F105-(wheat!F105*0.44))/8</f>
        <v>4410</v>
      </c>
      <c r="E6" s="55" t="n">
        <f aca="false">0.06*C6</f>
        <v>2853.9</v>
      </c>
      <c r="F6" s="55" t="n">
        <f aca="false">0.005*C6</f>
        <v>237.825</v>
      </c>
      <c r="G6" s="55" t="n">
        <f aca="false">0.01*C6</f>
        <v>475.65</v>
      </c>
      <c r="H6" s="85" t="n">
        <f aca="false">SUM(D6:G6)</f>
        <v>7977.375</v>
      </c>
      <c r="I6" s="85" t="n">
        <f aca="false">wheat!G105</f>
        <v>1200</v>
      </c>
      <c r="J6" s="143" t="n">
        <f aca="false">H6/I6</f>
        <v>6.6478125</v>
      </c>
    </row>
    <row r="7" customFormat="false" ht="12.5" hidden="false" customHeight="false" outlineLevel="0" collapsed="false">
      <c r="A7" s="58" t="s">
        <v>118</v>
      </c>
      <c r="B7" s="58"/>
      <c r="C7" s="55" t="n">
        <f aca="false">(wheat!F106+(wheat!F106*0.29)+D7)/2</f>
        <v>204055</v>
      </c>
      <c r="D7" s="55" t="n">
        <f aca="false">(wheat!F106-(wheat!F106*0.29))/8</f>
        <v>26270</v>
      </c>
      <c r="E7" s="55" t="n">
        <f aca="false">0.06*C7</f>
        <v>12243.3</v>
      </c>
      <c r="F7" s="55" t="n">
        <f aca="false">0.005*C7</f>
        <v>1020.275</v>
      </c>
      <c r="G7" s="55" t="n">
        <f aca="false">0.01*C7</f>
        <v>2040.55</v>
      </c>
      <c r="H7" s="85" t="n">
        <f aca="false">SUM(D7:G7)</f>
        <v>41574.125</v>
      </c>
      <c r="I7" s="85" t="n">
        <f aca="false">wheat!G106</f>
        <v>2000</v>
      </c>
      <c r="J7" s="143" t="n">
        <f aca="false">H7/I7</f>
        <v>20.7870625</v>
      </c>
    </row>
    <row r="8" customFormat="false" ht="12.5" hidden="false" customHeight="false" outlineLevel="0" collapsed="false">
      <c r="A8" s="58"/>
      <c r="B8" s="58" t="s">
        <v>120</v>
      </c>
      <c r="C8" s="55" t="n">
        <f aca="false">(wheat!F107+(wheat!F107*0.29)+D8)/2</f>
        <v>17923.75</v>
      </c>
      <c r="D8" s="55" t="n">
        <f aca="false">(wheat!F107-(wheat!F107*0.29))/8</f>
        <v>2307.5</v>
      </c>
      <c r="E8" s="55" t="n">
        <f aca="false">0.06*C8</f>
        <v>1075.425</v>
      </c>
      <c r="F8" s="55" t="n">
        <f aca="false">0.005*C8</f>
        <v>89.61875</v>
      </c>
      <c r="G8" s="55" t="n">
        <f aca="false">0.01*C8</f>
        <v>179.2375</v>
      </c>
      <c r="H8" s="85" t="n">
        <f aca="false">SUM(D8:G8)</f>
        <v>3651.78125</v>
      </c>
      <c r="I8" s="85" t="n">
        <f aca="false">wheat!G107</f>
        <v>1200</v>
      </c>
      <c r="J8" s="143" t="n">
        <f aca="false">H8/I8</f>
        <v>3.04315104166667</v>
      </c>
    </row>
    <row r="9" customFormat="false" ht="12.5" hidden="false" customHeight="false" outlineLevel="0" collapsed="false">
      <c r="A9" s="58" t="s">
        <v>121</v>
      </c>
      <c r="B9" s="58"/>
      <c r="C9" s="55" t="n">
        <f aca="false">(wheat!F108+(wheat!F108*0.34)+D9)/2</f>
        <v>8535</v>
      </c>
      <c r="D9" s="55" t="n">
        <f aca="false">(wheat!F108-(wheat!F108*0.34))/8</f>
        <v>990</v>
      </c>
      <c r="E9" s="55" t="n">
        <f aca="false">0.06*C9</f>
        <v>512.1</v>
      </c>
      <c r="F9" s="55" t="n">
        <f aca="false">0.005*C9</f>
        <v>42.675</v>
      </c>
      <c r="G9" s="55" t="n">
        <f aca="false">0.01*C9</f>
        <v>85.35</v>
      </c>
      <c r="H9" s="85" t="n">
        <f aca="false">SUM(D9:G9)</f>
        <v>1630.125</v>
      </c>
      <c r="I9" s="85" t="n">
        <f aca="false">wheat!G108</f>
        <v>2000</v>
      </c>
      <c r="J9" s="143" t="n">
        <f aca="false">H9/I9</f>
        <v>0.8150625</v>
      </c>
    </row>
    <row r="10" customFormat="false" ht="12.5" hidden="false" customHeight="false" outlineLevel="0" collapsed="false">
      <c r="A10" s="58" t="s">
        <v>122</v>
      </c>
      <c r="B10" s="58"/>
      <c r="C10" s="55" t="n">
        <f aca="false">(wheat!F109+(wheat!F109*0.36)+D10)/2</f>
        <v>50400</v>
      </c>
      <c r="D10" s="55" t="n">
        <f aca="false">(wheat!F109-(wheat!F109*0.36))/8</f>
        <v>5600</v>
      </c>
      <c r="E10" s="55" t="n">
        <f aca="false">0.06*C10</f>
        <v>3024</v>
      </c>
      <c r="F10" s="55" t="n">
        <f aca="false">0.005*C10</f>
        <v>252</v>
      </c>
      <c r="G10" s="55" t="n">
        <f aca="false">0.01*C10</f>
        <v>504</v>
      </c>
      <c r="H10" s="85" t="n">
        <f aca="false">SUM(D10:G10)</f>
        <v>9380</v>
      </c>
      <c r="I10" s="85" t="n">
        <f aca="false">wheat!G109</f>
        <v>2000</v>
      </c>
      <c r="J10" s="143" t="n">
        <f aca="false">H10/I10</f>
        <v>4.69</v>
      </c>
    </row>
    <row r="11" customFormat="false" ht="12.5" hidden="false" customHeight="false" outlineLevel="0" collapsed="false">
      <c r="A11" s="58" t="s">
        <v>124</v>
      </c>
      <c r="B11" s="58"/>
      <c r="C11" s="55" t="n">
        <f aca="false">(wheat!F110+(wheat!F110*0.36)+D11)/2</f>
        <v>45000</v>
      </c>
      <c r="D11" s="55" t="n">
        <f aca="false">(wheat!F110-(wheat!F110*0.36))/8</f>
        <v>5000</v>
      </c>
      <c r="E11" s="55" t="n">
        <f aca="false">0.06*C11</f>
        <v>2700</v>
      </c>
      <c r="F11" s="55" t="n">
        <f aca="false">0.005*C11</f>
        <v>225</v>
      </c>
      <c r="G11" s="55" t="n">
        <f aca="false">0.01*C11</f>
        <v>450</v>
      </c>
      <c r="H11" s="85" t="n">
        <f aca="false">SUM(D11:G11)</f>
        <v>8375</v>
      </c>
      <c r="I11" s="85" t="n">
        <f aca="false">wheat!G110</f>
        <v>2000</v>
      </c>
      <c r="J11" s="143" t="n">
        <f aca="false">H11/I11</f>
        <v>4.1875</v>
      </c>
    </row>
    <row r="12" customFormat="false" ht="12.5" hidden="false" customHeight="false" outlineLevel="0" collapsed="false">
      <c r="A12" s="58" t="s">
        <v>125</v>
      </c>
      <c r="B12" s="58"/>
      <c r="C12" s="55" t="n">
        <f aca="false">(wheat!F111+(wheat!F111*0.36)+D12)/2</f>
        <v>192240</v>
      </c>
      <c r="D12" s="55" t="n">
        <f aca="false">(wheat!F111-(wheat!F111*0.36))/8</f>
        <v>21360</v>
      </c>
      <c r="E12" s="55" t="n">
        <f aca="false">0.06*C12</f>
        <v>11534.4</v>
      </c>
      <c r="F12" s="55" t="n">
        <f aca="false">0.005*C12</f>
        <v>961.2</v>
      </c>
      <c r="G12" s="55" t="n">
        <f aca="false">0.01*C12</f>
        <v>1922.4</v>
      </c>
      <c r="H12" s="85" t="n">
        <f aca="false">SUM(D12:G12)</f>
        <v>35778</v>
      </c>
      <c r="I12" s="85" t="n">
        <f aca="false">wheat!G111</f>
        <v>2000</v>
      </c>
      <c r="J12" s="143" t="n">
        <f aca="false">H12/I12</f>
        <v>17.889</v>
      </c>
    </row>
    <row r="13" customFormat="false" ht="12.5" hidden="false" customHeight="false" outlineLevel="0" collapsed="false">
      <c r="A13" s="58" t="s">
        <v>126</v>
      </c>
      <c r="B13" s="58"/>
      <c r="C13" s="55" t="n">
        <f aca="false">(wheat!F112+(wheat!F112*0.41)+D13)/2</f>
        <v>163212.5</v>
      </c>
      <c r="D13" s="55" t="n">
        <f aca="false">(wheat!F112-(wheat!F112*0.41))/8</f>
        <v>16225</v>
      </c>
      <c r="E13" s="55" t="n">
        <f aca="false">0.06*C13</f>
        <v>9792.75</v>
      </c>
      <c r="F13" s="55" t="n">
        <f aca="false">0.005*C13</f>
        <v>816.0625</v>
      </c>
      <c r="G13" s="55" t="n">
        <f aca="false">0.01*C13</f>
        <v>1632.125</v>
      </c>
      <c r="H13" s="85" t="n">
        <f aca="false">SUM(D13:G13)</f>
        <v>28465.9375</v>
      </c>
      <c r="I13" s="85" t="n">
        <f aca="false">wheat!G112</f>
        <v>2000</v>
      </c>
      <c r="J13" s="143" t="n">
        <f aca="false">H13/I13</f>
        <v>14.23296875</v>
      </c>
    </row>
    <row r="14" customFormat="false" ht="12.5" hidden="false" customHeight="false" outlineLevel="0" collapsed="false">
      <c r="A14" s="88" t="s">
        <v>127</v>
      </c>
      <c r="B14" s="88"/>
      <c r="C14" s="49" t="n">
        <f aca="false">(wheat!F113+(wheat!F113*0.36)+D14)/2</f>
        <v>14400</v>
      </c>
      <c r="D14" s="49" t="n">
        <f aca="false">(wheat!F113-(wheat!F113*0.36))/8</f>
        <v>1600</v>
      </c>
      <c r="E14" s="49" t="n">
        <f aca="false">0.06*C14</f>
        <v>864</v>
      </c>
      <c r="F14" s="49" t="n">
        <f aca="false">0.005*C14</f>
        <v>72</v>
      </c>
      <c r="G14" s="49" t="n">
        <f aca="false">0.01*C14</f>
        <v>144</v>
      </c>
      <c r="H14" s="144" t="n">
        <f aca="false">SUM(D14:G14)</f>
        <v>2680</v>
      </c>
      <c r="I14" s="144" t="n">
        <f aca="false">wheat!G113</f>
        <v>2000</v>
      </c>
      <c r="J14" s="145" t="n">
        <f aca="false">H14/I14</f>
        <v>1.34</v>
      </c>
    </row>
    <row r="15" customFormat="false" ht="12.5" hidden="false" customHeight="false" outlineLevel="0" collapsed="false">
      <c r="D15" s="23" t="n">
        <f aca="false">SUM(D3:D14)</f>
        <v>109172.5</v>
      </c>
      <c r="E15" s="23" t="n">
        <f aca="false">SUM(E3:E14)</f>
        <v>57743.775</v>
      </c>
      <c r="F15" s="23" t="n">
        <f aca="false">SUM(F3:F14)</f>
        <v>4811.98125</v>
      </c>
      <c r="G15" s="23" t="n">
        <f aca="false">SUM(G3:G14)</f>
        <v>9623.9625</v>
      </c>
      <c r="H15" s="23" t="n">
        <f aca="false">SUM(H3:H14)</f>
        <v>181352.21875</v>
      </c>
    </row>
    <row r="16" customFormat="false" ht="13" hidden="false" customHeight="false" outlineLevel="0" collapsed="false">
      <c r="D16" s="21" t="s">
        <v>163</v>
      </c>
    </row>
    <row r="17" customFormat="false" ht="12.5" hidden="false" customHeight="false" outlineLevel="0" collapsed="false">
      <c r="A17" s="146" t="s">
        <v>154</v>
      </c>
      <c r="B17" s="57"/>
      <c r="C17" s="57" t="s">
        <v>155</v>
      </c>
      <c r="D17" s="147" t="s">
        <v>156</v>
      </c>
      <c r="E17" s="148" t="s">
        <v>157</v>
      </c>
      <c r="F17" s="147" t="s">
        <v>158</v>
      </c>
      <c r="G17" s="147" t="s">
        <v>159</v>
      </c>
      <c r="H17" s="147" t="s">
        <v>160</v>
      </c>
      <c r="I17" s="147" t="s">
        <v>161</v>
      </c>
      <c r="J17" s="147" t="s">
        <v>162</v>
      </c>
    </row>
    <row r="18" customFormat="false" ht="15" hidden="false" customHeight="true" outlineLevel="0" collapsed="false">
      <c r="A18" s="149" t="s">
        <v>148</v>
      </c>
      <c r="B18" s="149"/>
      <c r="C18" s="140" t="n">
        <f aca="false">(wheat!F133+(wheat!F133*0.32)+D18)/2</f>
        <v>16157.5</v>
      </c>
      <c r="D18" s="140" t="n">
        <f aca="false">(wheat!F133-(wheat!F133*0.32))/8</f>
        <v>1955</v>
      </c>
      <c r="E18" s="140" t="n">
        <f aca="false">0.06*C18</f>
        <v>969.45</v>
      </c>
      <c r="F18" s="140" t="n">
        <f aca="false">0.005*C18</f>
        <v>80.7875</v>
      </c>
      <c r="G18" s="140" t="n">
        <f aca="false">0.01*C18</f>
        <v>161.575</v>
      </c>
      <c r="H18" s="150" t="n">
        <f aca="false">SUM(D18:G18)</f>
        <v>3166.8125</v>
      </c>
      <c r="I18" s="150" t="n">
        <f aca="false">wheat!G133</f>
        <v>400</v>
      </c>
      <c r="J18" s="142" t="n">
        <f aca="false">H18/I18</f>
        <v>7.91703125</v>
      </c>
    </row>
    <row r="19" customFormat="false" ht="12.5" hidden="false" customHeight="false" outlineLevel="0" collapsed="false">
      <c r="A19" s="151" t="s">
        <v>149</v>
      </c>
      <c r="B19" s="151"/>
      <c r="C19" s="55" t="n">
        <f aca="false">(wheat!F134+(wheat!F134*0.41)+D19)/2</f>
        <v>5935</v>
      </c>
      <c r="D19" s="55" t="n">
        <f aca="false">(wheat!F134-(wheat!F134*0.41))/8</f>
        <v>590</v>
      </c>
      <c r="E19" s="55" t="n">
        <f aca="false">0.06*C19</f>
        <v>356.1</v>
      </c>
      <c r="F19" s="55" t="n">
        <f aca="false">0.005*C19</f>
        <v>29.675</v>
      </c>
      <c r="G19" s="55" t="n">
        <f aca="false">0.01*C19</f>
        <v>59.35</v>
      </c>
      <c r="H19" s="152" t="n">
        <f aca="false">SUM(D19:G19)</f>
        <v>1035.125</v>
      </c>
      <c r="I19" s="152" t="n">
        <f aca="false">wheat!G134</f>
        <v>400</v>
      </c>
      <c r="J19" s="143" t="n">
        <f aca="false">H19/1500</f>
        <v>0.690083333333333</v>
      </c>
    </row>
    <row r="20" customFormat="false" ht="12.5" hidden="false" customHeight="false" outlineLevel="0" collapsed="false">
      <c r="A20" s="127" t="s">
        <v>150</v>
      </c>
      <c r="B20" s="127"/>
      <c r="C20" s="49" t="n">
        <f aca="false">(wheat!F135+(wheat!F135*0.32)+D20)/2</f>
        <v>4917.5</v>
      </c>
      <c r="D20" s="49" t="n">
        <f aca="false">(wheat!F135-(wheat!F135*0.32))/8</f>
        <v>595</v>
      </c>
      <c r="E20" s="49" t="n">
        <f aca="false">0.06*C20</f>
        <v>295.05</v>
      </c>
      <c r="F20" s="49" t="n">
        <f aca="false">0.005*C20</f>
        <v>24.5875</v>
      </c>
      <c r="G20" s="49" t="n">
        <f aca="false">0.01*C20</f>
        <v>49.175</v>
      </c>
      <c r="H20" s="153" t="n">
        <f aca="false">SUM(D20:G20)</f>
        <v>963.8125</v>
      </c>
      <c r="I20" s="153" t="n">
        <f aca="false">wheat!G135</f>
        <v>400</v>
      </c>
      <c r="J20" s="145" t="n">
        <f aca="false">H20/1500</f>
        <v>0.642541666666667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3" activeCellId="0" sqref="A23"/>
    </sheetView>
  </sheetViews>
  <sheetFormatPr defaultRowHeight="12.5"/>
  <cols>
    <col collapsed="false" hidden="false" max="3" min="1" style="0" width="8.50510204081633"/>
    <col collapsed="false" hidden="false" max="4" min="4" style="0" width="10.8010204081633"/>
    <col collapsed="false" hidden="false" max="5" min="5" style="0" width="8.50510204081633"/>
    <col collapsed="false" hidden="false" max="6" min="6" style="0" width="9.31632653061224"/>
    <col collapsed="false" hidden="false" max="7" min="7" style="0" width="13.7704081632653"/>
    <col collapsed="false" hidden="false" max="8" min="8" style="0" width="6.75"/>
    <col collapsed="false" hidden="false" max="9" min="9" style="0" width="13.0918367346939"/>
    <col collapsed="false" hidden="false" max="1025" min="10" style="0" width="8.50510204081633"/>
  </cols>
  <sheetData>
    <row r="1" customFormat="false" ht="12.5" hidden="false" customHeight="false" outlineLevel="0" collapsed="false">
      <c r="A1" s="154" t="s">
        <v>164</v>
      </c>
      <c r="B1" s="154"/>
      <c r="C1" s="154"/>
      <c r="D1" s="154"/>
      <c r="E1" s="154"/>
      <c r="F1" s="154"/>
      <c r="G1" s="154"/>
      <c r="H1" s="154"/>
      <c r="I1" s="154"/>
    </row>
    <row r="2" customFormat="false" ht="12" hidden="false" customHeight="true" outlineLevel="0" collapsed="false">
      <c r="A2" s="154"/>
      <c r="B2" s="154"/>
      <c r="C2" s="154"/>
      <c r="D2" s="154"/>
      <c r="E2" s="154"/>
      <c r="F2" s="154"/>
      <c r="G2" s="154"/>
      <c r="H2" s="154"/>
      <c r="I2" s="154"/>
    </row>
    <row r="3" customFormat="false" ht="20.5" hidden="false" customHeight="false" outlineLevel="0" collapsed="false">
      <c r="A3" s="155" t="s">
        <v>165</v>
      </c>
      <c r="B3" s="155"/>
      <c r="C3" s="155"/>
      <c r="D3" s="155" t="s">
        <v>166</v>
      </c>
      <c r="E3" s="155"/>
      <c r="F3" s="155"/>
      <c r="G3" s="156" t="s">
        <v>167</v>
      </c>
      <c r="H3" s="156"/>
      <c r="I3" s="156"/>
    </row>
    <row r="4" customFormat="false" ht="20" hidden="false" customHeight="false" outlineLevel="0" collapsed="false">
      <c r="A4" s="157" t="s">
        <v>168</v>
      </c>
      <c r="B4" s="158"/>
      <c r="C4" s="159"/>
      <c r="D4" s="159"/>
      <c r="E4" s="159"/>
      <c r="F4" s="159"/>
      <c r="G4" s="160" t="n">
        <f aca="false">wheat!L8</f>
        <v>70</v>
      </c>
      <c r="H4" s="161"/>
      <c r="I4" s="162" t="n">
        <f aca="false">wheat!M8</f>
        <v>84</v>
      </c>
    </row>
    <row r="5" customFormat="false" ht="20" hidden="false" customHeight="false" outlineLevel="0" collapsed="false">
      <c r="A5" s="163" t="s">
        <v>169</v>
      </c>
      <c r="B5" s="163"/>
      <c r="C5" s="164"/>
      <c r="D5" s="165" t="n">
        <f aca="false">wheat!I10</f>
        <v>6.9</v>
      </c>
      <c r="E5" s="164" t="s">
        <v>170</v>
      </c>
      <c r="F5" s="166"/>
      <c r="G5" s="167" t="n">
        <f aca="false">wheat!L10</f>
        <v>483</v>
      </c>
      <c r="H5" s="167"/>
      <c r="I5" s="168" t="n">
        <f aca="false">wheat!M10</f>
        <v>579.6</v>
      </c>
    </row>
    <row r="6" customFormat="false" ht="6.75" hidden="false" customHeight="true" outlineLevel="0" collapsed="false">
      <c r="A6" s="159"/>
      <c r="B6" s="159"/>
      <c r="C6" s="159"/>
      <c r="D6" s="159"/>
      <c r="E6" s="159"/>
      <c r="F6" s="169"/>
      <c r="G6" s="14"/>
      <c r="H6" s="14"/>
      <c r="I6" s="14"/>
    </row>
    <row r="7" customFormat="false" ht="20" hidden="false" customHeight="false" outlineLevel="0" collapsed="false">
      <c r="A7" s="170" t="s">
        <v>171</v>
      </c>
      <c r="B7" s="171"/>
      <c r="C7" s="172"/>
      <c r="D7" s="159"/>
      <c r="E7" s="159"/>
      <c r="G7" s="173"/>
      <c r="H7" s="173"/>
      <c r="I7" s="173"/>
    </row>
    <row r="8" customFormat="false" ht="20" hidden="false" customHeight="false" outlineLevel="0" collapsed="false">
      <c r="A8" s="174" t="s">
        <v>172</v>
      </c>
      <c r="B8" s="174"/>
      <c r="C8" s="174"/>
      <c r="D8" s="175" t="n">
        <f aca="false">wheat!I15</f>
        <v>0.03</v>
      </c>
      <c r="E8" s="166" t="s">
        <v>173</v>
      </c>
      <c r="F8" s="166"/>
      <c r="G8" s="167" t="n">
        <f aca="false">wheat!L15</f>
        <v>42</v>
      </c>
      <c r="H8" s="167"/>
      <c r="I8" s="168" t="n">
        <f aca="false">wheat!M15</f>
        <v>42</v>
      </c>
    </row>
    <row r="9" customFormat="false" ht="20" hidden="false" customHeight="false" outlineLevel="0" collapsed="false">
      <c r="A9" s="174" t="s">
        <v>174</v>
      </c>
      <c r="B9" s="174"/>
      <c r="C9" s="174"/>
      <c r="D9" s="176" t="n">
        <f aca="false">wheat!F86</f>
        <v>395</v>
      </c>
      <c r="E9" s="174"/>
      <c r="F9" s="174"/>
      <c r="G9" s="177" t="n">
        <f aca="false">wheat!L18</f>
        <v>27.5625</v>
      </c>
      <c r="H9" s="177"/>
      <c r="I9" s="178" t="n">
        <f aca="false">wheat!M17</f>
        <v>70.1830357142857</v>
      </c>
    </row>
    <row r="10" customFormat="false" ht="24" hidden="false" customHeight="false" outlineLevel="0" collapsed="false">
      <c r="A10" s="174" t="s">
        <v>175</v>
      </c>
      <c r="B10" s="174"/>
      <c r="C10" s="174"/>
      <c r="D10" s="176" t="n">
        <f aca="false">wheat!I86</f>
        <v>650</v>
      </c>
      <c r="E10" s="174" t="s">
        <v>29</v>
      </c>
      <c r="F10" s="174"/>
      <c r="G10" s="177" t="n">
        <f aca="false">wheat!L18</f>
        <v>27.5625</v>
      </c>
      <c r="H10" s="177"/>
      <c r="I10" s="178" t="n">
        <f aca="false">wheat!M18</f>
        <v>33.075</v>
      </c>
    </row>
    <row r="11" customFormat="false" ht="24" hidden="false" customHeight="false" outlineLevel="0" collapsed="false">
      <c r="A11" s="174" t="s">
        <v>176</v>
      </c>
      <c r="B11" s="174"/>
      <c r="C11" s="174"/>
      <c r="D11" s="179" t="n">
        <f aca="false">wheat!M86</f>
        <v>575</v>
      </c>
      <c r="E11" s="174" t="s">
        <v>29</v>
      </c>
      <c r="F11" s="174"/>
      <c r="G11" s="177" t="n">
        <f aca="false">wheat!L19</f>
        <v>21.99375</v>
      </c>
      <c r="H11" s="177"/>
      <c r="I11" s="178" t="n">
        <f aca="false">wheat!M19</f>
        <v>24.4758333333333</v>
      </c>
    </row>
    <row r="12" customFormat="false" ht="20" hidden="false" customHeight="false" outlineLevel="0" collapsed="false">
      <c r="A12" s="174" t="s">
        <v>177</v>
      </c>
      <c r="B12" s="174"/>
      <c r="C12" s="174"/>
      <c r="D12" s="174"/>
      <c r="E12" s="174"/>
      <c r="F12" s="174"/>
      <c r="G12" s="177" t="n">
        <f aca="false">wheat!L21</f>
        <v>13</v>
      </c>
      <c r="H12" s="177"/>
      <c r="I12" s="178" t="n">
        <f aca="false">wheat!M21</f>
        <v>13</v>
      </c>
    </row>
    <row r="13" customFormat="false" ht="20" hidden="false" customHeight="false" outlineLevel="0" collapsed="false">
      <c r="A13" s="163" t="s">
        <v>178</v>
      </c>
      <c r="B13" s="163"/>
      <c r="C13" s="163"/>
      <c r="D13" s="180" t="n">
        <f aca="false">wheat!M117</f>
        <v>3.5</v>
      </c>
      <c r="E13" s="163" t="s">
        <v>179</v>
      </c>
      <c r="F13" s="163"/>
      <c r="G13" s="181"/>
      <c r="H13" s="181"/>
      <c r="I13" s="182"/>
    </row>
    <row r="14" customFormat="false" ht="8.25" hidden="false" customHeight="true" outlineLevel="0" collapsed="false">
      <c r="A14" s="159"/>
      <c r="B14" s="159"/>
      <c r="C14" s="159"/>
      <c r="D14" s="159"/>
      <c r="E14" s="159"/>
    </row>
    <row r="15" customFormat="false" ht="20" hidden="false" customHeight="false" outlineLevel="0" collapsed="false">
      <c r="A15" s="170" t="s">
        <v>180</v>
      </c>
      <c r="B15" s="172"/>
      <c r="C15" s="159"/>
      <c r="D15" s="159"/>
      <c r="E15" s="159"/>
      <c r="F15" s="159"/>
      <c r="G15" s="183"/>
      <c r="H15" s="183"/>
      <c r="I15" s="183"/>
    </row>
    <row r="16" customFormat="false" ht="20" hidden="false" customHeight="false" outlineLevel="0" collapsed="false">
      <c r="A16" s="184" t="s">
        <v>181</v>
      </c>
      <c r="B16" s="184"/>
      <c r="C16" s="185"/>
      <c r="D16" s="185"/>
      <c r="E16" s="185"/>
      <c r="F16" s="185"/>
      <c r="G16" s="167" t="n">
        <f aca="false">wheat!L36+wheat!L35</f>
        <v>46.65</v>
      </c>
      <c r="H16" s="167"/>
      <c r="I16" s="168" t="n">
        <f aca="false">wheat!M36+wheat!M35</f>
        <v>51.48</v>
      </c>
    </row>
    <row r="17" customFormat="false" ht="20" hidden="false" customHeight="false" outlineLevel="0" collapsed="false">
      <c r="A17" s="184" t="s">
        <v>107</v>
      </c>
      <c r="B17" s="184"/>
      <c r="C17" s="184"/>
      <c r="D17" s="184"/>
      <c r="E17" s="184"/>
      <c r="F17" s="184"/>
      <c r="G17" s="177" t="n">
        <f aca="false">wheat!L37</f>
        <v>99.0806197916667</v>
      </c>
      <c r="H17" s="177"/>
      <c r="I17" s="178" t="n">
        <f aca="false">wheat!M37</f>
        <v>99.0806197916667</v>
      </c>
    </row>
    <row r="18" customFormat="false" ht="20" hidden="false" customHeight="false" outlineLevel="0" collapsed="false">
      <c r="A18" s="163" t="s">
        <v>182</v>
      </c>
      <c r="B18" s="163"/>
      <c r="C18" s="163"/>
      <c r="D18" s="163"/>
      <c r="E18" s="163"/>
      <c r="F18" s="174"/>
      <c r="G18" s="177" t="n">
        <f aca="false">wheat!L38</f>
        <v>195</v>
      </c>
      <c r="H18" s="177"/>
      <c r="I18" s="178" t="n">
        <f aca="false">wheat!M38</f>
        <v>250</v>
      </c>
    </row>
    <row r="19" customFormat="false" ht="19.5" hidden="false" customHeight="true" outlineLevel="0" collapsed="false">
      <c r="A19" s="159"/>
      <c r="B19" s="159"/>
      <c r="C19" s="186" t="s">
        <v>183</v>
      </c>
      <c r="D19" s="159"/>
      <c r="E19" s="159"/>
      <c r="F19" s="169"/>
      <c r="G19" s="167" t="n">
        <f aca="false">wheat!L43</f>
        <v>8.85272393429122</v>
      </c>
      <c r="H19" s="187"/>
      <c r="I19" s="167" t="n">
        <f aca="false">wheat!M43</f>
        <v>8.29870941572879</v>
      </c>
    </row>
    <row r="20" customFormat="false" ht="20" hidden="false" customHeight="false" outlineLevel="0" collapsed="false">
      <c r="A20" s="170" t="s">
        <v>184</v>
      </c>
      <c r="B20" s="172"/>
      <c r="C20" s="159"/>
      <c r="D20" s="159"/>
      <c r="E20" s="159"/>
      <c r="F20" s="159"/>
      <c r="G20" s="183"/>
      <c r="H20" s="183"/>
      <c r="I20" s="183"/>
    </row>
    <row r="21" customFormat="false" ht="20" hidden="false" customHeight="false" outlineLevel="0" collapsed="false">
      <c r="A21" s="166" t="s">
        <v>185</v>
      </c>
      <c r="B21" s="166"/>
      <c r="C21" s="166"/>
      <c r="D21" s="166"/>
      <c r="E21" s="166"/>
      <c r="F21" s="166"/>
      <c r="G21" s="167" t="n">
        <f aca="false">wheat!L47</f>
        <v>-79.9022387684408</v>
      </c>
      <c r="H21" s="167"/>
      <c r="I21" s="168" t="n">
        <f aca="false">wheat!M47</f>
        <v>-69.4243165462186</v>
      </c>
    </row>
    <row r="22" customFormat="false" ht="20" hidden="false" customHeight="false" outlineLevel="0" collapsed="false">
      <c r="A22" s="163" t="s">
        <v>186</v>
      </c>
      <c r="B22" s="163"/>
      <c r="C22" s="163"/>
      <c r="D22" s="163"/>
      <c r="E22" s="163"/>
      <c r="F22" s="163"/>
      <c r="G22" s="181" t="n">
        <f aca="false">wheat!L45</f>
        <v>115.097761231559</v>
      </c>
      <c r="H22" s="181"/>
      <c r="I22" s="182" t="n">
        <f aca="false">wheat!M45</f>
        <v>180.575683453781</v>
      </c>
    </row>
    <row r="23" customFormat="false" ht="19.5" hidden="false" customHeight="true" outlineLevel="0" collapsed="false"/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2002-12-27T16:09:39Z</dcterms:created>
  <dc:creator>Robert Moore</dc:creator>
  <dc:description/>
  <dc:language>en-US</dc:language>
  <cp:lastModifiedBy>Julie Moose</cp:lastModifiedBy>
  <cp:lastPrinted>2013-03-18T17:38:00Z</cp:lastPrinted>
  <dcterms:modified xsi:type="dcterms:W3CDTF">2016-12-01T18:03:50Z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