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heat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wheat!$A$1:$N$141</definedName>
    <definedName function="false" hidden="false" localSheetId="0" name="_xlnm.Print_Area" vbProcedure="false">wheat!$A$1:$N$141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<sst xmlns="http://schemas.openxmlformats.org/spreadsheetml/2006/main" count="255" uniqueCount="194">
  <si>
    <t xml:space="preserve">WHEAT PRODUCTION BUDGET Conservation Till- 2015</t>
  </si>
  <si>
    <t xml:space="preserve">Grain and Straw Harvested</t>
  </si>
  <si>
    <t xml:space="preserve">Reflects 2000 acres, Conservation Tillage Wheat/Corn/No-Till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</si>
  <si>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</si>
  <si>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</si>
  <si>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</si>
  <si>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</si>
  <si>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</si>
  <si>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t xml:space="preserve">YIELD (bu/A)</t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</si>
  <si>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</si>
  <si>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</si>
  <si>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</si>
  <si>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</si>
  <si>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</si>
  <si>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</si>
  <si>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Wheat (Grain Only)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</si>
  <si>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</si>
  <si>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t xml:space="preserve">ARC/PLC Payment</t>
  </si>
  <si>
    <t xml:space="preserve">Crop Insurance Indemnity</t>
  </si>
  <si>
    <t xml:space="preserve">Grower or Market Premium</t>
  </si>
  <si>
    <t xml:space="preserve">Total Wheat Receipts</t>
  </si>
  <si>
    <t xml:space="preserve">VARIABLE  COSTS</t>
  </si>
  <si>
    <t xml:space="preserve">Seed</t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</si>
  <si>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</si>
  <si>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</si>
  <si>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 3</t>
    </r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</si>
  <si>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</si>
  <si>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</si>
  <si>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</si>
  <si>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</si>
  <si>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</si>
  <si>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</si>
  <si>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</si>
  <si>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Herbicide</t>
  </si>
  <si>
    <t xml:space="preserve">Insecticide</t>
  </si>
  <si>
    <t xml:space="preserve">Fungicide</t>
  </si>
  <si>
    <t xml:space="preserve">Trucking - Fuel Only</t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</si>
  <si>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</si>
  <si>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</si>
  <si>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 </t>
    </r>
    <r>
      <rPr>
        <vertAlign val="superscript"/>
        <sz val="10"/>
        <rFont val="Arial"/>
        <family val="2"/>
        <charset val="1"/>
      </rPr>
      <t xml:space="preserve">5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</si>
  <si>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</si>
  <si>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Crop Insurance</t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</si>
  <si>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7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</si>
  <si>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8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</si>
  <si>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</si>
  <si>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</si>
  <si>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</si>
  <si>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</si>
  <si>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</si>
  <si>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</si>
  <si>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</si>
  <si>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hours</t>
  </si>
  <si>
    <t xml:space="preserve">/hr</t>
  </si>
  <si>
    <t xml:space="preserve">Management Charge</t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</si>
  <si>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</si>
  <si>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10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</si>
  <si>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</si>
  <si>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TOTAL FIXED COSTS</t>
  </si>
  <si>
    <t xml:space="preserve">TOTAL COSTS  (Grain Only)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</si>
  <si>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12</t>
    </r>
  </si>
  <si>
    <t xml:space="preserve">RETURN TO LAND</t>
  </si>
  <si>
    <t xml:space="preserve">RETURN ABOVE VARIABLE COSTS</t>
  </si>
  <si>
    <t xml:space="preserve">RETURN ABOVE TOTAL COSTS</t>
  </si>
  <si>
    <t xml:space="preserve">RECEIPTS (Straw Only)</t>
  </si>
  <si>
    <t xml:space="preserve">VARIABLE COSTS (Straw Only)</t>
  </si>
  <si>
    <t xml:space="preserve">Miscellaneous</t>
  </si>
  <si>
    <t xml:space="preserve">TOTAL VARIABLE COSTS- Per Acre</t>
  </si>
  <si>
    <t xml:space="preserve">FIXED COSTS (Straw Only)</t>
  </si>
  <si>
    <t xml:space="preserve">/hour</t>
  </si>
  <si>
    <r>
      <rPr>
        <sz val="10"/>
        <rFont val="Arial"/>
        <family val="2"/>
        <charset val="1"/>
      </rPr>
      <t xml:space="preserve">Mach. &amp; Equip. Charge </t>
    </r>
    <r>
      <rPr>
        <vertAlign val="superscript"/>
        <sz val="10"/>
        <rFont val="Arial"/>
        <family val="2"/>
        <charset val="1"/>
      </rPr>
      <t xml:space="preserve">10</t>
    </r>
  </si>
  <si>
    <t xml:space="preserve">TOTAL COSTS (Straw Only)- Per Acre </t>
  </si>
  <si>
    <r>
      <rPr>
        <b val="true"/>
        <sz val="10"/>
        <rFont val="Arial"/>
        <family val="2"/>
        <charset val="1"/>
      </rPr>
      <t xml:space="preserve">RETURN TO LABOR AND MANAGEMENT (Straw Only)</t>
    </r>
    <r>
      <rPr>
        <b val="true"/>
        <vertAlign val="superscript"/>
        <sz val="10"/>
        <rFont val="Arial"/>
        <family val="2"/>
        <charset val="1"/>
      </rPr>
      <t xml:space="preserve">12</t>
    </r>
  </si>
  <si>
    <t xml:space="preserve">RETURN ABOVE VARIABLE COSTS (Straw Only)</t>
  </si>
  <si>
    <t xml:space="preserve">RETURN ABOVE TOTAL COSTS (Straw Only)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</si>
  <si>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</si>
  <si>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</si>
  <si>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</si>
  <si>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</si>
  <si>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</si>
  <si>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Price is based on current Ohio September Forward contract price less 0.40 basis</t>
  </si>
  <si>
    <t xml:space="preserve">LDP is calculated as loan rate minus market price. LDP is 0 if market price is greater than loan rate.</t>
  </si>
  <si>
    <t xml:space="preserve">Direct Payments (DP) are calculated by multiplying DP Yields by 85% by the DP Price of $0.52/bu. </t>
  </si>
  <si>
    <t xml:space="preserve">(Direct payments are paid only on 85% of base acres.) Direct payment yields are calculated as 85%,</t>
  </si>
  <si>
    <t xml:space="preserve">80%, and 80% of the Program Yields 50/bushels per acre (bpa), 65/bpa, and 80/bpa, respectively.</t>
  </si>
  <si>
    <t xml:space="preserve">Counter Cyclical Payments (CCP) are calculated and included when market price + DP is less than</t>
  </si>
  <si>
    <t xml:space="preserve">the Target Price of $3.92/bu. Calculation of the CCP is based on Counter Cyclical (CC) Yield multiplied</t>
  </si>
  <si>
    <t xml:space="preserve">by 85% multiplied by the CCP Rate ((Target Price - (Mkt Price + DP)). CC Yield assumed to be 93.5%of </t>
  </si>
  <si>
    <t xml:space="preserve">Program Yield (50,65 and 80 bpa, respectively.)</t>
  </si>
  <si>
    <t xml:space="preserve">Assumes only maintenance application of fertilizer needed, soil test values of 20 PPM P/A and 125 PPM K/A, </t>
  </si>
  <si>
    <t xml:space="preserve">and 20 CEC. Fertilizer prices vary over time and by area.  </t>
  </si>
  <si>
    <t xml:space="preserve">Fertilizer amounts and costs listed are amounts in addition to fertilizer amounts listed for wheat.</t>
  </si>
  <si>
    <t xml:space="preserve">Assumes UAN(28-0-0):</t>
  </si>
  <si>
    <t xml:space="preserve">/ton     MAP(11-52-0):</t>
  </si>
  <si>
    <t xml:space="preserve">/ton     Potash(0-0-60):</t>
  </si>
  <si>
    <t xml:space="preserve">Based on use of Spring application of 0.75 oz of Harmony and 1/2 pint of 2,4-D (4 lb/gal)</t>
  </si>
  <si>
    <t xml:space="preserve">See tables below for specific calculations. Lubrication costs are assumed to be 10% of fuel costs.</t>
  </si>
  <si>
    <t xml:space="preserve">See tables below for specific calculations.</t>
  </si>
  <si>
    <t xml:space="preserve">Includes supplies, utilities, soil tests, small tools, etc… </t>
  </si>
  <si>
    <t xml:space="preserve">Interest on all variable costs, except trucking.</t>
  </si>
  <si>
    <t xml:space="preserve">Part or all of labor may be a variable cost if paid labor varies with acres farmed. </t>
  </si>
  <si>
    <t xml:space="preserve">It's a fixed cost if labor costs do not change with acres farmed. </t>
  </si>
  <si>
    <t xml:space="preserve">Reflects 2000 acres, conservation tillage. Wheat grown 1 out of 5 years. See tables below for specific calculations.</t>
  </si>
  <si>
    <t xml:space="preserve">Average based on "Ohio Cropland Values and Cash Rents" Factsheet</t>
  </si>
  <si>
    <t xml:space="preserve">Land charges vary throughout the state, check your local rates.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</si>
  <si>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</si>
  <si>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</si>
  <si>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Returns do not account for increased returns to corn and soybeans as a result of wheat in the rotation.</t>
  </si>
  <si>
    <t xml:space="preserve">Machinery Inventory - Wheat Only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</si>
  <si>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</si>
  <si>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</si>
  <si>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</si>
  <si>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</si>
  <si>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</si>
  <si>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</si>
  <si>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</si>
  <si>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</si>
  <si>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</si>
  <si>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</si>
  <si>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Self. Prop.</t>
  </si>
  <si>
    <t xml:space="preserve">Air Seeder Drill w/Cart '40</t>
  </si>
  <si>
    <t xml:space="preserve">Combine 440 HP</t>
  </si>
  <si>
    <t xml:space="preserve">-----</t>
  </si>
  <si>
    <t xml:space="preserve">30' Draper Head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</si>
  <si>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</si>
  <si>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</si>
  <si>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</si>
  <si>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</si>
  <si>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</si>
  <si>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</si>
  <si>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(1/2)**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</si>
  <si>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</si>
  <si>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</si>
  <si>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</si>
  <si>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</si>
  <si>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</si>
  <si>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</si>
  <si>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</si>
  <si>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</si>
  <si>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</si>
  <si>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</si>
  <si>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</si>
  <si>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</si>
  <si>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Tractor-Trailer and Pickup-Truck).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</si>
  <si>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</si>
  <si>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</si>
  <si>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</si>
  <si>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</si>
  <si>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Machinery Inventory - Straw Only</t>
  </si>
  <si>
    <t xml:space="preserve">Cost </t>
  </si>
  <si>
    <t xml:space="preserve">Hours/Year</t>
  </si>
  <si>
    <t xml:space="preserve">Hay Baler PTO Twine 12 ft.</t>
  </si>
  <si>
    <t xml:space="preserve">Hay Wagon - 2</t>
  </si>
  <si>
    <t xml:space="preserve">Hay Rake (Hyd) 9 ft.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</si>
  <si>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</si>
  <si>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</si>
  <si>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 Inventory Explanations - Wheat Only</t>
  </si>
  <si>
    <t xml:space="preserve">Machinery</t>
  </si>
  <si>
    <t xml:space="preserve">Average Value</t>
  </si>
  <si>
    <t xml:space="preserve">Depreciation</t>
  </si>
  <si>
    <t xml:space="preserve">Cost Cap.</t>
  </si>
  <si>
    <t xml:space="preserve">Insurance</t>
  </si>
  <si>
    <t xml:space="preserve">Housing</t>
  </si>
  <si>
    <t xml:space="preserve">Total</t>
  </si>
  <si>
    <t xml:space="preserve">Acres / Year</t>
  </si>
  <si>
    <t xml:space="preserve">Cost/acre</t>
  </si>
  <si>
    <t xml:space="preserve">47 ft. Field Cultivator</t>
  </si>
  <si>
    <t xml:space="preserve">30 Ft. No-Till Drill</t>
  </si>
  <si>
    <t xml:space="preserve">Combine 340 HP</t>
  </si>
  <si>
    <t xml:space="preserve">30' Grain Head</t>
  </si>
  <si>
    <t xml:space="preserve">260 HP Tractor</t>
  </si>
  <si>
    <t xml:space="preserve">Machinery Inventory Explanations - Hay Only</t>
  </si>
  <si>
    <t xml:space="preserve">WHEAT SELECTED BUDGET STATS - 2014</t>
  </si>
  <si>
    <t xml:space="preserve">Item</t>
  </si>
  <si>
    <t xml:space="preserve">Input</t>
  </si>
  <si>
    <t xml:space="preserve">Yield in bushels/acre</t>
  </si>
  <si>
    <t xml:space="preserve">Receipts</t>
  </si>
  <si>
    <t xml:space="preserve">Wheat Price</t>
  </si>
  <si>
    <t xml:space="preserve">/bushel</t>
  </si>
  <si>
    <t xml:space="preserve">Variable Costs</t>
  </si>
  <si>
    <t xml:space="preserve">Seed Cost</t>
  </si>
  <si>
    <t xml:space="preserve">/1000 seeds</t>
  </si>
  <si>
    <t xml:space="preserve">N (UAN)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</si>
  <si>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</si>
  <si>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</si>
  <si>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</si>
  <si>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</si>
  <si>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</si>
  <si>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 / Bu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</si>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</sst>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#,##0"/>
    <numFmt numFmtId="171" formatCode="0.0000"/>
    <numFmt numFmtId="172" formatCode="0.0"/>
    <numFmt numFmtId="173" formatCode="#,##0.000"/>
    <numFmt numFmtId="174" formatCode="0.0%"/>
    <numFmt numFmtId="175" formatCode="0%"/>
    <numFmt numFmtId="176" formatCode="\$#,##0"/>
    <numFmt numFmtId="177" formatCode="_(\$* #,##0.00_);_(\$* \(#,##0.00\);_(\$* \-??_);_(@_)"/>
    <numFmt numFmtId="178" formatCode="#,##0.00_);\(#,##0.00\)"/>
    <numFmt numFmtId="179" formatCode="_(* #,##0.00_);_(* \(#,##0.00\);_(* \-??_);_(@_)"/>
    <numFmt numFmtId="180" formatCode="_(* #,##0_);_(* \(#,##0\);_(* \-??_);_(@_)"/>
    <numFmt numFmtId="181" formatCode="\$#,##0.00_);&quot;($&quot;#,##0.00\)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EBF1DE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8EB4E3"/>
        <bgColor rgb="FF9999FF"/>
      </patternFill>
    </fill>
    <fill>
      <patternFill patternType="solid">
        <fgColor rgb="FFF2F2F2"/>
        <bgColor rgb="FFEBF1DE"/>
      </patternFill>
    </fill>
    <fill>
      <patternFill patternType="solid">
        <fgColor rgb="FFD7E4BD"/>
        <bgColor rgb="FFEBF1DE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  <fill>
      <patternFill patternType="solid">
        <fgColor rgb="FFEBF1DE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2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12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D7E4B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76320</xdr:rowOff>
    </xdr:from>
    <xdr:to>
      <xdr:col>2</xdr:col>
      <xdr:colOff>393480</xdr:colOff>
      <xdr:row>4</xdr:row>
      <xdr:rowOff>88560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08000" y="76320"/>
          <a:ext cx="647280" cy="7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0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5"/>
  <cols>
    <col collapsed="false" hidden="false" max="2" min="1" style="0" width="2.56632653061224"/>
    <col collapsed="false" hidden="false" max="5" min="3" style="0" width="8.50510204081633"/>
    <col collapsed="false" hidden="false" max="6" min="6" style="0" width="9.98979591836735"/>
    <col collapsed="false" hidden="false" max="7" min="7" style="0" width="9.17857142857143"/>
    <col collapsed="false" hidden="false" max="8" min="8" style="0" width="9.58673469387755"/>
    <col collapsed="false" hidden="false" max="9" min="9" style="0" width="7.83163265306122"/>
    <col collapsed="false" hidden="false" max="10" min="10" style="0" width="7.69387755102041"/>
    <col collapsed="false" hidden="false" max="11" min="11" style="1" width="6.88265306122449"/>
    <col collapsed="false" hidden="false" max="12" min="12" style="1" width="7.1530612244898"/>
    <col collapsed="false" hidden="false" max="13" min="13" style="1" width="6.88265306122449"/>
    <col collapsed="false" hidden="false" max="14" min="14" style="0" width="7.83163265306122"/>
    <col collapsed="false" hidden="false" max="1025" min="15" style="0" width="8.50510204081633"/>
  </cols>
  <sheetData>
    <row r="1" customFormat="false" ht="15.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3" hidden="false" customHeight="false" outlineLevel="0" collapsed="false"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2.5" hidden="false" customHeight="false" outlineLevel="0" collapsed="false">
      <c r="D3" s="5" t="s">
        <v>2</v>
      </c>
      <c r="E3" s="5"/>
      <c r="F3" s="5"/>
      <c r="G3" s="5"/>
      <c r="H3" s="5"/>
      <c r="I3" s="5"/>
      <c r="J3" s="5"/>
      <c r="K3" s="5"/>
      <c r="L3" s="5"/>
      <c r="M3" s="0"/>
    </row>
    <row r="4" customFormat="false" ht="15.75" hidden="false" customHeight="true" outlineLevel="0" collapsed="false">
      <c r="D4" s="6"/>
      <c r="E4" s="7"/>
      <c r="G4" s="7"/>
      <c r="H4" s="7"/>
      <c r="I4" s="7"/>
      <c r="K4" s="8" t="s">
        <v>3</v>
      </c>
      <c r="L4" s="0"/>
      <c r="M4" s="9" t="n">
        <v>41943</v>
      </c>
      <c r="N4" s="9"/>
    </row>
    <row r="5" s="10" customFormat="true" ht="15.75" hidden="false" customHeight="true" outlineLevel="0" collapsed="false">
      <c r="C5" s="11"/>
      <c r="D5" s="11"/>
      <c r="E5" s="11"/>
      <c r="F5" s="7"/>
      <c r="G5" s="6"/>
      <c r="H5" s="6"/>
      <c r="I5" s="12"/>
      <c r="J5" s="11"/>
      <c r="K5" s="11"/>
      <c r="L5" s="11"/>
      <c r="M5" s="11"/>
    </row>
    <row r="6" s="16" customFormat="true" ht="13" hidden="false" customHeight="false" outlineLevel="0" collapsed="false">
      <c r="A6" s="13" t="s">
        <v>4</v>
      </c>
      <c r="B6" s="13"/>
      <c r="C6" s="13"/>
      <c r="D6" s="13"/>
      <c r="E6" s="14"/>
      <c r="F6" s="13" t="s">
        <v>5</v>
      </c>
      <c r="G6" s="13"/>
      <c r="H6" s="13" t="s">
        <v>6</v>
      </c>
      <c r="I6" s="13" t="s">
        <v>7</v>
      </c>
      <c r="J6" s="13"/>
      <c r="K6" s="15" t="s">
        <v>8</v>
      </c>
      <c r="L6" s="15"/>
      <c r="M6" s="15"/>
      <c r="N6" s="13" t="s">
        <v>9</v>
      </c>
    </row>
    <row r="7" customFormat="false" ht="13" hidden="false" customHeight="false" outlineLevel="0" collapsed="false">
      <c r="H7" s="3" t="s">
        <v>10</v>
      </c>
      <c r="I7" s="3" t="s">
        <v>11</v>
      </c>
      <c r="J7" s="3"/>
      <c r="K7" s="17"/>
      <c r="L7" s="17"/>
      <c r="M7" s="17"/>
      <c r="N7" s="3" t="s">
        <v>12</v>
      </c>
    </row>
    <row r="8" customFormat="false" ht="13" hidden="false" customHeight="false" outlineLevel="0" collapsed="false">
      <c r="A8" s="18"/>
      <c r="B8" s="18"/>
      <c r="C8" s="18"/>
      <c r="D8" s="18"/>
      <c r="E8" s="18"/>
      <c r="F8" s="18"/>
      <c r="G8" s="18"/>
      <c r="H8" s="18" t="s">
        <v>13</v>
      </c>
      <c r="I8" s="18"/>
      <c r="J8" s="18"/>
      <c r="K8" s="19" t="n">
        <v>58</v>
      </c>
      <c r="L8" s="19" t="n">
        <v>72.5</v>
      </c>
      <c r="M8" s="19" t="n">
        <v>87</v>
      </c>
      <c r="N8" s="20" t="n">
        <v>91</v>
      </c>
    </row>
    <row r="9" s="10" customFormat="true" ht="13" hidden="false" customHeight="false" outlineLevel="0" collapsed="false">
      <c r="A9" s="21" t="s">
        <v>14</v>
      </c>
      <c r="K9" s="1"/>
      <c r="L9" s="1"/>
      <c r="M9" s="1"/>
    </row>
    <row r="10" customFormat="false" ht="15" hidden="false" customHeight="false" outlineLevel="0" collapsed="false">
      <c r="B10" s="10" t="s">
        <v>15</v>
      </c>
      <c r="C10" s="10"/>
      <c r="D10" s="10"/>
      <c r="E10" s="10"/>
      <c r="F10" s="10"/>
      <c r="G10" s="10"/>
      <c r="H10" s="10"/>
      <c r="I10" s="22" t="n">
        <v>5.65</v>
      </c>
      <c r="J10" s="0" t="s">
        <v>16</v>
      </c>
      <c r="K10" s="23" t="n">
        <f aca="false">+$I$10*K8</f>
        <v>327.7</v>
      </c>
      <c r="L10" s="23" t="n">
        <f aca="false">+$I$10*L8</f>
        <v>409.625</v>
      </c>
      <c r="M10" s="23" t="n">
        <f aca="false">+$I$10*M8</f>
        <v>491.55</v>
      </c>
      <c r="N10" s="24" t="n">
        <f aca="false">+$I$10*N8</f>
        <v>514.15</v>
      </c>
    </row>
    <row r="11" customFormat="false" ht="13" hidden="false" customHeight="false" outlineLevel="0" collapsed="false">
      <c r="B11" s="6" t="s">
        <v>17</v>
      </c>
      <c r="I11" s="25"/>
      <c r="K11" s="23" t="n">
        <v>0</v>
      </c>
      <c r="L11" s="23" t="n">
        <v>0</v>
      </c>
      <c r="M11" s="23" t="n">
        <v>0</v>
      </c>
      <c r="N11" s="26" t="n">
        <v>0</v>
      </c>
    </row>
    <row r="12" customFormat="false" ht="13" hidden="false" customHeight="false" outlineLevel="0" collapsed="false">
      <c r="B12" s="6" t="s">
        <v>18</v>
      </c>
      <c r="I12" s="25"/>
      <c r="K12" s="23" t="n">
        <v>0</v>
      </c>
      <c r="L12" s="23" t="n">
        <v>0</v>
      </c>
      <c r="M12" s="23" t="n">
        <v>0</v>
      </c>
      <c r="N12" s="26" t="n">
        <v>0</v>
      </c>
    </row>
    <row r="13" customFormat="false" ht="13" hidden="false" customHeight="false" outlineLevel="0" collapsed="false">
      <c r="B13" s="6" t="s">
        <v>19</v>
      </c>
      <c r="I13" s="25"/>
      <c r="K13" s="23" t="n">
        <v>0</v>
      </c>
      <c r="L13" s="23" t="n">
        <v>0</v>
      </c>
      <c r="M13" s="23" t="n">
        <v>0</v>
      </c>
      <c r="N13" s="24" t="n">
        <v>0</v>
      </c>
    </row>
    <row r="14" customFormat="false" ht="13" hidden="false" customHeight="false" outlineLevel="0" collapsed="false">
      <c r="B14" s="6"/>
      <c r="C14" s="6"/>
      <c r="D14" s="6"/>
      <c r="E14" s="27"/>
      <c r="F14" s="27"/>
      <c r="G14" s="27"/>
      <c r="H14" s="27"/>
      <c r="I14" s="28"/>
      <c r="J14" s="27"/>
      <c r="K14" s="29"/>
      <c r="L14" s="29"/>
      <c r="M14" s="29"/>
      <c r="N14" s="30"/>
    </row>
    <row r="15" customFormat="false" ht="13" hidden="false" customHeight="false" outlineLevel="0" collapsed="false">
      <c r="A15" s="21" t="s">
        <v>20</v>
      </c>
      <c r="B15" s="6"/>
      <c r="C15" s="6"/>
      <c r="D15" s="6"/>
      <c r="E15" s="27"/>
      <c r="F15" s="27"/>
      <c r="G15" s="27"/>
      <c r="H15" s="27"/>
      <c r="I15" s="28"/>
      <c r="J15" s="27"/>
      <c r="K15" s="29" t="n">
        <f aca="false">SUM(K10:K13)</f>
        <v>327.7</v>
      </c>
      <c r="L15" s="29" t="n">
        <f aca="false">SUM(L10:L13)</f>
        <v>409.625</v>
      </c>
      <c r="M15" s="29" t="n">
        <f aca="false">SUM(M10:M13)</f>
        <v>491.55</v>
      </c>
      <c r="N15" s="24" t="n">
        <f aca="false">SUM(N10:N13)</f>
        <v>514.15</v>
      </c>
    </row>
    <row r="16" customFormat="false" ht="13" hidden="false" customHeight="false" outlineLevel="0" collapsed="false">
      <c r="A16" s="21" t="s">
        <v>21</v>
      </c>
      <c r="K16" s="23"/>
      <c r="L16" s="23"/>
      <c r="M16" s="23"/>
      <c r="N16" s="30"/>
    </row>
    <row r="17" customFormat="false" ht="13" hidden="false" customHeight="false" outlineLevel="0" collapsed="false">
      <c r="B17" s="0" t="s">
        <v>22</v>
      </c>
      <c r="F17" s="31" t="n">
        <v>1400000</v>
      </c>
      <c r="G17" s="0" t="s">
        <v>23</v>
      </c>
      <c r="H17" s="32" t="n">
        <v>1400000</v>
      </c>
      <c r="I17" s="33" t="n">
        <v>0.031</v>
      </c>
      <c r="J17" s="0" t="s">
        <v>24</v>
      </c>
      <c r="K17" s="23" t="n">
        <f aca="false">$F$17/1000*$I$17</f>
        <v>43.4</v>
      </c>
      <c r="L17" s="23" t="n">
        <f aca="false">$F$17/1000*$I$17</f>
        <v>43.4</v>
      </c>
      <c r="M17" s="23" t="n">
        <f aca="false">$F$17/1000*$I$17</f>
        <v>43.4</v>
      </c>
      <c r="N17" s="24" t="n">
        <f aca="false">$F$17/1000*$I$17</f>
        <v>43.4</v>
      </c>
    </row>
    <row r="18" customFormat="false" ht="15" hidden="false" customHeight="false" outlineLevel="0" collapsed="false">
      <c r="B18" s="0" t="s">
        <v>25</v>
      </c>
      <c r="H18" s="34"/>
      <c r="I18" s="34"/>
      <c r="J18" s="0" t="s">
        <v>23</v>
      </c>
      <c r="K18" s="23"/>
      <c r="L18" s="23"/>
      <c r="M18" s="23"/>
      <c r="N18" s="30"/>
    </row>
    <row r="19" customFormat="false" ht="13" hidden="false" customHeight="false" outlineLevel="0" collapsed="false">
      <c r="C19" s="0" t="s">
        <v>26</v>
      </c>
      <c r="E19" s="35" t="n">
        <f aca="false">40+(1.75*(K8-50))</f>
        <v>54</v>
      </c>
      <c r="F19" s="35" t="n">
        <f aca="false">40+(1.75*(L8-50))</f>
        <v>79.375</v>
      </c>
      <c r="G19" s="35" t="n">
        <f aca="false">40+(1.75*(M8-50))</f>
        <v>104.75</v>
      </c>
      <c r="H19" s="36" t="n">
        <f aca="false">40+(1.75*(N8-50))</f>
        <v>111.75</v>
      </c>
      <c r="I19" s="37" t="n">
        <f aca="false">F88/560</f>
        <v>0.571428571428571</v>
      </c>
      <c r="J19" s="0" t="s">
        <v>27</v>
      </c>
      <c r="K19" s="23" t="n">
        <f aca="false">+$I$19*E19</f>
        <v>30.8571428571429</v>
      </c>
      <c r="L19" s="23" t="n">
        <f aca="false">+$I$19*F19</f>
        <v>45.3571428571429</v>
      </c>
      <c r="M19" s="23" t="n">
        <f aca="false">+$I$19*G19</f>
        <v>59.8571428571429</v>
      </c>
      <c r="N19" s="24" t="n">
        <f aca="false">+$I$19*H19</f>
        <v>63.8571428571429</v>
      </c>
    </row>
    <row r="20" customFormat="false" ht="15.5" hidden="false" customHeight="false" outlineLevel="0" collapsed="false">
      <c r="C20" s="0" t="s">
        <v>28</v>
      </c>
      <c r="E20" s="35" t="n">
        <f aca="false">K8*0.63</f>
        <v>36.54</v>
      </c>
      <c r="F20" s="35" t="n">
        <f aca="false">L8*0.63</f>
        <v>45.675</v>
      </c>
      <c r="G20" s="35" t="n">
        <f aca="false">M8*0.63</f>
        <v>54.81</v>
      </c>
      <c r="H20" s="36" t="n">
        <f aca="false">N8*0.63</f>
        <v>57.33</v>
      </c>
      <c r="I20" s="37" t="n">
        <f aca="false">I88/1040</f>
        <v>0.528846153846154</v>
      </c>
      <c r="J20" s="0" t="s">
        <v>27</v>
      </c>
      <c r="K20" s="23" t="n">
        <f aca="false">+$I$20*E20</f>
        <v>19.3240384615385</v>
      </c>
      <c r="L20" s="23" t="n">
        <f aca="false">+$I$20*F20</f>
        <v>24.1550480769231</v>
      </c>
      <c r="M20" s="23" t="n">
        <f aca="false">+$I$20*G20</f>
        <v>28.9860576923077</v>
      </c>
      <c r="N20" s="24" t="n">
        <f aca="false">+$I$20*H20</f>
        <v>30.31875</v>
      </c>
    </row>
    <row r="21" customFormat="false" ht="15.5" hidden="false" customHeight="false" outlineLevel="0" collapsed="false">
      <c r="C21" s="0" t="s">
        <v>29</v>
      </c>
      <c r="E21" s="35" t="n">
        <f aca="false">(K8*0.37)+20</f>
        <v>41.46</v>
      </c>
      <c r="F21" s="35" t="n">
        <f aca="false">(L8*0.37)+20</f>
        <v>46.825</v>
      </c>
      <c r="G21" s="35" t="n">
        <f aca="false">(M8*0.37)+20</f>
        <v>52.19</v>
      </c>
      <c r="H21" s="36" t="n">
        <f aca="false">(N8*0.37)+20</f>
        <v>53.67</v>
      </c>
      <c r="I21" s="37" t="n">
        <f aca="false">M88/1200</f>
        <v>0.3375</v>
      </c>
      <c r="J21" s="0" t="s">
        <v>27</v>
      </c>
      <c r="K21" s="23" t="n">
        <f aca="false">+$I$21*E21</f>
        <v>13.99275</v>
      </c>
      <c r="L21" s="23" t="n">
        <f aca="false">+$I$21*F21</f>
        <v>15.8034375</v>
      </c>
      <c r="M21" s="23" t="n">
        <f aca="false">+$I$21*G21</f>
        <v>17.614125</v>
      </c>
      <c r="N21" s="24" t="n">
        <f aca="false">+$I$21*H21</f>
        <v>18.113625</v>
      </c>
    </row>
    <row r="22" customFormat="false" ht="13" hidden="false" customHeight="false" outlineLevel="0" collapsed="false">
      <c r="C22" s="0" t="s">
        <v>30</v>
      </c>
      <c r="F22" s="38" t="n">
        <v>0.25</v>
      </c>
      <c r="H22" s="34"/>
      <c r="I22" s="38" t="n">
        <v>25</v>
      </c>
      <c r="J22" s="0" t="s">
        <v>31</v>
      </c>
      <c r="K22" s="23" t="n">
        <f aca="false">+F22*I22</f>
        <v>6.25</v>
      </c>
      <c r="L22" s="23" t="n">
        <f aca="false">+F22*I22</f>
        <v>6.25</v>
      </c>
      <c r="M22" s="23" t="n">
        <f aca="false">+$F$22*$I$22</f>
        <v>6.25</v>
      </c>
      <c r="N22" s="24" t="n">
        <f aca="false">+$F$22*$I$22</f>
        <v>6.25</v>
      </c>
    </row>
    <row r="23" customFormat="false" ht="15" hidden="false" customHeight="false" outlineLevel="0" collapsed="false">
      <c r="B23" s="0" t="s">
        <v>32</v>
      </c>
      <c r="D23" s="6" t="s">
        <v>33</v>
      </c>
      <c r="H23" s="34"/>
      <c r="I23" s="34"/>
      <c r="K23" s="23" t="n">
        <v>13</v>
      </c>
      <c r="L23" s="23" t="n">
        <v>13</v>
      </c>
      <c r="M23" s="23" t="n">
        <v>13</v>
      </c>
      <c r="N23" s="39" t="n">
        <v>13</v>
      </c>
    </row>
    <row r="24" customFormat="false" ht="13" hidden="false" customHeight="false" outlineLevel="0" collapsed="false">
      <c r="D24" s="6" t="s">
        <v>34</v>
      </c>
      <c r="H24" s="34"/>
      <c r="I24" s="34"/>
      <c r="K24" s="23" t="n">
        <v>0</v>
      </c>
      <c r="L24" s="23" t="n">
        <v>0</v>
      </c>
      <c r="M24" s="23" t="n">
        <v>0</v>
      </c>
      <c r="N24" s="39" t="n">
        <v>0</v>
      </c>
    </row>
    <row r="25" customFormat="false" ht="13" hidden="false" customHeight="false" outlineLevel="0" collapsed="false">
      <c r="D25" s="6" t="s">
        <v>35</v>
      </c>
      <c r="H25" s="34"/>
      <c r="I25" s="34"/>
      <c r="K25" s="23" t="n">
        <v>0</v>
      </c>
      <c r="L25" s="23" t="n">
        <v>0</v>
      </c>
      <c r="M25" s="23" t="n">
        <v>0</v>
      </c>
      <c r="N25" s="39" t="n">
        <v>0</v>
      </c>
    </row>
    <row r="26" customFormat="false" ht="13" hidden="false" customHeight="false" outlineLevel="0" collapsed="false">
      <c r="B26" s="0" t="s">
        <v>36</v>
      </c>
      <c r="F26" s="40" t="n">
        <v>3.75</v>
      </c>
      <c r="G26" s="6" t="s">
        <v>37</v>
      </c>
      <c r="H26" s="6"/>
      <c r="I26" s="32" t="n">
        <v>30</v>
      </c>
      <c r="J26" s="6" t="s">
        <v>38</v>
      </c>
      <c r="K26" s="41" t="n">
        <f aca="false">(((($I$26/6)*$F$26)/900)*K8)+(((($I$26/6)*$F$26)/900)*K8)*0.1</f>
        <v>1.32916666666667</v>
      </c>
      <c r="L26" s="41" t="n">
        <f aca="false">(((($I$26/6)*$F$26)/900)*L8)+(((($I$26/6)*$F$26)/900)*L8)*0.1</f>
        <v>1.66145833333333</v>
      </c>
      <c r="M26" s="41" t="n">
        <f aca="false">(((($I$26/6)*$F$26)/900)*M8)+(((($I$26/6)*$F$26)/900)*M8)*0.1</f>
        <v>1.99375</v>
      </c>
      <c r="N26" s="42" t="n">
        <f aca="false">(((($I$26/6)*$F$26)/900)*N8)+(((($I$26/6)*$F$26)/900)*N8)*0.1</f>
        <v>2.08541666666667</v>
      </c>
    </row>
    <row r="27" customFormat="false" ht="15" hidden="false" customHeight="false" outlineLevel="0" collapsed="false">
      <c r="B27" s="0" t="s">
        <v>39</v>
      </c>
      <c r="K27" s="23" t="n">
        <f aca="false">$K$117</f>
        <v>14.6301617647059</v>
      </c>
      <c r="L27" s="23" t="n">
        <f aca="false">$K$117</f>
        <v>14.6301617647059</v>
      </c>
      <c r="M27" s="23" t="n">
        <f aca="false">$K$117</f>
        <v>14.6301617647059</v>
      </c>
      <c r="N27" s="24" t="n">
        <f aca="false">$K$117</f>
        <v>14.6301617647059</v>
      </c>
    </row>
    <row r="28" customFormat="false" ht="15" hidden="false" customHeight="false" outlineLevel="0" collapsed="false">
      <c r="B28" s="0" t="s">
        <v>40</v>
      </c>
      <c r="K28" s="23" t="n">
        <f aca="false">+$M$117</f>
        <v>20.3154771252481</v>
      </c>
      <c r="L28" s="23" t="n">
        <f aca="false">+$M$117</f>
        <v>20.3154771252481</v>
      </c>
      <c r="M28" s="23" t="n">
        <f aca="false">+$M$117</f>
        <v>20.3154771252481</v>
      </c>
      <c r="N28" s="24" t="n">
        <f aca="false">+$M$117</f>
        <v>20.3154771252481</v>
      </c>
    </row>
    <row r="29" customFormat="false" ht="13" hidden="false" customHeight="false" outlineLevel="0" collapsed="false">
      <c r="B29" s="0" t="s">
        <v>41</v>
      </c>
      <c r="K29" s="23" t="n">
        <v>14</v>
      </c>
      <c r="L29" s="23" t="n">
        <v>14</v>
      </c>
      <c r="M29" s="23" t="n">
        <v>14</v>
      </c>
      <c r="N29" s="39" t="n">
        <v>15</v>
      </c>
    </row>
    <row r="30" customFormat="false" ht="15" hidden="false" customHeight="false" outlineLevel="0" collapsed="false">
      <c r="B30" s="0" t="s">
        <v>42</v>
      </c>
      <c r="K30" s="23" t="n">
        <v>6</v>
      </c>
      <c r="L30" s="23" t="n">
        <v>6</v>
      </c>
      <c r="M30" s="23" t="n">
        <v>6</v>
      </c>
      <c r="N30" s="39" t="n">
        <v>6</v>
      </c>
    </row>
    <row r="31" customFormat="false" ht="15" hidden="false" customHeight="false" outlineLevel="0" collapsed="false">
      <c r="B31" s="0" t="s">
        <v>43</v>
      </c>
      <c r="E31" s="43"/>
      <c r="F31" s="44" t="n">
        <v>8</v>
      </c>
      <c r="G31" s="0" t="s">
        <v>44</v>
      </c>
      <c r="I31" s="45" t="n">
        <v>0.04</v>
      </c>
      <c r="K31" s="23" t="n">
        <f aca="false">(SUM(K17:K30)-K26)*$I$31*($F$31/12)</f>
        <v>4.84718853889694</v>
      </c>
      <c r="L31" s="23" t="n">
        <f aca="false">(SUM(L17:L30)-L26)*$I$31*($F$31/12)</f>
        <v>5.41096712864053</v>
      </c>
      <c r="M31" s="23" t="n">
        <f aca="false">(SUM(M17:M30)-M26)*$I$31*($F$31/12)</f>
        <v>5.97474571838412</v>
      </c>
      <c r="N31" s="24" t="n">
        <f aca="false">(SUM(N17:N30)-N26)*$I$31*($F$31/12)</f>
        <v>6.15693751325592</v>
      </c>
    </row>
    <row r="32" customFormat="false" ht="15" hidden="false" customHeight="false" outlineLevel="0" collapsed="false">
      <c r="B32" s="0" t="s">
        <v>45</v>
      </c>
      <c r="K32" s="23" t="n">
        <v>0</v>
      </c>
      <c r="L32" s="23" t="n">
        <v>0</v>
      </c>
      <c r="M32" s="23" t="n">
        <v>0</v>
      </c>
      <c r="N32" s="39" t="n">
        <v>0</v>
      </c>
    </row>
    <row r="33" customFormat="false" ht="13" hidden="false" customHeight="false" outlineLevel="0" collapsed="false">
      <c r="K33" s="46"/>
      <c r="L33" s="46"/>
      <c r="M33" s="46"/>
      <c r="N33" s="47"/>
    </row>
    <row r="34" customFormat="false" ht="13" hidden="false" customHeight="false" outlineLevel="0" collapsed="false">
      <c r="A34" s="21" t="s">
        <v>46</v>
      </c>
      <c r="F34" s="21" t="s">
        <v>47</v>
      </c>
      <c r="K34" s="23" t="n">
        <f aca="false">SUM(K17:K33)</f>
        <v>187.945925414199</v>
      </c>
      <c r="L34" s="23" t="n">
        <f aca="false">SUM(L17:L33)</f>
        <v>209.983692785994</v>
      </c>
      <c r="M34" s="23" t="n">
        <f aca="false">SUM(M17:M33)</f>
        <v>232.021460157789</v>
      </c>
      <c r="N34" s="24" t="n">
        <f aca="false">SUM(N17:N33)</f>
        <v>239.127510927019</v>
      </c>
    </row>
    <row r="35" customFormat="false" ht="13" hidden="false" customHeight="false" outlineLevel="0" collapsed="false">
      <c r="F35" s="21" t="s">
        <v>48</v>
      </c>
      <c r="K35" s="23" t="n">
        <f aca="false">+K34/K8</f>
        <v>3.24044698989998</v>
      </c>
      <c r="L35" s="23" t="n">
        <f aca="false">+L34/L8</f>
        <v>2.89632679704819</v>
      </c>
      <c r="M35" s="23" t="n">
        <f aca="false">+M34/M8</f>
        <v>2.666913335147</v>
      </c>
      <c r="N35" s="24" t="n">
        <f aca="false">+N34/N8</f>
        <v>2.62777484535186</v>
      </c>
    </row>
    <row r="36" customFormat="false" ht="13" hidden="false" customHeight="false" outlineLevel="0" collapsed="false">
      <c r="A36" s="21" t="s">
        <v>49</v>
      </c>
      <c r="K36" s="23"/>
      <c r="L36" s="23"/>
      <c r="M36" s="23"/>
      <c r="N36" s="30"/>
    </row>
    <row r="37" customFormat="false" ht="15" hidden="false" customHeight="false" outlineLevel="0" collapsed="false">
      <c r="B37" s="0" t="s">
        <v>50</v>
      </c>
      <c r="F37" s="38" t="n">
        <v>1.5</v>
      </c>
      <c r="G37" s="0" t="s">
        <v>51</v>
      </c>
      <c r="I37" s="48" t="n">
        <v>15</v>
      </c>
      <c r="J37" s="0" t="s">
        <v>52</v>
      </c>
      <c r="K37" s="23" t="n">
        <f aca="false">+$F$37*$I$37</f>
        <v>22.5</v>
      </c>
      <c r="L37" s="23" t="n">
        <f aca="false">+$F$37*$I$37</f>
        <v>22.5</v>
      </c>
      <c r="M37" s="23" t="n">
        <f aca="false">+$F$37*$I$37</f>
        <v>22.5</v>
      </c>
      <c r="N37" s="24" t="n">
        <f aca="false">+$F$37*$I$37</f>
        <v>22.5</v>
      </c>
    </row>
    <row r="38" customFormat="false" ht="13" hidden="false" customHeight="false" outlineLevel="0" collapsed="false">
      <c r="B38" s="0" t="s">
        <v>53</v>
      </c>
      <c r="F38" s="49" t="n">
        <v>0.05</v>
      </c>
      <c r="G38" s="0" t="s">
        <v>54</v>
      </c>
      <c r="K38" s="23" t="n">
        <f aca="false">$F$38*K10</f>
        <v>16.385</v>
      </c>
      <c r="L38" s="23" t="n">
        <f aca="false">$F$38*L10</f>
        <v>20.48125</v>
      </c>
      <c r="M38" s="23" t="n">
        <f aca="false">$F$38*M10</f>
        <v>24.5775</v>
      </c>
      <c r="N38" s="24" t="n">
        <f aca="false">$F$38*N10</f>
        <v>25.7075</v>
      </c>
    </row>
    <row r="39" customFormat="false" ht="15" hidden="false" customHeight="false" outlineLevel="0" collapsed="false">
      <c r="B39" s="0" t="s">
        <v>55</v>
      </c>
      <c r="K39" s="23" t="n">
        <f aca="false">+$I$117</f>
        <v>125.860111979167</v>
      </c>
      <c r="L39" s="23" t="n">
        <f aca="false">+$I$117</f>
        <v>125.860111979167</v>
      </c>
      <c r="M39" s="23" t="n">
        <f aca="false">+$I$117</f>
        <v>125.860111979167</v>
      </c>
      <c r="N39" s="24" t="n">
        <f aca="false">+$I$117</f>
        <v>125.860111979167</v>
      </c>
    </row>
    <row r="40" customFormat="false" ht="15" hidden="false" customHeight="false" outlineLevel="0" collapsed="false">
      <c r="B40" s="0" t="s">
        <v>56</v>
      </c>
      <c r="K40" s="29" t="n">
        <v>150</v>
      </c>
      <c r="L40" s="29" t="n">
        <v>195</v>
      </c>
      <c r="M40" s="29" t="n">
        <v>250</v>
      </c>
      <c r="N40" s="39" t="n">
        <v>250</v>
      </c>
    </row>
    <row r="41" customFormat="false" ht="13" hidden="false" customHeight="false" outlineLevel="0" collapsed="false">
      <c r="K41" s="46"/>
      <c r="L41" s="46"/>
      <c r="M41" s="46"/>
      <c r="N41" s="47"/>
    </row>
    <row r="42" customFormat="false" ht="13" hidden="false" customHeight="false" outlineLevel="0" collapsed="false">
      <c r="A42" s="21" t="s">
        <v>57</v>
      </c>
      <c r="K42" s="23" t="n">
        <f aca="false">SUM(K37:K41)</f>
        <v>314.745111979167</v>
      </c>
      <c r="L42" s="23" t="n">
        <f aca="false">SUM(L37:L41)</f>
        <v>363.841361979167</v>
      </c>
      <c r="M42" s="23" t="n">
        <f aca="false">SUM(M37:M41)</f>
        <v>422.937611979167</v>
      </c>
      <c r="N42" s="24" t="n">
        <f aca="false">SUM(N37:N41)</f>
        <v>424.067611979167</v>
      </c>
    </row>
    <row r="43" customFormat="false" ht="13" hidden="false" customHeight="false" outlineLevel="0" collapsed="false">
      <c r="K43" s="23"/>
      <c r="L43" s="23"/>
      <c r="M43" s="23"/>
      <c r="N43" s="30"/>
    </row>
    <row r="44" customFormat="false" ht="13" hidden="false" customHeight="false" outlineLevel="0" collapsed="false">
      <c r="A44" s="21" t="s">
        <v>58</v>
      </c>
      <c r="F44" s="21" t="s">
        <v>47</v>
      </c>
      <c r="K44" s="23" t="n">
        <f aca="false">+K34+K42</f>
        <v>502.691037393366</v>
      </c>
      <c r="L44" s="23" t="n">
        <f aca="false">+L34+L42</f>
        <v>573.82505476516</v>
      </c>
      <c r="M44" s="23" t="n">
        <f aca="false">+M34+M42</f>
        <v>654.959072136955</v>
      </c>
      <c r="N44" s="24" t="n">
        <f aca="false">+N34+N42</f>
        <v>663.195122906186</v>
      </c>
    </row>
    <row r="45" customFormat="false" ht="13" hidden="false" customHeight="false" outlineLevel="0" collapsed="false">
      <c r="A45" s="21"/>
      <c r="F45" s="21" t="s">
        <v>48</v>
      </c>
      <c r="K45" s="50" t="n">
        <f aca="false">+(K42/45)+K35</f>
        <v>10.2347828116592</v>
      </c>
      <c r="L45" s="50" t="n">
        <f aca="false">+(L42/60)+L35</f>
        <v>8.96034949670097</v>
      </c>
      <c r="M45" s="50" t="n">
        <f aca="false">+(M42/75)+M35</f>
        <v>8.30608149486922</v>
      </c>
      <c r="N45" s="51" t="n">
        <f aca="false">+(N42/75)+N35</f>
        <v>8.28200967174075</v>
      </c>
    </row>
    <row r="46" customFormat="false" ht="15" hidden="false" customHeight="false" outlineLevel="0" collapsed="false">
      <c r="A46" s="21" t="s">
        <v>59</v>
      </c>
      <c r="K46" s="23" t="n">
        <f aca="false">+K49+K38+K37</f>
        <v>-136.106037393366</v>
      </c>
      <c r="L46" s="23" t="n">
        <f aca="false">+L49+L38+L37</f>
        <v>-121.21880476516</v>
      </c>
      <c r="M46" s="23" t="n">
        <f aca="false">+M49+M38+M37</f>
        <v>-116.331572136955</v>
      </c>
      <c r="N46" s="52" t="n">
        <f aca="false">+N49+N38+N37</f>
        <v>-100.837622906186</v>
      </c>
    </row>
    <row r="47" customFormat="false" ht="13" hidden="false" customHeight="false" outlineLevel="0" collapsed="false">
      <c r="A47" s="21" t="s">
        <v>60</v>
      </c>
      <c r="K47" s="23" t="n">
        <f aca="false">K49+K40</f>
        <v>-24.9910373933656</v>
      </c>
      <c r="L47" s="23" t="n">
        <f aca="false">L49+L40</f>
        <v>30.7999452348396</v>
      </c>
      <c r="M47" s="23" t="n">
        <f aca="false">M49+M40</f>
        <v>86.5909278630447</v>
      </c>
      <c r="N47" s="52" t="n">
        <f aca="false">N49+N40</f>
        <v>100.954877093814</v>
      </c>
    </row>
    <row r="48" customFormat="false" ht="13" hidden="false" customHeight="false" outlineLevel="0" collapsed="false">
      <c r="A48" s="21" t="s">
        <v>61</v>
      </c>
      <c r="K48" s="23" t="n">
        <f aca="false">+K15-K34</f>
        <v>139.754074585801</v>
      </c>
      <c r="L48" s="23" t="n">
        <f aca="false">+L15-L34</f>
        <v>199.641307214006</v>
      </c>
      <c r="M48" s="23" t="n">
        <f aca="false">+M15-M34</f>
        <v>259.528539842211</v>
      </c>
      <c r="N48" s="24" t="n">
        <f aca="false">+N15-N34</f>
        <v>275.022489072981</v>
      </c>
    </row>
    <row r="49" customFormat="false" ht="13.5" hidden="false" customHeight="false" outlineLevel="0" collapsed="false">
      <c r="A49" s="21" t="s">
        <v>62</v>
      </c>
      <c r="K49" s="23" t="n">
        <f aca="false">+K15-K44</f>
        <v>-174.991037393366</v>
      </c>
      <c r="L49" s="23" t="n">
        <f aca="false">+L15-L44</f>
        <v>-164.20005476516</v>
      </c>
      <c r="M49" s="23" t="n">
        <f aca="false">+M15-M44</f>
        <v>-163.409072136955</v>
      </c>
      <c r="N49" s="53" t="n">
        <f aca="false">+N15-N44</f>
        <v>-149.045122906186</v>
      </c>
    </row>
    <row r="50" s="54" customFormat="true" ht="9" hidden="false" customHeight="true" outlineLevel="0" collapsed="false">
      <c r="K50" s="55"/>
      <c r="L50" s="55"/>
      <c r="M50" s="55"/>
      <c r="N50" s="16"/>
    </row>
    <row r="51" customFormat="false" ht="13" hidden="false" customHeight="false" outlineLevel="0" collapsed="false">
      <c r="A51" s="21" t="s">
        <v>63</v>
      </c>
      <c r="E51" s="0" t="n">
        <v>1</v>
      </c>
      <c r="F51" s="0" t="n">
        <v>1.1</v>
      </c>
      <c r="G51" s="0" t="n">
        <v>1.2</v>
      </c>
      <c r="H51" s="38" t="n">
        <v>1.2</v>
      </c>
      <c r="I51" s="38" t="n">
        <v>100</v>
      </c>
      <c r="J51" s="0" t="s">
        <v>31</v>
      </c>
      <c r="K51" s="23" t="n">
        <f aca="false">+E51*$I$51</f>
        <v>100</v>
      </c>
      <c r="L51" s="23" t="n">
        <f aca="false">+F51*$I$51</f>
        <v>110</v>
      </c>
      <c r="M51" s="23" t="n">
        <f aca="false">+G51*$I$51</f>
        <v>120</v>
      </c>
      <c r="N51" s="24" t="n">
        <f aca="false">+H51*$I$51</f>
        <v>120</v>
      </c>
    </row>
    <row r="52" customFormat="false" ht="13" hidden="false" customHeight="false" outlineLevel="0" collapsed="false">
      <c r="A52" s="21" t="s">
        <v>64</v>
      </c>
      <c r="H52" s="34"/>
      <c r="I52" s="34"/>
      <c r="K52" s="23"/>
      <c r="L52" s="23"/>
      <c r="M52" s="23"/>
      <c r="N52" s="16"/>
    </row>
    <row r="53" customFormat="false" ht="15" hidden="false" customHeight="false" outlineLevel="0" collapsed="false">
      <c r="A53" s="21"/>
      <c r="B53" s="0" t="s">
        <v>25</v>
      </c>
      <c r="H53" s="34"/>
      <c r="I53" s="34"/>
      <c r="K53" s="23"/>
      <c r="L53" s="23"/>
      <c r="M53" s="23"/>
      <c r="N53" s="16"/>
    </row>
    <row r="54" customFormat="false" ht="15.5" hidden="false" customHeight="false" outlineLevel="0" collapsed="false">
      <c r="A54" s="21"/>
      <c r="C54" s="0" t="s">
        <v>28</v>
      </c>
      <c r="E54" s="35" t="n">
        <f aca="false">K8*0.09</f>
        <v>5.22</v>
      </c>
      <c r="F54" s="35" t="n">
        <f aca="false">L8*0.09</f>
        <v>6.525</v>
      </c>
      <c r="G54" s="35" t="n">
        <f aca="false">M8*0.09</f>
        <v>7.83</v>
      </c>
      <c r="H54" s="36" t="n">
        <f aca="false">N8*0.09</f>
        <v>8.19</v>
      </c>
      <c r="I54" s="37" t="n">
        <f aca="false">I88/1040</f>
        <v>0.528846153846154</v>
      </c>
      <c r="J54" s="0" t="s">
        <v>27</v>
      </c>
      <c r="K54" s="23" t="n">
        <f aca="false">+$I$54*E54</f>
        <v>2.76057692307692</v>
      </c>
      <c r="L54" s="23" t="n">
        <f aca="false">+$I$54*F54</f>
        <v>3.45072115384615</v>
      </c>
      <c r="M54" s="23" t="n">
        <f aca="false">+$I$54*G54</f>
        <v>4.14086538461538</v>
      </c>
      <c r="N54" s="24" t="n">
        <f aca="false">+$I$54*H54</f>
        <v>4.33125</v>
      </c>
    </row>
    <row r="55" customFormat="false" ht="15.5" hidden="false" customHeight="false" outlineLevel="0" collapsed="false">
      <c r="A55" s="21"/>
      <c r="C55" s="0" t="s">
        <v>29</v>
      </c>
      <c r="E55" s="35" t="n">
        <f aca="false">(K8*0.91)</f>
        <v>52.78</v>
      </c>
      <c r="F55" s="35" t="n">
        <f aca="false">(L8*0.91)</f>
        <v>65.975</v>
      </c>
      <c r="G55" s="35" t="n">
        <f aca="false">(M8*0.91)</f>
        <v>79.17</v>
      </c>
      <c r="H55" s="36" t="n">
        <f aca="false">(N8*0.91)</f>
        <v>82.81</v>
      </c>
      <c r="I55" s="37" t="n">
        <f aca="false">M88/1200</f>
        <v>0.3375</v>
      </c>
      <c r="J55" s="0" t="s">
        <v>27</v>
      </c>
      <c r="K55" s="23" t="n">
        <f aca="false">+$I$55*E55</f>
        <v>17.81325</v>
      </c>
      <c r="L55" s="23" t="n">
        <f aca="false">+$I$55*F55</f>
        <v>22.2665625</v>
      </c>
      <c r="M55" s="23" t="n">
        <f aca="false">+$I$55*G55</f>
        <v>26.719875</v>
      </c>
      <c r="N55" s="24" t="n">
        <f aca="false">+$I$55*H55</f>
        <v>27.948375</v>
      </c>
    </row>
    <row r="56" customFormat="false" ht="15" hidden="false" customHeight="false" outlineLevel="0" collapsed="false">
      <c r="B56" s="0" t="s">
        <v>39</v>
      </c>
      <c r="K56" s="23" t="n">
        <f aca="false">+$K$139</f>
        <v>2.82425</v>
      </c>
      <c r="L56" s="23" t="n">
        <f aca="false">+$K$139</f>
        <v>2.82425</v>
      </c>
      <c r="M56" s="23" t="n">
        <f aca="false">+$K$139</f>
        <v>2.82425</v>
      </c>
      <c r="N56" s="24" t="n">
        <f aca="false">+$K$139</f>
        <v>2.82425</v>
      </c>
    </row>
    <row r="57" customFormat="false" ht="15" hidden="false" customHeight="false" outlineLevel="0" collapsed="false">
      <c r="B57" s="0" t="s">
        <v>40</v>
      </c>
      <c r="K57" s="23" t="n">
        <f aca="false">+$M$139</f>
        <v>3.49</v>
      </c>
      <c r="L57" s="23" t="n">
        <f aca="false">+$M$139</f>
        <v>3.49</v>
      </c>
      <c r="M57" s="23" t="n">
        <f aca="false">+$M$139</f>
        <v>3.49</v>
      </c>
      <c r="N57" s="24" t="n">
        <f aca="false">+$M$139</f>
        <v>3.49</v>
      </c>
    </row>
    <row r="58" customFormat="false" ht="13" hidden="false" customHeight="false" outlineLevel="0" collapsed="false">
      <c r="B58" s="0" t="s">
        <v>65</v>
      </c>
      <c r="K58" s="23" t="n">
        <v>2</v>
      </c>
      <c r="L58" s="23" t="n">
        <v>2</v>
      </c>
      <c r="M58" s="23" t="n">
        <v>2</v>
      </c>
      <c r="N58" s="39" t="n">
        <v>2</v>
      </c>
    </row>
    <row r="59" customFormat="false" ht="15" hidden="false" customHeight="false" outlineLevel="0" collapsed="false">
      <c r="B59" s="0" t="s">
        <v>45</v>
      </c>
      <c r="K59" s="23" t="n">
        <v>0</v>
      </c>
      <c r="L59" s="23" t="n">
        <v>0</v>
      </c>
      <c r="M59" s="23" t="n">
        <v>0</v>
      </c>
      <c r="N59" s="39" t="n">
        <v>0</v>
      </c>
    </row>
    <row r="60" customFormat="false" ht="13" hidden="false" customHeight="false" outlineLevel="0" collapsed="false">
      <c r="A60" s="21" t="s">
        <v>66</v>
      </c>
      <c r="K60" s="23" t="n">
        <f aca="false">SUM(K54:K59)</f>
        <v>28.8880769230769</v>
      </c>
      <c r="L60" s="23" t="n">
        <f aca="false">SUM(L54:L59)</f>
        <v>34.0315336538462</v>
      </c>
      <c r="M60" s="23" t="n">
        <f aca="false">SUM(M54:M59)</f>
        <v>39.1749903846154</v>
      </c>
      <c r="N60" s="24" t="n">
        <f aca="false">SUM(N54:N59)</f>
        <v>40.593875</v>
      </c>
    </row>
    <row r="61" customFormat="false" ht="13" hidden="false" customHeight="false" outlineLevel="0" collapsed="false">
      <c r="A61" s="21" t="s">
        <v>67</v>
      </c>
      <c r="K61" s="23"/>
      <c r="L61" s="23"/>
      <c r="M61" s="23"/>
      <c r="N61" s="16"/>
    </row>
    <row r="62" customFormat="false" ht="15" hidden="false" customHeight="false" outlineLevel="0" collapsed="false">
      <c r="B62" s="0" t="s">
        <v>50</v>
      </c>
      <c r="F62" s="38" t="n">
        <v>1.5</v>
      </c>
      <c r="G62" s="0" t="s">
        <v>51</v>
      </c>
      <c r="I62" s="48" t="n">
        <v>15</v>
      </c>
      <c r="J62" s="0" t="s">
        <v>68</v>
      </c>
      <c r="K62" s="23" t="n">
        <f aca="false">$F$62*$I$62</f>
        <v>22.5</v>
      </c>
      <c r="L62" s="23" t="n">
        <f aca="false">$F$62*$I$62</f>
        <v>22.5</v>
      </c>
      <c r="M62" s="23" t="n">
        <f aca="false">$F$62*$I$62</f>
        <v>22.5</v>
      </c>
      <c r="N62" s="24" t="n">
        <f aca="false">$F$62*$I$62</f>
        <v>22.5</v>
      </c>
    </row>
    <row r="63" customFormat="false" ht="13" hidden="false" customHeight="false" outlineLevel="0" collapsed="false">
      <c r="B63" s="0" t="s">
        <v>53</v>
      </c>
      <c r="F63" s="49" t="n">
        <v>0.05</v>
      </c>
      <c r="G63" s="0" t="s">
        <v>54</v>
      </c>
      <c r="K63" s="23" t="n">
        <f aca="false">$F$63*K51</f>
        <v>5</v>
      </c>
      <c r="L63" s="23" t="n">
        <f aca="false">$F$63*L51</f>
        <v>5.5</v>
      </c>
      <c r="M63" s="23" t="n">
        <f aca="false">$F$63*M51</f>
        <v>6</v>
      </c>
      <c r="N63" s="24" t="n">
        <f aca="false">$F$63*N51</f>
        <v>6</v>
      </c>
    </row>
    <row r="64" customFormat="false" ht="15" hidden="false" customHeight="false" outlineLevel="0" collapsed="false">
      <c r="B64" s="0" t="s">
        <v>69</v>
      </c>
      <c r="K64" s="23" t="n">
        <f aca="false">$I$139</f>
        <v>10.798640625</v>
      </c>
      <c r="L64" s="23" t="n">
        <f aca="false">+$I$139</f>
        <v>10.798640625</v>
      </c>
      <c r="M64" s="23" t="n">
        <f aca="false">+$I$139</f>
        <v>10.798640625</v>
      </c>
      <c r="N64" s="24" t="n">
        <f aca="false">+$I$139</f>
        <v>10.798640625</v>
      </c>
    </row>
    <row r="65" customFormat="false" ht="13" hidden="false" customHeight="false" outlineLevel="0" collapsed="false">
      <c r="A65" s="21" t="s">
        <v>57</v>
      </c>
      <c r="K65" s="23" t="n">
        <f aca="false">SUM(K62:K64)</f>
        <v>38.298640625</v>
      </c>
      <c r="L65" s="23" t="n">
        <f aca="false">SUM(L62:L64)</f>
        <v>38.798640625</v>
      </c>
      <c r="M65" s="23" t="n">
        <f aca="false">SUM(M62:M64)</f>
        <v>39.298640625</v>
      </c>
      <c r="N65" s="24" t="n">
        <f aca="false">SUM(N62:N64)</f>
        <v>39.298640625</v>
      </c>
    </row>
    <row r="66" customFormat="false" ht="13" hidden="false" customHeight="false" outlineLevel="0" collapsed="false">
      <c r="A66" s="21" t="s">
        <v>70</v>
      </c>
      <c r="K66" s="23" t="n">
        <f aca="false">+K60+K65</f>
        <v>67.1867175480769</v>
      </c>
      <c r="L66" s="23" t="n">
        <f aca="false">+L60+L65</f>
        <v>72.8301742788462</v>
      </c>
      <c r="M66" s="23" t="n">
        <f aca="false">+M60+M65</f>
        <v>78.4736310096154</v>
      </c>
      <c r="N66" s="24" t="n">
        <f aca="false">+N60+N65</f>
        <v>79.892515625</v>
      </c>
    </row>
    <row r="67" customFormat="false" ht="15" hidden="false" customHeight="false" outlineLevel="0" collapsed="false">
      <c r="A67" s="16" t="s">
        <v>71</v>
      </c>
      <c r="B67" s="10"/>
      <c r="C67" s="10"/>
      <c r="D67" s="10"/>
      <c r="E67" s="10"/>
      <c r="F67" s="10"/>
      <c r="G67" s="10"/>
      <c r="H67" s="10"/>
      <c r="I67" s="10"/>
      <c r="J67" s="10"/>
      <c r="K67" s="56" t="n">
        <f aca="false">+K69+K63+K62</f>
        <v>60.3132824519231</v>
      </c>
      <c r="L67" s="56" t="n">
        <f aca="false">+L69+L63+L62</f>
        <v>65.1698257211539</v>
      </c>
      <c r="M67" s="56" t="n">
        <f aca="false">+M69+M63+M62</f>
        <v>70.0263689903846</v>
      </c>
      <c r="N67" s="52" t="n">
        <f aca="false">+N69+N63+N62</f>
        <v>68.607484375</v>
      </c>
    </row>
    <row r="68" customFormat="false" ht="13" hidden="false" customHeight="false" outlineLevel="0" collapsed="false">
      <c r="A68" s="21" t="s">
        <v>72</v>
      </c>
      <c r="K68" s="23" t="n">
        <f aca="false">+K51-K60</f>
        <v>71.1119230769231</v>
      </c>
      <c r="L68" s="23" t="n">
        <f aca="false">+L51-L60</f>
        <v>75.9684663461539</v>
      </c>
      <c r="M68" s="23" t="n">
        <f aca="false">+M51-M60</f>
        <v>80.8250096153846</v>
      </c>
      <c r="N68" s="24" t="n">
        <f aca="false">+N51-N60</f>
        <v>79.406125</v>
      </c>
    </row>
    <row r="69" customFormat="false" ht="13" hidden="false" customHeight="false" outlineLevel="0" collapsed="false">
      <c r="A69" s="21" t="s">
        <v>73</v>
      </c>
      <c r="K69" s="23" t="n">
        <f aca="false">+K51-K66</f>
        <v>32.8132824519231</v>
      </c>
      <c r="L69" s="23" t="n">
        <f aca="false">+L51-L66</f>
        <v>37.1698257211539</v>
      </c>
      <c r="M69" s="23" t="n">
        <f aca="false">+M51-M66</f>
        <v>41.5263689903846</v>
      </c>
      <c r="N69" s="24" t="n">
        <f aca="false">+N51-N66</f>
        <v>40.107484375</v>
      </c>
    </row>
    <row r="70" s="10" customFormat="true" ht="3.75" hidden="false" customHeight="true" outlineLevel="0" collapsed="false">
      <c r="C70" s="16"/>
      <c r="K70" s="57"/>
      <c r="L70" s="57"/>
      <c r="M70" s="57"/>
    </row>
    <row r="71" customFormat="false" ht="12.5" hidden="false" customHeight="false" outlineLevel="0" collapsed="false">
      <c r="A71" s="58" t="s">
        <v>74</v>
      </c>
      <c r="B71" s="58"/>
      <c r="C71" s="58"/>
      <c r="D71" s="59"/>
      <c r="E71" s="58"/>
      <c r="F71" s="58"/>
      <c r="G71" s="58"/>
      <c r="H71" s="58"/>
      <c r="I71" s="58"/>
      <c r="J71" s="58"/>
      <c r="K71" s="58"/>
      <c r="L71" s="60"/>
      <c r="M71" s="60"/>
    </row>
    <row r="72" customFormat="false" ht="12.5" hidden="false" customHeight="false" outlineLevel="0" collapsed="false">
      <c r="B72" s="58" t="s">
        <v>75</v>
      </c>
      <c r="C72" s="58"/>
      <c r="D72" s="58"/>
      <c r="E72" s="58"/>
      <c r="F72" s="58"/>
      <c r="G72" s="58"/>
      <c r="H72" s="58"/>
      <c r="I72" s="58"/>
      <c r="J72" s="58"/>
      <c r="K72" s="58"/>
      <c r="L72" s="60"/>
      <c r="M72" s="60"/>
    </row>
    <row r="73" customFormat="false" ht="12.5" hidden="false" customHeight="false" outlineLevel="0" collapsed="false">
      <c r="A73" s="58" t="s">
        <v>76</v>
      </c>
      <c r="B73" s="58"/>
      <c r="C73" s="58"/>
      <c r="D73" s="61"/>
      <c r="E73" s="62"/>
      <c r="F73" s="58"/>
      <c r="G73" s="58"/>
      <c r="H73" s="58"/>
      <c r="I73" s="58"/>
      <c r="J73" s="58"/>
      <c r="K73" s="58"/>
      <c r="L73" s="60"/>
      <c r="M73" s="60"/>
    </row>
    <row r="74" customFormat="false" ht="12.5" hidden="false" customHeight="false" outlineLevel="0" collapsed="false">
      <c r="A74" s="58"/>
      <c r="B74" s="58" t="s">
        <v>77</v>
      </c>
      <c r="C74" s="58"/>
      <c r="D74" s="62"/>
      <c r="E74" s="62"/>
      <c r="F74" s="58"/>
      <c r="G74" s="58"/>
      <c r="H74" s="58"/>
      <c r="I74" s="58"/>
      <c r="J74" s="58"/>
      <c r="K74" s="58"/>
      <c r="L74" s="60"/>
      <c r="M74" s="60"/>
    </row>
    <row r="75" customFormat="false" ht="12.5" hidden="false" customHeight="false" outlineLevel="0" collapsed="false">
      <c r="A75" s="58" t="s">
        <v>78</v>
      </c>
      <c r="B75" s="58"/>
      <c r="C75" s="58"/>
      <c r="D75" s="63"/>
      <c r="E75" s="58"/>
      <c r="F75" s="58"/>
      <c r="G75" s="58"/>
      <c r="H75" s="58"/>
      <c r="I75" s="58"/>
      <c r="J75" s="58"/>
      <c r="K75" s="58"/>
      <c r="L75" s="60"/>
      <c r="M75" s="60"/>
    </row>
    <row r="76" customFormat="false" ht="13.5" hidden="false" customHeight="false" outlineLevel="0" collapsed="false">
      <c r="A76" s="58" t="n">
        <v>1</v>
      </c>
      <c r="B76" s="58" t="s">
        <v>79</v>
      </c>
      <c r="C76" s="58"/>
      <c r="D76" s="58"/>
      <c r="E76" s="58"/>
      <c r="F76" s="58"/>
      <c r="G76" s="58"/>
      <c r="H76" s="58"/>
      <c r="K76" s="43"/>
      <c r="L76" s="43"/>
      <c r="M76" s="43"/>
    </row>
    <row r="77" customFormat="false" ht="13.5" hidden="false" customHeight="false" outlineLevel="0" collapsed="false">
      <c r="A77" s="58" t="n">
        <v>2</v>
      </c>
      <c r="B77" s="58" t="s">
        <v>80</v>
      </c>
      <c r="C77" s="58"/>
      <c r="D77" s="58"/>
      <c r="E77" s="58"/>
      <c r="F77" s="58"/>
      <c r="G77" s="58"/>
      <c r="H77" s="58"/>
      <c r="I77" s="58"/>
      <c r="J77" s="58"/>
      <c r="K77" s="60"/>
      <c r="L77" s="60"/>
      <c r="M77" s="60"/>
    </row>
    <row r="78" customFormat="false" ht="13.5" hidden="false" customHeight="false" outlineLevel="0" collapsed="false">
      <c r="A78" s="58"/>
      <c r="B78" s="58" t="s">
        <v>81</v>
      </c>
      <c r="C78" s="58"/>
      <c r="D78" s="58"/>
      <c r="E78" s="58"/>
      <c r="F78" s="58"/>
      <c r="G78" s="58"/>
      <c r="H78" s="58"/>
      <c r="I78" s="58"/>
      <c r="J78" s="58"/>
      <c r="K78" s="60"/>
      <c r="L78" s="60"/>
      <c r="M78" s="60"/>
    </row>
    <row r="79" customFormat="false" ht="13.5" hidden="false" customHeight="false" outlineLevel="0" collapsed="false">
      <c r="A79" s="58"/>
      <c r="B79" s="58"/>
      <c r="C79" s="58" t="s">
        <v>82</v>
      </c>
      <c r="D79" s="58"/>
      <c r="E79" s="58"/>
      <c r="F79" s="58"/>
      <c r="G79" s="58"/>
      <c r="H79" s="58"/>
      <c r="I79" s="58"/>
      <c r="J79" s="58"/>
      <c r="K79" s="60"/>
      <c r="L79" s="60"/>
      <c r="M79" s="60"/>
    </row>
    <row r="80" customFormat="false" ht="13.5" hidden="false" customHeight="false" outlineLevel="0" collapsed="false">
      <c r="A80" s="58"/>
      <c r="B80" s="58"/>
      <c r="C80" s="58" t="s">
        <v>83</v>
      </c>
      <c r="D80" s="58"/>
      <c r="E80" s="58"/>
      <c r="F80" s="58"/>
      <c r="G80" s="58"/>
      <c r="H80" s="58"/>
      <c r="I80" s="58"/>
      <c r="J80" s="58"/>
      <c r="K80" s="60"/>
      <c r="L80" s="60"/>
      <c r="M80" s="60"/>
    </row>
    <row r="81" customFormat="false" ht="13.5" hidden="false" customHeight="false" outlineLevel="0" collapsed="false">
      <c r="A81" s="58"/>
      <c r="B81" s="58" t="s">
        <v>84</v>
      </c>
      <c r="C81" s="58"/>
      <c r="D81" s="58"/>
      <c r="E81" s="58"/>
      <c r="F81" s="58"/>
      <c r="G81" s="58"/>
      <c r="H81" s="58"/>
      <c r="I81" s="58"/>
      <c r="J81" s="58"/>
      <c r="K81" s="60"/>
      <c r="L81" s="60"/>
      <c r="M81" s="60"/>
    </row>
    <row r="82" customFormat="false" ht="13.5" hidden="false" customHeight="false" outlineLevel="0" collapsed="false">
      <c r="A82" s="58"/>
      <c r="B82" s="58"/>
      <c r="C82" s="58" t="s">
        <v>85</v>
      </c>
      <c r="D82" s="58"/>
      <c r="E82" s="58"/>
      <c r="F82" s="58"/>
      <c r="G82" s="58"/>
      <c r="H82" s="58"/>
      <c r="I82" s="58"/>
      <c r="J82" s="58"/>
      <c r="K82" s="60"/>
      <c r="L82" s="60"/>
      <c r="M82" s="60"/>
    </row>
    <row r="83" customFormat="false" ht="13.5" hidden="false" customHeight="false" outlineLevel="0" collapsed="false">
      <c r="A83" s="58"/>
      <c r="B83" s="58"/>
      <c r="C83" s="58" t="s">
        <v>86</v>
      </c>
      <c r="D83" s="58"/>
      <c r="E83" s="58"/>
      <c r="F83" s="58"/>
      <c r="G83" s="58"/>
      <c r="H83" s="58"/>
      <c r="I83" s="58"/>
      <c r="J83" s="58"/>
      <c r="K83" s="60"/>
      <c r="L83" s="60"/>
      <c r="M83" s="60"/>
    </row>
    <row r="84" customFormat="false" ht="13.5" hidden="false" customHeight="false" outlineLevel="0" collapsed="false">
      <c r="A84" s="58"/>
      <c r="B84" s="58"/>
      <c r="C84" s="58" t="s">
        <v>87</v>
      </c>
      <c r="D84" s="58"/>
      <c r="E84" s="58"/>
      <c r="F84" s="58"/>
      <c r="G84" s="58"/>
      <c r="H84" s="58"/>
      <c r="I84" s="58"/>
      <c r="J84" s="58"/>
      <c r="K84" s="60"/>
      <c r="L84" s="60"/>
      <c r="M84" s="60"/>
    </row>
    <row r="85" customFormat="false" ht="14.5" hidden="false" customHeight="false" outlineLevel="0" collapsed="false">
      <c r="A85" s="6" t="n">
        <v>3</v>
      </c>
      <c r="B85" s="0" t="s">
        <v>88</v>
      </c>
      <c r="K85" s="43"/>
      <c r="L85" s="43"/>
      <c r="M85" s="43"/>
    </row>
    <row r="86" customFormat="false" ht="14.5" hidden="false" customHeight="false" outlineLevel="0" collapsed="false">
      <c r="A86" s="6"/>
      <c r="C86" s="0" t="s">
        <v>89</v>
      </c>
      <c r="K86" s="43"/>
      <c r="L86" s="43"/>
      <c r="M86" s="43"/>
    </row>
    <row r="87" customFormat="false" ht="14.5" hidden="false" customHeight="false" outlineLevel="0" collapsed="false">
      <c r="A87" s="6"/>
      <c r="C87" s="0" t="s">
        <v>90</v>
      </c>
      <c r="K87" s="43"/>
      <c r="L87" s="43"/>
      <c r="M87" s="43"/>
    </row>
    <row r="88" customFormat="false" ht="14.5" hidden="false" customHeight="false" outlineLevel="0" collapsed="false">
      <c r="A88" s="6"/>
      <c r="C88" s="58" t="s">
        <v>91</v>
      </c>
      <c r="D88" s="58"/>
      <c r="E88" s="58"/>
      <c r="F88" s="59" t="n">
        <v>320</v>
      </c>
      <c r="G88" s="58" t="s">
        <v>92</v>
      </c>
      <c r="H88" s="58"/>
      <c r="I88" s="59" t="n">
        <v>550</v>
      </c>
      <c r="J88" s="58" t="s">
        <v>93</v>
      </c>
      <c r="K88" s="58"/>
      <c r="L88" s="60"/>
      <c r="M88" s="64" t="n">
        <v>405</v>
      </c>
      <c r="N88" s="60" t="s">
        <v>31</v>
      </c>
    </row>
    <row r="89" customFormat="false" ht="14.5" hidden="false" customHeight="false" outlineLevel="0" collapsed="false">
      <c r="A89" s="6" t="n">
        <v>4</v>
      </c>
      <c r="B89" s="0" t="s">
        <v>94</v>
      </c>
      <c r="K89" s="43"/>
      <c r="L89" s="43"/>
      <c r="M89" s="43"/>
    </row>
    <row r="90" customFormat="false" ht="14.5" hidden="false" customHeight="false" outlineLevel="0" collapsed="false">
      <c r="A90" s="6" t="n">
        <v>5</v>
      </c>
      <c r="B90" s="6" t="s">
        <v>95</v>
      </c>
      <c r="K90" s="43"/>
      <c r="L90" s="43"/>
      <c r="M90" s="43"/>
    </row>
    <row r="91" customFormat="false" ht="14.5" hidden="false" customHeight="false" outlineLevel="0" collapsed="false">
      <c r="A91" s="6" t="n">
        <v>6</v>
      </c>
      <c r="B91" s="6" t="s">
        <v>96</v>
      </c>
      <c r="K91" s="43"/>
      <c r="L91" s="43"/>
      <c r="M91" s="43"/>
    </row>
    <row r="92" customFormat="false" ht="14.5" hidden="false" customHeight="false" outlineLevel="0" collapsed="false">
      <c r="A92" s="6" t="n">
        <v>7</v>
      </c>
      <c r="B92" s="0" t="s">
        <v>97</v>
      </c>
      <c r="K92" s="43"/>
      <c r="L92" s="43"/>
      <c r="M92" s="43"/>
    </row>
    <row r="93" customFormat="false" ht="14.5" hidden="false" customHeight="false" outlineLevel="0" collapsed="false">
      <c r="A93" s="6" t="n">
        <v>8</v>
      </c>
      <c r="B93" s="0" t="s">
        <v>98</v>
      </c>
      <c r="K93" s="43"/>
      <c r="L93" s="43"/>
      <c r="M93" s="43"/>
    </row>
    <row r="94" customFormat="false" ht="14.5" hidden="false" customHeight="false" outlineLevel="0" collapsed="false">
      <c r="A94" s="6" t="n">
        <v>9</v>
      </c>
      <c r="B94" s="0" t="s">
        <v>99</v>
      </c>
      <c r="K94" s="43"/>
      <c r="L94" s="43"/>
      <c r="M94" s="43"/>
    </row>
    <row r="95" customFormat="false" ht="14.5" hidden="false" customHeight="false" outlineLevel="0" collapsed="false">
      <c r="A95" s="6"/>
      <c r="C95" s="0" t="s">
        <v>100</v>
      </c>
      <c r="K95" s="43"/>
      <c r="L95" s="43"/>
      <c r="M95" s="43"/>
    </row>
    <row r="96" customFormat="false" ht="14.5" hidden="false" customHeight="false" outlineLevel="0" collapsed="false">
      <c r="A96" s="6" t="n">
        <v>10</v>
      </c>
      <c r="B96" s="6" t="s">
        <v>101</v>
      </c>
      <c r="K96" s="43"/>
      <c r="L96" s="43"/>
      <c r="M96" s="43"/>
    </row>
    <row r="97" customFormat="false" ht="14.5" hidden="false" customHeight="false" outlineLevel="0" collapsed="false">
      <c r="A97" s="6" t="n">
        <v>11</v>
      </c>
      <c r="B97" s="6" t="s">
        <v>102</v>
      </c>
      <c r="C97" s="6"/>
      <c r="D97" s="6"/>
      <c r="E97" s="6"/>
      <c r="F97" s="6"/>
      <c r="G97" s="6"/>
      <c r="H97" s="6"/>
      <c r="K97" s="43"/>
      <c r="L97" s="43"/>
      <c r="M97" s="43"/>
    </row>
    <row r="98" customFormat="false" ht="14.5" hidden="false" customHeight="false" outlineLevel="0" collapsed="false">
      <c r="A98" s="6"/>
      <c r="B98" s="6" t="s">
        <v>103</v>
      </c>
      <c r="C98" s="6"/>
      <c r="D98" s="6"/>
      <c r="E98" s="6"/>
      <c r="F98" s="6"/>
      <c r="G98" s="6"/>
      <c r="H98" s="6"/>
      <c r="K98" s="43"/>
      <c r="L98" s="43"/>
      <c r="M98" s="43"/>
    </row>
    <row r="99" customFormat="false" ht="14.5" hidden="false" customHeight="false" outlineLevel="0" collapsed="false">
      <c r="A99" s="6" t="n">
        <v>12</v>
      </c>
      <c r="B99" s="6" t="s">
        <v>104</v>
      </c>
      <c r="C99" s="6"/>
      <c r="K99" s="43"/>
      <c r="L99" s="43"/>
      <c r="M99" s="43"/>
    </row>
    <row r="100" customFormat="false" ht="12.5" hidden="false" customHeight="false" outlineLevel="0" collapsed="false">
      <c r="B100" s="6"/>
      <c r="C100" s="6" t="s">
        <v>105</v>
      </c>
      <c r="K100" s="43"/>
      <c r="L100" s="43"/>
      <c r="M100" s="43"/>
    </row>
    <row r="101" customFormat="false" ht="12.5" hidden="false" customHeight="false" outlineLevel="0" collapsed="false">
      <c r="C101" s="0" t="s">
        <v>106</v>
      </c>
      <c r="K101" s="43"/>
      <c r="L101" s="43"/>
      <c r="M101" s="43"/>
    </row>
    <row r="102" customFormat="false" ht="13" hidden="false" customHeight="false" outlineLevel="0" collapsed="false">
      <c r="A102" s="65" t="s">
        <v>107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"/>
    </row>
    <row r="103" customFormat="false" ht="23" hidden="false" customHeight="false" outlineLevel="0" collapsed="false">
      <c r="A103" s="58"/>
      <c r="B103" s="58"/>
      <c r="C103" s="58"/>
      <c r="D103" s="58"/>
      <c r="E103" s="66" t="s">
        <v>108</v>
      </c>
      <c r="F103" s="67" t="s">
        <v>109</v>
      </c>
      <c r="G103" s="66" t="s">
        <v>110</v>
      </c>
      <c r="H103" s="66"/>
      <c r="I103" s="67" t="s">
        <v>111</v>
      </c>
      <c r="J103" s="67" t="s">
        <v>112</v>
      </c>
      <c r="K103" s="67" t="s">
        <v>113</v>
      </c>
      <c r="L103" s="68" t="s">
        <v>114</v>
      </c>
      <c r="M103" s="67" t="s">
        <v>115</v>
      </c>
      <c r="N103" s="6"/>
    </row>
    <row r="104" customFormat="false" ht="15.75" hidden="false" customHeight="true" outlineLevel="0" collapsed="false">
      <c r="A104" s="58"/>
      <c r="B104" s="59" t="s">
        <v>116</v>
      </c>
      <c r="C104" s="59"/>
      <c r="D104" s="59"/>
      <c r="E104" s="69" t="n">
        <v>1</v>
      </c>
      <c r="F104" s="70" t="n">
        <v>50500</v>
      </c>
      <c r="G104" s="71" t="n">
        <v>1200</v>
      </c>
      <c r="H104" s="72"/>
      <c r="I104" s="73" t="n">
        <f aca="false">'machinery costs'!J3</f>
        <v>5.7167578125</v>
      </c>
      <c r="J104" s="74" t="n">
        <v>21</v>
      </c>
      <c r="K104" s="75" t="n">
        <f aca="false">0.64*E104</f>
        <v>0.64</v>
      </c>
      <c r="L104" s="76" t="n">
        <f aca="false">(G104*E104)/J104</f>
        <v>57.1428571428571</v>
      </c>
      <c r="M104" s="75" t="n">
        <v>0.74</v>
      </c>
      <c r="N104" s="6"/>
    </row>
    <row r="105" customFormat="false" ht="12.5" hidden="false" customHeight="false" outlineLevel="0" collapsed="false">
      <c r="A105" s="58"/>
      <c r="B105" s="59" t="s">
        <v>117</v>
      </c>
      <c r="C105" s="59"/>
      <c r="D105" s="59"/>
      <c r="E105" s="69" t="n">
        <v>1</v>
      </c>
      <c r="F105" s="70" t="n">
        <v>75500</v>
      </c>
      <c r="G105" s="71" t="n">
        <v>1200</v>
      </c>
      <c r="H105" s="72"/>
      <c r="I105" s="73" t="n">
        <f aca="false">'machinery costs'!J4</f>
        <v>8.5468359375</v>
      </c>
      <c r="J105" s="74" t="n">
        <v>43.27</v>
      </c>
      <c r="K105" s="75" t="n">
        <v>0.34</v>
      </c>
      <c r="L105" s="76" t="n">
        <f aca="false">(G105*E105)/J105</f>
        <v>27.7328403050612</v>
      </c>
      <c r="M105" s="75" t="n">
        <v>0.56</v>
      </c>
    </row>
    <row r="106" customFormat="false" ht="12.5" hidden="false" customHeight="false" outlineLevel="0" collapsed="false">
      <c r="A106" s="58"/>
      <c r="B106" s="59" t="s">
        <v>118</v>
      </c>
      <c r="C106" s="59"/>
      <c r="D106" s="59"/>
      <c r="E106" s="69" t="n">
        <v>2</v>
      </c>
      <c r="F106" s="70" t="n">
        <v>242500</v>
      </c>
      <c r="G106" s="71" t="n">
        <v>2000</v>
      </c>
      <c r="H106" s="72"/>
      <c r="I106" s="73" t="n">
        <f aca="false">'machinery costs'!J5</f>
        <v>16.4710546875</v>
      </c>
      <c r="J106" s="74" t="n">
        <v>44.12</v>
      </c>
      <c r="K106" s="75" t="n">
        <v>0.07</v>
      </c>
      <c r="L106" s="76" t="n">
        <f aca="false">(G106*E106)/J106</f>
        <v>90.6618313689937</v>
      </c>
      <c r="M106" s="75" t="n">
        <f aca="false">3.15*E106</f>
        <v>6.3</v>
      </c>
    </row>
    <row r="107" customFormat="false" ht="12.5" hidden="false" customHeight="false" outlineLevel="0" collapsed="false">
      <c r="A107" s="58"/>
      <c r="B107" s="59" t="s">
        <v>119</v>
      </c>
      <c r="C107" s="59"/>
      <c r="D107" s="59"/>
      <c r="E107" s="69" t="n">
        <v>1</v>
      </c>
      <c r="F107" s="70" t="n">
        <v>155000</v>
      </c>
      <c r="G107" s="71" t="n">
        <v>1200</v>
      </c>
      <c r="H107" s="72"/>
      <c r="I107" s="73" t="n">
        <f aca="false">'machinery costs'!J6</f>
        <v>16.3557291666667</v>
      </c>
      <c r="J107" s="74" t="n">
        <v>14</v>
      </c>
      <c r="K107" s="75" t="n">
        <v>0.52</v>
      </c>
      <c r="L107" s="76" t="n">
        <f aca="false">(G107*E107)/J107</f>
        <v>85.7142857142857</v>
      </c>
      <c r="M107" s="75" t="n">
        <f aca="false">2.92*E107</f>
        <v>2.92</v>
      </c>
    </row>
    <row r="108" customFormat="false" ht="12.5" hidden="false" customHeight="false" outlineLevel="0" collapsed="false">
      <c r="A108" s="58"/>
      <c r="B108" s="59" t="s">
        <v>120</v>
      </c>
      <c r="C108" s="59"/>
      <c r="D108" s="59"/>
      <c r="E108" s="69" t="n">
        <v>1</v>
      </c>
      <c r="F108" s="70" t="n">
        <v>360000</v>
      </c>
      <c r="G108" s="71" t="n">
        <v>2000</v>
      </c>
      <c r="H108" s="72"/>
      <c r="I108" s="73" t="n">
        <f aca="false">'machinery costs'!J7</f>
        <v>25.2815625</v>
      </c>
      <c r="J108" s="77" t="s">
        <v>121</v>
      </c>
      <c r="K108" s="78" t="s">
        <v>121</v>
      </c>
      <c r="L108" s="76" t="n">
        <f aca="false">L109</f>
        <v>117.647058823529</v>
      </c>
      <c r="M108" s="79" t="n">
        <f aca="false">(L108*60.06)/G108</f>
        <v>3.53294117647059</v>
      </c>
    </row>
    <row r="109" customFormat="false" ht="12.5" hidden="false" customHeight="false" outlineLevel="0" collapsed="false">
      <c r="A109" s="58"/>
      <c r="B109" s="59"/>
      <c r="C109" s="59" t="s">
        <v>122</v>
      </c>
      <c r="D109" s="59"/>
      <c r="E109" s="69" t="n">
        <v>1</v>
      </c>
      <c r="F109" s="70" t="n">
        <v>60000</v>
      </c>
      <c r="G109" s="80" t="n">
        <v>1200</v>
      </c>
      <c r="H109" s="81"/>
      <c r="I109" s="73" t="n">
        <f aca="false">'machinery costs'!J8</f>
        <v>7.02265625</v>
      </c>
      <c r="J109" s="82" t="n">
        <v>10.2</v>
      </c>
      <c r="K109" s="75" t="n">
        <f aca="false">1.49*E109</f>
        <v>1.49</v>
      </c>
      <c r="L109" s="76" t="n">
        <f aca="false">(G109*E109)/J109</f>
        <v>117.647058823529</v>
      </c>
      <c r="M109" s="79" t="n">
        <v>0.31</v>
      </c>
    </row>
    <row r="110" customFormat="false" ht="12.5" hidden="false" customHeight="false" outlineLevel="0" collapsed="false">
      <c r="A110" s="58"/>
      <c r="B110" s="59" t="s">
        <v>123</v>
      </c>
      <c r="C110" s="59"/>
      <c r="D110" s="59"/>
      <c r="E110" s="69" t="n">
        <v>2</v>
      </c>
      <c r="F110" s="70" t="n">
        <v>12000</v>
      </c>
      <c r="G110" s="71" t="n">
        <v>2000</v>
      </c>
      <c r="H110" s="72"/>
      <c r="I110" s="73" t="n">
        <f aca="false">'machinery costs'!J9</f>
        <v>0.8150625</v>
      </c>
      <c r="J110" s="82" t="n">
        <v>34</v>
      </c>
      <c r="K110" s="75" t="n">
        <f aca="false">0.12*E110</f>
        <v>0.24</v>
      </c>
      <c r="L110" s="76" t="n">
        <f aca="false">(G110*E110)/J110</f>
        <v>117.647058823529</v>
      </c>
      <c r="M110" s="79" t="n">
        <f aca="false">0.15*E110</f>
        <v>0.3</v>
      </c>
      <c r="O110" s="83"/>
    </row>
    <row r="111" customFormat="false" ht="12.5" hidden="false" customHeight="false" outlineLevel="0" collapsed="false">
      <c r="A111" s="58"/>
      <c r="B111" s="59" t="s">
        <v>124</v>
      </c>
      <c r="C111" s="59"/>
      <c r="D111" s="59"/>
      <c r="E111" s="69" t="n">
        <v>1</v>
      </c>
      <c r="F111" s="70" t="n">
        <v>70000</v>
      </c>
      <c r="G111" s="71" t="n">
        <v>2000</v>
      </c>
      <c r="H111" s="72"/>
      <c r="I111" s="73" t="n">
        <f aca="false">'machinery costs'!J10</f>
        <v>4.69</v>
      </c>
      <c r="J111" s="77" t="s">
        <v>121</v>
      </c>
      <c r="K111" s="78" t="s">
        <v>125</v>
      </c>
      <c r="L111" s="84" t="s">
        <v>121</v>
      </c>
      <c r="M111" s="79" t="n">
        <f aca="false">3.5*E111</f>
        <v>3.5</v>
      </c>
    </row>
    <row r="112" customFormat="false" ht="12.5" hidden="false" customHeight="false" outlineLevel="0" collapsed="false">
      <c r="A112" s="58"/>
      <c r="B112" s="59" t="s">
        <v>126</v>
      </c>
      <c r="C112" s="59"/>
      <c r="D112" s="59"/>
      <c r="E112" s="69" t="n">
        <v>1</v>
      </c>
      <c r="F112" s="70" t="n">
        <v>50500</v>
      </c>
      <c r="G112" s="71" t="n">
        <v>2000</v>
      </c>
      <c r="H112" s="72"/>
      <c r="I112" s="73" t="n">
        <f aca="false">'machinery costs'!J11</f>
        <v>3.3835</v>
      </c>
      <c r="J112" s="85"/>
      <c r="K112" s="75" t="n">
        <f aca="false">(L112*9.9)/1000</f>
        <v>0.582352941176471</v>
      </c>
      <c r="L112" s="79" t="n">
        <f aca="false">L108*0.5</f>
        <v>58.8235294117647</v>
      </c>
      <c r="M112" s="79" t="n">
        <v>1</v>
      </c>
    </row>
    <row r="113" customFormat="false" ht="12.5" hidden="false" customHeight="false" outlineLevel="0" collapsed="false">
      <c r="A113" s="58"/>
      <c r="B113" s="59" t="s">
        <v>127</v>
      </c>
      <c r="C113" s="59"/>
      <c r="D113" s="59"/>
      <c r="E113" s="69" t="n">
        <v>3</v>
      </c>
      <c r="F113" s="70" t="n">
        <v>274000</v>
      </c>
      <c r="G113" s="71" t="n">
        <v>2000</v>
      </c>
      <c r="H113" s="72"/>
      <c r="I113" s="73" t="n">
        <f aca="false">'machinery costs'!J12</f>
        <v>18.358</v>
      </c>
      <c r="J113" s="86" t="s">
        <v>121</v>
      </c>
      <c r="K113" s="87" t="s">
        <v>121</v>
      </c>
      <c r="L113" s="76" t="n">
        <f aca="false">L104+L106+L112+L135</f>
        <v>298.371337189671</v>
      </c>
      <c r="M113" s="79" t="n">
        <f aca="false">(L113*4.38)/G113</f>
        <v>0.653433228445379</v>
      </c>
    </row>
    <row r="114" customFormat="false" ht="12.5" hidden="false" customHeight="false" outlineLevel="0" collapsed="false">
      <c r="A114" s="58"/>
      <c r="B114" s="59" t="s">
        <v>128</v>
      </c>
      <c r="C114" s="59"/>
      <c r="D114" s="59"/>
      <c r="E114" s="69" t="n">
        <v>2</v>
      </c>
      <c r="F114" s="70" t="n">
        <v>266000</v>
      </c>
      <c r="G114" s="71" t="n">
        <v>2000</v>
      </c>
      <c r="H114" s="72"/>
      <c r="I114" s="73" t="n">
        <f aca="false">'machinery costs'!J13</f>
        <v>17.208953125</v>
      </c>
      <c r="J114" s="87" t="s">
        <v>121</v>
      </c>
      <c r="K114" s="87" t="s">
        <v>121</v>
      </c>
      <c r="L114" s="76" t="n">
        <f aca="false">L105+L110+L137</f>
        <v>210.846347573762</v>
      </c>
      <c r="M114" s="79" t="n">
        <f aca="false">(L114*4.26)/G113</f>
        <v>0.449102720332114</v>
      </c>
    </row>
    <row r="115" customFormat="false" ht="12.5" hidden="false" customHeight="false" outlineLevel="0" collapsed="false">
      <c r="A115" s="58"/>
      <c r="B115" s="88" t="s">
        <v>129</v>
      </c>
      <c r="C115" s="88"/>
      <c r="D115" s="88"/>
      <c r="E115" s="89" t="n">
        <v>1</v>
      </c>
      <c r="F115" s="90" t="n">
        <v>30000</v>
      </c>
      <c r="G115" s="91" t="n">
        <v>2000</v>
      </c>
      <c r="H115" s="92"/>
      <c r="I115" s="93" t="n">
        <f aca="false">'machinery costs'!J14</f>
        <v>2.01</v>
      </c>
      <c r="J115" s="94" t="s">
        <v>121</v>
      </c>
      <c r="K115" s="95" t="n">
        <f aca="false">0.21*E115</f>
        <v>0.21</v>
      </c>
      <c r="L115" s="96"/>
      <c r="M115" s="97" t="n">
        <f aca="false">0.05*E115</f>
        <v>0.05</v>
      </c>
      <c r="N115" s="6"/>
    </row>
    <row r="116" customFormat="false" ht="12.5" hidden="false" customHeight="false" outlineLevel="0" collapsed="false">
      <c r="A116" s="58"/>
      <c r="C116" s="58"/>
      <c r="D116" s="58"/>
      <c r="E116" s="98"/>
      <c r="F116" s="87"/>
      <c r="G116" s="87"/>
      <c r="H116" s="87"/>
      <c r="I116" s="99"/>
      <c r="J116" s="100" t="s">
        <v>130</v>
      </c>
      <c r="K116" s="101" t="n">
        <f aca="false">SUM(K104:K115)*M119</f>
        <v>13.3001470588235</v>
      </c>
      <c r="L116" s="0"/>
      <c r="M116" s="102"/>
      <c r="N116" s="6"/>
    </row>
    <row r="117" customFormat="false" ht="13" hidden="false" customHeight="false" outlineLevel="0" collapsed="false">
      <c r="A117" s="58"/>
      <c r="C117" s="103"/>
      <c r="D117" s="103" t="s">
        <v>131</v>
      </c>
      <c r="E117" s="103"/>
      <c r="F117" s="104"/>
      <c r="G117" s="104"/>
      <c r="H117" s="104"/>
      <c r="I117" s="101" t="n">
        <f aca="false">SUM(I104:I115)</f>
        <v>125.860111979167</v>
      </c>
      <c r="J117" s="100" t="s">
        <v>132</v>
      </c>
      <c r="K117" s="101" t="n">
        <f aca="false">(K116*0.1)+K116</f>
        <v>14.6301617647059</v>
      </c>
      <c r="L117" s="105" t="s">
        <v>133</v>
      </c>
      <c r="M117" s="101" t="n">
        <f aca="false">SUM(M104:M115)</f>
        <v>20.3154771252481</v>
      </c>
      <c r="N117" s="6"/>
    </row>
    <row r="118" customFormat="false" ht="12.5" hidden="false" customHeight="false" outlineLevel="0" collapsed="false">
      <c r="A118" s="58"/>
      <c r="B118" s="103"/>
      <c r="C118" s="58"/>
      <c r="D118" s="58"/>
      <c r="E118" s="58"/>
      <c r="F118" s="106"/>
      <c r="G118" s="107"/>
      <c r="H118" s="107"/>
      <c r="I118" s="108"/>
      <c r="J118" s="103"/>
      <c r="K118" s="109"/>
      <c r="L118" s="109"/>
      <c r="M118" s="109"/>
      <c r="N118" s="6"/>
    </row>
    <row r="119" customFormat="false" ht="12.5" hidden="false" customHeight="false" outlineLevel="0" collapsed="false">
      <c r="A119" s="58"/>
      <c r="B119" s="58"/>
      <c r="C119" s="103"/>
      <c r="D119" s="103"/>
      <c r="E119" s="103"/>
      <c r="F119" s="110"/>
      <c r="G119" s="110"/>
      <c r="H119" s="110"/>
      <c r="I119" s="110"/>
      <c r="J119" s="111" t="s">
        <v>134</v>
      </c>
      <c r="K119" s="111"/>
      <c r="L119" s="111"/>
      <c r="M119" s="112" t="n">
        <v>3.25</v>
      </c>
      <c r="N119" s="6"/>
    </row>
    <row r="120" customFormat="false" ht="12.5" hidden="false" customHeight="false" outlineLevel="0" collapsed="false">
      <c r="A120" s="58"/>
      <c r="B120" s="58"/>
      <c r="C120" s="103"/>
      <c r="D120" s="103"/>
      <c r="E120" s="103"/>
      <c r="F120" s="110"/>
      <c r="G120" s="110"/>
      <c r="H120" s="110"/>
      <c r="I120" s="110"/>
      <c r="J120" s="113"/>
      <c r="K120" s="113"/>
      <c r="L120" s="113"/>
      <c r="M120" s="114"/>
      <c r="N120" s="6"/>
    </row>
    <row r="121" customFormat="false" ht="12.5" hidden="false" customHeight="false" outlineLevel="0" collapsed="false">
      <c r="A121" s="58" t="s">
        <v>135</v>
      </c>
      <c r="B121" s="103"/>
      <c r="C121" s="103"/>
      <c r="D121" s="103"/>
      <c r="E121" s="103"/>
      <c r="F121" s="110"/>
      <c r="G121" s="110"/>
      <c r="H121" s="110"/>
      <c r="I121" s="110"/>
      <c r="J121" s="113"/>
      <c r="K121" s="113"/>
      <c r="L121" s="113"/>
      <c r="M121" s="114"/>
      <c r="N121" s="6"/>
    </row>
    <row r="122" customFormat="false" ht="12.5" hidden="false" customHeight="false" outlineLevel="0" collapsed="false">
      <c r="A122" s="58" t="s">
        <v>136</v>
      </c>
      <c r="B122" s="103"/>
      <c r="C122" s="103"/>
      <c r="D122" s="103"/>
      <c r="E122" s="103"/>
      <c r="F122" s="110"/>
      <c r="G122" s="110"/>
      <c r="H122" s="110"/>
      <c r="I122" s="110"/>
      <c r="J122" s="113"/>
      <c r="K122" s="113"/>
      <c r="L122" s="113"/>
      <c r="M122" s="114"/>
      <c r="N122" s="6"/>
    </row>
    <row r="123" customFormat="false" ht="13" hidden="false" customHeight="false" outlineLevel="0" collapsed="false">
      <c r="A123" s="115" t="s">
        <v>137</v>
      </c>
      <c r="B123" s="103"/>
      <c r="C123" s="103"/>
      <c r="D123" s="103"/>
      <c r="E123" s="103"/>
      <c r="F123" s="110"/>
      <c r="G123" s="110"/>
      <c r="H123" s="116"/>
      <c r="I123" s="21"/>
      <c r="J123" s="8"/>
      <c r="K123" s="8"/>
      <c r="L123" s="0"/>
      <c r="M123" s="41"/>
      <c r="N123" s="6"/>
    </row>
    <row r="124" customFormat="false" ht="12.5" hidden="false" customHeight="false" outlineLevel="0" collapsed="false">
      <c r="A124" s="58" t="s">
        <v>138</v>
      </c>
      <c r="B124" s="58"/>
      <c r="C124" s="58"/>
      <c r="D124" s="58"/>
      <c r="E124" s="58"/>
      <c r="F124" s="117"/>
      <c r="G124" s="117"/>
      <c r="H124" s="116"/>
      <c r="I124" s="6"/>
      <c r="J124" s="41"/>
      <c r="K124" s="41"/>
      <c r="L124" s="41"/>
      <c r="M124" s="41"/>
      <c r="N124" s="6"/>
    </row>
    <row r="125" customFormat="false" ht="12.5" hidden="false" customHeight="false" outlineLevel="0" collapsed="false">
      <c r="A125" s="58" t="s">
        <v>139</v>
      </c>
      <c r="B125" s="58"/>
      <c r="C125" s="58"/>
      <c r="D125" s="58"/>
      <c r="E125" s="58"/>
      <c r="F125" s="58"/>
      <c r="G125" s="58"/>
      <c r="H125" s="6"/>
      <c r="I125" s="6"/>
      <c r="J125" s="6"/>
      <c r="K125" s="6"/>
      <c r="L125" s="41"/>
      <c r="M125" s="41"/>
      <c r="N125" s="6"/>
    </row>
    <row r="126" customFormat="false" ht="12.5" hidden="false" customHeight="false" outlineLevel="0" collapsed="false">
      <c r="A126" s="58" t="s">
        <v>140</v>
      </c>
      <c r="B126" s="58"/>
      <c r="C126" s="58"/>
      <c r="D126" s="58"/>
      <c r="E126" s="62"/>
      <c r="F126" s="62"/>
      <c r="G126" s="62"/>
      <c r="H126" s="118"/>
      <c r="I126" s="118"/>
      <c r="J126" s="6"/>
      <c r="K126" s="6"/>
      <c r="L126" s="41"/>
      <c r="M126" s="41"/>
      <c r="N126" s="6"/>
    </row>
    <row r="127" customFormat="false" ht="12.5" hidden="false" customHeight="false" outlineLevel="0" collapsed="false">
      <c r="A127" s="119" t="s">
        <v>141</v>
      </c>
      <c r="B127" s="58"/>
      <c r="C127" s="119"/>
      <c r="D127" s="58"/>
      <c r="E127" s="62"/>
      <c r="F127" s="62"/>
      <c r="G127" s="62"/>
      <c r="H127" s="118"/>
      <c r="I127" s="118"/>
      <c r="J127" s="6"/>
      <c r="K127" s="6"/>
      <c r="L127" s="41"/>
      <c r="M127" s="41"/>
      <c r="N127" s="6"/>
    </row>
    <row r="128" customFormat="false" ht="12.5" hidden="false" customHeight="false" outlineLevel="0" collapsed="false">
      <c r="A128" s="6" t="s">
        <v>142</v>
      </c>
      <c r="B128" s="6"/>
      <c r="C128" s="6"/>
      <c r="D128" s="6"/>
      <c r="E128" s="6"/>
      <c r="F128" s="6"/>
      <c r="G128" s="6"/>
      <c r="H128" s="6"/>
      <c r="I128" s="6"/>
      <c r="J128" s="6"/>
      <c r="K128" s="41"/>
      <c r="L128" s="41"/>
      <c r="M128" s="41"/>
      <c r="N128" s="6"/>
    </row>
    <row r="129" customFormat="false" ht="12.5" hidden="false" customHeight="false" outlineLevel="0" collapsed="false">
      <c r="A129" s="58" t="s">
        <v>143</v>
      </c>
      <c r="G129" s="6"/>
      <c r="H129" s="6"/>
      <c r="I129" s="6"/>
      <c r="K129" s="0"/>
      <c r="L129" s="0"/>
      <c r="M129" s="0"/>
    </row>
    <row r="130" customFormat="false" ht="12.5" hidden="false" customHeight="false" outlineLevel="0" collapsed="false">
      <c r="A130" s="6" t="s">
        <v>144</v>
      </c>
      <c r="G130" s="6"/>
      <c r="H130" s="6"/>
      <c r="K130" s="0"/>
      <c r="L130" s="0"/>
      <c r="M130" s="0"/>
    </row>
    <row r="131" customFormat="false" ht="12.5" hidden="false" customHeight="false" outlineLevel="0" collapsed="false">
      <c r="A131" s="58" t="s">
        <v>145</v>
      </c>
      <c r="B131" s="58"/>
      <c r="C131" s="58"/>
      <c r="D131" s="58"/>
      <c r="G131" s="6"/>
      <c r="H131" s="6"/>
      <c r="K131" s="0"/>
      <c r="L131" s="0"/>
      <c r="M131" s="0"/>
    </row>
    <row r="132" customFormat="false" ht="12.5" hidden="false" customHeight="false" outlineLevel="0" collapsed="false">
      <c r="A132" s="58" t="s">
        <v>146</v>
      </c>
      <c r="B132" s="58"/>
      <c r="C132" s="58"/>
      <c r="D132" s="58"/>
      <c r="G132" s="6"/>
      <c r="H132" s="6"/>
      <c r="K132" s="0"/>
      <c r="L132" s="0"/>
      <c r="M132" s="0"/>
    </row>
    <row r="133" customFormat="false" ht="13" hidden="false" customHeight="false" outlineLevel="0" collapsed="false">
      <c r="A133" s="65" t="s">
        <v>147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"/>
    </row>
    <row r="134" customFormat="false" ht="25.5" hidden="false" customHeight="true" outlineLevel="0" collapsed="false">
      <c r="A134" s="6"/>
      <c r="B134" s="6"/>
      <c r="C134" s="6"/>
      <c r="D134" s="6"/>
      <c r="E134" s="120" t="s">
        <v>108</v>
      </c>
      <c r="F134" s="121" t="s">
        <v>148</v>
      </c>
      <c r="G134" s="122" t="s">
        <v>110</v>
      </c>
      <c r="H134" s="122"/>
      <c r="I134" s="123" t="s">
        <v>111</v>
      </c>
      <c r="J134" s="123" t="s">
        <v>112</v>
      </c>
      <c r="K134" s="123" t="s">
        <v>113</v>
      </c>
      <c r="L134" s="124" t="s">
        <v>149</v>
      </c>
      <c r="M134" s="123" t="s">
        <v>115</v>
      </c>
      <c r="N134" s="6"/>
    </row>
    <row r="135" customFormat="false" ht="12.5" hidden="false" customHeight="false" outlineLevel="0" collapsed="false">
      <c r="A135" s="6"/>
      <c r="B135" s="83" t="s">
        <v>150</v>
      </c>
      <c r="C135" s="83"/>
      <c r="D135" s="83"/>
      <c r="E135" s="125" t="n">
        <v>1</v>
      </c>
      <c r="F135" s="70" t="n">
        <v>27500</v>
      </c>
      <c r="G135" s="69" t="n">
        <v>400</v>
      </c>
      <c r="H135" s="87"/>
      <c r="I135" s="73" t="n">
        <f aca="false">'machinery costs'!J18</f>
        <v>9.466015625</v>
      </c>
      <c r="J135" s="74" t="n">
        <v>4.36</v>
      </c>
      <c r="K135" s="75" t="n">
        <f aca="false">0.4*E135</f>
        <v>0.4</v>
      </c>
      <c r="L135" s="76" t="n">
        <f aca="false">(G135*E135)/J135</f>
        <v>91.743119266055</v>
      </c>
      <c r="M135" s="75" t="n">
        <f aca="false">3.18*E135</f>
        <v>3.18</v>
      </c>
    </row>
    <row r="136" customFormat="false" ht="12.5" hidden="false" customHeight="false" outlineLevel="0" collapsed="false">
      <c r="A136" s="6"/>
      <c r="B136" s="83" t="s">
        <v>151</v>
      </c>
      <c r="C136" s="83"/>
      <c r="D136" s="83"/>
      <c r="E136" s="125" t="n">
        <v>1</v>
      </c>
      <c r="F136" s="70" t="n">
        <v>8000</v>
      </c>
      <c r="G136" s="69" t="n">
        <v>400</v>
      </c>
      <c r="H136" s="87"/>
      <c r="I136" s="73" t="n">
        <f aca="false">'machinery costs'!J19</f>
        <v>0.690083333333333</v>
      </c>
      <c r="J136" s="74" t="n">
        <v>4.4</v>
      </c>
      <c r="K136" s="75" t="n">
        <f aca="false">0.1*E136</f>
        <v>0.1</v>
      </c>
      <c r="L136" s="76" t="n">
        <f aca="false">L135</f>
        <v>91.743119266055</v>
      </c>
      <c r="M136" s="75" t="n">
        <f aca="false">0.1*E136</f>
        <v>0.1</v>
      </c>
    </row>
    <row r="137" customFormat="false" ht="12.5" hidden="false" customHeight="false" outlineLevel="0" collapsed="false">
      <c r="A137" s="126"/>
      <c r="B137" s="127" t="s">
        <v>152</v>
      </c>
      <c r="C137" s="127"/>
      <c r="D137" s="127"/>
      <c r="E137" s="128" t="n">
        <v>1</v>
      </c>
      <c r="F137" s="129" t="n">
        <v>7000</v>
      </c>
      <c r="G137" s="89" t="n">
        <v>400</v>
      </c>
      <c r="H137" s="130"/>
      <c r="I137" s="93" t="n">
        <f aca="false">'machinery costs'!J20</f>
        <v>0.642541666666667</v>
      </c>
      <c r="J137" s="131" t="n">
        <v>6.11</v>
      </c>
      <c r="K137" s="97" t="n">
        <f aca="false">0.29*E137</f>
        <v>0.29</v>
      </c>
      <c r="L137" s="132" t="n">
        <f aca="false">(G137*E137)/J137</f>
        <v>65.4664484451719</v>
      </c>
      <c r="M137" s="97" t="n">
        <f aca="false">0.21*E137</f>
        <v>0.21</v>
      </c>
    </row>
    <row r="138" customFormat="false" ht="12.5" hidden="false" customHeight="false" outlineLevel="0" collapsed="false">
      <c r="A138" s="6"/>
      <c r="E138" s="4"/>
      <c r="F138" s="133"/>
      <c r="I138" s="100"/>
      <c r="J138" s="100" t="s">
        <v>130</v>
      </c>
      <c r="K138" s="101" t="n">
        <f aca="false">SUM(K135:K137)*M119</f>
        <v>2.5675</v>
      </c>
      <c r="L138" s="78"/>
      <c r="M138" s="60"/>
    </row>
    <row r="139" customFormat="false" ht="12.5" hidden="false" customHeight="false" outlineLevel="0" collapsed="false">
      <c r="A139" s="6"/>
      <c r="D139" s="134" t="s">
        <v>131</v>
      </c>
      <c r="E139" s="134"/>
      <c r="F139" s="134"/>
      <c r="G139" s="134"/>
      <c r="H139" s="134"/>
      <c r="I139" s="101" t="n">
        <f aca="false">SUM(I135:I137)</f>
        <v>10.798640625</v>
      </c>
      <c r="J139" s="100" t="s">
        <v>132</v>
      </c>
      <c r="K139" s="101" t="n">
        <f aca="false">(K138*0.1)+K138</f>
        <v>2.82425</v>
      </c>
      <c r="L139" s="135" t="s">
        <v>133</v>
      </c>
      <c r="M139" s="101" t="n">
        <f aca="false">SUM(M135:M137)</f>
        <v>3.49</v>
      </c>
    </row>
    <row r="140" customFormat="false" ht="13" hidden="false" customHeight="false" outlineLevel="0" collapsed="false">
      <c r="A140" s="58" t="s">
        <v>153</v>
      </c>
      <c r="B140" s="6"/>
      <c r="C140" s="6"/>
      <c r="I140" s="21"/>
      <c r="J140" s="136"/>
      <c r="K140" s="8"/>
      <c r="L140" s="0"/>
      <c r="M140" s="41"/>
    </row>
    <row r="141" customFormat="false" ht="13" hidden="false" customHeight="false" outlineLevel="0" collapsed="false">
      <c r="A141" s="0" t="s">
        <v>154</v>
      </c>
      <c r="B141" s="21"/>
      <c r="C141" s="21"/>
      <c r="D141" s="21"/>
      <c r="E141" s="21"/>
      <c r="F141" s="137"/>
      <c r="G141" s="116"/>
      <c r="H141" s="116"/>
      <c r="I141" s="138"/>
      <c r="J141" s="138"/>
      <c r="K141" s="138"/>
      <c r="L141" s="139"/>
      <c r="M141" s="41"/>
    </row>
    <row r="144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50" customFormat="false" ht="13" hidden="false" customHeight="false" outlineLevel="0" collapsed="false"/>
  </sheetData>
  <mergeCells count="13">
    <mergeCell ref="C1:M1"/>
    <mergeCell ref="C2:M2"/>
    <mergeCell ref="D3:L3"/>
    <mergeCell ref="M4:N4"/>
    <mergeCell ref="A6:D6"/>
    <mergeCell ref="F6:G6"/>
    <mergeCell ref="I6:J6"/>
    <mergeCell ref="K6:M6"/>
    <mergeCell ref="I7:J7"/>
    <mergeCell ref="A102:M102"/>
    <mergeCell ref="J119:L119"/>
    <mergeCell ref="A133:M133"/>
    <mergeCell ref="D139:H139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5" activeCellId="0" sqref="F25"/>
    </sheetView>
  </sheetViews>
  <sheetFormatPr defaultRowHeight="12.5"/>
  <cols>
    <col collapsed="false" hidden="false" max="1" min="1" style="0" width="3.64285714285714"/>
    <col collapsed="false" hidden="false" max="2" min="2" style="0" width="19.0357142857143"/>
    <col collapsed="false" hidden="false" max="3" min="3" style="0" width="13.6326530612245"/>
    <col collapsed="false" hidden="false" max="4" min="4" style="0" width="13.9030612244898"/>
    <col collapsed="false" hidden="false" max="5" min="5" style="0" width="11.0714285714286"/>
    <col collapsed="false" hidden="false" max="6" min="6" style="0" width="13.7704081632653"/>
    <col collapsed="false" hidden="false" max="7" min="7" style="0" width="8.50510204081633"/>
    <col collapsed="false" hidden="false" max="9" min="8" style="0" width="10.9336734693878"/>
    <col collapsed="false" hidden="false" max="1025" min="10" style="0" width="8.50510204081633"/>
  </cols>
  <sheetData>
    <row r="1" customFormat="false" ht="13" hidden="false" customHeight="false" outlineLevel="0" collapsed="false">
      <c r="D1" s="21" t="s">
        <v>155</v>
      </c>
    </row>
    <row r="2" customFormat="false" ht="17.25" hidden="false" customHeight="true" outlineLevel="0" collapsed="false">
      <c r="A2" s="58" t="s">
        <v>156</v>
      </c>
      <c r="B2" s="58"/>
      <c r="C2" s="67" t="s">
        <v>157</v>
      </c>
      <c r="D2" s="67" t="s">
        <v>158</v>
      </c>
      <c r="E2" s="67" t="s">
        <v>159</v>
      </c>
      <c r="F2" s="67" t="s">
        <v>160</v>
      </c>
      <c r="G2" s="67" t="s">
        <v>161</v>
      </c>
      <c r="H2" s="67" t="s">
        <v>162</v>
      </c>
      <c r="I2" s="67" t="s">
        <v>163</v>
      </c>
      <c r="J2" s="67" t="s">
        <v>164</v>
      </c>
    </row>
    <row r="3" customFormat="false" ht="12.5" hidden="false" customHeight="false" outlineLevel="0" collapsed="false">
      <c r="A3" s="59" t="s">
        <v>116</v>
      </c>
      <c r="B3" s="59"/>
      <c r="C3" s="140" t="n">
        <f aca="false">(wheat!F104+(wheat!F104*0.34)+D3)/2</f>
        <v>35918.125</v>
      </c>
      <c r="D3" s="140" t="n">
        <f aca="false">(wheat!F104-(wheat!F104*0.34))/8</f>
        <v>4166.25</v>
      </c>
      <c r="E3" s="140" t="n">
        <f aca="false">0.06*C3</f>
        <v>2155.0875</v>
      </c>
      <c r="F3" s="140" t="n">
        <f aca="false">0.005*C3</f>
        <v>179.590625</v>
      </c>
      <c r="G3" s="140" t="n">
        <f aca="false">0.01*C3</f>
        <v>359.18125</v>
      </c>
      <c r="H3" s="141" t="n">
        <f aca="false">SUM(D3:G3)</f>
        <v>6860.109375</v>
      </c>
      <c r="I3" s="141" t="n">
        <f aca="false">wheat!G104</f>
        <v>1200</v>
      </c>
      <c r="J3" s="142" t="n">
        <f aca="false">H3/I3</f>
        <v>5.7167578125</v>
      </c>
    </row>
    <row r="4" customFormat="false" ht="12.5" hidden="false" customHeight="false" outlineLevel="0" collapsed="false">
      <c r="A4" s="59" t="s">
        <v>165</v>
      </c>
      <c r="B4" s="59"/>
      <c r="C4" s="56" t="n">
        <f aca="false">(wheat!F105+(wheat!F105*0.34)+D4)/2</f>
        <v>53699.375</v>
      </c>
      <c r="D4" s="56" t="n">
        <f aca="false">(wheat!F105-(wheat!F105*0.34))/8</f>
        <v>6228.75</v>
      </c>
      <c r="E4" s="56" t="n">
        <f aca="false">0.06*C4</f>
        <v>3221.9625</v>
      </c>
      <c r="F4" s="56" t="n">
        <f aca="false">0.005*C4</f>
        <v>268.496875</v>
      </c>
      <c r="G4" s="56" t="n">
        <f aca="false">0.01*C4</f>
        <v>536.99375</v>
      </c>
      <c r="H4" s="85" t="n">
        <f aca="false">SUM(D4:G4)</f>
        <v>10256.203125</v>
      </c>
      <c r="I4" s="85" t="n">
        <f aca="false">wheat!G105</f>
        <v>1200</v>
      </c>
      <c r="J4" s="143" t="n">
        <f aca="false">H4/I4</f>
        <v>8.5468359375</v>
      </c>
    </row>
    <row r="5" customFormat="false" ht="12.5" hidden="false" customHeight="false" outlineLevel="0" collapsed="false">
      <c r="A5" s="59" t="s">
        <v>118</v>
      </c>
      <c r="B5" s="59"/>
      <c r="C5" s="56" t="n">
        <f aca="false">(wheat!F106+(wheat!F106*0.34)+D5)/2</f>
        <v>172478.125</v>
      </c>
      <c r="D5" s="56" t="n">
        <f aca="false">(wheat!F106-(wheat!F106*0.34))/8</f>
        <v>20006.25</v>
      </c>
      <c r="E5" s="56" t="n">
        <f aca="false">0.06*C5</f>
        <v>10348.6875</v>
      </c>
      <c r="F5" s="56" t="n">
        <f aca="false">0.005*C5</f>
        <v>862.390625</v>
      </c>
      <c r="G5" s="56" t="n">
        <f aca="false">0.01*C5</f>
        <v>1724.78125</v>
      </c>
      <c r="H5" s="85" t="n">
        <f aca="false">SUM(D5:G5)</f>
        <v>32942.109375</v>
      </c>
      <c r="I5" s="85" t="n">
        <f aca="false">wheat!G106</f>
        <v>2000</v>
      </c>
      <c r="J5" s="143" t="n">
        <f aca="false">H5/I5</f>
        <v>16.4710546875</v>
      </c>
    </row>
    <row r="6" customFormat="false" ht="12.5" hidden="false" customHeight="false" outlineLevel="0" collapsed="false">
      <c r="A6" s="59" t="s">
        <v>166</v>
      </c>
      <c r="B6" s="59"/>
      <c r="C6" s="56" t="n">
        <f aca="false">(wheat!F107+(wheat!F107*0.44)+D6)/2</f>
        <v>117025</v>
      </c>
      <c r="D6" s="56" t="n">
        <f aca="false">(wheat!F107-(wheat!F107*0.44))/8</f>
        <v>10850</v>
      </c>
      <c r="E6" s="56" t="n">
        <f aca="false">0.06*C6</f>
        <v>7021.5</v>
      </c>
      <c r="F6" s="56" t="n">
        <f aca="false">0.005*C6</f>
        <v>585.125</v>
      </c>
      <c r="G6" s="56" t="n">
        <f aca="false">0.01*C6</f>
        <v>1170.25</v>
      </c>
      <c r="H6" s="85" t="n">
        <f aca="false">SUM(D6:G6)</f>
        <v>19626.875</v>
      </c>
      <c r="I6" s="85" t="n">
        <f aca="false">wheat!G107</f>
        <v>1200</v>
      </c>
      <c r="J6" s="143" t="n">
        <f aca="false">H6/I6</f>
        <v>16.3557291666667</v>
      </c>
    </row>
    <row r="7" customFormat="false" ht="12.5" hidden="false" customHeight="false" outlineLevel="0" collapsed="false">
      <c r="A7" s="59" t="s">
        <v>167</v>
      </c>
      <c r="B7" s="59"/>
      <c r="C7" s="56" t="n">
        <f aca="false">(wheat!F108+(wheat!F108*0.29)+D7)/2</f>
        <v>248175</v>
      </c>
      <c r="D7" s="56" t="n">
        <f aca="false">(wheat!F108-(wheat!F108*0.29))/8</f>
        <v>31950</v>
      </c>
      <c r="E7" s="56" t="n">
        <f aca="false">0.06*C7</f>
        <v>14890.5</v>
      </c>
      <c r="F7" s="56" t="n">
        <f aca="false">0.005*C7</f>
        <v>1240.875</v>
      </c>
      <c r="G7" s="56" t="n">
        <f aca="false">0.01*C7</f>
        <v>2481.75</v>
      </c>
      <c r="H7" s="85" t="n">
        <f aca="false">SUM(D7:G7)</f>
        <v>50563.125</v>
      </c>
      <c r="I7" s="85" t="n">
        <f aca="false">wheat!G108</f>
        <v>2000</v>
      </c>
      <c r="J7" s="143" t="n">
        <f aca="false">H7/I7</f>
        <v>25.2815625</v>
      </c>
    </row>
    <row r="8" customFormat="false" ht="12.5" hidden="false" customHeight="false" outlineLevel="0" collapsed="false">
      <c r="A8" s="59"/>
      <c r="B8" s="59" t="s">
        <v>168</v>
      </c>
      <c r="C8" s="56" t="n">
        <f aca="false">(wheat!F109+(wheat!F109*0.29)+D8)/2</f>
        <v>41362.5</v>
      </c>
      <c r="D8" s="56" t="n">
        <f aca="false">(wheat!F109-(wheat!F109*0.29))/8</f>
        <v>5325</v>
      </c>
      <c r="E8" s="56" t="n">
        <f aca="false">0.06*C8</f>
        <v>2481.75</v>
      </c>
      <c r="F8" s="56" t="n">
        <f aca="false">0.005*C8</f>
        <v>206.8125</v>
      </c>
      <c r="G8" s="56" t="n">
        <f aca="false">0.01*C8</f>
        <v>413.625</v>
      </c>
      <c r="H8" s="85" t="n">
        <f aca="false">SUM(D8:G8)</f>
        <v>8427.1875</v>
      </c>
      <c r="I8" s="85" t="n">
        <f aca="false">wheat!G109</f>
        <v>1200</v>
      </c>
      <c r="J8" s="143" t="n">
        <f aca="false">H8/I8</f>
        <v>7.02265625</v>
      </c>
    </row>
    <row r="9" customFormat="false" ht="12.5" hidden="false" customHeight="false" outlineLevel="0" collapsed="false">
      <c r="A9" s="59" t="s">
        <v>123</v>
      </c>
      <c r="B9" s="59"/>
      <c r="C9" s="56" t="n">
        <f aca="false">(wheat!F110+(wheat!F110*0.34)+D9)/2</f>
        <v>8535</v>
      </c>
      <c r="D9" s="56" t="n">
        <f aca="false">(wheat!F110-(wheat!F110*0.34))/8</f>
        <v>990</v>
      </c>
      <c r="E9" s="56" t="n">
        <f aca="false">0.06*C9</f>
        <v>512.1</v>
      </c>
      <c r="F9" s="56" t="n">
        <f aca="false">0.005*C9</f>
        <v>42.675</v>
      </c>
      <c r="G9" s="56" t="n">
        <f aca="false">0.01*C9</f>
        <v>85.35</v>
      </c>
      <c r="H9" s="85" t="n">
        <f aca="false">SUM(D9:G9)</f>
        <v>1630.125</v>
      </c>
      <c r="I9" s="85" t="n">
        <f aca="false">wheat!G110</f>
        <v>2000</v>
      </c>
      <c r="J9" s="143" t="n">
        <f aca="false">H9/I9</f>
        <v>0.8150625</v>
      </c>
    </row>
    <row r="10" customFormat="false" ht="12.5" hidden="false" customHeight="false" outlineLevel="0" collapsed="false">
      <c r="A10" s="59" t="s">
        <v>124</v>
      </c>
      <c r="B10" s="59"/>
      <c r="C10" s="56" t="n">
        <f aca="false">(wheat!F111+(wheat!F111*0.36)+D10)/2</f>
        <v>50400</v>
      </c>
      <c r="D10" s="56" t="n">
        <f aca="false">(wheat!F111-(wheat!F111*0.36))/8</f>
        <v>5600</v>
      </c>
      <c r="E10" s="56" t="n">
        <f aca="false">0.06*C10</f>
        <v>3024</v>
      </c>
      <c r="F10" s="56" t="n">
        <f aca="false">0.005*C10</f>
        <v>252</v>
      </c>
      <c r="G10" s="56" t="n">
        <f aca="false">0.01*C10</f>
        <v>504</v>
      </c>
      <c r="H10" s="85" t="n">
        <f aca="false">SUM(D10:G10)</f>
        <v>9380</v>
      </c>
      <c r="I10" s="85" t="n">
        <f aca="false">wheat!G111</f>
        <v>2000</v>
      </c>
      <c r="J10" s="143" t="n">
        <f aca="false">H10/I10</f>
        <v>4.69</v>
      </c>
    </row>
    <row r="11" customFormat="false" ht="12.5" hidden="false" customHeight="false" outlineLevel="0" collapsed="false">
      <c r="A11" s="59" t="s">
        <v>126</v>
      </c>
      <c r="B11" s="59"/>
      <c r="C11" s="56" t="n">
        <f aca="false">(wheat!F112+(wheat!F112*0.36)+D11)/2</f>
        <v>36360</v>
      </c>
      <c r="D11" s="56" t="n">
        <f aca="false">(wheat!F112-(wheat!F112*0.36))/8</f>
        <v>4040</v>
      </c>
      <c r="E11" s="56" t="n">
        <f aca="false">0.06*C11</f>
        <v>2181.6</v>
      </c>
      <c r="F11" s="56" t="n">
        <f aca="false">0.005*C11</f>
        <v>181.8</v>
      </c>
      <c r="G11" s="56" t="n">
        <f aca="false">0.01*C11</f>
        <v>363.6</v>
      </c>
      <c r="H11" s="85" t="n">
        <f aca="false">SUM(D11:G11)</f>
        <v>6767</v>
      </c>
      <c r="I11" s="85" t="n">
        <f aca="false">wheat!G112</f>
        <v>2000</v>
      </c>
      <c r="J11" s="143" t="n">
        <f aca="false">H11/I11</f>
        <v>3.3835</v>
      </c>
    </row>
    <row r="12" customFormat="false" ht="12.5" hidden="false" customHeight="false" outlineLevel="0" collapsed="false">
      <c r="A12" s="59" t="s">
        <v>128</v>
      </c>
      <c r="B12" s="59"/>
      <c r="C12" s="56" t="n">
        <f aca="false">(wheat!F113+(wheat!F113*0.36)+D12)/2</f>
        <v>197280</v>
      </c>
      <c r="D12" s="56" t="n">
        <f aca="false">(wheat!F113-(wheat!F113*0.36))/8</f>
        <v>21920</v>
      </c>
      <c r="E12" s="56" t="n">
        <f aca="false">0.06*C12</f>
        <v>11836.8</v>
      </c>
      <c r="F12" s="56" t="n">
        <f aca="false">0.005*C12</f>
        <v>986.4</v>
      </c>
      <c r="G12" s="56" t="n">
        <f aca="false">0.01*C12</f>
        <v>1972.8</v>
      </c>
      <c r="H12" s="85" t="n">
        <f aca="false">SUM(D12:G12)</f>
        <v>36716</v>
      </c>
      <c r="I12" s="85" t="n">
        <f aca="false">wheat!G113</f>
        <v>2000</v>
      </c>
      <c r="J12" s="143" t="n">
        <f aca="false">H12/I12</f>
        <v>18.358</v>
      </c>
    </row>
    <row r="13" customFormat="false" ht="12.5" hidden="false" customHeight="false" outlineLevel="0" collapsed="false">
      <c r="A13" s="59" t="s">
        <v>169</v>
      </c>
      <c r="B13" s="59"/>
      <c r="C13" s="56" t="n">
        <f aca="false">(wheat!F114+(wheat!F114*0.41)+D13)/2</f>
        <v>197338.75</v>
      </c>
      <c r="D13" s="56" t="n">
        <f aca="false">(wheat!F114-(wheat!F114*0.41))/8</f>
        <v>19617.5</v>
      </c>
      <c r="E13" s="56" t="n">
        <f aca="false">0.06*C13</f>
        <v>11840.325</v>
      </c>
      <c r="F13" s="56" t="n">
        <f aca="false">0.005*C13</f>
        <v>986.69375</v>
      </c>
      <c r="G13" s="56" t="n">
        <f aca="false">0.01*C13</f>
        <v>1973.3875</v>
      </c>
      <c r="H13" s="85" t="n">
        <f aca="false">SUM(D13:G13)</f>
        <v>34417.90625</v>
      </c>
      <c r="I13" s="85" t="n">
        <f aca="false">wheat!G114</f>
        <v>2000</v>
      </c>
      <c r="J13" s="143" t="n">
        <f aca="false">H13/I13</f>
        <v>17.208953125</v>
      </c>
    </row>
    <row r="14" customFormat="false" ht="12.5" hidden="false" customHeight="false" outlineLevel="0" collapsed="false">
      <c r="A14" s="88" t="s">
        <v>129</v>
      </c>
      <c r="B14" s="88"/>
      <c r="C14" s="50" t="n">
        <f aca="false">(wheat!F115+(wheat!F115*0.36)+D14)/2</f>
        <v>21600</v>
      </c>
      <c r="D14" s="50" t="n">
        <f aca="false">(wheat!F115-(wheat!F115*0.36))/8</f>
        <v>2400</v>
      </c>
      <c r="E14" s="50" t="n">
        <f aca="false">0.06*C14</f>
        <v>1296</v>
      </c>
      <c r="F14" s="50" t="n">
        <f aca="false">0.005*C14</f>
        <v>108</v>
      </c>
      <c r="G14" s="50" t="n">
        <f aca="false">0.01*C14</f>
        <v>216</v>
      </c>
      <c r="H14" s="144" t="n">
        <f aca="false">SUM(D14:G14)</f>
        <v>4020</v>
      </c>
      <c r="I14" s="144" t="n">
        <f aca="false">wheat!G115</f>
        <v>2000</v>
      </c>
      <c r="J14" s="145" t="n">
        <f aca="false">H14/I14</f>
        <v>2.01</v>
      </c>
    </row>
    <row r="15" customFormat="false" ht="12.5" hidden="false" customHeight="false" outlineLevel="0" collapsed="false">
      <c r="D15" s="23" t="n">
        <f aca="false">SUM(D3:D14)</f>
        <v>133093.75</v>
      </c>
      <c r="E15" s="23" t="n">
        <f aca="false">SUM(E3:E14)</f>
        <v>70810.3125</v>
      </c>
      <c r="F15" s="23" t="n">
        <f aca="false">SUM(F3:F14)</f>
        <v>5900.859375</v>
      </c>
      <c r="G15" s="23" t="n">
        <f aca="false">SUM(G3:G14)</f>
        <v>11801.71875</v>
      </c>
      <c r="H15" s="23" t="n">
        <f aca="false">SUM(H3:H14)</f>
        <v>221606.640625</v>
      </c>
    </row>
    <row r="16" customFormat="false" ht="13" hidden="false" customHeight="false" outlineLevel="0" collapsed="false">
      <c r="D16" s="21" t="s">
        <v>170</v>
      </c>
    </row>
    <row r="17" customFormat="false" ht="12.5" hidden="false" customHeight="false" outlineLevel="0" collapsed="false">
      <c r="A17" s="146" t="s">
        <v>156</v>
      </c>
      <c r="B17" s="58"/>
      <c r="C17" s="58" t="s">
        <v>157</v>
      </c>
      <c r="D17" s="147" t="s">
        <v>158</v>
      </c>
      <c r="E17" s="148" t="s">
        <v>159</v>
      </c>
      <c r="F17" s="147" t="s">
        <v>160</v>
      </c>
      <c r="G17" s="147" t="s">
        <v>161</v>
      </c>
      <c r="H17" s="147" t="s">
        <v>162</v>
      </c>
      <c r="I17" s="147" t="s">
        <v>163</v>
      </c>
      <c r="J17" s="147" t="s">
        <v>164</v>
      </c>
    </row>
    <row r="18" customFormat="false" ht="15" hidden="false" customHeight="true" outlineLevel="0" collapsed="false">
      <c r="A18" s="149" t="s">
        <v>150</v>
      </c>
      <c r="B18" s="149"/>
      <c r="C18" s="140" t="n">
        <f aca="false">(wheat!F135+(wheat!F135*0.32)+D18)/2</f>
        <v>19318.75</v>
      </c>
      <c r="D18" s="140" t="n">
        <f aca="false">(wheat!F135-(wheat!F135*0.32))/8</f>
        <v>2337.5</v>
      </c>
      <c r="E18" s="140" t="n">
        <f aca="false">0.06*C18</f>
        <v>1159.125</v>
      </c>
      <c r="F18" s="140" t="n">
        <f aca="false">0.005*C18</f>
        <v>96.59375</v>
      </c>
      <c r="G18" s="140" t="n">
        <f aca="false">0.01*C18</f>
        <v>193.1875</v>
      </c>
      <c r="H18" s="150" t="n">
        <f aca="false">SUM(D18:G18)</f>
        <v>3786.40625</v>
      </c>
      <c r="I18" s="150" t="n">
        <f aca="false">wheat!G135</f>
        <v>400</v>
      </c>
      <c r="J18" s="142" t="n">
        <f aca="false">H18/I18</f>
        <v>9.466015625</v>
      </c>
    </row>
    <row r="19" customFormat="false" ht="12.5" hidden="false" customHeight="false" outlineLevel="0" collapsed="false">
      <c r="A19" s="151" t="s">
        <v>151</v>
      </c>
      <c r="B19" s="151"/>
      <c r="C19" s="56" t="n">
        <f aca="false">(wheat!F136+(wheat!F136*0.41)+D19)/2</f>
        <v>5935</v>
      </c>
      <c r="D19" s="56" t="n">
        <f aca="false">(wheat!F136-(wheat!F136*0.41))/8</f>
        <v>590</v>
      </c>
      <c r="E19" s="56" t="n">
        <f aca="false">0.06*C19</f>
        <v>356.1</v>
      </c>
      <c r="F19" s="56" t="n">
        <f aca="false">0.005*C19</f>
        <v>29.675</v>
      </c>
      <c r="G19" s="56" t="n">
        <f aca="false">0.01*C19</f>
        <v>59.35</v>
      </c>
      <c r="H19" s="152" t="n">
        <f aca="false">SUM(D19:G19)</f>
        <v>1035.125</v>
      </c>
      <c r="I19" s="152" t="n">
        <f aca="false">wheat!G136</f>
        <v>400</v>
      </c>
      <c r="J19" s="143" t="n">
        <f aca="false">H19/1500</f>
        <v>0.690083333333333</v>
      </c>
    </row>
    <row r="20" customFormat="false" ht="12.5" hidden="false" customHeight="false" outlineLevel="0" collapsed="false">
      <c r="A20" s="127" t="s">
        <v>152</v>
      </c>
      <c r="B20" s="127"/>
      <c r="C20" s="50" t="n">
        <f aca="false">(wheat!F137+(wheat!F137*0.32)+D20)/2</f>
        <v>4917.5</v>
      </c>
      <c r="D20" s="50" t="n">
        <f aca="false">(wheat!F137-(wheat!F137*0.32))/8</f>
        <v>595</v>
      </c>
      <c r="E20" s="50" t="n">
        <f aca="false">0.06*C20</f>
        <v>295.05</v>
      </c>
      <c r="F20" s="50" t="n">
        <f aca="false">0.005*C20</f>
        <v>24.5875</v>
      </c>
      <c r="G20" s="50" t="n">
        <f aca="false">0.01*C20</f>
        <v>49.175</v>
      </c>
      <c r="H20" s="153" t="n">
        <f aca="false">SUM(D20:G20)</f>
        <v>963.8125</v>
      </c>
      <c r="I20" s="153" t="n">
        <f aca="false">wheat!G137</f>
        <v>400</v>
      </c>
      <c r="J20" s="145" t="n">
        <f aca="false">H20/1500</f>
        <v>0.642541666666667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12" activeCellId="0" sqref="K12"/>
    </sheetView>
  </sheetViews>
  <sheetFormatPr defaultRowHeight="12.5"/>
  <cols>
    <col collapsed="false" hidden="false" max="3" min="1" style="0" width="8.50510204081633"/>
    <col collapsed="false" hidden="false" max="4" min="4" style="0" width="10.8010204081633"/>
    <col collapsed="false" hidden="false" max="5" min="5" style="0" width="8.50510204081633"/>
    <col collapsed="false" hidden="false" max="6" min="6" style="0" width="9.31632653061224"/>
    <col collapsed="false" hidden="false" max="7" min="7" style="0" width="13.7704081632653"/>
    <col collapsed="false" hidden="false" max="8" min="8" style="0" width="6.75"/>
    <col collapsed="false" hidden="false" max="9" min="9" style="0" width="13.0918367346939"/>
    <col collapsed="false" hidden="false" max="1025" min="10" style="0" width="8.50510204081633"/>
  </cols>
  <sheetData>
    <row r="1" customFormat="false" ht="12.5" hidden="false" customHeight="false" outlineLevel="0" collapsed="false">
      <c r="A1" s="154" t="s">
        <v>171</v>
      </c>
      <c r="B1" s="154"/>
      <c r="C1" s="154"/>
      <c r="D1" s="154"/>
      <c r="E1" s="154"/>
      <c r="F1" s="154"/>
      <c r="G1" s="154"/>
      <c r="H1" s="154"/>
      <c r="I1" s="154"/>
    </row>
    <row r="2" customFormat="false" ht="12" hidden="false" customHeight="true" outlineLevel="0" collapsed="false">
      <c r="A2" s="154"/>
      <c r="B2" s="154"/>
      <c r="C2" s="154"/>
      <c r="D2" s="154"/>
      <c r="E2" s="154"/>
      <c r="F2" s="154"/>
      <c r="G2" s="154"/>
      <c r="H2" s="154"/>
      <c r="I2" s="154"/>
    </row>
    <row r="3" customFormat="false" ht="20.5" hidden="false" customHeight="false" outlineLevel="0" collapsed="false">
      <c r="A3" s="155" t="s">
        <v>172</v>
      </c>
      <c r="B3" s="155"/>
      <c r="C3" s="155"/>
      <c r="D3" s="155" t="s">
        <v>173</v>
      </c>
      <c r="E3" s="155"/>
      <c r="F3" s="155"/>
      <c r="G3" s="156" t="s">
        <v>174</v>
      </c>
      <c r="H3" s="156"/>
      <c r="I3" s="156"/>
    </row>
    <row r="4" customFormat="false" ht="20" hidden="false" customHeight="false" outlineLevel="0" collapsed="false">
      <c r="A4" s="157" t="s">
        <v>175</v>
      </c>
      <c r="B4" s="158"/>
      <c r="C4" s="159"/>
      <c r="D4" s="159"/>
      <c r="E4" s="159"/>
      <c r="F4" s="159"/>
      <c r="G4" s="160" t="n">
        <f aca="false">wheat!L8</f>
        <v>72.5</v>
      </c>
      <c r="H4" s="161"/>
      <c r="I4" s="162" t="n">
        <f aca="false">wheat!M8</f>
        <v>87</v>
      </c>
    </row>
    <row r="5" customFormat="false" ht="20" hidden="false" customHeight="false" outlineLevel="0" collapsed="false">
      <c r="A5" s="163" t="s">
        <v>176</v>
      </c>
      <c r="B5" s="163"/>
      <c r="C5" s="164"/>
      <c r="D5" s="165" t="n">
        <f aca="false">wheat!I10</f>
        <v>5.65</v>
      </c>
      <c r="E5" s="164" t="s">
        <v>177</v>
      </c>
      <c r="F5" s="166"/>
      <c r="G5" s="167" t="n">
        <f aca="false">wheat!L10</f>
        <v>409.625</v>
      </c>
      <c r="H5" s="167"/>
      <c r="I5" s="168" t="n">
        <f aca="false">wheat!M10</f>
        <v>491.55</v>
      </c>
    </row>
    <row r="6" customFormat="false" ht="6.75" hidden="false" customHeight="true" outlineLevel="0" collapsed="false">
      <c r="A6" s="159"/>
      <c r="B6" s="159"/>
      <c r="C6" s="159"/>
      <c r="D6" s="159"/>
      <c r="E6" s="159"/>
      <c r="F6" s="169"/>
      <c r="G6" s="14"/>
      <c r="H6" s="14"/>
      <c r="I6" s="14"/>
    </row>
    <row r="7" customFormat="false" ht="20" hidden="false" customHeight="false" outlineLevel="0" collapsed="false">
      <c r="A7" s="170" t="s">
        <v>178</v>
      </c>
      <c r="B7" s="171"/>
      <c r="C7" s="172"/>
      <c r="D7" s="159"/>
      <c r="E7" s="159"/>
      <c r="G7" s="173"/>
      <c r="H7" s="173"/>
      <c r="I7" s="173"/>
    </row>
    <row r="8" customFormat="false" ht="20" hidden="false" customHeight="false" outlineLevel="0" collapsed="false">
      <c r="A8" s="174" t="s">
        <v>179</v>
      </c>
      <c r="B8" s="174"/>
      <c r="C8" s="174"/>
      <c r="D8" s="175" t="n">
        <f aca="false">wheat!I17</f>
        <v>0.031</v>
      </c>
      <c r="E8" s="166" t="s">
        <v>180</v>
      </c>
      <c r="F8" s="166"/>
      <c r="G8" s="167" t="n">
        <f aca="false">wheat!L17</f>
        <v>43.4</v>
      </c>
      <c r="H8" s="167"/>
      <c r="I8" s="168" t="n">
        <f aca="false">wheat!M17</f>
        <v>43.4</v>
      </c>
    </row>
    <row r="9" customFormat="false" ht="20" hidden="false" customHeight="false" outlineLevel="0" collapsed="false">
      <c r="A9" s="174" t="s">
        <v>181</v>
      </c>
      <c r="B9" s="174"/>
      <c r="C9" s="174"/>
      <c r="D9" s="176" t="n">
        <f aca="false">wheat!F88</f>
        <v>320</v>
      </c>
      <c r="E9" s="174"/>
      <c r="F9" s="174"/>
      <c r="G9" s="177" t="n">
        <f aca="false">wheat!L20</f>
        <v>24.1550480769231</v>
      </c>
      <c r="H9" s="177"/>
      <c r="I9" s="178" t="n">
        <f aca="false">wheat!M19</f>
        <v>59.8571428571429</v>
      </c>
    </row>
    <row r="10" customFormat="false" ht="24" hidden="false" customHeight="false" outlineLevel="0" collapsed="false">
      <c r="A10" s="174" t="s">
        <v>182</v>
      </c>
      <c r="B10" s="174"/>
      <c r="C10" s="174"/>
      <c r="D10" s="176" t="n">
        <f aca="false">wheat!I88</f>
        <v>550</v>
      </c>
      <c r="E10" s="174" t="s">
        <v>31</v>
      </c>
      <c r="F10" s="174"/>
      <c r="G10" s="177" t="n">
        <f aca="false">wheat!L20</f>
        <v>24.1550480769231</v>
      </c>
      <c r="H10" s="177"/>
      <c r="I10" s="178" t="n">
        <f aca="false">wheat!M20</f>
        <v>28.9860576923077</v>
      </c>
    </row>
    <row r="11" customFormat="false" ht="24" hidden="false" customHeight="false" outlineLevel="0" collapsed="false">
      <c r="A11" s="174" t="s">
        <v>183</v>
      </c>
      <c r="B11" s="174"/>
      <c r="C11" s="174"/>
      <c r="D11" s="179" t="n">
        <f aca="false">wheat!M88</f>
        <v>405</v>
      </c>
      <c r="E11" s="174" t="s">
        <v>31</v>
      </c>
      <c r="F11" s="174"/>
      <c r="G11" s="177" t="n">
        <f aca="false">wheat!L21</f>
        <v>15.8034375</v>
      </c>
      <c r="H11" s="177"/>
      <c r="I11" s="178" t="n">
        <f aca="false">wheat!M21</f>
        <v>17.614125</v>
      </c>
    </row>
    <row r="12" customFormat="false" ht="20" hidden="false" customHeight="false" outlineLevel="0" collapsed="false">
      <c r="A12" s="174" t="s">
        <v>184</v>
      </c>
      <c r="B12" s="174"/>
      <c r="C12" s="174"/>
      <c r="D12" s="174"/>
      <c r="E12" s="174"/>
      <c r="F12" s="174"/>
      <c r="G12" s="177" t="n">
        <f aca="false">wheat!L23</f>
        <v>13</v>
      </c>
      <c r="H12" s="177"/>
      <c r="I12" s="178" t="n">
        <f aca="false">wheat!M23</f>
        <v>13</v>
      </c>
    </row>
    <row r="13" customFormat="false" ht="20" hidden="false" customHeight="false" outlineLevel="0" collapsed="false">
      <c r="A13" s="163" t="s">
        <v>185</v>
      </c>
      <c r="B13" s="163"/>
      <c r="C13" s="163"/>
      <c r="D13" s="180" t="n">
        <f aca="false">wheat!M119</f>
        <v>3.25</v>
      </c>
      <c r="E13" s="163" t="s">
        <v>186</v>
      </c>
      <c r="F13" s="163"/>
      <c r="G13" s="181" t="n">
        <f aca="false">wheat!$L$27</f>
        <v>14.6301617647059</v>
      </c>
      <c r="H13" s="181"/>
      <c r="I13" s="182" t="n">
        <f aca="false">wheat!$M$27</f>
        <v>14.6301617647059</v>
      </c>
    </row>
    <row r="14" customFormat="false" ht="21" hidden="false" customHeight="true" outlineLevel="0" collapsed="false">
      <c r="A14" s="159"/>
      <c r="B14" s="159"/>
      <c r="C14" s="183" t="s">
        <v>187</v>
      </c>
      <c r="D14" s="159"/>
      <c r="E14" s="159"/>
      <c r="G14" s="167" t="n">
        <f aca="false">wheat!L35</f>
        <v>2.89632679704819</v>
      </c>
      <c r="I14" s="167" t="n">
        <f aca="false">wheat!M35</f>
        <v>2.666913335147</v>
      </c>
    </row>
    <row r="15" customFormat="false" ht="20" hidden="false" customHeight="false" outlineLevel="0" collapsed="false">
      <c r="A15" s="170" t="s">
        <v>188</v>
      </c>
      <c r="B15" s="172"/>
      <c r="C15" s="159"/>
      <c r="D15" s="159"/>
      <c r="E15" s="159"/>
      <c r="F15" s="159"/>
      <c r="G15" s="184"/>
      <c r="H15" s="184"/>
      <c r="I15" s="184"/>
    </row>
    <row r="16" customFormat="false" ht="20" hidden="false" customHeight="false" outlineLevel="0" collapsed="false">
      <c r="A16" s="185" t="s">
        <v>189</v>
      </c>
      <c r="B16" s="185"/>
      <c r="C16" s="186"/>
      <c r="D16" s="186"/>
      <c r="E16" s="186"/>
      <c r="F16" s="186"/>
      <c r="G16" s="167" t="n">
        <f aca="false">wheat!L38+wheat!L37</f>
        <v>42.98125</v>
      </c>
      <c r="H16" s="167"/>
      <c r="I16" s="168" t="n">
        <f aca="false">wheat!M38+wheat!M37</f>
        <v>47.0775</v>
      </c>
    </row>
    <row r="17" customFormat="false" ht="20" hidden="false" customHeight="false" outlineLevel="0" collapsed="false">
      <c r="A17" s="185" t="s">
        <v>109</v>
      </c>
      <c r="B17" s="185"/>
      <c r="C17" s="185"/>
      <c r="D17" s="185"/>
      <c r="E17" s="185"/>
      <c r="F17" s="185"/>
      <c r="G17" s="177" t="n">
        <f aca="false">wheat!L39</f>
        <v>125.860111979167</v>
      </c>
      <c r="H17" s="177"/>
      <c r="I17" s="178" t="n">
        <f aca="false">wheat!M39</f>
        <v>125.860111979167</v>
      </c>
    </row>
    <row r="18" customFormat="false" ht="20" hidden="false" customHeight="false" outlineLevel="0" collapsed="false">
      <c r="A18" s="163" t="s">
        <v>190</v>
      </c>
      <c r="B18" s="163"/>
      <c r="C18" s="163"/>
      <c r="D18" s="163"/>
      <c r="E18" s="163"/>
      <c r="F18" s="174"/>
      <c r="G18" s="177" t="n">
        <f aca="false">wheat!L40</f>
        <v>195</v>
      </c>
      <c r="H18" s="177"/>
      <c r="I18" s="178" t="n">
        <f aca="false">wheat!M40</f>
        <v>250</v>
      </c>
    </row>
    <row r="19" customFormat="false" ht="19.5" hidden="false" customHeight="true" outlineLevel="0" collapsed="false">
      <c r="A19" s="159"/>
      <c r="B19" s="159"/>
      <c r="C19" s="183" t="s">
        <v>187</v>
      </c>
      <c r="D19" s="159"/>
      <c r="E19" s="159"/>
      <c r="F19" s="169"/>
      <c r="G19" s="167" t="n">
        <f aca="false">wheat!L45</f>
        <v>8.96034949670097</v>
      </c>
      <c r="H19" s="187"/>
      <c r="I19" s="167" t="n">
        <f aca="false">wheat!M45</f>
        <v>8.30608149486922</v>
      </c>
    </row>
    <row r="20" customFormat="false" ht="20" hidden="false" customHeight="false" outlineLevel="0" collapsed="false">
      <c r="A20" s="170" t="s">
        <v>191</v>
      </c>
      <c r="B20" s="172"/>
      <c r="C20" s="159"/>
      <c r="D20" s="159"/>
      <c r="E20" s="159"/>
      <c r="F20" s="159"/>
      <c r="G20" s="184"/>
      <c r="H20" s="184"/>
      <c r="I20" s="184"/>
    </row>
    <row r="21" customFormat="false" ht="20" hidden="false" customHeight="false" outlineLevel="0" collapsed="false">
      <c r="A21" s="166" t="s">
        <v>192</v>
      </c>
      <c r="B21" s="166"/>
      <c r="C21" s="166"/>
      <c r="D21" s="166"/>
      <c r="E21" s="166"/>
      <c r="F21" s="166"/>
      <c r="G21" s="167" t="n">
        <f aca="false">wheat!L49</f>
        <v>-164.20005476516</v>
      </c>
      <c r="H21" s="167"/>
      <c r="I21" s="168" t="n">
        <f aca="false">wheat!M49</f>
        <v>-163.409072136955</v>
      </c>
    </row>
    <row r="22" customFormat="false" ht="20" hidden="false" customHeight="false" outlineLevel="0" collapsed="false">
      <c r="A22" s="163" t="s">
        <v>193</v>
      </c>
      <c r="B22" s="163"/>
      <c r="C22" s="163"/>
      <c r="D22" s="163"/>
      <c r="E22" s="163"/>
      <c r="F22" s="163"/>
      <c r="G22" s="181" t="n">
        <f aca="false">wheat!L47</f>
        <v>30.7999452348396</v>
      </c>
      <c r="H22" s="181"/>
      <c r="I22" s="182" t="n">
        <f aca="false">wheat!M47</f>
        <v>86.5909278630447</v>
      </c>
    </row>
    <row r="23" customFormat="false" ht="19.5" hidden="false" customHeight="true" outlineLevel="0" collapsed="false"/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2002-12-27T16:09:39Z</dcterms:created>
  <dc:creator>Robert Moore</dc:creator>
  <dc:description/>
  <dc:language>en-US</dc:language>
  <cp:lastModifiedBy>Julie Moose</cp:lastModifiedBy>
  <cp:lastPrinted>2014-05-02T14:50:31Z</cp:lastPrinted>
  <dcterms:modified xsi:type="dcterms:W3CDTF">2016-12-01T16:36:41Z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