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heat" sheetId="1" state="visible" r:id="rId2"/>
    <sheet name="machinery costs" sheetId="2" state="visible" r:id="rId3"/>
    <sheet name="Quick Stats" sheetId="3" state="visible" r:id="rId4"/>
  </sheets>
  <definedNames>
    <definedName function="false" hidden="false" localSheetId="0" name="_xlnm.Print_Area" vbProcedure="false">wheat!$A$1:$N$142</definedName>
    <definedName function="false" hidden="false" localSheetId="0" name="_xlnm.Print_Area" vbProcedure="false">wheat!$A$1:$N$142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<sst xmlns="http://schemas.openxmlformats.org/spreadsheetml/2006/main" count="256" uniqueCount="194">
  <si>
    <t xml:space="preserve">WHEAT PRODUCTION BUDGET Conservation Till- 2016</t>
  </si>
  <si>
    <t xml:space="preserve">Grain and Straw Harvested</t>
  </si>
  <si>
    <t xml:space="preserve">Reflects 2000 acres, Conservation Tillage Wheat/Corn/No-Till RR Soybeans</t>
  </si>
  <si>
    <t xml:space="preserve">Updated:</t>
  </si>
  <si>
    <t xml:space="preserve">ITEM</t>
  </si>
  <si>
    <t xml:space="preserve">EXPLANATION</t>
  </si>
  <si>
    <t xml:space="preserve">YOUR</t>
  </si>
  <si>
    <t xml:space="preserve">PRICE PER</t>
  </si>
  <si>
    <t xml:space="preserve">YIELD (bu/A)</t>
  </si>
  <si>
    <t xml:space="preserve">YOUR </t>
  </si>
  <si>
    <t xml:space="preserve">PROD.</t>
  </si>
  <si>
    <t xml:space="preserve">UNIT</t>
  </si>
  <si>
    <t xml:space="preserve">BUDGET</t>
  </si>
  <si>
    <t xml:space="preserve">NUMBERS</t>
  </si>
  <si>
    <t xml:space="preserve">RECEIPTS</t>
  </si>
  <si>
    <r>
      <rPr>
        <sz val="10"/>
        <rFont val="Arial"/>
        <family val="2"/>
        <charset val="1"/>
      </rPr>
      <t xml:space="preserve">Wheat (Grain Only) </t>
    </r>
    <r>
      <rPr>
        <vertAlign val="superscript"/>
        <sz val="10"/>
        <rFont val="Arial"/>
        <family val="2"/>
        <charset val="1"/>
      </rPr>
      <t xml:space="preserve">1</t>
    </r>
  </si>
  <si>
    <t xml:space="preserve">/bu</t>
  </si>
  <si>
    <r>
      <rPr>
        <sz val="10"/>
        <rFont val="Arial"/>
        <family val="2"/>
        <charset val="1"/>
      </rPr>
      <t xml:space="preserve">ARC/PLC Payment</t>
    </r>
    <r>
      <rPr>
        <vertAlign val="superscript"/>
        <sz val="10"/>
        <rFont val="Arial"/>
        <family val="2"/>
        <charset val="1"/>
      </rPr>
      <t xml:space="preserve">2</t>
    </r>
  </si>
  <si>
    <t xml:space="preserve">Crop Insurance Indemnity</t>
  </si>
  <si>
    <t xml:space="preserve">Grower or Market Premium</t>
  </si>
  <si>
    <t xml:space="preserve">Total Wheat Receipts</t>
  </si>
  <si>
    <t xml:space="preserve">VARIABLE  COSTS</t>
  </si>
  <si>
    <t xml:space="preserve">Seed</t>
  </si>
  <si>
    <t xml:space="preserve">seeds</t>
  </si>
  <si>
    <t xml:space="preserve">/1000</t>
  </si>
  <si>
    <r>
      <rPr>
        <sz val="10"/>
        <rFont val="Arial"/>
        <family val="2"/>
        <charset val="1"/>
      </rPr>
      <t xml:space="preserve">Fertilizer</t>
    </r>
    <r>
      <rPr>
        <vertAlign val="superscript"/>
        <sz val="10"/>
        <rFont val="Arial"/>
        <family val="2"/>
        <charset val="1"/>
      </rPr>
      <t xml:space="preserve"> 3</t>
    </r>
  </si>
  <si>
    <t xml:space="preserve">N (lbs.)</t>
  </si>
  <si>
    <t xml:space="preserve">/lb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</si>
  <si>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O</t>
    </r>
    <r>
      <rPr>
        <vertAlign val="subscript"/>
        <sz val="10"/>
        <rFont val="Arial"/>
        <family val="2"/>
        <charset val="1"/>
      </rPr>
      <t xml:space="preserve">5</t>
    </r>
    <r>
      <rPr>
        <sz val="10"/>
        <rFont val="Arial"/>
        <family val="2"/>
        <charset val="1"/>
      </rPr>
      <t xml:space="preserve">(lbs)</t>
    </r>
  </si>
  <si>
    <r>
      <rPr>
        <sz val="10"/>
        <rFont val="Arial"/>
        <family val="2"/>
        <charset val="1"/>
      </rPr>
      <t xml:space="preserve">K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O(lbs)</t>
    </r>
  </si>
  <si>
    <t xml:space="preserve">Lime(ton)</t>
  </si>
  <si>
    <t xml:space="preserve">/ton</t>
  </si>
  <si>
    <r>
      <rPr>
        <sz val="10"/>
        <rFont val="Arial"/>
        <family val="2"/>
        <charset val="1"/>
      </rPr>
      <t xml:space="preserve">Chemicals </t>
    </r>
    <r>
      <rPr>
        <vertAlign val="superscript"/>
        <sz val="10"/>
        <rFont val="Arial"/>
        <family val="2"/>
        <charset val="1"/>
      </rPr>
      <t xml:space="preserve">4</t>
    </r>
  </si>
  <si>
    <t xml:space="preserve">Herbicide</t>
  </si>
  <si>
    <t xml:space="preserve">Insecticide</t>
  </si>
  <si>
    <t xml:space="preserve">Fungicide</t>
  </si>
  <si>
    <t xml:space="preserve">Trucking - Fuel Only</t>
  </si>
  <si>
    <t xml:space="preserve">/gal Diesel</t>
  </si>
  <si>
    <t xml:space="preserve">miles</t>
  </si>
  <si>
    <r>
      <rPr>
        <sz val="10"/>
        <rFont val="Arial"/>
        <family val="2"/>
        <charset val="1"/>
      </rPr>
      <t xml:space="preserve">Fuel, Oil, Grease </t>
    </r>
    <r>
      <rPr>
        <vertAlign val="superscript"/>
        <sz val="10"/>
        <rFont val="Arial"/>
        <family val="2"/>
        <charset val="1"/>
      </rPr>
      <t xml:space="preserve">5</t>
    </r>
  </si>
  <si>
    <r>
      <rPr>
        <sz val="10"/>
        <rFont val="Arial"/>
        <family val="2"/>
        <charset val="1"/>
      </rPr>
      <t xml:space="preserve">Repairs </t>
    </r>
    <r>
      <rPr>
        <vertAlign val="superscript"/>
        <sz val="10"/>
        <rFont val="Arial"/>
        <family val="2"/>
        <charset val="1"/>
      </rPr>
      <t xml:space="preserve">6</t>
    </r>
  </si>
  <si>
    <t xml:space="preserve">Crop Insurance</t>
  </si>
  <si>
    <r>
      <rPr>
        <sz val="10"/>
        <rFont val="Arial"/>
        <family val="2"/>
        <charset val="1"/>
      </rPr>
      <t xml:space="preserve">Miscellaneous </t>
    </r>
    <r>
      <rPr>
        <vertAlign val="superscript"/>
        <sz val="10"/>
        <rFont val="Arial"/>
        <family val="2"/>
        <charset val="1"/>
      </rPr>
      <t xml:space="preserve">7</t>
    </r>
  </si>
  <si>
    <r>
      <rPr>
        <sz val="10"/>
        <rFont val="Arial"/>
        <family val="2"/>
        <charset val="1"/>
      </rPr>
      <t xml:space="preserve">Int. on Oper. Cap.</t>
    </r>
    <r>
      <rPr>
        <vertAlign val="superscript"/>
        <sz val="10"/>
        <rFont val="Arial"/>
        <family val="2"/>
        <charset val="1"/>
      </rPr>
      <t xml:space="preserve"> 8</t>
    </r>
  </si>
  <si>
    <t xml:space="preserve">mo.</t>
  </si>
  <si>
    <r>
      <rPr>
        <sz val="10"/>
        <rFont val="Arial"/>
        <family val="2"/>
        <charset val="1"/>
      </rPr>
      <t xml:space="preserve">Hired Labor </t>
    </r>
    <r>
      <rPr>
        <vertAlign val="superscript"/>
        <sz val="10"/>
        <rFont val="Arial"/>
        <family val="2"/>
        <charset val="1"/>
      </rPr>
      <t xml:space="preserve">9</t>
    </r>
  </si>
  <si>
    <t xml:space="preserve">TOTAL VARIABLE COSTS</t>
  </si>
  <si>
    <t xml:space="preserve">-Per Acre</t>
  </si>
  <si>
    <t xml:space="preserve">-Per Bushel</t>
  </si>
  <si>
    <t xml:space="preserve">FIXED COSTS</t>
  </si>
  <si>
    <r>
      <rPr>
        <sz val="10"/>
        <rFont val="Arial"/>
        <family val="2"/>
        <charset val="1"/>
      </rPr>
      <t xml:space="preserve">Labor Charge </t>
    </r>
    <r>
      <rPr>
        <vertAlign val="superscript"/>
        <sz val="10"/>
        <rFont val="Arial"/>
        <family val="2"/>
        <charset val="1"/>
      </rPr>
      <t xml:space="preserve">9</t>
    </r>
  </si>
  <si>
    <t xml:space="preserve">hours</t>
  </si>
  <si>
    <t xml:space="preserve">/hr</t>
  </si>
  <si>
    <r>
      <rPr>
        <sz val="10"/>
        <rFont val="Arial"/>
        <family val="2"/>
        <charset val="1"/>
      </rPr>
      <t xml:space="preserve">Management Charge</t>
    </r>
    <r>
      <rPr>
        <vertAlign val="superscript"/>
        <sz val="10"/>
        <rFont val="Arial"/>
        <family val="2"/>
        <charset val="1"/>
      </rPr>
      <t xml:space="preserve">10</t>
    </r>
  </si>
  <si>
    <t xml:space="preserve">of gross revenue</t>
  </si>
  <si>
    <r>
      <rPr>
        <sz val="10"/>
        <rFont val="Arial"/>
        <family val="2"/>
        <charset val="1"/>
      </rPr>
      <t xml:space="preserve">Mach. And Equip. Charge</t>
    </r>
    <r>
      <rPr>
        <vertAlign val="superscript"/>
        <sz val="10"/>
        <rFont val="Arial"/>
        <family val="2"/>
        <charset val="1"/>
      </rPr>
      <t xml:space="preserve"> 11</t>
    </r>
  </si>
  <si>
    <r>
      <rPr>
        <sz val="10"/>
        <rFont val="Arial"/>
        <family val="2"/>
        <charset val="1"/>
      </rPr>
      <t xml:space="preserve">Land Charge </t>
    </r>
    <r>
      <rPr>
        <vertAlign val="superscript"/>
        <sz val="10"/>
        <rFont val="Arial"/>
        <family val="2"/>
        <charset val="1"/>
      </rPr>
      <t xml:space="preserve">12</t>
    </r>
  </si>
  <si>
    <t xml:space="preserve">TOTAL FIXED COSTS</t>
  </si>
  <si>
    <t xml:space="preserve">TOTAL COSTS  (Grain Only)</t>
  </si>
  <si>
    <r>
      <rPr>
        <b val="true"/>
        <sz val="10"/>
        <rFont val="Arial"/>
        <family val="2"/>
        <charset val="1"/>
      </rPr>
      <t xml:space="preserve">RETURN ABOVE VARIABLE COSTS</t>
    </r>
    <r>
      <rPr>
        <b val="true"/>
        <vertAlign val="superscript"/>
        <sz val="10"/>
        <rFont val="Arial"/>
        <family val="2"/>
        <charset val="1"/>
      </rPr>
      <t xml:space="preserve">13</t>
    </r>
  </si>
  <si>
    <t xml:space="preserve">RETURN ABOVE VARIABLE AND LAND COSTS</t>
  </si>
  <si>
    <t xml:space="preserve">RETURN ABOVE TOTAL COSTS</t>
  </si>
  <si>
    <t xml:space="preserve">RETURN TO LAND</t>
  </si>
  <si>
    <t xml:space="preserve">RETURN TO LABOR AND MANAGEMENT</t>
  </si>
  <si>
    <t xml:space="preserve">RETURN TO LAND, LABOR AND MANAGEMENT</t>
  </si>
  <si>
    <t xml:space="preserve">RECEIPTS (Straw Only)</t>
  </si>
  <si>
    <t xml:space="preserve">VARIABLE COSTS (Straw Only)</t>
  </si>
  <si>
    <t xml:space="preserve">Miscellaneous</t>
  </si>
  <si>
    <t xml:space="preserve">TOTAL VARIABLE COSTS- Per Acre</t>
  </si>
  <si>
    <t xml:space="preserve">FIXED COSTS (Straw Only)</t>
  </si>
  <si>
    <t xml:space="preserve">/hour</t>
  </si>
  <si>
    <r>
      <rPr>
        <sz val="10"/>
        <rFont val="Arial"/>
        <family val="2"/>
        <charset val="1"/>
      </rPr>
      <t xml:space="preserve">Mach. &amp; Equip. Charge </t>
    </r>
    <r>
      <rPr>
        <vertAlign val="superscript"/>
        <sz val="10"/>
        <rFont val="Arial"/>
        <family val="2"/>
        <charset val="1"/>
      </rPr>
      <t xml:space="preserve">11</t>
    </r>
  </si>
  <si>
    <t xml:space="preserve">TOTAL COSTS (Straw Only)- Per Acre </t>
  </si>
  <si>
    <r>
      <rPr>
        <b val="true"/>
        <sz val="10"/>
        <rFont val="Arial"/>
        <family val="2"/>
        <charset val="1"/>
      </rPr>
      <t xml:space="preserve">RETURN TO LABOR AND MANAGEMENT (Straw Only)</t>
    </r>
    <r>
      <rPr>
        <b val="true"/>
        <vertAlign val="superscript"/>
        <sz val="10"/>
        <rFont val="Arial"/>
        <family val="2"/>
        <charset val="1"/>
      </rPr>
      <t xml:space="preserve">13</t>
    </r>
  </si>
  <si>
    <t xml:space="preserve">RETURN ABOVE VARIABLE COSTS (Straw Only)</t>
  </si>
  <si>
    <t xml:space="preserve">RETURN ABOVE TOTAL COSTS (Straw Only)</t>
  </si>
  <si>
    <t xml:space="preserve">Values highlighted in gold may be changed to assist in computing "Your Budget" Column using macros embeded within  </t>
  </si>
  <si>
    <t xml:space="preserve">the spreadsheet.</t>
  </si>
  <si>
    <t xml:space="preserve">Values highlighted in light blue are cells embedded with macros and will be calculted for the user based on data entered.</t>
  </si>
  <si>
    <t xml:space="preserve">These cells may be input manually, but macros will be overwritten!</t>
  </si>
  <si>
    <t xml:space="preserve">Values highlighted in gray are stand alone cells that require direct input from the user.</t>
  </si>
  <si>
    <t xml:space="preserve">Price is based on current Ohio September Forward contract price less 0.40 basis</t>
  </si>
  <si>
    <t xml:space="preserve">Assumes a ARC-CO Program Choice, 40/40/20 Corn/Soybean/Wheat Program Acres, payment on 85% of program acres.</t>
  </si>
  <si>
    <t xml:space="preserve">Assumes only maintenance application of fertilizer needed, soil test values of 25 PPM P/A and 125 PPM K/A, </t>
  </si>
  <si>
    <t xml:space="preserve">and 20 CEC. Fertilizer prices vary over time and by area.  </t>
  </si>
  <si>
    <t xml:space="preserve">Fertilizer amounts and costs listed are amounts in addition to fertilizer amounts listed for wheat.</t>
  </si>
  <si>
    <t xml:space="preserve">Assumes UAN(28-0-0):</t>
  </si>
  <si>
    <t xml:space="preserve">/ton     MAP(11-52-0):</t>
  </si>
  <si>
    <t xml:space="preserve">/ton     Potash(0-0-60):</t>
  </si>
  <si>
    <t xml:space="preserve">Based on use of Spring application of 0.75 oz of Harmony and 1/2 pint of 2,4-D (4 lb/gal)</t>
  </si>
  <si>
    <t xml:space="preserve">See tables below for specific calculations. Lubrication costs are assumed to be 10% of fuel costs.</t>
  </si>
  <si>
    <t xml:space="preserve">See tables below for specific calculations.</t>
  </si>
  <si>
    <t xml:space="preserve">Includes supplies, utilities, soil tests, small tools, etc… </t>
  </si>
  <si>
    <t xml:space="preserve">Interest on all variable costs, except trucking.</t>
  </si>
  <si>
    <t xml:space="preserve">Part or all of labor may be a variable cost if paid labor varies with acres farmed. </t>
  </si>
  <si>
    <t xml:space="preserve">It's a fixed cost if labor costs do not change with acres farmed. </t>
  </si>
  <si>
    <t xml:space="preserve">Management Charge is calculated as 5% of total receipts.</t>
  </si>
  <si>
    <t xml:space="preserve">Reflects 2000 acres, conservation tillage. Wheat grown 1 out of 5 years. See tables below for specific calculations.</t>
  </si>
  <si>
    <t xml:space="preserve">Average based on "Ohio Cropland Values and Cash Rents" Factsheet</t>
  </si>
  <si>
    <t xml:space="preserve">Land charges vary throughout the state, check your local rates.</t>
  </si>
  <si>
    <t xml:space="preserve">Return Above Variable Costs equals total receipts minus total variable costs.</t>
  </si>
  <si>
    <t xml:space="preserve">Return Above Variable and Land Costs equals total receipts minus total variable and land costs.</t>
  </si>
  <si>
    <t xml:space="preserve">Return Above Total Costs equals total receipts minus total costs.</t>
  </si>
  <si>
    <t xml:space="preserve">Return to Land equals total receipts minus total costs except land costs.</t>
  </si>
  <si>
    <t xml:space="preserve">Return to Labor and Management equals total receipts minus total expenses except operator labor and management cost.</t>
  </si>
  <si>
    <t xml:space="preserve">Return to Land, Labor and Management equals total receipts minus total expenses </t>
  </si>
  <si>
    <t xml:space="preserve">except operator labor and management and land costs.</t>
  </si>
  <si>
    <t xml:space="preserve">Machinery Inventory - Wheat Only</t>
  </si>
  <si>
    <t xml:space="preserve">Number times used</t>
  </si>
  <si>
    <t xml:space="preserve">Machinery Cost</t>
  </si>
  <si>
    <t xml:space="preserve">Acres per Year</t>
  </si>
  <si>
    <t xml:space="preserve">Cost per Acre</t>
  </si>
  <si>
    <t xml:space="preserve">Acres/ Hr</t>
  </si>
  <si>
    <t xml:space="preserve">Fuel*        (gal/A)</t>
  </si>
  <si>
    <t xml:space="preserve">Hours/ Year</t>
  </si>
  <si>
    <t xml:space="preserve">Repairs ($/A)</t>
  </si>
  <si>
    <t xml:space="preserve">37 ft. Chisel Plow</t>
  </si>
  <si>
    <t xml:space="preserve">60 ft. Field Cultivator</t>
  </si>
  <si>
    <t xml:space="preserve">Boom Sprayer, Self. Prop.</t>
  </si>
  <si>
    <t xml:space="preserve">Air Seeder Drill w/Cart '40</t>
  </si>
  <si>
    <t xml:space="preserve">Combine 440 HP</t>
  </si>
  <si>
    <t xml:space="preserve">-----</t>
  </si>
  <si>
    <t xml:space="preserve">30' Draper Head</t>
  </si>
  <si>
    <t xml:space="preserve">Fertilizer Spreader</t>
  </si>
  <si>
    <t xml:space="preserve">2 Semi Tractor/Trailers**</t>
  </si>
  <si>
    <t xml:space="preserve">***</t>
  </si>
  <si>
    <t xml:space="preserve">Grain Cart</t>
  </si>
  <si>
    <t xml:space="preserve">360 HP Tractor</t>
  </si>
  <si>
    <t xml:space="preserve">310 HP Tractor</t>
  </si>
  <si>
    <t xml:space="preserve">Pickup Truck (1/2)**</t>
  </si>
  <si>
    <t xml:space="preserve">Fuel</t>
  </si>
  <si>
    <t xml:space="preserve">Machinery and Equipment Charge per Acre</t>
  </si>
  <si>
    <t xml:space="preserve">F&amp;L</t>
  </si>
  <si>
    <t xml:space="preserve">Repairs</t>
  </si>
  <si>
    <t xml:space="preserve">Price of Diesel Fuel =</t>
  </si>
  <si>
    <t xml:space="preserve">Machinery cost estimates, fuel estimates and cost calculations based on information from the "Farm Machinery Cost Estimates"</t>
  </si>
  <si>
    <t xml:space="preserve">See the reference online at:</t>
  </si>
  <si>
    <t xml:space="preserve">http://faculty.apec.umn.edu/wlazarus/documents/machdata.pdf</t>
  </si>
  <si>
    <t xml:space="preserve">Machinery and Equipment charge = </t>
  </si>
  <si>
    <t xml:space="preserve">Cost per Acre = Machinery Cost (New Cost) Assumes 8 Year Useful Life using Straight Line Depreciation,</t>
  </si>
  <si>
    <t xml:space="preserve"> 6.0% Interest on Average Value, 0.5% Insurance Cost on Average Value and 1.0% Housing Cost on Average Value.</t>
  </si>
  <si>
    <t xml:space="preserve">Salvage Values are based on ASAE formulas.</t>
  </si>
  <si>
    <t xml:space="preserve">Machines are all assumed to be new and in the first year of use (except for Semi Tractor-Trailer and Pickup-Truck). </t>
  </si>
  <si>
    <t xml:space="preserve">The "machinery cost" tab (next tab at the bottom of this worksheet) shows details of "Machinery and Equipment Charge per Acre".</t>
  </si>
  <si>
    <t xml:space="preserve">*Fuel calculations are based on the implement plus tractor.</t>
  </si>
  <si>
    <t xml:space="preserve">**Semi Tractor Trailer and Pickup Truck are assumed to be used equipment.</t>
  </si>
  <si>
    <t xml:space="preserve">***Fuel for Semi is included in Budget as Trucking - Fuel Only</t>
  </si>
  <si>
    <t xml:space="preserve">Machinery Inventory - Straw Only</t>
  </si>
  <si>
    <t xml:space="preserve">Cost </t>
  </si>
  <si>
    <t xml:space="preserve">Hours/Year</t>
  </si>
  <si>
    <t xml:space="preserve">Hay Baler PTO Twine 12 ft.</t>
  </si>
  <si>
    <t xml:space="preserve">Hay Wagon - 2</t>
  </si>
  <si>
    <t xml:space="preserve">Hay Rake (Hyd) 9 ft.</t>
  </si>
  <si>
    <t xml:space="preserve">Prepared by: Barry Ward, Leader, Production Business Management; Laura Lindsey, Extension Soybean and Small Grain Specialist, </t>
  </si>
  <si>
    <t xml:space="preserve">Mark Loux, Extension Specialist - Weed Management in Field Crops</t>
  </si>
  <si>
    <t xml:space="preserve">Machinery Inventory Explanations - Wheat Only</t>
  </si>
  <si>
    <t xml:space="preserve">Machinery</t>
  </si>
  <si>
    <t xml:space="preserve">Average Value</t>
  </si>
  <si>
    <t xml:space="preserve">Depreciation</t>
  </si>
  <si>
    <t xml:space="preserve">Cost Cap.</t>
  </si>
  <si>
    <t xml:space="preserve">Insurance</t>
  </si>
  <si>
    <t xml:space="preserve">Housing</t>
  </si>
  <si>
    <t xml:space="preserve">Total</t>
  </si>
  <si>
    <t xml:space="preserve">Acres / Year</t>
  </si>
  <si>
    <t xml:space="preserve">Cost/acre</t>
  </si>
  <si>
    <t xml:space="preserve">47 ft. Field Cultivator</t>
  </si>
  <si>
    <t xml:space="preserve">30 Ft. No-Till Drill</t>
  </si>
  <si>
    <t xml:space="preserve">Combine 340 HP</t>
  </si>
  <si>
    <t xml:space="preserve">30' Grain Head</t>
  </si>
  <si>
    <t xml:space="preserve">260 HP Tractor</t>
  </si>
  <si>
    <t xml:space="preserve">Machinery Inventory Explanations - Hay Only</t>
  </si>
  <si>
    <t xml:space="preserve">WHEAT SELECTED BUDGET STATS - 2016</t>
  </si>
  <si>
    <t xml:space="preserve">Item</t>
  </si>
  <si>
    <t xml:space="preserve">Input</t>
  </si>
  <si>
    <t xml:space="preserve">Yield in bushels/acre</t>
  </si>
  <si>
    <t xml:space="preserve">Receipts</t>
  </si>
  <si>
    <t xml:space="preserve">Wheat Price</t>
  </si>
  <si>
    <t xml:space="preserve">/bushel</t>
  </si>
  <si>
    <t xml:space="preserve">Variable Costs</t>
  </si>
  <si>
    <t xml:space="preserve">Seed Cost</t>
  </si>
  <si>
    <t xml:space="preserve">/1000 seeds</t>
  </si>
  <si>
    <t xml:space="preserve">N (UAN)</t>
  </si>
  <si>
    <r>
      <rPr>
        <sz val="16"/>
        <rFont val="Arial"/>
        <family val="2"/>
        <charset val="1"/>
      </rPr>
      <t xml:space="preserve">P</t>
    </r>
    <r>
      <rPr>
        <vertAlign val="subscript"/>
        <sz val="16"/>
        <rFont val="Arial"/>
        <family val="2"/>
        <charset val="1"/>
      </rPr>
      <t xml:space="preserve">2</t>
    </r>
    <r>
      <rPr>
        <sz val="16"/>
        <rFont val="Arial"/>
        <family val="2"/>
        <charset val="1"/>
      </rPr>
      <t xml:space="preserve">0</t>
    </r>
    <r>
      <rPr>
        <vertAlign val="subscript"/>
        <sz val="16"/>
        <rFont val="Arial"/>
        <family val="2"/>
        <charset val="1"/>
      </rPr>
      <t xml:space="preserve">5   </t>
    </r>
    <r>
      <rPr>
        <sz val="16"/>
        <rFont val="Arial"/>
        <family val="2"/>
        <charset val="1"/>
      </rPr>
      <t xml:space="preserve">(MAP)</t>
    </r>
  </si>
  <si>
    <r>
      <rPr>
        <sz val="16"/>
        <rFont val="Arial"/>
        <family val="2"/>
        <charset val="1"/>
      </rPr>
      <t xml:space="preserve">K</t>
    </r>
    <r>
      <rPr>
        <vertAlign val="subscript"/>
        <sz val="16"/>
        <rFont val="Arial"/>
        <family val="2"/>
        <charset val="1"/>
      </rPr>
      <t xml:space="preserve">2</t>
    </r>
    <r>
      <rPr>
        <sz val="16"/>
        <rFont val="Arial"/>
        <family val="2"/>
        <charset val="1"/>
      </rPr>
      <t xml:space="preserve">0   (Potash)</t>
    </r>
  </si>
  <si>
    <t xml:space="preserve">Chemicals</t>
  </si>
  <si>
    <t xml:space="preserve">Fuel/Diesel </t>
  </si>
  <si>
    <t xml:space="preserve">/gallon</t>
  </si>
  <si>
    <t xml:space="preserve">Breakeven Cost / Bu</t>
  </si>
  <si>
    <t xml:space="preserve">Fixed Costs</t>
  </si>
  <si>
    <t xml:space="preserve">Labor and Management</t>
  </si>
  <si>
    <t xml:space="preserve">Land Rent</t>
  </si>
  <si>
    <t xml:space="preserve">Returns</t>
  </si>
  <si>
    <t xml:space="preserve">Return to Total Costs</t>
  </si>
  <si>
    <t xml:space="preserve">Return to Land</t>
  </si>
</sst>
</file>

<file path=xl/styles.xml><?xml version="1.0" encoding="utf-8"?>
<styleSheet xmlns="http://schemas.openxmlformats.org/spreadsheetml/2006/main">
  <numFmts count="18">
    <numFmt numFmtId="164" formatCode="General"/>
    <numFmt numFmtId="165" formatCode="0.00"/>
    <numFmt numFmtId="166" formatCode="M/D/YYYY"/>
    <numFmt numFmtId="167" formatCode="0"/>
    <numFmt numFmtId="168" formatCode="\$#,##0.00"/>
    <numFmt numFmtId="169" formatCode="#,##0.00"/>
    <numFmt numFmtId="170" formatCode="#,##0"/>
    <numFmt numFmtId="171" formatCode="0.0000"/>
    <numFmt numFmtId="172" formatCode="0.0"/>
    <numFmt numFmtId="173" formatCode="#,##0.000"/>
    <numFmt numFmtId="174" formatCode="0.00%"/>
    <numFmt numFmtId="175" formatCode="0%"/>
    <numFmt numFmtId="176" formatCode="\$#,##0"/>
    <numFmt numFmtId="177" formatCode="_(\$* #,##0.00_);_(\$* \(#,##0.00\);_(\$* \-??_);_(@_)"/>
    <numFmt numFmtId="178" formatCode="#,##0.00_);\(#,##0.00\)"/>
    <numFmt numFmtId="179" formatCode="_(* #,##0.00_);_(* \(#,##0.00\);_(* \-??_);_(@_)"/>
    <numFmt numFmtId="180" formatCode="_(* #,##0_);_(* \(#,##0\);_(* \-??_);_(@_)"/>
    <numFmt numFmtId="181" formatCode="\$#,##0.00_);&quot;($&quot;#,##0.00\)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22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i val="true"/>
      <sz val="16"/>
      <name val="Arial"/>
      <family val="2"/>
      <charset val="1"/>
    </font>
    <font>
      <vertAlign val="subscript"/>
      <sz val="16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EBF1DE"/>
      </patternFill>
    </fill>
    <fill>
      <patternFill patternType="solid">
        <fgColor rgb="FFCCFFFF"/>
        <bgColor rgb="FFCCECFF"/>
      </patternFill>
    </fill>
    <fill>
      <patternFill patternType="solid">
        <fgColor rgb="FFC0C0C0"/>
        <bgColor rgb="FFBFBFBF"/>
      </patternFill>
    </fill>
    <fill>
      <patternFill patternType="solid">
        <fgColor rgb="FF8EB4E3"/>
        <bgColor rgb="FF9999FF"/>
      </patternFill>
    </fill>
    <fill>
      <patternFill patternType="solid">
        <fgColor rgb="FFF2F2F2"/>
        <bgColor rgb="FFEBF1DE"/>
      </patternFill>
    </fill>
    <fill>
      <patternFill patternType="solid">
        <fgColor rgb="FFD7E4BD"/>
        <bgColor rgb="FFEBF1DE"/>
      </patternFill>
    </fill>
    <fill>
      <patternFill patternType="solid">
        <fgColor rgb="FFCCECFF"/>
        <bgColor rgb="FFCCFFFF"/>
      </patternFill>
    </fill>
    <fill>
      <patternFill patternType="solid">
        <fgColor rgb="FFBFBFBF"/>
        <bgColor rgb="FFC0C0C0"/>
      </patternFill>
    </fill>
    <fill>
      <patternFill patternType="solid">
        <fgColor rgb="FFEBF1DE"/>
        <bgColor rgb="FFF2F2F2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dotted"/>
      <bottom/>
      <diagonal/>
    </border>
    <border diagonalUp="false" diagonalDown="false">
      <left/>
      <right/>
      <top/>
      <bottom style="mediumDashed"/>
      <diagonal/>
    </border>
    <border diagonalUp="false" diagonalDown="false">
      <left/>
      <right/>
      <top style="mediumDashed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6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0" fillId="3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0" fillId="3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0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12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12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0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1" fontId="12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1" fontId="12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1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6" fillId="9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18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ECFF"/>
      <rgbColor rgb="FFD7E4BD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171360</xdr:colOff>
      <xdr:row>0</xdr:row>
      <xdr:rowOff>38160</xdr:rowOff>
    </xdr:from>
    <xdr:to>
      <xdr:col>4</xdr:col>
      <xdr:colOff>475920</xdr:colOff>
      <xdr:row>4</xdr:row>
      <xdr:rowOff>133200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71360" y="38160"/>
          <a:ext cx="1866600" cy="815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1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1" activeCellId="0" sqref="F1"/>
    </sheetView>
  </sheetViews>
  <sheetFormatPr defaultRowHeight="12.5"/>
  <cols>
    <col collapsed="false" hidden="false" max="2" min="1" style="0" width="2.56632653061224"/>
    <col collapsed="false" hidden="false" max="5" min="3" style="0" width="8.50510204081633"/>
    <col collapsed="false" hidden="false" max="6" min="6" style="0" width="9.98979591836735"/>
    <col collapsed="false" hidden="false" max="7" min="7" style="0" width="9.17857142857143"/>
    <col collapsed="false" hidden="false" max="8" min="8" style="0" width="9.58673469387755"/>
    <col collapsed="false" hidden="false" max="9" min="9" style="0" width="7.83163265306122"/>
    <col collapsed="false" hidden="false" max="10" min="10" style="0" width="7.69387755102041"/>
    <col collapsed="false" hidden="false" max="11" min="11" style="1" width="6.88265306122449"/>
    <col collapsed="false" hidden="false" max="12" min="12" style="1" width="7.1530612244898"/>
    <col collapsed="false" hidden="false" max="13" min="13" style="1" width="6.88265306122449"/>
    <col collapsed="false" hidden="false" max="14" min="14" style="0" width="7.83163265306122"/>
    <col collapsed="false" hidden="false" max="1025" min="15" style="0" width="8.50510204081633"/>
  </cols>
  <sheetData>
    <row r="1" customFormat="false" ht="15.5" hidden="false" customHeight="false" outlineLevel="0" collapsed="false">
      <c r="A1" s="2"/>
      <c r="B1" s="2"/>
      <c r="C1" s="2"/>
      <c r="D1" s="2"/>
      <c r="E1" s="2"/>
      <c r="F1" s="3"/>
      <c r="G1" s="3"/>
      <c r="H1" s="3"/>
      <c r="I1" s="4" t="s">
        <v>0</v>
      </c>
      <c r="J1" s="3"/>
      <c r="K1" s="3"/>
      <c r="L1" s="3"/>
      <c r="M1" s="0"/>
    </row>
    <row r="2" customFormat="false" ht="13" hidden="false" customHeight="false" outlineLevel="0" collapsed="false">
      <c r="A2" s="2"/>
      <c r="B2" s="2"/>
      <c r="C2" s="2"/>
      <c r="D2" s="2"/>
      <c r="E2" s="2"/>
      <c r="F2" s="3"/>
      <c r="G2" s="3"/>
      <c r="H2" s="3"/>
      <c r="I2" s="5" t="s">
        <v>1</v>
      </c>
      <c r="J2" s="3"/>
      <c r="K2" s="3"/>
      <c r="L2" s="3"/>
      <c r="M2" s="0"/>
    </row>
    <row r="3" customFormat="false" ht="12.5" hidden="false" customHeight="false" outlineLevel="0" collapsed="false">
      <c r="A3" s="2"/>
      <c r="B3" s="2"/>
      <c r="C3" s="2"/>
      <c r="D3" s="2"/>
      <c r="E3" s="2"/>
      <c r="F3" s="3"/>
      <c r="G3" s="3"/>
      <c r="H3" s="3"/>
      <c r="I3" s="6" t="s">
        <v>2</v>
      </c>
      <c r="J3" s="3"/>
      <c r="K3" s="3"/>
      <c r="L3" s="3"/>
      <c r="M3" s="0"/>
    </row>
    <row r="4" customFormat="false" ht="15.75" hidden="false" customHeight="true" outlineLevel="0" collapsed="false">
      <c r="A4" s="2"/>
      <c r="B4" s="2"/>
      <c r="C4" s="2"/>
      <c r="D4" s="2"/>
      <c r="E4" s="2"/>
      <c r="G4" s="7"/>
      <c r="H4" s="7"/>
      <c r="I4" s="7"/>
      <c r="K4" s="8" t="s">
        <v>3</v>
      </c>
      <c r="L4" s="0"/>
      <c r="M4" s="9" t="n">
        <v>42308</v>
      </c>
      <c r="N4" s="9"/>
    </row>
    <row r="5" s="11" customFormat="true" ht="15.75" hidden="false" customHeight="true" outlineLevel="0" collapsed="false">
      <c r="A5" s="2"/>
      <c r="B5" s="2"/>
      <c r="C5" s="2"/>
      <c r="D5" s="2"/>
      <c r="E5" s="2"/>
      <c r="F5" s="7"/>
      <c r="G5" s="10"/>
      <c r="H5" s="10"/>
      <c r="I5" s="4"/>
      <c r="J5" s="5"/>
      <c r="K5" s="5"/>
      <c r="L5" s="5"/>
      <c r="M5" s="5"/>
    </row>
    <row r="6" s="15" customFormat="true" ht="13" hidden="false" customHeight="false" outlineLevel="0" collapsed="false">
      <c r="A6" s="12" t="s">
        <v>4</v>
      </c>
      <c r="B6" s="12"/>
      <c r="C6" s="12"/>
      <c r="D6" s="12"/>
      <c r="E6" s="13"/>
      <c r="F6" s="12" t="s">
        <v>5</v>
      </c>
      <c r="G6" s="12"/>
      <c r="H6" s="12" t="s">
        <v>6</v>
      </c>
      <c r="I6" s="12" t="s">
        <v>7</v>
      </c>
      <c r="J6" s="12"/>
      <c r="K6" s="14" t="s">
        <v>8</v>
      </c>
      <c r="L6" s="14"/>
      <c r="M6" s="14"/>
      <c r="N6" s="12" t="s">
        <v>9</v>
      </c>
    </row>
    <row r="7" customFormat="false" ht="13" hidden="false" customHeight="false" outlineLevel="0" collapsed="false">
      <c r="H7" s="16" t="s">
        <v>10</v>
      </c>
      <c r="I7" s="16" t="s">
        <v>11</v>
      </c>
      <c r="J7" s="16"/>
      <c r="K7" s="17"/>
      <c r="L7" s="17"/>
      <c r="M7" s="17"/>
      <c r="N7" s="16" t="s">
        <v>12</v>
      </c>
    </row>
    <row r="8" customFormat="false" ht="13" hidden="false" customHeight="false" outlineLevel="0" collapsed="false">
      <c r="A8" s="18"/>
      <c r="B8" s="18"/>
      <c r="C8" s="18"/>
      <c r="D8" s="18"/>
      <c r="E8" s="18"/>
      <c r="F8" s="18"/>
      <c r="G8" s="18"/>
      <c r="H8" s="18" t="s">
        <v>13</v>
      </c>
      <c r="I8" s="18"/>
      <c r="J8" s="18"/>
      <c r="K8" s="19" t="n">
        <v>58.4</v>
      </c>
      <c r="L8" s="19" t="n">
        <v>73</v>
      </c>
      <c r="M8" s="19" t="n">
        <v>87.6</v>
      </c>
      <c r="N8" s="20" t="n">
        <v>92</v>
      </c>
    </row>
    <row r="9" s="11" customFormat="true" ht="13" hidden="false" customHeight="false" outlineLevel="0" collapsed="false">
      <c r="A9" s="21" t="s">
        <v>14</v>
      </c>
      <c r="K9" s="1"/>
      <c r="L9" s="1"/>
      <c r="M9" s="1"/>
    </row>
    <row r="10" customFormat="false" ht="15" hidden="false" customHeight="false" outlineLevel="0" collapsed="false">
      <c r="B10" s="11" t="s">
        <v>15</v>
      </c>
      <c r="C10" s="11"/>
      <c r="D10" s="11"/>
      <c r="E10" s="11"/>
      <c r="F10" s="11"/>
      <c r="G10" s="11"/>
      <c r="H10" s="11"/>
      <c r="I10" s="22" t="n">
        <v>4.7</v>
      </c>
      <c r="J10" s="0" t="s">
        <v>16</v>
      </c>
      <c r="K10" s="23" t="n">
        <f aca="false">+$I$10*K8</f>
        <v>274.48</v>
      </c>
      <c r="L10" s="23" t="n">
        <f aca="false">+$I$10*L8</f>
        <v>343.1</v>
      </c>
      <c r="M10" s="23" t="n">
        <f aca="false">+$I$10*M8</f>
        <v>411.72</v>
      </c>
      <c r="N10" s="24" t="n">
        <f aca="false">+$I$10*N8</f>
        <v>432.4</v>
      </c>
    </row>
    <row r="11" customFormat="false" ht="15" hidden="false" customHeight="false" outlineLevel="0" collapsed="false">
      <c r="B11" s="10" t="s">
        <v>17</v>
      </c>
      <c r="I11" s="25"/>
      <c r="K11" s="23" t="n">
        <v>25.5</v>
      </c>
      <c r="L11" s="23" t="n">
        <v>25.5</v>
      </c>
      <c r="M11" s="23" t="n">
        <v>25.5</v>
      </c>
      <c r="N11" s="26" t="n">
        <v>25.5</v>
      </c>
    </row>
    <row r="12" customFormat="false" ht="13" hidden="false" customHeight="false" outlineLevel="0" collapsed="false">
      <c r="B12" s="10" t="s">
        <v>18</v>
      </c>
      <c r="I12" s="25"/>
      <c r="K12" s="23" t="n">
        <v>0</v>
      </c>
      <c r="L12" s="23" t="n">
        <v>0</v>
      </c>
      <c r="M12" s="23" t="n">
        <v>0</v>
      </c>
      <c r="N12" s="26" t="n">
        <v>0</v>
      </c>
    </row>
    <row r="13" customFormat="false" ht="13" hidden="false" customHeight="false" outlineLevel="0" collapsed="false">
      <c r="B13" s="10" t="s">
        <v>19</v>
      </c>
      <c r="I13" s="25"/>
      <c r="K13" s="23" t="n">
        <v>0</v>
      </c>
      <c r="L13" s="23" t="n">
        <v>0</v>
      </c>
      <c r="M13" s="23" t="n">
        <v>0</v>
      </c>
      <c r="N13" s="24" t="n">
        <v>0</v>
      </c>
    </row>
    <row r="14" customFormat="false" ht="13" hidden="false" customHeight="false" outlineLevel="0" collapsed="false">
      <c r="B14" s="10"/>
      <c r="C14" s="10"/>
      <c r="D14" s="10"/>
      <c r="E14" s="6"/>
      <c r="F14" s="6"/>
      <c r="G14" s="6"/>
      <c r="H14" s="6"/>
      <c r="I14" s="27"/>
      <c r="J14" s="6"/>
      <c r="K14" s="28"/>
      <c r="L14" s="28"/>
      <c r="M14" s="28"/>
      <c r="N14" s="29"/>
    </row>
    <row r="15" customFormat="false" ht="13" hidden="false" customHeight="false" outlineLevel="0" collapsed="false">
      <c r="A15" s="21" t="s">
        <v>20</v>
      </c>
      <c r="B15" s="10"/>
      <c r="C15" s="10"/>
      <c r="D15" s="10"/>
      <c r="E15" s="6"/>
      <c r="F15" s="6"/>
      <c r="G15" s="6"/>
      <c r="H15" s="6"/>
      <c r="I15" s="27"/>
      <c r="J15" s="6"/>
      <c r="K15" s="28" t="n">
        <f aca="false">SUM(K10:K13)</f>
        <v>299.98</v>
      </c>
      <c r="L15" s="28" t="n">
        <f aca="false">SUM(L10:L13)</f>
        <v>368.6</v>
      </c>
      <c r="M15" s="28" t="n">
        <f aca="false">SUM(M10:M13)</f>
        <v>437.22</v>
      </c>
      <c r="N15" s="24" t="n">
        <f aca="false">SUM(N10:N13)</f>
        <v>457.9</v>
      </c>
    </row>
    <row r="16" customFormat="false" ht="13" hidden="false" customHeight="false" outlineLevel="0" collapsed="false">
      <c r="A16" s="21" t="s">
        <v>21</v>
      </c>
      <c r="K16" s="23"/>
      <c r="L16" s="23"/>
      <c r="M16" s="23"/>
      <c r="N16" s="29"/>
    </row>
    <row r="17" customFormat="false" ht="13" hidden="false" customHeight="false" outlineLevel="0" collapsed="false">
      <c r="B17" s="0" t="s">
        <v>22</v>
      </c>
      <c r="F17" s="30" t="n">
        <v>1400000</v>
      </c>
      <c r="G17" s="0" t="s">
        <v>23</v>
      </c>
      <c r="H17" s="31" t="n">
        <v>1400000</v>
      </c>
      <c r="I17" s="32" t="n">
        <v>0.031</v>
      </c>
      <c r="J17" s="0" t="s">
        <v>24</v>
      </c>
      <c r="K17" s="23" t="n">
        <f aca="false">$F$17/1000*$I$17</f>
        <v>43.4</v>
      </c>
      <c r="L17" s="23" t="n">
        <f aca="false">$F$17/1000*$I$17</f>
        <v>43.4</v>
      </c>
      <c r="M17" s="23" t="n">
        <f aca="false">$F$17/1000*$I$17</f>
        <v>43.4</v>
      </c>
      <c r="N17" s="24" t="n">
        <f aca="false">$F$17/1000*$I$17</f>
        <v>43.4</v>
      </c>
    </row>
    <row r="18" customFormat="false" ht="15" hidden="false" customHeight="false" outlineLevel="0" collapsed="false">
      <c r="B18" s="0" t="s">
        <v>25</v>
      </c>
      <c r="H18" s="33"/>
      <c r="I18" s="33"/>
      <c r="J18" s="0" t="s">
        <v>23</v>
      </c>
      <c r="K18" s="23"/>
      <c r="L18" s="23"/>
      <c r="M18" s="23"/>
      <c r="N18" s="29"/>
    </row>
    <row r="19" customFormat="false" ht="13" hidden="false" customHeight="false" outlineLevel="0" collapsed="false">
      <c r="C19" s="0" t="s">
        <v>26</v>
      </c>
      <c r="E19" s="34" t="n">
        <f aca="false">40+(1.75*(K8-50))</f>
        <v>54.7</v>
      </c>
      <c r="F19" s="34" t="n">
        <f aca="false">40+(1.75*(L8-50))</f>
        <v>80.25</v>
      </c>
      <c r="G19" s="34" t="n">
        <f aca="false">40+(1.75*(M8-50))</f>
        <v>105.8</v>
      </c>
      <c r="H19" s="35" t="n">
        <f aca="false">40+(1.75*(N8-50))</f>
        <v>113.5</v>
      </c>
      <c r="I19" s="36" t="n">
        <f aca="false">F84/560</f>
        <v>0.517857142857143</v>
      </c>
      <c r="J19" s="0" t="s">
        <v>27</v>
      </c>
      <c r="K19" s="23" t="n">
        <f aca="false">+$I$19*E19</f>
        <v>28.3267857142857</v>
      </c>
      <c r="L19" s="23" t="n">
        <f aca="false">+$I$19*F19</f>
        <v>41.5580357142857</v>
      </c>
      <c r="M19" s="23" t="n">
        <f aca="false">+$I$19*G19</f>
        <v>54.7892857142857</v>
      </c>
      <c r="N19" s="24" t="n">
        <f aca="false">+$I$19*H19</f>
        <v>58.7767857142857</v>
      </c>
    </row>
    <row r="20" customFormat="false" ht="15.5" hidden="false" customHeight="false" outlineLevel="0" collapsed="false">
      <c r="C20" s="0" t="s">
        <v>28</v>
      </c>
      <c r="E20" s="34" t="n">
        <f aca="false">K8*0.63</f>
        <v>36.792</v>
      </c>
      <c r="F20" s="34" t="n">
        <f aca="false">L8*0.63</f>
        <v>45.99</v>
      </c>
      <c r="G20" s="34" t="n">
        <f aca="false">M8*0.63</f>
        <v>55.188</v>
      </c>
      <c r="H20" s="35" t="n">
        <f aca="false">N8*0.63</f>
        <v>57.96</v>
      </c>
      <c r="I20" s="36" t="n">
        <f aca="false">I84/1040</f>
        <v>0.528846153846154</v>
      </c>
      <c r="J20" s="0" t="s">
        <v>27</v>
      </c>
      <c r="K20" s="23" t="n">
        <f aca="false">+$I$20*E20</f>
        <v>19.4573076923077</v>
      </c>
      <c r="L20" s="23" t="n">
        <f aca="false">+$I$20*F20</f>
        <v>24.3216346153846</v>
      </c>
      <c r="M20" s="23" t="n">
        <f aca="false">+$I$20*G20</f>
        <v>29.1859615384615</v>
      </c>
      <c r="N20" s="24" t="n">
        <f aca="false">+$I$20*H20</f>
        <v>30.6519230769231</v>
      </c>
    </row>
    <row r="21" customFormat="false" ht="15.5" hidden="false" customHeight="false" outlineLevel="0" collapsed="false">
      <c r="C21" s="0" t="s">
        <v>29</v>
      </c>
      <c r="E21" s="34" t="n">
        <f aca="false">(K8*0.37)+20</f>
        <v>41.608</v>
      </c>
      <c r="F21" s="34" t="n">
        <f aca="false">(L8*0.37)+20</f>
        <v>47.01</v>
      </c>
      <c r="G21" s="34" t="n">
        <f aca="false">(M8*0.37)+20</f>
        <v>52.412</v>
      </c>
      <c r="H21" s="35" t="n">
        <f aca="false">(N8*0.37)+20</f>
        <v>54.04</v>
      </c>
      <c r="I21" s="36" t="n">
        <f aca="false">M84/1200</f>
        <v>0.333333333333333</v>
      </c>
      <c r="J21" s="0" t="s">
        <v>27</v>
      </c>
      <c r="K21" s="23" t="n">
        <f aca="false">+$I$21*E21</f>
        <v>13.8693333333333</v>
      </c>
      <c r="L21" s="23" t="n">
        <f aca="false">+$I$21*F21</f>
        <v>15.67</v>
      </c>
      <c r="M21" s="23" t="n">
        <f aca="false">+$I$21*G21</f>
        <v>17.4706666666667</v>
      </c>
      <c r="N21" s="24" t="n">
        <f aca="false">+$I$21*H21</f>
        <v>18.0133333333333</v>
      </c>
    </row>
    <row r="22" customFormat="false" ht="13" hidden="false" customHeight="false" outlineLevel="0" collapsed="false">
      <c r="C22" s="0" t="s">
        <v>30</v>
      </c>
      <c r="F22" s="37" t="n">
        <v>0.25</v>
      </c>
      <c r="H22" s="33"/>
      <c r="I22" s="37" t="n">
        <v>25</v>
      </c>
      <c r="J22" s="0" t="s">
        <v>31</v>
      </c>
      <c r="K22" s="23" t="n">
        <f aca="false">+F22*I22</f>
        <v>6.25</v>
      </c>
      <c r="L22" s="23" t="n">
        <f aca="false">+F22*I22</f>
        <v>6.25</v>
      </c>
      <c r="M22" s="23" t="n">
        <f aca="false">+$F$22*$I$22</f>
        <v>6.25</v>
      </c>
      <c r="N22" s="24" t="n">
        <f aca="false">+$F$22*$I$22</f>
        <v>6.25</v>
      </c>
    </row>
    <row r="23" customFormat="false" ht="15" hidden="false" customHeight="false" outlineLevel="0" collapsed="false">
      <c r="B23" s="0" t="s">
        <v>32</v>
      </c>
      <c r="D23" s="10" t="s">
        <v>33</v>
      </c>
      <c r="H23" s="33"/>
      <c r="I23" s="33"/>
      <c r="K23" s="23" t="n">
        <v>9.5</v>
      </c>
      <c r="L23" s="23" t="n">
        <v>9.5</v>
      </c>
      <c r="M23" s="23" t="n">
        <v>9.5</v>
      </c>
      <c r="N23" s="38" t="n">
        <v>9.5</v>
      </c>
    </row>
    <row r="24" customFormat="false" ht="13" hidden="false" customHeight="false" outlineLevel="0" collapsed="false">
      <c r="D24" s="10" t="s">
        <v>34</v>
      </c>
      <c r="H24" s="33"/>
      <c r="I24" s="33"/>
      <c r="K24" s="23" t="n">
        <v>0</v>
      </c>
      <c r="L24" s="23" t="n">
        <v>0</v>
      </c>
      <c r="M24" s="23" t="n">
        <v>0</v>
      </c>
      <c r="N24" s="38" t="n">
        <v>0</v>
      </c>
    </row>
    <row r="25" customFormat="false" ht="13" hidden="false" customHeight="false" outlineLevel="0" collapsed="false">
      <c r="D25" s="10" t="s">
        <v>35</v>
      </c>
      <c r="H25" s="33"/>
      <c r="I25" s="33"/>
      <c r="K25" s="23" t="n">
        <v>0</v>
      </c>
      <c r="L25" s="23" t="n">
        <v>0</v>
      </c>
      <c r="M25" s="23" t="n">
        <v>0</v>
      </c>
      <c r="N25" s="38" t="n">
        <v>0</v>
      </c>
    </row>
    <row r="26" customFormat="false" ht="13" hidden="false" customHeight="false" outlineLevel="0" collapsed="false">
      <c r="B26" s="0" t="s">
        <v>36</v>
      </c>
      <c r="F26" s="39" t="n">
        <v>2.75</v>
      </c>
      <c r="G26" s="10" t="s">
        <v>37</v>
      </c>
      <c r="H26" s="10"/>
      <c r="I26" s="31" t="n">
        <v>30</v>
      </c>
      <c r="J26" s="10" t="s">
        <v>38</v>
      </c>
      <c r="K26" s="40" t="n">
        <f aca="false">(((($I$26/6)*$F$26)/900)*K8)+(((($I$26/6)*$F$26)/900)*K8)*0.1</f>
        <v>0.981444444444445</v>
      </c>
      <c r="L26" s="40" t="n">
        <f aca="false">(((($I$26/6)*$F$26)/900)*L8)+(((($I$26/6)*$F$26)/900)*L8)*0.1</f>
        <v>1.22680555555556</v>
      </c>
      <c r="M26" s="40" t="n">
        <f aca="false">(((($I$26/6)*$F$26)/900)*M8)+(((($I$26/6)*$F$26)/900)*M8)*0.1</f>
        <v>1.47216666666667</v>
      </c>
      <c r="N26" s="41" t="n">
        <f aca="false">(((($I$26/6)*$F$26)/900)*N8)+(((($I$26/6)*$F$26)/900)*N8)*0.1</f>
        <v>1.54611111111111</v>
      </c>
    </row>
    <row r="27" customFormat="false" ht="15" hidden="false" customHeight="false" outlineLevel="0" collapsed="false">
      <c r="B27" s="0" t="s">
        <v>39</v>
      </c>
      <c r="K27" s="23" t="n">
        <f aca="false">$K$118</f>
        <v>10.1285735294118</v>
      </c>
      <c r="L27" s="23" t="n">
        <f aca="false">$K$118</f>
        <v>10.1285735294118</v>
      </c>
      <c r="M27" s="23" t="n">
        <f aca="false">$K$118</f>
        <v>10.1285735294118</v>
      </c>
      <c r="N27" s="24" t="n">
        <f aca="false">$K$118</f>
        <v>10.1285735294118</v>
      </c>
    </row>
    <row r="28" customFormat="false" ht="15" hidden="false" customHeight="false" outlineLevel="0" collapsed="false">
      <c r="B28" s="0" t="s">
        <v>40</v>
      </c>
      <c r="K28" s="23" t="n">
        <f aca="false">+$M$118</f>
        <v>20.3154771252481</v>
      </c>
      <c r="L28" s="23" t="n">
        <f aca="false">+$M$118</f>
        <v>20.3154771252481</v>
      </c>
      <c r="M28" s="23" t="n">
        <f aca="false">+$M$118</f>
        <v>20.3154771252481</v>
      </c>
      <c r="N28" s="24" t="n">
        <f aca="false">+$M$118</f>
        <v>20.3154771252481</v>
      </c>
    </row>
    <row r="29" customFormat="false" ht="13" hidden="false" customHeight="false" outlineLevel="0" collapsed="false">
      <c r="B29" s="0" t="s">
        <v>41</v>
      </c>
      <c r="K29" s="23" t="n">
        <v>10</v>
      </c>
      <c r="L29" s="23" t="n">
        <v>10</v>
      </c>
      <c r="M29" s="23" t="n">
        <v>10</v>
      </c>
      <c r="N29" s="38" t="n">
        <v>10</v>
      </c>
    </row>
    <row r="30" customFormat="false" ht="15" hidden="false" customHeight="false" outlineLevel="0" collapsed="false">
      <c r="B30" s="0" t="s">
        <v>42</v>
      </c>
      <c r="K30" s="23" t="n">
        <v>3.2</v>
      </c>
      <c r="L30" s="23" t="n">
        <v>3.2</v>
      </c>
      <c r="M30" s="23" t="n">
        <v>3.2</v>
      </c>
      <c r="N30" s="38" t="n">
        <v>3.2</v>
      </c>
    </row>
    <row r="31" customFormat="false" ht="15" hidden="false" customHeight="false" outlineLevel="0" collapsed="false">
      <c r="B31" s="0" t="s">
        <v>43</v>
      </c>
      <c r="E31" s="42"/>
      <c r="F31" s="43" t="n">
        <v>8</v>
      </c>
      <c r="G31" s="0" t="s">
        <v>44</v>
      </c>
      <c r="I31" s="44" t="n">
        <v>0.045</v>
      </c>
      <c r="K31" s="23" t="n">
        <f aca="false">(SUM(K17:K30)-K26)*$I$31*($F$31/12)</f>
        <v>4.9334243218376</v>
      </c>
      <c r="L31" s="23" t="n">
        <f aca="false">(SUM(L17:L30)-L26)*$I$31*($F$31/12)</f>
        <v>5.53031162952991</v>
      </c>
      <c r="M31" s="23" t="n">
        <f aca="false">(SUM(M17:M30)-M26)*$I$31*($F$31/12)</f>
        <v>6.12719893722221</v>
      </c>
      <c r="N31" s="24" t="n">
        <f aca="false">(SUM(N17:N30)-N26)*$I$31*($F$31/12)</f>
        <v>6.30708278337606</v>
      </c>
    </row>
    <row r="32" customFormat="false" ht="15" hidden="false" customHeight="false" outlineLevel="0" collapsed="false">
      <c r="B32" s="0" t="s">
        <v>45</v>
      </c>
      <c r="K32" s="23" t="n">
        <v>0</v>
      </c>
      <c r="L32" s="23" t="n">
        <v>0</v>
      </c>
      <c r="M32" s="23" t="n">
        <v>0</v>
      </c>
      <c r="N32" s="38" t="n">
        <v>0</v>
      </c>
    </row>
    <row r="33" customFormat="false" ht="13" hidden="false" customHeight="false" outlineLevel="0" collapsed="false">
      <c r="K33" s="45"/>
      <c r="L33" s="45"/>
      <c r="M33" s="45"/>
      <c r="N33" s="46"/>
    </row>
    <row r="34" customFormat="false" ht="13" hidden="false" customHeight="false" outlineLevel="0" collapsed="false">
      <c r="A34" s="21" t="s">
        <v>46</v>
      </c>
      <c r="F34" s="21" t="s">
        <v>47</v>
      </c>
      <c r="K34" s="23" t="n">
        <f aca="false">SUM(K17:K33)</f>
        <v>170.362346160869</v>
      </c>
      <c r="L34" s="23" t="n">
        <f aca="false">SUM(L17:L33)</f>
        <v>191.100838169416</v>
      </c>
      <c r="M34" s="23" t="n">
        <f aca="false">SUM(M17:M33)</f>
        <v>211.839330177963</v>
      </c>
      <c r="N34" s="24" t="n">
        <f aca="false">SUM(N17:N33)</f>
        <v>218.089286673689</v>
      </c>
    </row>
    <row r="35" customFormat="false" ht="13" hidden="false" customHeight="false" outlineLevel="0" collapsed="false">
      <c r="F35" s="21" t="s">
        <v>48</v>
      </c>
      <c r="K35" s="23" t="n">
        <f aca="false">+K34/K8</f>
        <v>2.91716346165871</v>
      </c>
      <c r="L35" s="23" t="n">
        <f aca="false">+L34/L8</f>
        <v>2.6178197009509</v>
      </c>
      <c r="M35" s="23" t="n">
        <f aca="false">+M34/M8</f>
        <v>2.41825719381236</v>
      </c>
      <c r="N35" s="24" t="n">
        <f aca="false">+N34/N8</f>
        <v>2.37053572471401</v>
      </c>
    </row>
    <row r="36" customFormat="false" ht="13" hidden="false" customHeight="false" outlineLevel="0" collapsed="false">
      <c r="A36" s="21" t="s">
        <v>49</v>
      </c>
      <c r="K36" s="23"/>
      <c r="L36" s="23"/>
      <c r="M36" s="23"/>
      <c r="N36" s="29"/>
    </row>
    <row r="37" customFormat="false" ht="15" hidden="false" customHeight="false" outlineLevel="0" collapsed="false">
      <c r="B37" s="0" t="s">
        <v>50</v>
      </c>
      <c r="F37" s="37" t="n">
        <v>1.5</v>
      </c>
      <c r="G37" s="0" t="s">
        <v>51</v>
      </c>
      <c r="I37" s="47" t="n">
        <v>15</v>
      </c>
      <c r="J37" s="0" t="s">
        <v>52</v>
      </c>
      <c r="K37" s="23" t="n">
        <f aca="false">+$F$37*$I$37</f>
        <v>22.5</v>
      </c>
      <c r="L37" s="23" t="n">
        <f aca="false">+$F$37*$I$37</f>
        <v>22.5</v>
      </c>
      <c r="M37" s="23" t="n">
        <f aca="false">+$F$37*$I$37</f>
        <v>22.5</v>
      </c>
      <c r="N37" s="24" t="n">
        <f aca="false">+$F$37*$I$37</f>
        <v>22.5</v>
      </c>
    </row>
    <row r="38" customFormat="false" ht="15" hidden="false" customHeight="false" outlineLevel="0" collapsed="false">
      <c r="B38" s="10" t="s">
        <v>53</v>
      </c>
      <c r="F38" s="48" t="n">
        <v>0.05</v>
      </c>
      <c r="G38" s="0" t="s">
        <v>54</v>
      </c>
      <c r="K38" s="23" t="n">
        <f aca="false">$F$38*K10</f>
        <v>13.724</v>
      </c>
      <c r="L38" s="23" t="n">
        <f aca="false">$F$38*L10</f>
        <v>17.155</v>
      </c>
      <c r="M38" s="23" t="n">
        <f aca="false">$F$38*M10</f>
        <v>20.586</v>
      </c>
      <c r="N38" s="24" t="n">
        <f aca="false">$F$38*N10</f>
        <v>21.62</v>
      </c>
    </row>
    <row r="39" customFormat="false" ht="15" hidden="false" customHeight="false" outlineLevel="0" collapsed="false">
      <c r="B39" s="10" t="s">
        <v>55</v>
      </c>
      <c r="K39" s="23" t="n">
        <f aca="false">+$I$118</f>
        <v>125.860111979167</v>
      </c>
      <c r="L39" s="23" t="n">
        <f aca="false">+$I$118</f>
        <v>125.860111979167</v>
      </c>
      <c r="M39" s="23" t="n">
        <f aca="false">+$I$118</f>
        <v>125.860111979167</v>
      </c>
      <c r="N39" s="24" t="n">
        <f aca="false">+$I$118</f>
        <v>125.860111979167</v>
      </c>
    </row>
    <row r="40" customFormat="false" ht="15" hidden="false" customHeight="false" outlineLevel="0" collapsed="false">
      <c r="B40" s="10" t="s">
        <v>56</v>
      </c>
      <c r="K40" s="49" t="n">
        <v>141</v>
      </c>
      <c r="L40" s="49" t="n">
        <v>187</v>
      </c>
      <c r="M40" s="49" t="n">
        <v>239</v>
      </c>
      <c r="N40" s="50" t="n">
        <v>239</v>
      </c>
    </row>
    <row r="41" customFormat="false" ht="15" hidden="false" customHeight="false" outlineLevel="0" collapsed="false">
      <c r="B41" s="0" t="s">
        <v>42</v>
      </c>
      <c r="K41" s="49" t="n">
        <v>12.6</v>
      </c>
      <c r="L41" s="49" t="n">
        <v>12.6</v>
      </c>
      <c r="M41" s="49" t="n">
        <v>12.6</v>
      </c>
      <c r="N41" s="50" t="n">
        <v>12.6</v>
      </c>
    </row>
    <row r="42" customFormat="false" ht="13" hidden="false" customHeight="false" outlineLevel="0" collapsed="false">
      <c r="K42" s="51"/>
      <c r="L42" s="51"/>
      <c r="M42" s="51"/>
      <c r="N42" s="52"/>
    </row>
    <row r="43" customFormat="false" ht="13" hidden="false" customHeight="false" outlineLevel="0" collapsed="false">
      <c r="A43" s="21" t="s">
        <v>57</v>
      </c>
      <c r="K43" s="23" t="n">
        <f aca="false">SUM(K37:K42)</f>
        <v>315.684111979167</v>
      </c>
      <c r="L43" s="23" t="n">
        <f aca="false">SUM(L37:L42)</f>
        <v>365.115111979167</v>
      </c>
      <c r="M43" s="23" t="n">
        <f aca="false">SUM(M37:M42)</f>
        <v>420.546111979167</v>
      </c>
      <c r="N43" s="24" t="n">
        <f aca="false">SUM(N37:N42)</f>
        <v>421.580111979167</v>
      </c>
    </row>
    <row r="44" customFormat="false" ht="13" hidden="false" customHeight="false" outlineLevel="0" collapsed="false">
      <c r="K44" s="23"/>
      <c r="L44" s="23"/>
      <c r="M44" s="23"/>
      <c r="N44" s="29"/>
    </row>
    <row r="45" customFormat="false" ht="13" hidden="false" customHeight="false" outlineLevel="0" collapsed="false">
      <c r="A45" s="21" t="s">
        <v>58</v>
      </c>
      <c r="F45" s="21" t="s">
        <v>47</v>
      </c>
      <c r="K45" s="23" t="n">
        <f aca="false">+K34+K43</f>
        <v>486.046458140035</v>
      </c>
      <c r="L45" s="23" t="n">
        <f aca="false">+L34+L43</f>
        <v>556.215950148582</v>
      </c>
      <c r="M45" s="23" t="n">
        <f aca="false">+M34+M43</f>
        <v>632.385442157129</v>
      </c>
      <c r="N45" s="24" t="n">
        <f aca="false">+N34+N43</f>
        <v>639.669398652856</v>
      </c>
    </row>
    <row r="46" customFormat="false" ht="13" hidden="false" customHeight="false" outlineLevel="0" collapsed="false">
      <c r="A46" s="21"/>
      <c r="F46" s="21" t="s">
        <v>48</v>
      </c>
      <c r="K46" s="53" t="n">
        <f aca="false">+(K43/45)+K35</f>
        <v>9.93236595008464</v>
      </c>
      <c r="L46" s="53" t="n">
        <f aca="false">+(L43/60)+L35</f>
        <v>8.70307156727034</v>
      </c>
      <c r="M46" s="53" t="n">
        <f aca="false">+(M43/75)+M35</f>
        <v>8.02553868686791</v>
      </c>
      <c r="N46" s="54" t="n">
        <f aca="false">+(N43/75)+N35</f>
        <v>7.99160388443624</v>
      </c>
    </row>
    <row r="47" customFormat="false" ht="15" hidden="false" customHeight="false" outlineLevel="0" collapsed="false">
      <c r="A47" s="21" t="s">
        <v>59</v>
      </c>
      <c r="B47" s="10"/>
      <c r="K47" s="23" t="n">
        <f aca="false">+K15-K34</f>
        <v>129.617653839131</v>
      </c>
      <c r="L47" s="23" t="n">
        <f aca="false">+L15-L34</f>
        <v>177.499161830584</v>
      </c>
      <c r="M47" s="23" t="n">
        <f aca="false">+M15-M34</f>
        <v>225.380669822037</v>
      </c>
      <c r="N47" s="23" t="n">
        <f aca="false">+N15-N34</f>
        <v>239.810713326311</v>
      </c>
    </row>
    <row r="48" customFormat="false" ht="13" hidden="false" customHeight="false" outlineLevel="0" collapsed="false">
      <c r="A48" s="21" t="s">
        <v>60</v>
      </c>
      <c r="B48" s="10"/>
      <c r="K48" s="23" t="n">
        <f aca="false">+K15-K34-K40</f>
        <v>-11.3823461608686</v>
      </c>
      <c r="L48" s="23" t="n">
        <f aca="false">+L15-L34-L40</f>
        <v>-9.5008381694156</v>
      </c>
      <c r="M48" s="23" t="n">
        <f aca="false">+M15-M34-M40</f>
        <v>-13.6193301779627</v>
      </c>
      <c r="N48" s="23" t="n">
        <f aca="false">+N15-N34-N40</f>
        <v>0.810713326310889</v>
      </c>
    </row>
    <row r="49" customFormat="false" ht="13" hidden="false" customHeight="false" outlineLevel="0" collapsed="false">
      <c r="A49" s="21" t="s">
        <v>61</v>
      </c>
      <c r="B49" s="10"/>
      <c r="K49" s="23" t="n">
        <f aca="false">K15-K45</f>
        <v>-186.066458140035</v>
      </c>
      <c r="L49" s="23" t="n">
        <f aca="false">L15-L45</f>
        <v>-187.615950148582</v>
      </c>
      <c r="M49" s="23" t="n">
        <f aca="false">M15-M45</f>
        <v>-195.165442157129</v>
      </c>
      <c r="N49" s="23" t="n">
        <f aca="false">N15-N45</f>
        <v>-181.769398652856</v>
      </c>
    </row>
    <row r="50" customFormat="false" ht="13" hidden="false" customHeight="false" outlineLevel="0" collapsed="false">
      <c r="A50" s="15" t="s">
        <v>62</v>
      </c>
      <c r="B50" s="10"/>
      <c r="K50" s="23" t="n">
        <f aca="false">K15-K45+K40</f>
        <v>-45.0664581400353</v>
      </c>
      <c r="L50" s="23" t="n">
        <f aca="false">L15-L45+L40</f>
        <v>-0.615950148582328</v>
      </c>
      <c r="M50" s="23" t="n">
        <f aca="false">M15-M45+M40</f>
        <v>43.8345578428707</v>
      </c>
      <c r="N50" s="23" t="n">
        <f aca="false">N15-N45+N40</f>
        <v>57.2306013471442</v>
      </c>
    </row>
    <row r="51" customFormat="false" ht="13" hidden="false" customHeight="false" outlineLevel="0" collapsed="false">
      <c r="A51" s="15" t="s">
        <v>63</v>
      </c>
      <c r="B51" s="10"/>
      <c r="K51" s="23" t="n">
        <f aca="false">K15-K45+K37+K38</f>
        <v>-149.842458140035</v>
      </c>
      <c r="L51" s="23" t="n">
        <f aca="false">L15-L45+L37+L38</f>
        <v>-147.960950148582</v>
      </c>
      <c r="M51" s="23" t="n">
        <f aca="false">M15-M45+M37+M38</f>
        <v>-152.079442157129</v>
      </c>
      <c r="N51" s="23" t="n">
        <f aca="false">N15-N45+N37+N38</f>
        <v>-137.649398652856</v>
      </c>
    </row>
    <row r="52" customFormat="false" ht="13.5" hidden="false" customHeight="false" outlineLevel="0" collapsed="false">
      <c r="A52" s="18" t="s">
        <v>64</v>
      </c>
      <c r="B52" s="55"/>
      <c r="K52" s="23" t="n">
        <f aca="false">+K15-K45+K40+K37+K38</f>
        <v>-8.84245814003531</v>
      </c>
      <c r="L52" s="23" t="n">
        <f aca="false">+L15-L45+L40+L37+L38</f>
        <v>39.0390498514177</v>
      </c>
      <c r="M52" s="23" t="n">
        <f aca="false">+M15-M45+M40+M37+M38</f>
        <v>86.9205578428707</v>
      </c>
      <c r="N52" s="56" t="n">
        <f aca="false">+N15-N45+N40+N37+N38</f>
        <v>101.350601347144</v>
      </c>
    </row>
    <row r="53" s="57" customFormat="true" ht="9" hidden="false" customHeight="true" outlineLevel="0" collapsed="false">
      <c r="K53" s="58"/>
      <c r="L53" s="58"/>
      <c r="M53" s="58"/>
      <c r="N53" s="15"/>
    </row>
    <row r="54" customFormat="false" ht="13" hidden="false" customHeight="false" outlineLevel="0" collapsed="false">
      <c r="A54" s="21" t="s">
        <v>65</v>
      </c>
      <c r="E54" s="0" t="n">
        <v>1</v>
      </c>
      <c r="F54" s="0" t="n">
        <v>1.1</v>
      </c>
      <c r="G54" s="0" t="n">
        <v>1.2</v>
      </c>
      <c r="H54" s="37" t="n">
        <v>1.2</v>
      </c>
      <c r="I54" s="37" t="n">
        <v>100</v>
      </c>
      <c r="J54" s="0" t="s">
        <v>31</v>
      </c>
      <c r="K54" s="23" t="n">
        <f aca="false">+E54*$I$54</f>
        <v>100</v>
      </c>
      <c r="L54" s="23" t="n">
        <f aca="false">+F54*$I$54</f>
        <v>110</v>
      </c>
      <c r="M54" s="23" t="n">
        <f aca="false">+G54*$I$54</f>
        <v>120</v>
      </c>
      <c r="N54" s="24" t="n">
        <f aca="false">+H54*$I$54</f>
        <v>120</v>
      </c>
    </row>
    <row r="55" customFormat="false" ht="13" hidden="false" customHeight="false" outlineLevel="0" collapsed="false">
      <c r="A55" s="21" t="s">
        <v>66</v>
      </c>
      <c r="H55" s="33"/>
      <c r="I55" s="33"/>
      <c r="K55" s="23"/>
      <c r="L55" s="23"/>
      <c r="M55" s="23"/>
      <c r="N55" s="15"/>
    </row>
    <row r="56" customFormat="false" ht="15" hidden="false" customHeight="false" outlineLevel="0" collapsed="false">
      <c r="A56" s="21"/>
      <c r="B56" s="0" t="s">
        <v>25</v>
      </c>
      <c r="H56" s="33"/>
      <c r="I56" s="33"/>
      <c r="K56" s="23"/>
      <c r="L56" s="23"/>
      <c r="M56" s="23"/>
      <c r="N56" s="15"/>
    </row>
    <row r="57" customFormat="false" ht="15.5" hidden="false" customHeight="false" outlineLevel="0" collapsed="false">
      <c r="A57" s="21"/>
      <c r="C57" s="0" t="s">
        <v>28</v>
      </c>
      <c r="E57" s="34" t="n">
        <f aca="false">K8*0.09</f>
        <v>5.256</v>
      </c>
      <c r="F57" s="34" t="n">
        <f aca="false">L8*0.09</f>
        <v>6.57</v>
      </c>
      <c r="G57" s="34" t="n">
        <f aca="false">M8*0.09</f>
        <v>7.884</v>
      </c>
      <c r="H57" s="35" t="n">
        <f aca="false">N8*0.09</f>
        <v>8.28</v>
      </c>
      <c r="I57" s="36" t="n">
        <f aca="false">I84/1040</f>
        <v>0.528846153846154</v>
      </c>
      <c r="J57" s="0" t="s">
        <v>27</v>
      </c>
      <c r="K57" s="23" t="n">
        <f aca="false">+$I$57*E57</f>
        <v>2.77961538461538</v>
      </c>
      <c r="L57" s="23" t="n">
        <f aca="false">+$I$57*F57</f>
        <v>3.47451923076923</v>
      </c>
      <c r="M57" s="23" t="n">
        <f aca="false">+$I$57*G57</f>
        <v>4.16942307692308</v>
      </c>
      <c r="N57" s="24" t="n">
        <f aca="false">+$I$57*H57</f>
        <v>4.37884615384615</v>
      </c>
    </row>
    <row r="58" customFormat="false" ht="15.5" hidden="false" customHeight="false" outlineLevel="0" collapsed="false">
      <c r="A58" s="21"/>
      <c r="C58" s="0" t="s">
        <v>29</v>
      </c>
      <c r="E58" s="34" t="n">
        <f aca="false">(K8*0.91)</f>
        <v>53.144</v>
      </c>
      <c r="F58" s="34" t="n">
        <f aca="false">(L8*0.91)</f>
        <v>66.43</v>
      </c>
      <c r="G58" s="34" t="n">
        <f aca="false">(M8*0.91)</f>
        <v>79.716</v>
      </c>
      <c r="H58" s="35" t="n">
        <f aca="false">(N8*0.91)</f>
        <v>83.72</v>
      </c>
      <c r="I58" s="36" t="n">
        <f aca="false">M84/1200</f>
        <v>0.333333333333333</v>
      </c>
      <c r="J58" s="0" t="s">
        <v>27</v>
      </c>
      <c r="K58" s="23" t="n">
        <f aca="false">+$I$58*E58</f>
        <v>17.7146666666667</v>
      </c>
      <c r="L58" s="23" t="n">
        <f aca="false">+$I$58*F58</f>
        <v>22.1433333333333</v>
      </c>
      <c r="M58" s="23" t="n">
        <f aca="false">+$I$58*G58</f>
        <v>26.572</v>
      </c>
      <c r="N58" s="24" t="n">
        <f aca="false">+$I$58*H58</f>
        <v>27.9066666666667</v>
      </c>
    </row>
    <row r="59" customFormat="false" ht="15" hidden="false" customHeight="false" outlineLevel="0" collapsed="false">
      <c r="B59" s="0" t="s">
        <v>39</v>
      </c>
      <c r="K59" s="23" t="n">
        <f aca="false">+$K$140</f>
        <v>1.95525</v>
      </c>
      <c r="L59" s="23" t="n">
        <f aca="false">+$K$140</f>
        <v>1.95525</v>
      </c>
      <c r="M59" s="23" t="n">
        <f aca="false">+$K$140</f>
        <v>1.95525</v>
      </c>
      <c r="N59" s="24" t="n">
        <f aca="false">+$K$140</f>
        <v>1.95525</v>
      </c>
    </row>
    <row r="60" customFormat="false" ht="15" hidden="false" customHeight="false" outlineLevel="0" collapsed="false">
      <c r="B60" s="0" t="s">
        <v>40</v>
      </c>
      <c r="K60" s="23" t="n">
        <f aca="false">+$M$140</f>
        <v>3.49</v>
      </c>
      <c r="L60" s="23" t="n">
        <f aca="false">+$M$140</f>
        <v>3.49</v>
      </c>
      <c r="M60" s="23" t="n">
        <f aca="false">+$M$140</f>
        <v>3.49</v>
      </c>
      <c r="N60" s="24" t="n">
        <f aca="false">+$M$140</f>
        <v>3.49</v>
      </c>
    </row>
    <row r="61" customFormat="false" ht="13" hidden="false" customHeight="false" outlineLevel="0" collapsed="false">
      <c r="B61" s="0" t="s">
        <v>67</v>
      </c>
      <c r="K61" s="23" t="n">
        <v>2</v>
      </c>
      <c r="L61" s="23" t="n">
        <v>2</v>
      </c>
      <c r="M61" s="23" t="n">
        <v>2</v>
      </c>
      <c r="N61" s="38" t="n">
        <v>2</v>
      </c>
    </row>
    <row r="62" customFormat="false" ht="15" hidden="false" customHeight="false" outlineLevel="0" collapsed="false">
      <c r="B62" s="0" t="s">
        <v>45</v>
      </c>
      <c r="K62" s="23" t="n">
        <v>0</v>
      </c>
      <c r="L62" s="23" t="n">
        <v>0</v>
      </c>
      <c r="M62" s="23" t="n">
        <v>0</v>
      </c>
      <c r="N62" s="38" t="n">
        <v>0</v>
      </c>
    </row>
    <row r="63" customFormat="false" ht="13" hidden="false" customHeight="false" outlineLevel="0" collapsed="false">
      <c r="A63" s="21" t="s">
        <v>68</v>
      </c>
      <c r="K63" s="23" t="n">
        <f aca="false">SUM(K57:K62)</f>
        <v>27.9395320512821</v>
      </c>
      <c r="L63" s="23" t="n">
        <f aca="false">SUM(L57:L62)</f>
        <v>33.0631025641026</v>
      </c>
      <c r="M63" s="23" t="n">
        <f aca="false">SUM(M57:M62)</f>
        <v>38.1866730769231</v>
      </c>
      <c r="N63" s="24" t="n">
        <f aca="false">SUM(N57:N62)</f>
        <v>39.7307628205128</v>
      </c>
    </row>
    <row r="64" customFormat="false" ht="13" hidden="false" customHeight="false" outlineLevel="0" collapsed="false">
      <c r="A64" s="21" t="s">
        <v>69</v>
      </c>
      <c r="K64" s="23"/>
      <c r="L64" s="23"/>
      <c r="M64" s="23"/>
      <c r="N64" s="15"/>
    </row>
    <row r="65" customFormat="false" ht="15" hidden="false" customHeight="false" outlineLevel="0" collapsed="false">
      <c r="B65" s="0" t="s">
        <v>50</v>
      </c>
      <c r="F65" s="37" t="n">
        <v>1.5</v>
      </c>
      <c r="G65" s="0" t="s">
        <v>51</v>
      </c>
      <c r="I65" s="47" t="n">
        <v>15</v>
      </c>
      <c r="J65" s="0" t="s">
        <v>70</v>
      </c>
      <c r="K65" s="23" t="n">
        <f aca="false">$F$65*$I$65</f>
        <v>22.5</v>
      </c>
      <c r="L65" s="23" t="n">
        <f aca="false">$F$65*$I$65</f>
        <v>22.5</v>
      </c>
      <c r="M65" s="23" t="n">
        <f aca="false">$F$65*$I$65</f>
        <v>22.5</v>
      </c>
      <c r="N65" s="24" t="n">
        <f aca="false">$F$65*$I$65</f>
        <v>22.5</v>
      </c>
    </row>
    <row r="66" customFormat="false" ht="15" hidden="false" customHeight="false" outlineLevel="0" collapsed="false">
      <c r="B66" s="10" t="s">
        <v>53</v>
      </c>
      <c r="F66" s="48" t="n">
        <v>0.05</v>
      </c>
      <c r="G66" s="0" t="s">
        <v>54</v>
      </c>
      <c r="K66" s="23" t="n">
        <f aca="false">$F$66*K54</f>
        <v>5</v>
      </c>
      <c r="L66" s="23" t="n">
        <f aca="false">$F$66*L54</f>
        <v>5.5</v>
      </c>
      <c r="M66" s="23" t="n">
        <f aca="false">$F$66*M54</f>
        <v>6</v>
      </c>
      <c r="N66" s="24" t="n">
        <f aca="false">$F$66*N54</f>
        <v>6</v>
      </c>
    </row>
    <row r="67" customFormat="false" ht="15" hidden="false" customHeight="false" outlineLevel="0" collapsed="false">
      <c r="B67" s="10" t="s">
        <v>71</v>
      </c>
      <c r="K67" s="23" t="n">
        <f aca="false">$I$140</f>
        <v>10.798640625</v>
      </c>
      <c r="L67" s="23" t="n">
        <f aca="false">+$I$140</f>
        <v>10.798640625</v>
      </c>
      <c r="M67" s="23" t="n">
        <f aca="false">+$I$140</f>
        <v>10.798640625</v>
      </c>
      <c r="N67" s="24" t="n">
        <f aca="false">+$I$140</f>
        <v>10.798640625</v>
      </c>
    </row>
    <row r="68" customFormat="false" ht="13" hidden="false" customHeight="false" outlineLevel="0" collapsed="false">
      <c r="A68" s="21" t="s">
        <v>57</v>
      </c>
      <c r="K68" s="23" t="n">
        <f aca="false">SUM(K65:K67)</f>
        <v>38.298640625</v>
      </c>
      <c r="L68" s="23" t="n">
        <f aca="false">SUM(L65:L67)</f>
        <v>38.798640625</v>
      </c>
      <c r="M68" s="23" t="n">
        <f aca="false">SUM(M65:M67)</f>
        <v>39.298640625</v>
      </c>
      <c r="N68" s="24" t="n">
        <f aca="false">SUM(N65:N67)</f>
        <v>39.298640625</v>
      </c>
    </row>
    <row r="69" customFormat="false" ht="13" hidden="false" customHeight="false" outlineLevel="0" collapsed="false">
      <c r="A69" s="21" t="s">
        <v>72</v>
      </c>
      <c r="K69" s="23" t="n">
        <f aca="false">+K63+K68</f>
        <v>66.2381726762821</v>
      </c>
      <c r="L69" s="23" t="n">
        <f aca="false">+L63+L68</f>
        <v>71.8617431891026</v>
      </c>
      <c r="M69" s="23" t="n">
        <f aca="false">+M63+M68</f>
        <v>77.4853137019231</v>
      </c>
      <c r="N69" s="24" t="n">
        <f aca="false">+N63+N68</f>
        <v>79.0294034455128</v>
      </c>
    </row>
    <row r="70" customFormat="false" ht="15" hidden="false" customHeight="false" outlineLevel="0" collapsed="false">
      <c r="A70" s="15" t="s">
        <v>73</v>
      </c>
      <c r="B70" s="11"/>
      <c r="C70" s="11"/>
      <c r="D70" s="11"/>
      <c r="E70" s="11"/>
      <c r="F70" s="11"/>
      <c r="G70" s="11"/>
      <c r="H70" s="11"/>
      <c r="I70" s="11"/>
      <c r="J70" s="11"/>
      <c r="K70" s="51" t="n">
        <f aca="false">+K72+K66+K65</f>
        <v>61.2618273237179</v>
      </c>
      <c r="L70" s="51" t="n">
        <f aca="false">+L72+L66+L65</f>
        <v>66.1382568108975</v>
      </c>
      <c r="M70" s="51" t="n">
        <f aca="false">+M72+M66+M65</f>
        <v>71.0146862980769</v>
      </c>
      <c r="N70" s="59" t="n">
        <f aca="false">+N72+N66+N65</f>
        <v>69.4705965544872</v>
      </c>
    </row>
    <row r="71" customFormat="false" ht="13" hidden="false" customHeight="false" outlineLevel="0" collapsed="false">
      <c r="A71" s="21" t="s">
        <v>74</v>
      </c>
      <c r="K71" s="23" t="n">
        <f aca="false">+K54-K63</f>
        <v>72.060467948718</v>
      </c>
      <c r="L71" s="23" t="n">
        <f aca="false">+L54-L63</f>
        <v>76.9368974358975</v>
      </c>
      <c r="M71" s="23" t="n">
        <f aca="false">+M54-M63</f>
        <v>81.8133269230769</v>
      </c>
      <c r="N71" s="24" t="n">
        <f aca="false">+N54-N63</f>
        <v>80.2692371794872</v>
      </c>
    </row>
    <row r="72" customFormat="false" ht="13" hidden="false" customHeight="false" outlineLevel="0" collapsed="false">
      <c r="A72" s="21" t="s">
        <v>75</v>
      </c>
      <c r="K72" s="23" t="n">
        <f aca="false">+K54-K69</f>
        <v>33.7618273237179</v>
      </c>
      <c r="L72" s="23" t="n">
        <f aca="false">+L54-L69</f>
        <v>38.1382568108974</v>
      </c>
      <c r="M72" s="23" t="n">
        <f aca="false">+M54-M69</f>
        <v>42.5146862980769</v>
      </c>
      <c r="N72" s="24" t="n">
        <f aca="false">+N54-N69</f>
        <v>40.9705965544872</v>
      </c>
    </row>
    <row r="73" s="11" customFormat="true" ht="3.75" hidden="false" customHeight="true" outlineLevel="0" collapsed="false">
      <c r="C73" s="15"/>
      <c r="K73" s="60"/>
      <c r="L73" s="60"/>
      <c r="M73" s="60"/>
    </row>
    <row r="74" customFormat="false" ht="12.5" hidden="false" customHeight="false" outlineLevel="0" collapsed="false">
      <c r="A74" s="61" t="s">
        <v>76</v>
      </c>
      <c r="B74" s="61"/>
      <c r="C74" s="61"/>
      <c r="D74" s="62"/>
      <c r="E74" s="61"/>
      <c r="F74" s="61"/>
      <c r="G74" s="61"/>
      <c r="H74" s="61"/>
      <c r="I74" s="61"/>
      <c r="J74" s="61"/>
      <c r="K74" s="61"/>
      <c r="L74" s="63"/>
      <c r="M74" s="63"/>
    </row>
    <row r="75" customFormat="false" ht="12.5" hidden="false" customHeight="false" outlineLevel="0" collapsed="false">
      <c r="B75" s="61" t="s">
        <v>77</v>
      </c>
      <c r="C75" s="61"/>
      <c r="D75" s="61"/>
      <c r="E75" s="61"/>
      <c r="F75" s="61"/>
      <c r="G75" s="61"/>
      <c r="H75" s="61"/>
      <c r="I75" s="61"/>
      <c r="J75" s="61"/>
      <c r="K75" s="61"/>
      <c r="L75" s="63"/>
      <c r="M75" s="63"/>
    </row>
    <row r="76" customFormat="false" ht="12.5" hidden="false" customHeight="false" outlineLevel="0" collapsed="false">
      <c r="A76" s="61" t="s">
        <v>78</v>
      </c>
      <c r="B76" s="61"/>
      <c r="C76" s="61"/>
      <c r="D76" s="64"/>
      <c r="E76" s="65"/>
      <c r="F76" s="61"/>
      <c r="G76" s="61"/>
      <c r="H76" s="61"/>
      <c r="I76" s="61"/>
      <c r="J76" s="61"/>
      <c r="K76" s="61"/>
      <c r="L76" s="63"/>
      <c r="M76" s="63"/>
    </row>
    <row r="77" customFormat="false" ht="12.5" hidden="false" customHeight="false" outlineLevel="0" collapsed="false">
      <c r="A77" s="61"/>
      <c r="B77" s="61" t="s">
        <v>79</v>
      </c>
      <c r="C77" s="61"/>
      <c r="D77" s="65"/>
      <c r="E77" s="65"/>
      <c r="F77" s="61"/>
      <c r="G77" s="61"/>
      <c r="H77" s="61"/>
      <c r="I77" s="61"/>
      <c r="J77" s="61"/>
      <c r="K77" s="61"/>
      <c r="L77" s="63"/>
      <c r="M77" s="63"/>
    </row>
    <row r="78" customFormat="false" ht="12.5" hidden="false" customHeight="false" outlineLevel="0" collapsed="false">
      <c r="A78" s="61" t="s">
        <v>80</v>
      </c>
      <c r="B78" s="61"/>
      <c r="C78" s="61"/>
      <c r="D78" s="66"/>
      <c r="E78" s="61"/>
      <c r="F78" s="61"/>
      <c r="G78" s="61"/>
      <c r="H78" s="61"/>
      <c r="I78" s="61"/>
      <c r="J78" s="61"/>
      <c r="K78" s="61"/>
      <c r="L78" s="63"/>
      <c r="M78" s="63"/>
    </row>
    <row r="79" customFormat="false" ht="13.5" hidden="false" customHeight="false" outlineLevel="0" collapsed="false">
      <c r="A79" s="61" t="n">
        <v>1</v>
      </c>
      <c r="B79" s="61" t="s">
        <v>81</v>
      </c>
      <c r="C79" s="61"/>
      <c r="D79" s="61"/>
      <c r="E79" s="61"/>
      <c r="F79" s="61"/>
      <c r="G79" s="61"/>
      <c r="H79" s="61"/>
      <c r="K79" s="42"/>
      <c r="L79" s="42"/>
      <c r="M79" s="42"/>
    </row>
    <row r="80" customFormat="false" ht="13.5" hidden="false" customHeight="false" outlineLevel="0" collapsed="false">
      <c r="A80" s="61" t="n">
        <v>2</v>
      </c>
      <c r="B80" s="61" t="s">
        <v>82</v>
      </c>
      <c r="C80" s="61"/>
      <c r="D80" s="61"/>
      <c r="E80" s="61"/>
      <c r="F80" s="61"/>
      <c r="G80" s="61"/>
      <c r="H80" s="61"/>
      <c r="I80" s="61"/>
      <c r="J80" s="61"/>
      <c r="K80" s="61"/>
      <c r="L80" s="63"/>
      <c r="M80" s="63"/>
    </row>
    <row r="81" customFormat="false" ht="14.5" hidden="false" customHeight="false" outlineLevel="0" collapsed="false">
      <c r="A81" s="10" t="n">
        <v>3</v>
      </c>
      <c r="B81" s="0" t="s">
        <v>83</v>
      </c>
      <c r="K81" s="42"/>
      <c r="L81" s="42"/>
      <c r="M81" s="42"/>
    </row>
    <row r="82" customFormat="false" ht="14.5" hidden="false" customHeight="false" outlineLevel="0" collapsed="false">
      <c r="A82" s="10"/>
      <c r="C82" s="0" t="s">
        <v>84</v>
      </c>
      <c r="K82" s="42"/>
      <c r="L82" s="42"/>
      <c r="M82" s="42"/>
    </row>
    <row r="83" customFormat="false" ht="14.5" hidden="false" customHeight="false" outlineLevel="0" collapsed="false">
      <c r="A83" s="10"/>
      <c r="C83" s="0" t="s">
        <v>85</v>
      </c>
      <c r="K83" s="42"/>
      <c r="L83" s="42"/>
      <c r="M83" s="42"/>
    </row>
    <row r="84" customFormat="false" ht="14.5" hidden="false" customHeight="false" outlineLevel="0" collapsed="false">
      <c r="A84" s="10"/>
      <c r="C84" s="61" t="s">
        <v>86</v>
      </c>
      <c r="D84" s="61"/>
      <c r="E84" s="61"/>
      <c r="F84" s="62" t="n">
        <v>290</v>
      </c>
      <c r="G84" s="61" t="s">
        <v>87</v>
      </c>
      <c r="H84" s="61"/>
      <c r="I84" s="62" t="n">
        <v>550</v>
      </c>
      <c r="J84" s="61" t="s">
        <v>88</v>
      </c>
      <c r="K84" s="61"/>
      <c r="L84" s="63"/>
      <c r="M84" s="67" t="n">
        <v>400</v>
      </c>
      <c r="N84" s="63" t="s">
        <v>31</v>
      </c>
    </row>
    <row r="85" customFormat="false" ht="14.5" hidden="false" customHeight="false" outlineLevel="0" collapsed="false">
      <c r="A85" s="10" t="n">
        <v>4</v>
      </c>
      <c r="B85" s="0" t="s">
        <v>89</v>
      </c>
      <c r="K85" s="42"/>
      <c r="L85" s="42"/>
      <c r="M85" s="42"/>
    </row>
    <row r="86" customFormat="false" ht="14.5" hidden="false" customHeight="false" outlineLevel="0" collapsed="false">
      <c r="A86" s="10" t="n">
        <v>5</v>
      </c>
      <c r="B86" s="10" t="s">
        <v>90</v>
      </c>
      <c r="K86" s="42"/>
      <c r="L86" s="42"/>
      <c r="M86" s="42"/>
    </row>
    <row r="87" customFormat="false" ht="14.5" hidden="false" customHeight="false" outlineLevel="0" collapsed="false">
      <c r="A87" s="10" t="n">
        <v>6</v>
      </c>
      <c r="B87" s="10" t="s">
        <v>91</v>
      </c>
      <c r="K87" s="42"/>
      <c r="L87" s="42"/>
      <c r="M87" s="42"/>
    </row>
    <row r="88" customFormat="false" ht="14.5" hidden="false" customHeight="false" outlineLevel="0" collapsed="false">
      <c r="A88" s="10" t="n">
        <v>7</v>
      </c>
      <c r="B88" s="0" t="s">
        <v>92</v>
      </c>
      <c r="K88" s="42"/>
      <c r="L88" s="42"/>
      <c r="M88" s="42"/>
    </row>
    <row r="89" customFormat="false" ht="14.5" hidden="false" customHeight="false" outlineLevel="0" collapsed="false">
      <c r="A89" s="10" t="n">
        <v>8</v>
      </c>
      <c r="B89" s="0" t="s">
        <v>93</v>
      </c>
      <c r="K89" s="42"/>
      <c r="L89" s="42"/>
      <c r="M89" s="42"/>
    </row>
    <row r="90" customFormat="false" ht="14.5" hidden="false" customHeight="false" outlineLevel="0" collapsed="false">
      <c r="A90" s="10" t="n">
        <v>9</v>
      </c>
      <c r="B90" s="0" t="s">
        <v>94</v>
      </c>
      <c r="K90" s="42"/>
      <c r="L90" s="42"/>
      <c r="M90" s="42"/>
    </row>
    <row r="91" customFormat="false" ht="14.5" hidden="false" customHeight="false" outlineLevel="0" collapsed="false">
      <c r="A91" s="10"/>
      <c r="C91" s="0" t="s">
        <v>95</v>
      </c>
      <c r="K91" s="42"/>
      <c r="L91" s="42"/>
      <c r="M91" s="42"/>
    </row>
    <row r="92" customFormat="false" ht="14.5" hidden="false" customHeight="false" outlineLevel="0" collapsed="false">
      <c r="A92" s="10" t="n">
        <v>10</v>
      </c>
      <c r="B92" s="61" t="s">
        <v>96</v>
      </c>
      <c r="K92" s="42"/>
      <c r="L92" s="42"/>
      <c r="M92" s="42"/>
    </row>
    <row r="93" customFormat="false" ht="14.5" hidden="false" customHeight="false" outlineLevel="0" collapsed="false">
      <c r="A93" s="10" t="n">
        <v>11</v>
      </c>
      <c r="B93" s="10" t="s">
        <v>97</v>
      </c>
      <c r="K93" s="42"/>
      <c r="L93" s="42"/>
      <c r="M93" s="42"/>
    </row>
    <row r="94" customFormat="false" ht="14.5" hidden="false" customHeight="false" outlineLevel="0" collapsed="false">
      <c r="A94" s="10" t="n">
        <v>12</v>
      </c>
      <c r="B94" s="10" t="s">
        <v>98</v>
      </c>
      <c r="C94" s="10"/>
      <c r="D94" s="10"/>
      <c r="E94" s="10"/>
      <c r="F94" s="10"/>
      <c r="G94" s="10"/>
      <c r="H94" s="10"/>
      <c r="K94" s="42"/>
      <c r="L94" s="42"/>
      <c r="M94" s="42"/>
    </row>
    <row r="95" customFormat="false" ht="14.5" hidden="false" customHeight="false" outlineLevel="0" collapsed="false">
      <c r="A95" s="10"/>
      <c r="B95" s="10" t="s">
        <v>99</v>
      </c>
      <c r="C95" s="10"/>
      <c r="D95" s="10"/>
      <c r="E95" s="10"/>
      <c r="F95" s="10"/>
      <c r="G95" s="10"/>
      <c r="H95" s="10"/>
      <c r="K95" s="42"/>
      <c r="L95" s="42"/>
      <c r="M95" s="42"/>
    </row>
    <row r="96" customFormat="false" ht="14.5" hidden="false" customHeight="false" outlineLevel="0" collapsed="false">
      <c r="A96" s="10" t="n">
        <v>13</v>
      </c>
      <c r="B96" s="61" t="s">
        <v>100</v>
      </c>
      <c r="C96" s="61"/>
      <c r="K96" s="42"/>
      <c r="L96" s="42"/>
      <c r="M96" s="42"/>
    </row>
    <row r="97" customFormat="false" ht="14.5" hidden="false" customHeight="false" outlineLevel="0" collapsed="false">
      <c r="A97" s="10"/>
      <c r="B97" s="61" t="s">
        <v>101</v>
      </c>
      <c r="C97" s="61"/>
      <c r="K97" s="42"/>
      <c r="L97" s="42"/>
      <c r="M97" s="42"/>
    </row>
    <row r="98" customFormat="false" ht="14.5" hidden="false" customHeight="false" outlineLevel="0" collapsed="false">
      <c r="A98" s="10"/>
      <c r="B98" s="61" t="s">
        <v>102</v>
      </c>
      <c r="C98" s="61"/>
      <c r="K98" s="42"/>
      <c r="L98" s="42"/>
      <c r="M98" s="42"/>
    </row>
    <row r="99" customFormat="false" ht="14.5" hidden="false" customHeight="false" outlineLevel="0" collapsed="false">
      <c r="A99" s="10"/>
      <c r="B99" s="61" t="s">
        <v>103</v>
      </c>
      <c r="C99" s="61"/>
      <c r="K99" s="42"/>
      <c r="L99" s="42"/>
      <c r="M99" s="42"/>
    </row>
    <row r="100" customFormat="false" ht="14.5" hidden="false" customHeight="false" outlineLevel="0" collapsed="false">
      <c r="A100" s="10"/>
      <c r="B100" s="61" t="s">
        <v>104</v>
      </c>
      <c r="K100" s="42"/>
      <c r="L100" s="42"/>
      <c r="M100" s="42"/>
    </row>
    <row r="101" customFormat="false" ht="12.5" hidden="false" customHeight="false" outlineLevel="0" collapsed="false">
      <c r="B101" s="61" t="s">
        <v>105</v>
      </c>
      <c r="C101" s="61"/>
      <c r="K101" s="42"/>
      <c r="L101" s="42"/>
      <c r="M101" s="42"/>
    </row>
    <row r="102" customFormat="false" ht="12.5" hidden="false" customHeight="false" outlineLevel="0" collapsed="false">
      <c r="B102" s="61"/>
      <c r="C102" s="61" t="s">
        <v>106</v>
      </c>
      <c r="K102" s="42"/>
      <c r="L102" s="42"/>
      <c r="M102" s="42"/>
    </row>
    <row r="103" customFormat="false" ht="13" hidden="false" customHeight="false" outlineLevel="0" collapsed="false">
      <c r="A103" s="68" t="s">
        <v>107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10"/>
    </row>
    <row r="104" customFormat="false" ht="23" hidden="false" customHeight="false" outlineLevel="0" collapsed="false">
      <c r="A104" s="61"/>
      <c r="B104" s="61"/>
      <c r="C104" s="61"/>
      <c r="D104" s="61"/>
      <c r="E104" s="69" t="s">
        <v>108</v>
      </c>
      <c r="F104" s="70" t="s">
        <v>109</v>
      </c>
      <c r="G104" s="69" t="s">
        <v>110</v>
      </c>
      <c r="H104" s="69"/>
      <c r="I104" s="70" t="s">
        <v>111</v>
      </c>
      <c r="J104" s="70" t="s">
        <v>112</v>
      </c>
      <c r="K104" s="70" t="s">
        <v>113</v>
      </c>
      <c r="L104" s="71" t="s">
        <v>114</v>
      </c>
      <c r="M104" s="70" t="s">
        <v>115</v>
      </c>
      <c r="N104" s="10"/>
    </row>
    <row r="105" customFormat="false" ht="15.75" hidden="false" customHeight="true" outlineLevel="0" collapsed="false">
      <c r="A105" s="61"/>
      <c r="B105" s="62" t="s">
        <v>116</v>
      </c>
      <c r="C105" s="62"/>
      <c r="D105" s="62"/>
      <c r="E105" s="72" t="n">
        <v>1</v>
      </c>
      <c r="F105" s="73" t="n">
        <v>50500</v>
      </c>
      <c r="G105" s="74" t="n">
        <v>1200</v>
      </c>
      <c r="H105" s="75"/>
      <c r="I105" s="76" t="n">
        <f aca="false">'machinery costs'!J3</f>
        <v>5.7167578125</v>
      </c>
      <c r="J105" s="77" t="n">
        <v>21</v>
      </c>
      <c r="K105" s="78" t="n">
        <f aca="false">0.64*E105</f>
        <v>0.64</v>
      </c>
      <c r="L105" s="79" t="n">
        <f aca="false">(G105*E105)/J105</f>
        <v>57.1428571428571</v>
      </c>
      <c r="M105" s="78" t="n">
        <v>0.74</v>
      </c>
      <c r="N105" s="10"/>
    </row>
    <row r="106" customFormat="false" ht="12.5" hidden="false" customHeight="false" outlineLevel="0" collapsed="false">
      <c r="A106" s="61"/>
      <c r="B106" s="62" t="s">
        <v>117</v>
      </c>
      <c r="C106" s="62"/>
      <c r="D106" s="62"/>
      <c r="E106" s="72" t="n">
        <v>1</v>
      </c>
      <c r="F106" s="73" t="n">
        <v>75500</v>
      </c>
      <c r="G106" s="74" t="n">
        <v>1200</v>
      </c>
      <c r="H106" s="75"/>
      <c r="I106" s="76" t="n">
        <f aca="false">'machinery costs'!J4</f>
        <v>8.5468359375</v>
      </c>
      <c r="J106" s="77" t="n">
        <v>43.27</v>
      </c>
      <c r="K106" s="78" t="n">
        <v>0.34</v>
      </c>
      <c r="L106" s="79" t="n">
        <f aca="false">(G106*E106)/J106</f>
        <v>27.7328403050612</v>
      </c>
      <c r="M106" s="78" t="n">
        <v>0.56</v>
      </c>
    </row>
    <row r="107" customFormat="false" ht="12.5" hidden="false" customHeight="false" outlineLevel="0" collapsed="false">
      <c r="A107" s="61"/>
      <c r="B107" s="62" t="s">
        <v>118</v>
      </c>
      <c r="C107" s="62"/>
      <c r="D107" s="62"/>
      <c r="E107" s="72" t="n">
        <v>2</v>
      </c>
      <c r="F107" s="73" t="n">
        <v>242500</v>
      </c>
      <c r="G107" s="74" t="n">
        <v>2000</v>
      </c>
      <c r="H107" s="75"/>
      <c r="I107" s="76" t="n">
        <f aca="false">'machinery costs'!J5</f>
        <v>16.4710546875</v>
      </c>
      <c r="J107" s="77" t="n">
        <v>44.12</v>
      </c>
      <c r="K107" s="78" t="n">
        <v>0.07</v>
      </c>
      <c r="L107" s="79" t="n">
        <f aca="false">(G107*E107)/J107</f>
        <v>90.6618313689937</v>
      </c>
      <c r="M107" s="78" t="n">
        <f aca="false">3.15*E107</f>
        <v>6.3</v>
      </c>
    </row>
    <row r="108" customFormat="false" ht="12.5" hidden="false" customHeight="false" outlineLevel="0" collapsed="false">
      <c r="A108" s="61"/>
      <c r="B108" s="62" t="s">
        <v>119</v>
      </c>
      <c r="C108" s="62"/>
      <c r="D108" s="62"/>
      <c r="E108" s="72" t="n">
        <v>1</v>
      </c>
      <c r="F108" s="73" t="n">
        <v>155000</v>
      </c>
      <c r="G108" s="74" t="n">
        <v>1200</v>
      </c>
      <c r="H108" s="75"/>
      <c r="I108" s="76" t="n">
        <f aca="false">'machinery costs'!J6</f>
        <v>16.3557291666667</v>
      </c>
      <c r="J108" s="77" t="n">
        <v>14</v>
      </c>
      <c r="K108" s="78" t="n">
        <v>0.52</v>
      </c>
      <c r="L108" s="79" t="n">
        <f aca="false">(G108*E108)/J108</f>
        <v>85.7142857142857</v>
      </c>
      <c r="M108" s="78" t="n">
        <f aca="false">2.92*E108</f>
        <v>2.92</v>
      </c>
    </row>
    <row r="109" customFormat="false" ht="12.5" hidden="false" customHeight="false" outlineLevel="0" collapsed="false">
      <c r="A109" s="61"/>
      <c r="B109" s="62" t="s">
        <v>120</v>
      </c>
      <c r="C109" s="62"/>
      <c r="D109" s="62"/>
      <c r="E109" s="72" t="n">
        <v>1</v>
      </c>
      <c r="F109" s="73" t="n">
        <v>360000</v>
      </c>
      <c r="G109" s="74" t="n">
        <v>2000</v>
      </c>
      <c r="H109" s="75"/>
      <c r="I109" s="76" t="n">
        <f aca="false">'machinery costs'!J7</f>
        <v>25.2815625</v>
      </c>
      <c r="J109" s="80" t="s">
        <v>121</v>
      </c>
      <c r="K109" s="81" t="s">
        <v>121</v>
      </c>
      <c r="L109" s="79" t="n">
        <f aca="false">L110</f>
        <v>117.647058823529</v>
      </c>
      <c r="M109" s="82" t="n">
        <f aca="false">(L109*60.06)/G109</f>
        <v>3.53294117647059</v>
      </c>
    </row>
    <row r="110" customFormat="false" ht="12.5" hidden="false" customHeight="false" outlineLevel="0" collapsed="false">
      <c r="A110" s="61"/>
      <c r="B110" s="62"/>
      <c r="C110" s="62" t="s">
        <v>122</v>
      </c>
      <c r="D110" s="62"/>
      <c r="E110" s="72" t="n">
        <v>1</v>
      </c>
      <c r="F110" s="73" t="n">
        <v>60000</v>
      </c>
      <c r="G110" s="83" t="n">
        <v>1200</v>
      </c>
      <c r="H110" s="84"/>
      <c r="I110" s="76" t="n">
        <f aca="false">'machinery costs'!J8</f>
        <v>7.02265625</v>
      </c>
      <c r="J110" s="85" t="n">
        <v>10.2</v>
      </c>
      <c r="K110" s="78" t="n">
        <f aca="false">1.49*E110</f>
        <v>1.49</v>
      </c>
      <c r="L110" s="79" t="n">
        <f aca="false">(G110*E110)/J110</f>
        <v>117.647058823529</v>
      </c>
      <c r="M110" s="82" t="n">
        <v>0.31</v>
      </c>
    </row>
    <row r="111" customFormat="false" ht="12.5" hidden="false" customHeight="false" outlineLevel="0" collapsed="false">
      <c r="A111" s="61"/>
      <c r="B111" s="62" t="s">
        <v>123</v>
      </c>
      <c r="C111" s="62"/>
      <c r="D111" s="62"/>
      <c r="E111" s="72" t="n">
        <v>2</v>
      </c>
      <c r="F111" s="73" t="n">
        <v>12000</v>
      </c>
      <c r="G111" s="74" t="n">
        <v>2000</v>
      </c>
      <c r="H111" s="75"/>
      <c r="I111" s="76" t="n">
        <f aca="false">'machinery costs'!J9</f>
        <v>0.8150625</v>
      </c>
      <c r="J111" s="85" t="n">
        <v>34</v>
      </c>
      <c r="K111" s="78" t="n">
        <f aca="false">0.12*E111</f>
        <v>0.24</v>
      </c>
      <c r="L111" s="79" t="n">
        <f aca="false">(G111*E111)/J111</f>
        <v>117.647058823529</v>
      </c>
      <c r="M111" s="82" t="n">
        <f aca="false">0.15*E111</f>
        <v>0.3</v>
      </c>
      <c r="O111" s="86"/>
    </row>
    <row r="112" customFormat="false" ht="12.5" hidden="false" customHeight="false" outlineLevel="0" collapsed="false">
      <c r="A112" s="61"/>
      <c r="B112" s="62" t="s">
        <v>124</v>
      </c>
      <c r="C112" s="62"/>
      <c r="D112" s="62"/>
      <c r="E112" s="72" t="n">
        <v>1</v>
      </c>
      <c r="F112" s="73" t="n">
        <v>70000</v>
      </c>
      <c r="G112" s="74" t="n">
        <v>2000</v>
      </c>
      <c r="H112" s="75"/>
      <c r="I112" s="76" t="n">
        <f aca="false">'machinery costs'!J10</f>
        <v>4.69</v>
      </c>
      <c r="J112" s="80" t="s">
        <v>121</v>
      </c>
      <c r="K112" s="81" t="s">
        <v>125</v>
      </c>
      <c r="L112" s="87" t="s">
        <v>121</v>
      </c>
      <c r="M112" s="82" t="n">
        <f aca="false">3.5*E112</f>
        <v>3.5</v>
      </c>
    </row>
    <row r="113" customFormat="false" ht="12.5" hidden="false" customHeight="false" outlineLevel="0" collapsed="false">
      <c r="A113" s="61"/>
      <c r="B113" s="62" t="s">
        <v>126</v>
      </c>
      <c r="C113" s="62"/>
      <c r="D113" s="62"/>
      <c r="E113" s="72" t="n">
        <v>1</v>
      </c>
      <c r="F113" s="73" t="n">
        <v>50500</v>
      </c>
      <c r="G113" s="74" t="n">
        <v>2000</v>
      </c>
      <c r="H113" s="75"/>
      <c r="I113" s="76" t="n">
        <f aca="false">'machinery costs'!J11</f>
        <v>3.3835</v>
      </c>
      <c r="J113" s="88"/>
      <c r="K113" s="78" t="n">
        <f aca="false">(L113*9.9)/1000</f>
        <v>0.582352941176471</v>
      </c>
      <c r="L113" s="82" t="n">
        <f aca="false">L109*0.5</f>
        <v>58.8235294117647</v>
      </c>
      <c r="M113" s="82" t="n">
        <v>1</v>
      </c>
    </row>
    <row r="114" customFormat="false" ht="12.5" hidden="false" customHeight="false" outlineLevel="0" collapsed="false">
      <c r="A114" s="61"/>
      <c r="B114" s="62" t="s">
        <v>127</v>
      </c>
      <c r="C114" s="62"/>
      <c r="D114" s="62"/>
      <c r="E114" s="72" t="n">
        <v>3</v>
      </c>
      <c r="F114" s="73" t="n">
        <v>274000</v>
      </c>
      <c r="G114" s="74" t="n">
        <v>2000</v>
      </c>
      <c r="H114" s="75"/>
      <c r="I114" s="76" t="n">
        <f aca="false">'machinery costs'!J12</f>
        <v>18.358</v>
      </c>
      <c r="J114" s="89" t="s">
        <v>121</v>
      </c>
      <c r="K114" s="90" t="s">
        <v>121</v>
      </c>
      <c r="L114" s="79" t="n">
        <f aca="false">L105+L107+L113+L136</f>
        <v>298.371337189671</v>
      </c>
      <c r="M114" s="82" t="n">
        <f aca="false">(L114*4.38)/G114</f>
        <v>0.653433228445379</v>
      </c>
    </row>
    <row r="115" customFormat="false" ht="12.5" hidden="false" customHeight="false" outlineLevel="0" collapsed="false">
      <c r="A115" s="61"/>
      <c r="B115" s="62" t="s">
        <v>128</v>
      </c>
      <c r="C115" s="62"/>
      <c r="D115" s="62"/>
      <c r="E115" s="72" t="n">
        <v>2</v>
      </c>
      <c r="F115" s="73" t="n">
        <v>266000</v>
      </c>
      <c r="G115" s="74" t="n">
        <v>2000</v>
      </c>
      <c r="H115" s="75"/>
      <c r="I115" s="76" t="n">
        <f aca="false">'machinery costs'!J13</f>
        <v>17.208953125</v>
      </c>
      <c r="J115" s="90" t="s">
        <v>121</v>
      </c>
      <c r="K115" s="90" t="s">
        <v>121</v>
      </c>
      <c r="L115" s="79" t="n">
        <f aca="false">L106+L111+L138</f>
        <v>210.846347573762</v>
      </c>
      <c r="M115" s="82" t="n">
        <f aca="false">(L115*4.26)/G114</f>
        <v>0.449102720332114</v>
      </c>
    </row>
    <row r="116" customFormat="false" ht="12.5" hidden="false" customHeight="false" outlineLevel="0" collapsed="false">
      <c r="A116" s="61"/>
      <c r="B116" s="91" t="s">
        <v>129</v>
      </c>
      <c r="C116" s="91"/>
      <c r="D116" s="91"/>
      <c r="E116" s="92" t="n">
        <v>1</v>
      </c>
      <c r="F116" s="93" t="n">
        <v>30000</v>
      </c>
      <c r="G116" s="94" t="n">
        <v>2000</v>
      </c>
      <c r="H116" s="95"/>
      <c r="I116" s="96" t="n">
        <f aca="false">'machinery costs'!J14</f>
        <v>2.01</v>
      </c>
      <c r="J116" s="97" t="s">
        <v>121</v>
      </c>
      <c r="K116" s="98" t="n">
        <f aca="false">0.21*E116</f>
        <v>0.21</v>
      </c>
      <c r="L116" s="99"/>
      <c r="M116" s="100" t="n">
        <f aca="false">0.05*E116</f>
        <v>0.05</v>
      </c>
      <c r="N116" s="10"/>
    </row>
    <row r="117" customFormat="false" ht="12.5" hidden="false" customHeight="false" outlineLevel="0" collapsed="false">
      <c r="A117" s="61"/>
      <c r="C117" s="61"/>
      <c r="D117" s="61"/>
      <c r="E117" s="101"/>
      <c r="F117" s="90"/>
      <c r="G117" s="90"/>
      <c r="H117" s="90"/>
      <c r="I117" s="102"/>
      <c r="J117" s="103" t="s">
        <v>130</v>
      </c>
      <c r="K117" s="104" t="n">
        <f aca="false">SUM(K105:K116)*M120</f>
        <v>9.20779411764706</v>
      </c>
      <c r="L117" s="0"/>
      <c r="M117" s="105"/>
      <c r="N117" s="10"/>
    </row>
    <row r="118" customFormat="false" ht="13" hidden="false" customHeight="false" outlineLevel="0" collapsed="false">
      <c r="A118" s="61"/>
      <c r="C118" s="106"/>
      <c r="D118" s="106" t="s">
        <v>131</v>
      </c>
      <c r="E118" s="106"/>
      <c r="F118" s="107"/>
      <c r="G118" s="107"/>
      <c r="H118" s="107"/>
      <c r="I118" s="104" t="n">
        <f aca="false">SUM(I105:I116)</f>
        <v>125.860111979167</v>
      </c>
      <c r="J118" s="103" t="s">
        <v>132</v>
      </c>
      <c r="K118" s="104" t="n">
        <f aca="false">(K117*0.1)+K117</f>
        <v>10.1285735294118</v>
      </c>
      <c r="L118" s="108" t="s">
        <v>133</v>
      </c>
      <c r="M118" s="104" t="n">
        <f aca="false">SUM(M105:M116)</f>
        <v>20.3154771252481</v>
      </c>
      <c r="N118" s="10"/>
    </row>
    <row r="119" customFormat="false" ht="12.5" hidden="false" customHeight="false" outlineLevel="0" collapsed="false">
      <c r="A119" s="61"/>
      <c r="B119" s="106"/>
      <c r="C119" s="61"/>
      <c r="D119" s="61"/>
      <c r="E119" s="61"/>
      <c r="F119" s="109"/>
      <c r="G119" s="110"/>
      <c r="H119" s="110"/>
      <c r="I119" s="111"/>
      <c r="J119" s="106"/>
      <c r="K119" s="112"/>
      <c r="L119" s="112"/>
      <c r="M119" s="112"/>
      <c r="N119" s="10"/>
    </row>
    <row r="120" customFormat="false" ht="12.5" hidden="false" customHeight="false" outlineLevel="0" collapsed="false">
      <c r="A120" s="61"/>
      <c r="B120" s="61"/>
      <c r="C120" s="106"/>
      <c r="D120" s="106"/>
      <c r="E120" s="106"/>
      <c r="F120" s="113"/>
      <c r="G120" s="113"/>
      <c r="H120" s="113"/>
      <c r="I120" s="113"/>
      <c r="J120" s="114" t="s">
        <v>134</v>
      </c>
      <c r="K120" s="114"/>
      <c r="L120" s="114"/>
      <c r="M120" s="115" t="n">
        <v>2.25</v>
      </c>
      <c r="N120" s="10"/>
    </row>
    <row r="121" customFormat="false" ht="12.5" hidden="false" customHeight="false" outlineLevel="0" collapsed="false">
      <c r="A121" s="61"/>
      <c r="B121" s="61"/>
      <c r="C121" s="106"/>
      <c r="D121" s="106"/>
      <c r="E121" s="106"/>
      <c r="F121" s="113"/>
      <c r="G121" s="113"/>
      <c r="H121" s="113"/>
      <c r="I121" s="113"/>
      <c r="J121" s="116"/>
      <c r="K121" s="116"/>
      <c r="L121" s="116"/>
      <c r="M121" s="117"/>
      <c r="N121" s="10"/>
    </row>
    <row r="122" customFormat="false" ht="12.5" hidden="false" customHeight="false" outlineLevel="0" collapsed="false">
      <c r="A122" s="61" t="s">
        <v>135</v>
      </c>
      <c r="B122" s="106"/>
      <c r="C122" s="106"/>
      <c r="D122" s="106"/>
      <c r="E122" s="106"/>
      <c r="F122" s="113"/>
      <c r="G122" s="113"/>
      <c r="H122" s="113"/>
      <c r="I122" s="113"/>
      <c r="J122" s="116"/>
      <c r="K122" s="116"/>
      <c r="L122" s="116"/>
      <c r="M122" s="117"/>
      <c r="N122" s="10"/>
    </row>
    <row r="123" customFormat="false" ht="12.5" hidden="false" customHeight="false" outlineLevel="0" collapsed="false">
      <c r="A123" s="61" t="s">
        <v>136</v>
      </c>
      <c r="B123" s="106"/>
      <c r="C123" s="106"/>
      <c r="D123" s="106"/>
      <c r="E123" s="106"/>
      <c r="F123" s="113"/>
      <c r="G123" s="113"/>
      <c r="H123" s="113"/>
      <c r="I123" s="113"/>
      <c r="J123" s="116"/>
      <c r="K123" s="116"/>
      <c r="L123" s="116"/>
      <c r="M123" s="117"/>
      <c r="N123" s="10"/>
    </row>
    <row r="124" customFormat="false" ht="13" hidden="false" customHeight="false" outlineLevel="0" collapsed="false">
      <c r="A124" s="118" t="s">
        <v>137</v>
      </c>
      <c r="B124" s="106"/>
      <c r="C124" s="106"/>
      <c r="D124" s="106"/>
      <c r="E124" s="106"/>
      <c r="F124" s="113"/>
      <c r="G124" s="113"/>
      <c r="H124" s="119"/>
      <c r="I124" s="21"/>
      <c r="J124" s="8"/>
      <c r="K124" s="8"/>
      <c r="L124" s="0"/>
      <c r="M124" s="40"/>
      <c r="N124" s="10"/>
    </row>
    <row r="125" customFormat="false" ht="12.5" hidden="false" customHeight="false" outlineLevel="0" collapsed="false">
      <c r="A125" s="61" t="s">
        <v>138</v>
      </c>
      <c r="B125" s="61"/>
      <c r="C125" s="61"/>
      <c r="D125" s="61"/>
      <c r="E125" s="61"/>
      <c r="F125" s="120"/>
      <c r="G125" s="120"/>
      <c r="H125" s="119"/>
      <c r="I125" s="10"/>
      <c r="J125" s="40"/>
      <c r="K125" s="40"/>
      <c r="L125" s="40"/>
      <c r="M125" s="40"/>
      <c r="N125" s="10"/>
    </row>
    <row r="126" customFormat="false" ht="12.5" hidden="false" customHeight="false" outlineLevel="0" collapsed="false">
      <c r="A126" s="61" t="s">
        <v>139</v>
      </c>
      <c r="B126" s="61"/>
      <c r="C126" s="61"/>
      <c r="D126" s="61"/>
      <c r="E126" s="61"/>
      <c r="F126" s="61"/>
      <c r="G126" s="61"/>
      <c r="H126" s="10"/>
      <c r="I126" s="10"/>
      <c r="J126" s="10"/>
      <c r="K126" s="10"/>
      <c r="L126" s="40"/>
      <c r="M126" s="40"/>
      <c r="N126" s="10"/>
    </row>
    <row r="127" customFormat="false" ht="12.5" hidden="false" customHeight="false" outlineLevel="0" collapsed="false">
      <c r="A127" s="61" t="s">
        <v>140</v>
      </c>
      <c r="B127" s="61"/>
      <c r="C127" s="61"/>
      <c r="D127" s="61"/>
      <c r="E127" s="65"/>
      <c r="F127" s="65"/>
      <c r="G127" s="65"/>
      <c r="H127" s="121"/>
      <c r="I127" s="121"/>
      <c r="J127" s="10"/>
      <c r="K127" s="10"/>
      <c r="L127" s="40"/>
      <c r="M127" s="40"/>
      <c r="N127" s="10"/>
    </row>
    <row r="128" customFormat="false" ht="12.5" hidden="false" customHeight="false" outlineLevel="0" collapsed="false">
      <c r="A128" s="122" t="s">
        <v>141</v>
      </c>
      <c r="B128" s="61"/>
      <c r="C128" s="122"/>
      <c r="D128" s="61"/>
      <c r="E128" s="65"/>
      <c r="F128" s="65"/>
      <c r="G128" s="65"/>
      <c r="H128" s="121"/>
      <c r="I128" s="121"/>
      <c r="J128" s="10"/>
      <c r="K128" s="10"/>
      <c r="L128" s="40"/>
      <c r="M128" s="40"/>
      <c r="N128" s="10"/>
    </row>
    <row r="129" customFormat="false" ht="12.5" hidden="false" customHeight="false" outlineLevel="0" collapsed="false">
      <c r="A129" s="10" t="s">
        <v>142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40"/>
      <c r="L129" s="40"/>
      <c r="M129" s="40"/>
      <c r="N129" s="10"/>
    </row>
    <row r="130" customFormat="false" ht="12.5" hidden="false" customHeight="false" outlineLevel="0" collapsed="false">
      <c r="A130" s="61" t="s">
        <v>143</v>
      </c>
      <c r="G130" s="10"/>
      <c r="H130" s="10"/>
      <c r="I130" s="10"/>
      <c r="K130" s="0"/>
      <c r="L130" s="0"/>
      <c r="M130" s="0"/>
    </row>
    <row r="131" customFormat="false" ht="12.5" hidden="false" customHeight="false" outlineLevel="0" collapsed="false">
      <c r="A131" s="10" t="s">
        <v>144</v>
      </c>
      <c r="G131" s="10"/>
      <c r="H131" s="10"/>
      <c r="K131" s="0"/>
      <c r="L131" s="0"/>
      <c r="M131" s="0"/>
    </row>
    <row r="132" customFormat="false" ht="12.5" hidden="false" customHeight="false" outlineLevel="0" collapsed="false">
      <c r="A132" s="61" t="s">
        <v>145</v>
      </c>
      <c r="B132" s="61"/>
      <c r="C132" s="61"/>
      <c r="D132" s="61"/>
      <c r="G132" s="10"/>
      <c r="H132" s="10"/>
      <c r="K132" s="0"/>
      <c r="L132" s="0"/>
      <c r="M132" s="0"/>
    </row>
    <row r="133" customFormat="false" ht="12.5" hidden="false" customHeight="false" outlineLevel="0" collapsed="false">
      <c r="A133" s="61" t="s">
        <v>146</v>
      </c>
      <c r="B133" s="61"/>
      <c r="C133" s="61"/>
      <c r="D133" s="61"/>
      <c r="G133" s="10"/>
      <c r="H133" s="10"/>
      <c r="K133" s="0"/>
      <c r="L133" s="0"/>
      <c r="M133" s="0"/>
    </row>
    <row r="134" customFormat="false" ht="13" hidden="false" customHeight="false" outlineLevel="0" collapsed="false">
      <c r="A134" s="68" t="s">
        <v>147</v>
      </c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10"/>
    </row>
    <row r="135" customFormat="false" ht="25.5" hidden="false" customHeight="true" outlineLevel="0" collapsed="false">
      <c r="A135" s="10"/>
      <c r="B135" s="10"/>
      <c r="C135" s="10"/>
      <c r="D135" s="10"/>
      <c r="E135" s="123" t="s">
        <v>108</v>
      </c>
      <c r="F135" s="124" t="s">
        <v>148</v>
      </c>
      <c r="G135" s="125" t="s">
        <v>110</v>
      </c>
      <c r="H135" s="125"/>
      <c r="I135" s="126" t="s">
        <v>111</v>
      </c>
      <c r="J135" s="126" t="s">
        <v>112</v>
      </c>
      <c r="K135" s="126" t="s">
        <v>113</v>
      </c>
      <c r="L135" s="127" t="s">
        <v>149</v>
      </c>
      <c r="M135" s="126" t="s">
        <v>115</v>
      </c>
      <c r="N135" s="10"/>
    </row>
    <row r="136" customFormat="false" ht="12.5" hidden="false" customHeight="false" outlineLevel="0" collapsed="false">
      <c r="A136" s="10"/>
      <c r="B136" s="86" t="s">
        <v>150</v>
      </c>
      <c r="C136" s="86"/>
      <c r="D136" s="86"/>
      <c r="E136" s="128" t="n">
        <v>1</v>
      </c>
      <c r="F136" s="73" t="n">
        <v>27500</v>
      </c>
      <c r="G136" s="72" t="n">
        <v>400</v>
      </c>
      <c r="H136" s="90"/>
      <c r="I136" s="76" t="n">
        <f aca="false">'machinery costs'!J18</f>
        <v>9.466015625</v>
      </c>
      <c r="J136" s="77" t="n">
        <v>4.36</v>
      </c>
      <c r="K136" s="78" t="n">
        <f aca="false">0.4*E136</f>
        <v>0.4</v>
      </c>
      <c r="L136" s="79" t="n">
        <f aca="false">(G136*E136)/J136</f>
        <v>91.743119266055</v>
      </c>
      <c r="M136" s="78" t="n">
        <f aca="false">3.18*E136</f>
        <v>3.18</v>
      </c>
    </row>
    <row r="137" customFormat="false" ht="12.5" hidden="false" customHeight="false" outlineLevel="0" collapsed="false">
      <c r="A137" s="10"/>
      <c r="B137" s="86" t="s">
        <v>151</v>
      </c>
      <c r="C137" s="86"/>
      <c r="D137" s="86"/>
      <c r="E137" s="128" t="n">
        <v>1</v>
      </c>
      <c r="F137" s="73" t="n">
        <v>8000</v>
      </c>
      <c r="G137" s="72" t="n">
        <v>400</v>
      </c>
      <c r="H137" s="90"/>
      <c r="I137" s="76" t="n">
        <f aca="false">'machinery costs'!J19</f>
        <v>0.690083333333333</v>
      </c>
      <c r="J137" s="77" t="n">
        <v>4.4</v>
      </c>
      <c r="K137" s="78" t="n">
        <f aca="false">0.1*E137</f>
        <v>0.1</v>
      </c>
      <c r="L137" s="79" t="n">
        <f aca="false">L136</f>
        <v>91.743119266055</v>
      </c>
      <c r="M137" s="78" t="n">
        <f aca="false">0.1*E137</f>
        <v>0.1</v>
      </c>
    </row>
    <row r="138" customFormat="false" ht="12.5" hidden="false" customHeight="false" outlineLevel="0" collapsed="false">
      <c r="A138" s="55"/>
      <c r="B138" s="129" t="s">
        <v>152</v>
      </c>
      <c r="C138" s="129"/>
      <c r="D138" s="129"/>
      <c r="E138" s="130" t="n">
        <v>1</v>
      </c>
      <c r="F138" s="131" t="n">
        <v>7000</v>
      </c>
      <c r="G138" s="92" t="n">
        <v>400</v>
      </c>
      <c r="H138" s="132"/>
      <c r="I138" s="96" t="n">
        <f aca="false">'machinery costs'!J20</f>
        <v>0.642541666666667</v>
      </c>
      <c r="J138" s="133" t="n">
        <v>6.11</v>
      </c>
      <c r="K138" s="100" t="n">
        <f aca="false">0.29*E138</f>
        <v>0.29</v>
      </c>
      <c r="L138" s="134" t="n">
        <f aca="false">(G138*E138)/J138</f>
        <v>65.4664484451719</v>
      </c>
      <c r="M138" s="100" t="n">
        <f aca="false">0.21*E138</f>
        <v>0.21</v>
      </c>
    </row>
    <row r="139" customFormat="false" ht="12.5" hidden="false" customHeight="false" outlineLevel="0" collapsed="false">
      <c r="A139" s="10"/>
      <c r="E139" s="6"/>
      <c r="F139" s="135"/>
      <c r="I139" s="103"/>
      <c r="J139" s="103" t="s">
        <v>130</v>
      </c>
      <c r="K139" s="104" t="n">
        <f aca="false">SUM(K136:K138)*M120</f>
        <v>1.7775</v>
      </c>
      <c r="L139" s="81"/>
      <c r="M139" s="63"/>
    </row>
    <row r="140" customFormat="false" ht="12.5" hidden="false" customHeight="false" outlineLevel="0" collapsed="false">
      <c r="A140" s="10"/>
      <c r="D140" s="136" t="s">
        <v>131</v>
      </c>
      <c r="E140" s="136"/>
      <c r="F140" s="136"/>
      <c r="G140" s="136"/>
      <c r="H140" s="136"/>
      <c r="I140" s="104" t="n">
        <f aca="false">SUM(I136:I138)</f>
        <v>10.798640625</v>
      </c>
      <c r="J140" s="103" t="s">
        <v>132</v>
      </c>
      <c r="K140" s="104" t="n">
        <f aca="false">(K139*0.1)+K139</f>
        <v>1.95525</v>
      </c>
      <c r="L140" s="137" t="s">
        <v>133</v>
      </c>
      <c r="M140" s="104" t="n">
        <f aca="false">SUM(M136:M138)</f>
        <v>3.49</v>
      </c>
    </row>
    <row r="141" customFormat="false" ht="13" hidden="false" customHeight="false" outlineLevel="0" collapsed="false">
      <c r="A141" s="61" t="s">
        <v>153</v>
      </c>
      <c r="B141" s="10"/>
      <c r="C141" s="10"/>
      <c r="I141" s="21"/>
      <c r="J141" s="138"/>
      <c r="K141" s="8"/>
      <c r="L141" s="0"/>
      <c r="M141" s="40"/>
    </row>
    <row r="142" customFormat="false" ht="13" hidden="false" customHeight="false" outlineLevel="0" collapsed="false">
      <c r="A142" s="0" t="s">
        <v>154</v>
      </c>
      <c r="B142" s="21"/>
      <c r="C142" s="21"/>
      <c r="D142" s="21"/>
      <c r="E142" s="21"/>
      <c r="F142" s="139"/>
      <c r="G142" s="119"/>
      <c r="H142" s="119"/>
      <c r="I142" s="140"/>
      <c r="J142" s="140"/>
      <c r="K142" s="140"/>
      <c r="L142" s="141"/>
      <c r="M142" s="40"/>
    </row>
    <row r="145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1" customFormat="false" ht="13" hidden="false" customHeight="false" outlineLevel="0" collapsed="false"/>
  </sheetData>
  <mergeCells count="10">
    <mergeCell ref="M4:N4"/>
    <mergeCell ref="A6:D6"/>
    <mergeCell ref="F6:G6"/>
    <mergeCell ref="I6:J6"/>
    <mergeCell ref="K6:M6"/>
    <mergeCell ref="I7:J7"/>
    <mergeCell ref="A103:M103"/>
    <mergeCell ref="J120:L120"/>
    <mergeCell ref="A134:M134"/>
    <mergeCell ref="D140:H140"/>
  </mergeCells>
  <printOptions headings="false" gridLines="false" gridLinesSet="true" horizontalCentered="true" verticalCentered="false"/>
  <pageMargins left="0.5" right="0.5" top="0.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73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20" activeCellId="0" sqref="E20"/>
    </sheetView>
  </sheetViews>
  <sheetFormatPr defaultRowHeight="12.5"/>
  <cols>
    <col collapsed="false" hidden="false" max="1" min="1" style="0" width="3.64285714285714"/>
    <col collapsed="false" hidden="false" max="2" min="2" style="0" width="19.0357142857143"/>
    <col collapsed="false" hidden="false" max="3" min="3" style="0" width="13.6326530612245"/>
    <col collapsed="false" hidden="false" max="4" min="4" style="0" width="13.9030612244898"/>
    <col collapsed="false" hidden="false" max="5" min="5" style="0" width="11.0714285714286"/>
    <col collapsed="false" hidden="false" max="6" min="6" style="0" width="13.7704081632653"/>
    <col collapsed="false" hidden="false" max="7" min="7" style="0" width="8.50510204081633"/>
    <col collapsed="false" hidden="false" max="9" min="8" style="0" width="10.9336734693878"/>
    <col collapsed="false" hidden="false" max="1025" min="10" style="0" width="8.50510204081633"/>
  </cols>
  <sheetData>
    <row r="1" customFormat="false" ht="13" hidden="false" customHeight="false" outlineLevel="0" collapsed="false">
      <c r="D1" s="21" t="s">
        <v>155</v>
      </c>
    </row>
    <row r="2" customFormat="false" ht="17.25" hidden="false" customHeight="true" outlineLevel="0" collapsed="false">
      <c r="A2" s="61" t="s">
        <v>156</v>
      </c>
      <c r="B2" s="61"/>
      <c r="C2" s="70" t="s">
        <v>157</v>
      </c>
      <c r="D2" s="70" t="s">
        <v>158</v>
      </c>
      <c r="E2" s="70" t="s">
        <v>159</v>
      </c>
      <c r="F2" s="70" t="s">
        <v>160</v>
      </c>
      <c r="G2" s="70" t="s">
        <v>161</v>
      </c>
      <c r="H2" s="70" t="s">
        <v>162</v>
      </c>
      <c r="I2" s="70" t="s">
        <v>163</v>
      </c>
      <c r="J2" s="70" t="s">
        <v>164</v>
      </c>
    </row>
    <row r="3" customFormat="false" ht="12.5" hidden="false" customHeight="false" outlineLevel="0" collapsed="false">
      <c r="A3" s="62" t="s">
        <v>116</v>
      </c>
      <c r="B3" s="62"/>
      <c r="C3" s="142" t="n">
        <f aca="false">(wheat!F105+(wheat!F105*0.34)+D3)/2</f>
        <v>35918.125</v>
      </c>
      <c r="D3" s="142" t="n">
        <f aca="false">(wheat!F105-(wheat!F105*0.34))/8</f>
        <v>4166.25</v>
      </c>
      <c r="E3" s="142" t="n">
        <f aca="false">0.06*C3</f>
        <v>2155.0875</v>
      </c>
      <c r="F3" s="142" t="n">
        <f aca="false">0.005*C3</f>
        <v>179.590625</v>
      </c>
      <c r="G3" s="142" t="n">
        <f aca="false">0.01*C3</f>
        <v>359.18125</v>
      </c>
      <c r="H3" s="143" t="n">
        <f aca="false">SUM(D3:G3)</f>
        <v>6860.109375</v>
      </c>
      <c r="I3" s="143" t="n">
        <f aca="false">wheat!G105</f>
        <v>1200</v>
      </c>
      <c r="J3" s="144" t="n">
        <f aca="false">H3/I3</f>
        <v>5.7167578125</v>
      </c>
    </row>
    <row r="4" customFormat="false" ht="12.5" hidden="false" customHeight="false" outlineLevel="0" collapsed="false">
      <c r="A4" s="62" t="s">
        <v>165</v>
      </c>
      <c r="B4" s="62"/>
      <c r="C4" s="51" t="n">
        <f aca="false">(wheat!F106+(wheat!F106*0.34)+D4)/2</f>
        <v>53699.375</v>
      </c>
      <c r="D4" s="51" t="n">
        <f aca="false">(wheat!F106-(wheat!F106*0.34))/8</f>
        <v>6228.75</v>
      </c>
      <c r="E4" s="51" t="n">
        <f aca="false">0.06*C4</f>
        <v>3221.9625</v>
      </c>
      <c r="F4" s="51" t="n">
        <f aca="false">0.005*C4</f>
        <v>268.496875</v>
      </c>
      <c r="G4" s="51" t="n">
        <f aca="false">0.01*C4</f>
        <v>536.99375</v>
      </c>
      <c r="H4" s="88" t="n">
        <f aca="false">SUM(D4:G4)</f>
        <v>10256.203125</v>
      </c>
      <c r="I4" s="88" t="n">
        <f aca="false">wheat!G106</f>
        <v>1200</v>
      </c>
      <c r="J4" s="145" t="n">
        <f aca="false">H4/I4</f>
        <v>8.5468359375</v>
      </c>
    </row>
    <row r="5" customFormat="false" ht="12.5" hidden="false" customHeight="false" outlineLevel="0" collapsed="false">
      <c r="A5" s="62" t="s">
        <v>118</v>
      </c>
      <c r="B5" s="62"/>
      <c r="C5" s="51" t="n">
        <f aca="false">(wheat!F107+(wheat!F107*0.34)+D5)/2</f>
        <v>172478.125</v>
      </c>
      <c r="D5" s="51" t="n">
        <f aca="false">(wheat!F107-(wheat!F107*0.34))/8</f>
        <v>20006.25</v>
      </c>
      <c r="E5" s="51" t="n">
        <f aca="false">0.06*C5</f>
        <v>10348.6875</v>
      </c>
      <c r="F5" s="51" t="n">
        <f aca="false">0.005*C5</f>
        <v>862.390625</v>
      </c>
      <c r="G5" s="51" t="n">
        <f aca="false">0.01*C5</f>
        <v>1724.78125</v>
      </c>
      <c r="H5" s="88" t="n">
        <f aca="false">SUM(D5:G5)</f>
        <v>32942.109375</v>
      </c>
      <c r="I5" s="88" t="n">
        <f aca="false">wheat!G107</f>
        <v>2000</v>
      </c>
      <c r="J5" s="145" t="n">
        <f aca="false">H5/I5</f>
        <v>16.4710546875</v>
      </c>
    </row>
    <row r="6" customFormat="false" ht="12.5" hidden="false" customHeight="false" outlineLevel="0" collapsed="false">
      <c r="A6" s="62" t="s">
        <v>166</v>
      </c>
      <c r="B6" s="62"/>
      <c r="C6" s="51" t="n">
        <f aca="false">(wheat!F108+(wheat!F108*0.44)+D6)/2</f>
        <v>117025</v>
      </c>
      <c r="D6" s="51" t="n">
        <f aca="false">(wheat!F108-(wheat!F108*0.44))/8</f>
        <v>10850</v>
      </c>
      <c r="E6" s="51" t="n">
        <f aca="false">0.06*C6</f>
        <v>7021.5</v>
      </c>
      <c r="F6" s="51" t="n">
        <f aca="false">0.005*C6</f>
        <v>585.125</v>
      </c>
      <c r="G6" s="51" t="n">
        <f aca="false">0.01*C6</f>
        <v>1170.25</v>
      </c>
      <c r="H6" s="88" t="n">
        <f aca="false">SUM(D6:G6)</f>
        <v>19626.875</v>
      </c>
      <c r="I6" s="88" t="n">
        <f aca="false">wheat!G108</f>
        <v>1200</v>
      </c>
      <c r="J6" s="145" t="n">
        <f aca="false">H6/I6</f>
        <v>16.3557291666667</v>
      </c>
    </row>
    <row r="7" customFormat="false" ht="12.5" hidden="false" customHeight="false" outlineLevel="0" collapsed="false">
      <c r="A7" s="62" t="s">
        <v>167</v>
      </c>
      <c r="B7" s="62"/>
      <c r="C7" s="51" t="n">
        <f aca="false">(wheat!F109+(wheat!F109*0.29)+D7)/2</f>
        <v>248175</v>
      </c>
      <c r="D7" s="51" t="n">
        <f aca="false">(wheat!F109-(wheat!F109*0.29))/8</f>
        <v>31950</v>
      </c>
      <c r="E7" s="51" t="n">
        <f aca="false">0.06*C7</f>
        <v>14890.5</v>
      </c>
      <c r="F7" s="51" t="n">
        <f aca="false">0.005*C7</f>
        <v>1240.875</v>
      </c>
      <c r="G7" s="51" t="n">
        <f aca="false">0.01*C7</f>
        <v>2481.75</v>
      </c>
      <c r="H7" s="88" t="n">
        <f aca="false">SUM(D7:G7)</f>
        <v>50563.125</v>
      </c>
      <c r="I7" s="88" t="n">
        <f aca="false">wheat!G109</f>
        <v>2000</v>
      </c>
      <c r="J7" s="145" t="n">
        <f aca="false">H7/I7</f>
        <v>25.2815625</v>
      </c>
    </row>
    <row r="8" customFormat="false" ht="12.5" hidden="false" customHeight="false" outlineLevel="0" collapsed="false">
      <c r="A8" s="62"/>
      <c r="B8" s="62" t="s">
        <v>168</v>
      </c>
      <c r="C8" s="51" t="n">
        <f aca="false">(wheat!F110+(wheat!F110*0.29)+D8)/2</f>
        <v>41362.5</v>
      </c>
      <c r="D8" s="51" t="n">
        <f aca="false">(wheat!F110-(wheat!F110*0.29))/8</f>
        <v>5325</v>
      </c>
      <c r="E8" s="51" t="n">
        <f aca="false">0.06*C8</f>
        <v>2481.75</v>
      </c>
      <c r="F8" s="51" t="n">
        <f aca="false">0.005*C8</f>
        <v>206.8125</v>
      </c>
      <c r="G8" s="51" t="n">
        <f aca="false">0.01*C8</f>
        <v>413.625</v>
      </c>
      <c r="H8" s="88" t="n">
        <f aca="false">SUM(D8:G8)</f>
        <v>8427.1875</v>
      </c>
      <c r="I8" s="88" t="n">
        <f aca="false">wheat!G110</f>
        <v>1200</v>
      </c>
      <c r="J8" s="145" t="n">
        <f aca="false">H8/I8</f>
        <v>7.02265625</v>
      </c>
    </row>
    <row r="9" customFormat="false" ht="12.5" hidden="false" customHeight="false" outlineLevel="0" collapsed="false">
      <c r="A9" s="62" t="s">
        <v>123</v>
      </c>
      <c r="B9" s="62"/>
      <c r="C9" s="51" t="n">
        <f aca="false">(wheat!F111+(wheat!F111*0.34)+D9)/2</f>
        <v>8535</v>
      </c>
      <c r="D9" s="51" t="n">
        <f aca="false">(wheat!F111-(wheat!F111*0.34))/8</f>
        <v>990</v>
      </c>
      <c r="E9" s="51" t="n">
        <f aca="false">0.06*C9</f>
        <v>512.1</v>
      </c>
      <c r="F9" s="51" t="n">
        <f aca="false">0.005*C9</f>
        <v>42.675</v>
      </c>
      <c r="G9" s="51" t="n">
        <f aca="false">0.01*C9</f>
        <v>85.35</v>
      </c>
      <c r="H9" s="88" t="n">
        <f aca="false">SUM(D9:G9)</f>
        <v>1630.125</v>
      </c>
      <c r="I9" s="88" t="n">
        <f aca="false">wheat!G111</f>
        <v>2000</v>
      </c>
      <c r="J9" s="145" t="n">
        <f aca="false">H9/I9</f>
        <v>0.8150625</v>
      </c>
    </row>
    <row r="10" customFormat="false" ht="12.5" hidden="false" customHeight="false" outlineLevel="0" collapsed="false">
      <c r="A10" s="62" t="s">
        <v>124</v>
      </c>
      <c r="B10" s="62"/>
      <c r="C10" s="51" t="n">
        <f aca="false">(wheat!F112+(wheat!F112*0.36)+D10)/2</f>
        <v>50400</v>
      </c>
      <c r="D10" s="51" t="n">
        <f aca="false">(wheat!F112-(wheat!F112*0.36))/8</f>
        <v>5600</v>
      </c>
      <c r="E10" s="51" t="n">
        <f aca="false">0.06*C10</f>
        <v>3024</v>
      </c>
      <c r="F10" s="51" t="n">
        <f aca="false">0.005*C10</f>
        <v>252</v>
      </c>
      <c r="G10" s="51" t="n">
        <f aca="false">0.01*C10</f>
        <v>504</v>
      </c>
      <c r="H10" s="88" t="n">
        <f aca="false">SUM(D10:G10)</f>
        <v>9380</v>
      </c>
      <c r="I10" s="88" t="n">
        <f aca="false">wheat!G112</f>
        <v>2000</v>
      </c>
      <c r="J10" s="145" t="n">
        <f aca="false">H10/I10</f>
        <v>4.69</v>
      </c>
    </row>
    <row r="11" customFormat="false" ht="12.5" hidden="false" customHeight="false" outlineLevel="0" collapsed="false">
      <c r="A11" s="62" t="s">
        <v>126</v>
      </c>
      <c r="B11" s="62"/>
      <c r="C11" s="51" t="n">
        <f aca="false">(wheat!F113+(wheat!F113*0.36)+D11)/2</f>
        <v>36360</v>
      </c>
      <c r="D11" s="51" t="n">
        <f aca="false">(wheat!F113-(wheat!F113*0.36))/8</f>
        <v>4040</v>
      </c>
      <c r="E11" s="51" t="n">
        <f aca="false">0.06*C11</f>
        <v>2181.6</v>
      </c>
      <c r="F11" s="51" t="n">
        <f aca="false">0.005*C11</f>
        <v>181.8</v>
      </c>
      <c r="G11" s="51" t="n">
        <f aca="false">0.01*C11</f>
        <v>363.6</v>
      </c>
      <c r="H11" s="88" t="n">
        <f aca="false">SUM(D11:G11)</f>
        <v>6767</v>
      </c>
      <c r="I11" s="88" t="n">
        <f aca="false">wheat!G113</f>
        <v>2000</v>
      </c>
      <c r="J11" s="145" t="n">
        <f aca="false">H11/I11</f>
        <v>3.3835</v>
      </c>
    </row>
    <row r="12" customFormat="false" ht="12.5" hidden="false" customHeight="false" outlineLevel="0" collapsed="false">
      <c r="A12" s="62" t="s">
        <v>128</v>
      </c>
      <c r="B12" s="62"/>
      <c r="C12" s="51" t="n">
        <f aca="false">(wheat!F114+(wheat!F114*0.36)+D12)/2</f>
        <v>197280</v>
      </c>
      <c r="D12" s="51" t="n">
        <f aca="false">(wheat!F114-(wheat!F114*0.36))/8</f>
        <v>21920</v>
      </c>
      <c r="E12" s="51" t="n">
        <f aca="false">0.06*C12</f>
        <v>11836.8</v>
      </c>
      <c r="F12" s="51" t="n">
        <f aca="false">0.005*C12</f>
        <v>986.4</v>
      </c>
      <c r="G12" s="51" t="n">
        <f aca="false">0.01*C12</f>
        <v>1972.8</v>
      </c>
      <c r="H12" s="88" t="n">
        <f aca="false">SUM(D12:G12)</f>
        <v>36716</v>
      </c>
      <c r="I12" s="88" t="n">
        <f aca="false">wheat!G114</f>
        <v>2000</v>
      </c>
      <c r="J12" s="145" t="n">
        <f aca="false">H12/I12</f>
        <v>18.358</v>
      </c>
    </row>
    <row r="13" customFormat="false" ht="12.5" hidden="false" customHeight="false" outlineLevel="0" collapsed="false">
      <c r="A13" s="62" t="s">
        <v>169</v>
      </c>
      <c r="B13" s="62"/>
      <c r="C13" s="51" t="n">
        <f aca="false">(wheat!F115+(wheat!F115*0.41)+D13)/2</f>
        <v>197338.75</v>
      </c>
      <c r="D13" s="51" t="n">
        <f aca="false">(wheat!F115-(wheat!F115*0.41))/8</f>
        <v>19617.5</v>
      </c>
      <c r="E13" s="51" t="n">
        <f aca="false">0.06*C13</f>
        <v>11840.325</v>
      </c>
      <c r="F13" s="51" t="n">
        <f aca="false">0.005*C13</f>
        <v>986.69375</v>
      </c>
      <c r="G13" s="51" t="n">
        <f aca="false">0.01*C13</f>
        <v>1973.3875</v>
      </c>
      <c r="H13" s="88" t="n">
        <f aca="false">SUM(D13:G13)</f>
        <v>34417.90625</v>
      </c>
      <c r="I13" s="88" t="n">
        <f aca="false">wheat!G115</f>
        <v>2000</v>
      </c>
      <c r="J13" s="145" t="n">
        <f aca="false">H13/I13</f>
        <v>17.208953125</v>
      </c>
    </row>
    <row r="14" customFormat="false" ht="12.5" hidden="false" customHeight="false" outlineLevel="0" collapsed="false">
      <c r="A14" s="91" t="s">
        <v>129</v>
      </c>
      <c r="B14" s="91"/>
      <c r="C14" s="53" t="n">
        <f aca="false">(wheat!F116+(wheat!F116*0.36)+D14)/2</f>
        <v>21600</v>
      </c>
      <c r="D14" s="53" t="n">
        <f aca="false">(wheat!F116-(wheat!F116*0.36))/8</f>
        <v>2400</v>
      </c>
      <c r="E14" s="53" t="n">
        <f aca="false">0.06*C14</f>
        <v>1296</v>
      </c>
      <c r="F14" s="53" t="n">
        <f aca="false">0.005*C14</f>
        <v>108</v>
      </c>
      <c r="G14" s="53" t="n">
        <f aca="false">0.01*C14</f>
        <v>216</v>
      </c>
      <c r="H14" s="146" t="n">
        <f aca="false">SUM(D14:G14)</f>
        <v>4020</v>
      </c>
      <c r="I14" s="146" t="n">
        <f aca="false">wheat!G116</f>
        <v>2000</v>
      </c>
      <c r="J14" s="147" t="n">
        <f aca="false">H14/I14</f>
        <v>2.01</v>
      </c>
    </row>
    <row r="15" customFormat="false" ht="12.5" hidden="false" customHeight="false" outlineLevel="0" collapsed="false">
      <c r="D15" s="23" t="n">
        <f aca="false">SUM(D3:D14)</f>
        <v>133093.75</v>
      </c>
      <c r="E15" s="23" t="n">
        <f aca="false">SUM(E3:E14)</f>
        <v>70810.3125</v>
      </c>
      <c r="F15" s="23" t="n">
        <f aca="false">SUM(F3:F14)</f>
        <v>5900.859375</v>
      </c>
      <c r="G15" s="23" t="n">
        <f aca="false">SUM(G3:G14)</f>
        <v>11801.71875</v>
      </c>
      <c r="H15" s="23" t="n">
        <f aca="false">SUM(H3:H14)</f>
        <v>221606.640625</v>
      </c>
    </row>
    <row r="16" customFormat="false" ht="13" hidden="false" customHeight="false" outlineLevel="0" collapsed="false">
      <c r="D16" s="21" t="s">
        <v>170</v>
      </c>
    </row>
    <row r="17" customFormat="false" ht="12.5" hidden="false" customHeight="false" outlineLevel="0" collapsed="false">
      <c r="A17" s="148" t="s">
        <v>156</v>
      </c>
      <c r="B17" s="61"/>
      <c r="C17" s="61" t="s">
        <v>157</v>
      </c>
      <c r="D17" s="149" t="s">
        <v>158</v>
      </c>
      <c r="E17" s="150" t="s">
        <v>159</v>
      </c>
      <c r="F17" s="149" t="s">
        <v>160</v>
      </c>
      <c r="G17" s="149" t="s">
        <v>161</v>
      </c>
      <c r="H17" s="149" t="s">
        <v>162</v>
      </c>
      <c r="I17" s="149" t="s">
        <v>163</v>
      </c>
      <c r="J17" s="149" t="s">
        <v>164</v>
      </c>
    </row>
    <row r="18" customFormat="false" ht="15" hidden="false" customHeight="true" outlineLevel="0" collapsed="false">
      <c r="A18" s="151" t="s">
        <v>150</v>
      </c>
      <c r="B18" s="151"/>
      <c r="C18" s="142" t="n">
        <f aca="false">(wheat!F136+(wheat!F136*0.32)+D18)/2</f>
        <v>19318.75</v>
      </c>
      <c r="D18" s="142" t="n">
        <f aca="false">(wheat!F136-(wheat!F136*0.32))/8</f>
        <v>2337.5</v>
      </c>
      <c r="E18" s="142" t="n">
        <f aca="false">0.06*C18</f>
        <v>1159.125</v>
      </c>
      <c r="F18" s="142" t="n">
        <f aca="false">0.005*C18</f>
        <v>96.59375</v>
      </c>
      <c r="G18" s="142" t="n">
        <f aca="false">0.01*C18</f>
        <v>193.1875</v>
      </c>
      <c r="H18" s="152" t="n">
        <f aca="false">SUM(D18:G18)</f>
        <v>3786.40625</v>
      </c>
      <c r="I18" s="152" t="n">
        <f aca="false">wheat!G136</f>
        <v>400</v>
      </c>
      <c r="J18" s="144" t="n">
        <f aca="false">H18/I18</f>
        <v>9.466015625</v>
      </c>
    </row>
    <row r="19" customFormat="false" ht="12.5" hidden="false" customHeight="false" outlineLevel="0" collapsed="false">
      <c r="A19" s="153" t="s">
        <v>151</v>
      </c>
      <c r="B19" s="153"/>
      <c r="C19" s="51" t="n">
        <f aca="false">(wheat!F137+(wheat!F137*0.41)+D19)/2</f>
        <v>5935</v>
      </c>
      <c r="D19" s="51" t="n">
        <f aca="false">(wheat!F137-(wheat!F137*0.41))/8</f>
        <v>590</v>
      </c>
      <c r="E19" s="51" t="n">
        <f aca="false">0.06*C19</f>
        <v>356.1</v>
      </c>
      <c r="F19" s="51" t="n">
        <f aca="false">0.005*C19</f>
        <v>29.675</v>
      </c>
      <c r="G19" s="51" t="n">
        <f aca="false">0.01*C19</f>
        <v>59.35</v>
      </c>
      <c r="H19" s="154" t="n">
        <f aca="false">SUM(D19:G19)</f>
        <v>1035.125</v>
      </c>
      <c r="I19" s="154" t="n">
        <f aca="false">wheat!G137</f>
        <v>400</v>
      </c>
      <c r="J19" s="145" t="n">
        <f aca="false">H19/1500</f>
        <v>0.690083333333333</v>
      </c>
    </row>
    <row r="20" customFormat="false" ht="12.5" hidden="false" customHeight="false" outlineLevel="0" collapsed="false">
      <c r="A20" s="129" t="s">
        <v>152</v>
      </c>
      <c r="B20" s="129"/>
      <c r="C20" s="53" t="n">
        <f aca="false">(wheat!F138+(wheat!F138*0.32)+D20)/2</f>
        <v>4917.5</v>
      </c>
      <c r="D20" s="53" t="n">
        <f aca="false">(wheat!F138-(wheat!F138*0.32))/8</f>
        <v>595</v>
      </c>
      <c r="E20" s="53" t="n">
        <f aca="false">0.06*C20</f>
        <v>295.05</v>
      </c>
      <c r="F20" s="53" t="n">
        <f aca="false">0.005*C20</f>
        <v>24.5875</v>
      </c>
      <c r="G20" s="53" t="n">
        <f aca="false">0.01*C20</f>
        <v>49.175</v>
      </c>
      <c r="H20" s="155" t="n">
        <f aca="false">SUM(D20:G20)</f>
        <v>963.8125</v>
      </c>
      <c r="I20" s="155" t="n">
        <f aca="false">wheat!G138</f>
        <v>400</v>
      </c>
      <c r="J20" s="147" t="n">
        <f aca="false">H20/1500</f>
        <v>0.642541666666667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3" activeCellId="0" sqref="A3"/>
    </sheetView>
  </sheetViews>
  <sheetFormatPr defaultRowHeight="12.5"/>
  <cols>
    <col collapsed="false" hidden="false" max="1" min="1" style="0" width="8.50510204081633"/>
    <col collapsed="false" hidden="false" max="2" min="2" style="0" width="11.8775510204082"/>
    <col collapsed="false" hidden="false" max="3" min="3" style="0" width="8.50510204081633"/>
    <col collapsed="false" hidden="false" max="4" min="4" style="0" width="13.2295918367347"/>
    <col collapsed="false" hidden="false" max="5" min="5" style="0" width="8.50510204081633"/>
    <col collapsed="false" hidden="false" max="6" min="6" style="0" width="11.7448979591837"/>
    <col collapsed="false" hidden="false" max="7" min="7" style="0" width="13.7704081632653"/>
    <col collapsed="false" hidden="false" max="8" min="8" style="0" width="6.75"/>
    <col collapsed="false" hidden="false" max="9" min="9" style="0" width="13.0918367346939"/>
    <col collapsed="false" hidden="false" max="1025" min="10" style="0" width="8.50510204081633"/>
  </cols>
  <sheetData>
    <row r="1" customFormat="false" ht="12.5" hidden="false" customHeight="false" outlineLevel="0" collapsed="false">
      <c r="A1" s="156" t="s">
        <v>171</v>
      </c>
      <c r="B1" s="156"/>
      <c r="C1" s="156"/>
      <c r="D1" s="156"/>
      <c r="E1" s="156"/>
      <c r="F1" s="156"/>
      <c r="G1" s="156"/>
      <c r="H1" s="156"/>
      <c r="I1" s="156"/>
    </row>
    <row r="2" customFormat="false" ht="12" hidden="false" customHeight="true" outlineLevel="0" collapsed="false">
      <c r="A2" s="156"/>
      <c r="B2" s="156"/>
      <c r="C2" s="156"/>
      <c r="D2" s="156"/>
      <c r="E2" s="156"/>
      <c r="F2" s="156"/>
      <c r="G2" s="156"/>
      <c r="H2" s="156"/>
      <c r="I2" s="156"/>
    </row>
    <row r="3" customFormat="false" ht="20.5" hidden="false" customHeight="false" outlineLevel="0" collapsed="false">
      <c r="A3" s="157" t="s">
        <v>172</v>
      </c>
      <c r="B3" s="157"/>
      <c r="C3" s="157"/>
      <c r="D3" s="157" t="s">
        <v>173</v>
      </c>
      <c r="E3" s="157"/>
      <c r="F3" s="157"/>
      <c r="G3" s="158" t="s">
        <v>174</v>
      </c>
      <c r="H3" s="158"/>
      <c r="I3" s="158"/>
    </row>
    <row r="4" customFormat="false" ht="20" hidden="false" customHeight="false" outlineLevel="0" collapsed="false">
      <c r="A4" s="159" t="s">
        <v>175</v>
      </c>
      <c r="B4" s="160"/>
      <c r="C4" s="161"/>
      <c r="D4" s="161"/>
      <c r="E4" s="161"/>
      <c r="F4" s="161"/>
      <c r="G4" s="162" t="n">
        <f aca="false">wheat!L8</f>
        <v>73</v>
      </c>
      <c r="H4" s="163"/>
      <c r="I4" s="164" t="n">
        <f aca="false">wheat!M8</f>
        <v>87.6</v>
      </c>
    </row>
    <row r="5" customFormat="false" ht="20" hidden="false" customHeight="false" outlineLevel="0" collapsed="false">
      <c r="A5" s="165" t="s">
        <v>176</v>
      </c>
      <c r="B5" s="165"/>
      <c r="C5" s="166"/>
      <c r="D5" s="167" t="n">
        <f aca="false">wheat!I10</f>
        <v>4.7</v>
      </c>
      <c r="E5" s="166" t="s">
        <v>177</v>
      </c>
      <c r="F5" s="168"/>
      <c r="G5" s="169" t="n">
        <f aca="false">wheat!L10</f>
        <v>343.1</v>
      </c>
      <c r="H5" s="169"/>
      <c r="I5" s="170" t="n">
        <f aca="false">wheat!M10</f>
        <v>411.72</v>
      </c>
    </row>
    <row r="6" customFormat="false" ht="6.75" hidden="false" customHeight="true" outlineLevel="0" collapsed="false">
      <c r="A6" s="161"/>
      <c r="B6" s="161"/>
      <c r="C6" s="161"/>
      <c r="D6" s="161"/>
      <c r="E6" s="161"/>
      <c r="F6" s="171"/>
      <c r="G6" s="13"/>
      <c r="H6" s="13"/>
      <c r="I6" s="13"/>
    </row>
    <row r="7" customFormat="false" ht="20" hidden="false" customHeight="false" outlineLevel="0" collapsed="false">
      <c r="A7" s="172" t="s">
        <v>178</v>
      </c>
      <c r="B7" s="173"/>
      <c r="C7" s="174"/>
      <c r="D7" s="161"/>
      <c r="E7" s="161"/>
      <c r="G7" s="175"/>
      <c r="H7" s="175"/>
      <c r="I7" s="175"/>
    </row>
    <row r="8" customFormat="false" ht="20" hidden="false" customHeight="false" outlineLevel="0" collapsed="false">
      <c r="A8" s="176" t="s">
        <v>179</v>
      </c>
      <c r="B8" s="176"/>
      <c r="C8" s="176"/>
      <c r="D8" s="177" t="n">
        <f aca="false">wheat!I17</f>
        <v>0.031</v>
      </c>
      <c r="E8" s="168" t="s">
        <v>180</v>
      </c>
      <c r="F8" s="168"/>
      <c r="G8" s="169" t="n">
        <f aca="false">wheat!L17</f>
        <v>43.4</v>
      </c>
      <c r="H8" s="169"/>
      <c r="I8" s="170" t="n">
        <f aca="false">wheat!M17</f>
        <v>43.4</v>
      </c>
    </row>
    <row r="9" customFormat="false" ht="20" hidden="false" customHeight="false" outlineLevel="0" collapsed="false">
      <c r="A9" s="176" t="s">
        <v>181</v>
      </c>
      <c r="B9" s="176"/>
      <c r="C9" s="176"/>
      <c r="D9" s="178" t="n">
        <f aca="false">wheat!F84</f>
        <v>290</v>
      </c>
      <c r="E9" s="176"/>
      <c r="F9" s="176"/>
      <c r="G9" s="179" t="n">
        <f aca="false">wheat!L20</f>
        <v>24.3216346153846</v>
      </c>
      <c r="H9" s="179"/>
      <c r="I9" s="180" t="n">
        <f aca="false">wheat!M19</f>
        <v>54.7892857142857</v>
      </c>
    </row>
    <row r="10" customFormat="false" ht="24" hidden="false" customHeight="false" outlineLevel="0" collapsed="false">
      <c r="A10" s="176" t="s">
        <v>182</v>
      </c>
      <c r="B10" s="176"/>
      <c r="C10" s="176"/>
      <c r="D10" s="178" t="n">
        <f aca="false">wheat!I84</f>
        <v>550</v>
      </c>
      <c r="E10" s="176" t="s">
        <v>31</v>
      </c>
      <c r="F10" s="176"/>
      <c r="G10" s="179" t="n">
        <f aca="false">wheat!L20</f>
        <v>24.3216346153846</v>
      </c>
      <c r="H10" s="179"/>
      <c r="I10" s="180" t="n">
        <f aca="false">wheat!M20</f>
        <v>29.1859615384615</v>
      </c>
    </row>
    <row r="11" customFormat="false" ht="24" hidden="false" customHeight="false" outlineLevel="0" collapsed="false">
      <c r="A11" s="176" t="s">
        <v>183</v>
      </c>
      <c r="B11" s="176"/>
      <c r="C11" s="176"/>
      <c r="D11" s="181" t="n">
        <f aca="false">wheat!M84</f>
        <v>400</v>
      </c>
      <c r="E11" s="176" t="s">
        <v>31</v>
      </c>
      <c r="F11" s="176"/>
      <c r="G11" s="179" t="n">
        <f aca="false">wheat!L21</f>
        <v>15.67</v>
      </c>
      <c r="H11" s="179"/>
      <c r="I11" s="180" t="n">
        <f aca="false">wheat!M21</f>
        <v>17.4706666666667</v>
      </c>
    </row>
    <row r="12" customFormat="false" ht="20" hidden="false" customHeight="false" outlineLevel="0" collapsed="false">
      <c r="A12" s="176" t="s">
        <v>184</v>
      </c>
      <c r="B12" s="176"/>
      <c r="C12" s="176"/>
      <c r="D12" s="176"/>
      <c r="E12" s="176"/>
      <c r="F12" s="176"/>
      <c r="G12" s="179" t="n">
        <f aca="false">wheat!L23</f>
        <v>9.5</v>
      </c>
      <c r="H12" s="179"/>
      <c r="I12" s="180" t="n">
        <f aca="false">wheat!M23</f>
        <v>9.5</v>
      </c>
    </row>
    <row r="13" customFormat="false" ht="20" hidden="false" customHeight="false" outlineLevel="0" collapsed="false">
      <c r="A13" s="165" t="s">
        <v>185</v>
      </c>
      <c r="B13" s="165"/>
      <c r="C13" s="165"/>
      <c r="D13" s="182" t="n">
        <f aca="false">wheat!M120</f>
        <v>2.25</v>
      </c>
      <c r="E13" s="165" t="s">
        <v>186</v>
      </c>
      <c r="F13" s="165"/>
      <c r="G13" s="183" t="n">
        <f aca="false">wheat!$L$27</f>
        <v>10.1285735294118</v>
      </c>
      <c r="H13" s="183"/>
      <c r="I13" s="184" t="n">
        <f aca="false">wheat!$M$27</f>
        <v>10.1285735294118</v>
      </c>
    </row>
    <row r="14" customFormat="false" ht="21" hidden="false" customHeight="true" outlineLevel="0" collapsed="false">
      <c r="A14" s="161"/>
      <c r="B14" s="161"/>
      <c r="C14" s="185" t="s">
        <v>187</v>
      </c>
      <c r="D14" s="161"/>
      <c r="E14" s="161"/>
      <c r="G14" s="169" t="n">
        <f aca="false">wheat!L35</f>
        <v>2.6178197009509</v>
      </c>
      <c r="I14" s="169" t="n">
        <f aca="false">wheat!M35</f>
        <v>2.41825719381236</v>
      </c>
    </row>
    <row r="15" customFormat="false" ht="20" hidden="false" customHeight="false" outlineLevel="0" collapsed="false">
      <c r="A15" s="172" t="s">
        <v>188</v>
      </c>
      <c r="B15" s="174"/>
      <c r="C15" s="161"/>
      <c r="D15" s="161"/>
      <c r="E15" s="161"/>
      <c r="F15" s="161"/>
      <c r="G15" s="186"/>
      <c r="H15" s="186"/>
      <c r="I15" s="186"/>
    </row>
    <row r="16" customFormat="false" ht="20" hidden="false" customHeight="false" outlineLevel="0" collapsed="false">
      <c r="A16" s="187" t="s">
        <v>189</v>
      </c>
      <c r="B16" s="187"/>
      <c r="C16" s="188"/>
      <c r="D16" s="188"/>
      <c r="E16" s="188"/>
      <c r="F16" s="188"/>
      <c r="G16" s="169" t="n">
        <f aca="false">wheat!L38+wheat!L37</f>
        <v>39.655</v>
      </c>
      <c r="H16" s="169"/>
      <c r="I16" s="170" t="n">
        <f aca="false">wheat!M38+wheat!M37</f>
        <v>43.086</v>
      </c>
    </row>
    <row r="17" customFormat="false" ht="20" hidden="false" customHeight="false" outlineLevel="0" collapsed="false">
      <c r="A17" s="187" t="s">
        <v>109</v>
      </c>
      <c r="B17" s="187"/>
      <c r="C17" s="187"/>
      <c r="D17" s="187"/>
      <c r="E17" s="187"/>
      <c r="F17" s="187"/>
      <c r="G17" s="179" t="n">
        <f aca="false">wheat!L39</f>
        <v>125.860111979167</v>
      </c>
      <c r="H17" s="179"/>
      <c r="I17" s="180" t="n">
        <f aca="false">wheat!M39</f>
        <v>125.860111979167</v>
      </c>
    </row>
    <row r="18" customFormat="false" ht="20" hidden="false" customHeight="false" outlineLevel="0" collapsed="false">
      <c r="A18" s="165" t="s">
        <v>190</v>
      </c>
      <c r="B18" s="165"/>
      <c r="C18" s="165"/>
      <c r="D18" s="165"/>
      <c r="E18" s="165"/>
      <c r="F18" s="176"/>
      <c r="G18" s="179" t="n">
        <f aca="false">wheat!L40</f>
        <v>187</v>
      </c>
      <c r="H18" s="179"/>
      <c r="I18" s="180" t="n">
        <f aca="false">wheat!M40</f>
        <v>239</v>
      </c>
    </row>
    <row r="19" customFormat="false" ht="19.5" hidden="false" customHeight="true" outlineLevel="0" collapsed="false">
      <c r="A19" s="161"/>
      <c r="B19" s="161"/>
      <c r="C19" s="185" t="s">
        <v>187</v>
      </c>
      <c r="D19" s="161"/>
      <c r="E19" s="161"/>
      <c r="F19" s="171"/>
      <c r="G19" s="169" t="n">
        <f aca="false">wheat!L46</f>
        <v>8.70307156727034</v>
      </c>
      <c r="H19" s="189"/>
      <c r="I19" s="169" t="n">
        <f aca="false">wheat!M46</f>
        <v>8.02553868686791</v>
      </c>
    </row>
    <row r="20" customFormat="false" ht="20" hidden="false" customHeight="false" outlineLevel="0" collapsed="false">
      <c r="A20" s="172" t="s">
        <v>191</v>
      </c>
      <c r="B20" s="174"/>
      <c r="C20" s="161"/>
      <c r="D20" s="161"/>
      <c r="E20" s="161"/>
      <c r="F20" s="161"/>
      <c r="G20" s="186"/>
      <c r="H20" s="186"/>
      <c r="I20" s="186"/>
    </row>
    <row r="21" customFormat="false" ht="20" hidden="false" customHeight="false" outlineLevel="0" collapsed="false">
      <c r="A21" s="168" t="s">
        <v>192</v>
      </c>
      <c r="B21" s="168"/>
      <c r="C21" s="168"/>
      <c r="D21" s="168"/>
      <c r="E21" s="168"/>
      <c r="F21" s="168"/>
      <c r="G21" s="169" t="n">
        <f aca="false">wheat!L52</f>
        <v>39.0390498514177</v>
      </c>
      <c r="H21" s="169"/>
      <c r="I21" s="170" t="n">
        <f aca="false">wheat!M52</f>
        <v>86.9205578428707</v>
      </c>
    </row>
    <row r="22" customFormat="false" ht="20" hidden="false" customHeight="false" outlineLevel="0" collapsed="false">
      <c r="A22" s="165" t="s">
        <v>193</v>
      </c>
      <c r="B22" s="165"/>
      <c r="C22" s="165"/>
      <c r="D22" s="165"/>
      <c r="E22" s="165"/>
      <c r="F22" s="165"/>
      <c r="G22" s="183" t="n">
        <f aca="false">wheat!L48</f>
        <v>-9.5008381694156</v>
      </c>
      <c r="H22" s="183"/>
      <c r="I22" s="184" t="n">
        <f aca="false">wheat!M48</f>
        <v>-13.6193301779627</v>
      </c>
    </row>
    <row r="23" customFormat="false" ht="19.5" hidden="false" customHeight="true" outlineLevel="0" collapsed="false"/>
  </sheetData>
  <mergeCells count="4">
    <mergeCell ref="A1:I2"/>
    <mergeCell ref="A3:C3"/>
    <mergeCell ref="D3:F3"/>
    <mergeCell ref="G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Dept. of Ag., Env., &amp; Dev. Economics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2002-12-27T16:09:39Z</dcterms:created>
  <dc:creator>Robert Moore</dc:creator>
  <dc:description/>
  <dc:language>en-US</dc:language>
  <cp:lastModifiedBy>Julie Moose</cp:lastModifiedBy>
  <cp:lastPrinted>2016-05-04T21:30:50Z</cp:lastPrinted>
  <dcterms:modified xsi:type="dcterms:W3CDTF">2016-12-01T16:32:32Z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Dept. of Ag., Env., &amp; Dev. Economics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