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oose.14\Documents\Farm Management\"/>
    </mc:Choice>
  </mc:AlternateContent>
  <bookViews>
    <workbookView xWindow="0" yWindow="0" windowWidth="24000" windowHeight="9730"/>
  </bookViews>
  <sheets>
    <sheet name="wheat" sheetId="1" r:id="rId1"/>
    <sheet name="machinery costs" sheetId="2" r:id="rId2"/>
    <sheet name="Quick Stats" sheetId="3" r:id="rId3"/>
  </sheets>
  <definedNames>
    <definedName name="_xlnm.Print_Area" localSheetId="0">wheat!$A$1:$N$142</definedName>
  </definedNames>
  <calcPr calcId="152511"/>
</workbook>
</file>

<file path=xl/calcChain.xml><?xml version="1.0" encoding="utf-8"?>
<calcChain xmlns="http://schemas.openxmlformats.org/spreadsheetml/2006/main">
  <c r="I6" i="3" l="1"/>
  <c r="G6" i="3"/>
  <c r="M138" i="1" l="1"/>
  <c r="M136" i="1"/>
  <c r="M109" i="1"/>
  <c r="M108" i="1"/>
  <c r="K106" i="1"/>
  <c r="I11" i="2"/>
  <c r="D11" i="2"/>
  <c r="C11" i="2" s="1"/>
  <c r="K138" i="1"/>
  <c r="K137" i="1"/>
  <c r="M137" i="1"/>
  <c r="M113" i="1"/>
  <c r="M112" i="1"/>
  <c r="N26" i="1"/>
  <c r="M26" i="1"/>
  <c r="L26" i="1"/>
  <c r="K26" i="1"/>
  <c r="D14" i="3"/>
  <c r="I19" i="3"/>
  <c r="G19" i="3"/>
  <c r="I13" i="3"/>
  <c r="G13" i="3"/>
  <c r="D10" i="3"/>
  <c r="D12" i="3"/>
  <c r="D11" i="3"/>
  <c r="D9" i="3"/>
  <c r="D5" i="3"/>
  <c r="I4" i="3"/>
  <c r="G4" i="3"/>
  <c r="L136" i="1"/>
  <c r="L137" i="1" s="1"/>
  <c r="D5" i="2"/>
  <c r="C5" i="2" s="1"/>
  <c r="E5" i="2" s="1"/>
  <c r="I5" i="2"/>
  <c r="D6" i="2"/>
  <c r="C6" i="2" s="1"/>
  <c r="I6" i="2"/>
  <c r="D7" i="2"/>
  <c r="C7" i="2" s="1"/>
  <c r="I7" i="2"/>
  <c r="D8" i="2"/>
  <c r="I8" i="2"/>
  <c r="D9" i="2"/>
  <c r="C9" i="2" s="1"/>
  <c r="I9" i="2"/>
  <c r="D10" i="2"/>
  <c r="C10" i="2" s="1"/>
  <c r="I10" i="2"/>
  <c r="D12" i="2"/>
  <c r="C12" i="2" s="1"/>
  <c r="I12" i="2"/>
  <c r="D13" i="2"/>
  <c r="C13" i="2" s="1"/>
  <c r="I13" i="2"/>
  <c r="D14" i="2"/>
  <c r="C14" i="2" s="1"/>
  <c r="I14" i="2"/>
  <c r="D4" i="2"/>
  <c r="C4" i="2" s="1"/>
  <c r="E4" i="2" s="1"/>
  <c r="I4" i="2"/>
  <c r="D3" i="2"/>
  <c r="C3" i="2" s="1"/>
  <c r="G3" i="2" s="1"/>
  <c r="I3" i="2"/>
  <c r="L106" i="1"/>
  <c r="L107" i="1"/>
  <c r="L109" i="1"/>
  <c r="L112" i="1"/>
  <c r="L111" i="1"/>
  <c r="L110" i="1" s="1"/>
  <c r="L108" i="1"/>
  <c r="M117" i="1"/>
  <c r="L138" i="1"/>
  <c r="K136" i="1"/>
  <c r="D18" i="2"/>
  <c r="C18" i="2" s="1"/>
  <c r="E18" i="2" s="1"/>
  <c r="I18" i="2"/>
  <c r="I19" i="2"/>
  <c r="I20" i="2"/>
  <c r="K117" i="1"/>
  <c r="K112" i="1"/>
  <c r="K111" i="1"/>
  <c r="D19" i="2"/>
  <c r="C19" i="2" s="1"/>
  <c r="D20" i="2"/>
  <c r="C20" i="2" s="1"/>
  <c r="I19" i="1"/>
  <c r="H19" i="1"/>
  <c r="I20" i="1"/>
  <c r="H20" i="1"/>
  <c r="I21" i="1"/>
  <c r="H21" i="1"/>
  <c r="N17" i="1"/>
  <c r="N22" i="1"/>
  <c r="N10" i="1"/>
  <c r="N15" i="1" s="1"/>
  <c r="N37" i="1"/>
  <c r="G19" i="1"/>
  <c r="G20" i="1"/>
  <c r="G21" i="1"/>
  <c r="M17" i="1"/>
  <c r="I9" i="3" s="1"/>
  <c r="M22" i="1"/>
  <c r="M10" i="1"/>
  <c r="M38" i="1" s="1"/>
  <c r="M37" i="1"/>
  <c r="F19" i="1"/>
  <c r="F20" i="1"/>
  <c r="F21" i="1"/>
  <c r="L17" i="1"/>
  <c r="G9" i="3" s="1"/>
  <c r="L22" i="1"/>
  <c r="L10" i="1"/>
  <c r="L15" i="1" s="1"/>
  <c r="L37" i="1"/>
  <c r="E19" i="1"/>
  <c r="E20" i="1"/>
  <c r="E21" i="1"/>
  <c r="K17" i="1"/>
  <c r="K22" i="1"/>
  <c r="K10" i="1"/>
  <c r="K38" i="1" s="1"/>
  <c r="K37" i="1"/>
  <c r="I58" i="1"/>
  <c r="I57" i="1"/>
  <c r="N65" i="1"/>
  <c r="N54" i="1"/>
  <c r="N66" i="1"/>
  <c r="H57" i="1"/>
  <c r="N57" i="1" s="1"/>
  <c r="H58" i="1"/>
  <c r="M54" i="1"/>
  <c r="M66" i="1"/>
  <c r="G57" i="1"/>
  <c r="G58" i="1"/>
  <c r="M65" i="1"/>
  <c r="L54" i="1"/>
  <c r="L66" i="1" s="1"/>
  <c r="F57" i="1"/>
  <c r="F58" i="1"/>
  <c r="L65" i="1"/>
  <c r="K54" i="1"/>
  <c r="K66" i="1" s="1"/>
  <c r="K65" i="1"/>
  <c r="E57" i="1"/>
  <c r="E58" i="1"/>
  <c r="C8" i="2"/>
  <c r="G8" i="2" s="1"/>
  <c r="N58" i="1" l="1"/>
  <c r="M21" i="1"/>
  <c r="I12" i="3" s="1"/>
  <c r="G7" i="2"/>
  <c r="F7" i="2"/>
  <c r="G10" i="2"/>
  <c r="F10" i="2"/>
  <c r="F8" i="2"/>
  <c r="E8" i="2"/>
  <c r="F12" i="2"/>
  <c r="E12" i="2"/>
  <c r="G12" i="2"/>
  <c r="F20" i="2"/>
  <c r="E20" i="2"/>
  <c r="G20" i="2"/>
  <c r="L116" i="1"/>
  <c r="M116" i="1" s="1"/>
  <c r="G4" i="2"/>
  <c r="D15" i="2"/>
  <c r="M19" i="1"/>
  <c r="I10" i="3" s="1"/>
  <c r="L20" i="1"/>
  <c r="G10" i="3" s="1"/>
  <c r="M140" i="1"/>
  <c r="N60" i="1" s="1"/>
  <c r="F5" i="2"/>
  <c r="L57" i="1"/>
  <c r="N21" i="1"/>
  <c r="K139" i="1"/>
  <c r="K140" i="1" s="1"/>
  <c r="K59" i="1" s="1"/>
  <c r="E13" i="2"/>
  <c r="G13" i="2"/>
  <c r="F13" i="2"/>
  <c r="G9" i="2"/>
  <c r="E9" i="2"/>
  <c r="F9" i="2"/>
  <c r="E11" i="2"/>
  <c r="G11" i="2"/>
  <c r="F11" i="2"/>
  <c r="E19" i="2"/>
  <c r="G19" i="2"/>
  <c r="F19" i="2"/>
  <c r="L114" i="1"/>
  <c r="K114" i="1" s="1"/>
  <c r="K118" i="1" s="1"/>
  <c r="K119" i="1" s="1"/>
  <c r="K27" i="1" s="1"/>
  <c r="M110" i="1"/>
  <c r="G14" i="2"/>
  <c r="E14" i="2"/>
  <c r="F14" i="2"/>
  <c r="E6" i="2"/>
  <c r="F6" i="2"/>
  <c r="G6" i="2"/>
  <c r="E7" i="2"/>
  <c r="G18" i="2"/>
  <c r="F4" i="2"/>
  <c r="E10" i="2"/>
  <c r="F3" i="2"/>
  <c r="E3" i="2"/>
  <c r="K19" i="1"/>
  <c r="F18" i="2"/>
  <c r="G5" i="2"/>
  <c r="L38" i="1"/>
  <c r="G17" i="3" s="1"/>
  <c r="K15" i="1"/>
  <c r="G5" i="3"/>
  <c r="N20" i="1"/>
  <c r="I5" i="3"/>
  <c r="N19" i="1"/>
  <c r="L19" i="1"/>
  <c r="L59" i="1"/>
  <c r="L58" i="1"/>
  <c r="K58" i="1"/>
  <c r="L21" i="1"/>
  <c r="G12" i="3" s="1"/>
  <c r="M58" i="1"/>
  <c r="K21" i="1"/>
  <c r="G11" i="3"/>
  <c r="K20" i="1"/>
  <c r="M57" i="1"/>
  <c r="K57" i="1"/>
  <c r="M20" i="1"/>
  <c r="M15" i="1"/>
  <c r="N38" i="1"/>
  <c r="I17" i="3"/>
  <c r="I11" i="3"/>
  <c r="H4" i="2" l="1"/>
  <c r="J4" i="2" s="1"/>
  <c r="I107" i="1" s="1"/>
  <c r="L60" i="1"/>
  <c r="M59" i="1"/>
  <c r="H8" i="2"/>
  <c r="J8" i="2" s="1"/>
  <c r="I111" i="1" s="1"/>
  <c r="N27" i="1"/>
  <c r="K60" i="1"/>
  <c r="N59" i="1"/>
  <c r="N63" i="1" s="1"/>
  <c r="N71" i="1" s="1"/>
  <c r="H7" i="2"/>
  <c r="J7" i="2" s="1"/>
  <c r="I110" i="1" s="1"/>
  <c r="H18" i="2"/>
  <c r="J18" i="2" s="1"/>
  <c r="I136" i="1" s="1"/>
  <c r="H10" i="2"/>
  <c r="J10" i="2" s="1"/>
  <c r="I113" i="1" s="1"/>
  <c r="H5" i="2"/>
  <c r="J5" i="2" s="1"/>
  <c r="I108" i="1" s="1"/>
  <c r="H20" i="2"/>
  <c r="J20" i="2" s="1"/>
  <c r="I138" i="1" s="1"/>
  <c r="H11" i="2"/>
  <c r="J11" i="2" s="1"/>
  <c r="I114" i="1" s="1"/>
  <c r="H14" i="2"/>
  <c r="J14" i="2" s="1"/>
  <c r="I117" i="1" s="1"/>
  <c r="H19" i="2"/>
  <c r="J19" i="2" s="1"/>
  <c r="I137" i="1" s="1"/>
  <c r="M60" i="1"/>
  <c r="G15" i="2"/>
  <c r="F15" i="2"/>
  <c r="H9" i="2"/>
  <c r="J9" i="2" s="1"/>
  <c r="I112" i="1" s="1"/>
  <c r="H13" i="2"/>
  <c r="J13" i="2" s="1"/>
  <c r="I116" i="1" s="1"/>
  <c r="H12" i="2"/>
  <c r="J12" i="2" s="1"/>
  <c r="I115" i="1" s="1"/>
  <c r="H6" i="2"/>
  <c r="J6" i="2" s="1"/>
  <c r="I109" i="1" s="1"/>
  <c r="L27" i="1"/>
  <c r="G14" i="3" s="1"/>
  <c r="M27" i="1"/>
  <c r="I14" i="3" s="1"/>
  <c r="L115" i="1"/>
  <c r="M115" i="1" s="1"/>
  <c r="M119" i="1" s="1"/>
  <c r="H3" i="2"/>
  <c r="E15" i="2"/>
  <c r="L63" i="1"/>
  <c r="L71" i="1" s="1"/>
  <c r="K63" i="1"/>
  <c r="M63" i="1" l="1"/>
  <c r="M71" i="1" s="1"/>
  <c r="I140" i="1"/>
  <c r="N67" i="1" s="1"/>
  <c r="N68" i="1" s="1"/>
  <c r="N69" i="1" s="1"/>
  <c r="N72" i="1" s="1"/>
  <c r="N70" i="1" s="1"/>
  <c r="L28" i="1"/>
  <c r="L31" i="1" s="1"/>
  <c r="L34" i="1" s="1"/>
  <c r="M28" i="1"/>
  <c r="M31" i="1" s="1"/>
  <c r="M34" i="1" s="1"/>
  <c r="K28" i="1"/>
  <c r="K31" i="1" s="1"/>
  <c r="K34" i="1" s="1"/>
  <c r="N28" i="1"/>
  <c r="N31" i="1" s="1"/>
  <c r="N34" i="1" s="1"/>
  <c r="L67" i="1"/>
  <c r="L68" i="1" s="1"/>
  <c r="L69" i="1" s="1"/>
  <c r="L72" i="1" s="1"/>
  <c r="L70" i="1" s="1"/>
  <c r="J3" i="2"/>
  <c r="I106" i="1" s="1"/>
  <c r="I119" i="1" s="1"/>
  <c r="H15" i="2"/>
  <c r="K71" i="1"/>
  <c r="K35" i="1" l="1"/>
  <c r="K47" i="1"/>
  <c r="K48" i="1"/>
  <c r="M47" i="1"/>
  <c r="I23" i="3" s="1"/>
  <c r="M48" i="1"/>
  <c r="L35" i="1"/>
  <c r="G15" i="3" s="1"/>
  <c r="L48" i="1"/>
  <c r="L47" i="1"/>
  <c r="G23" i="3" s="1"/>
  <c r="N47" i="1"/>
  <c r="N48" i="1"/>
  <c r="M67" i="1"/>
  <c r="M68" i="1" s="1"/>
  <c r="M69" i="1" s="1"/>
  <c r="M72" i="1" s="1"/>
  <c r="M70" i="1" s="1"/>
  <c r="K67" i="1"/>
  <c r="K68" i="1" s="1"/>
  <c r="K69" i="1" s="1"/>
  <c r="K72" i="1" s="1"/>
  <c r="K70" i="1" s="1"/>
  <c r="N35" i="1"/>
  <c r="M35" i="1"/>
  <c r="I15" i="3" s="1"/>
  <c r="K39" i="1"/>
  <c r="K43" i="1" s="1"/>
  <c r="K45" i="1" s="1"/>
  <c r="M39" i="1"/>
  <c r="L39" i="1"/>
  <c r="N39" i="1"/>
  <c r="N43" i="1" s="1"/>
  <c r="N45" i="1" s="1"/>
  <c r="N52" i="1" l="1"/>
  <c r="N49" i="1"/>
  <c r="N50" i="1"/>
  <c r="N51" i="1"/>
  <c r="K49" i="1"/>
  <c r="K52" i="1"/>
  <c r="K51" i="1"/>
  <c r="K50" i="1"/>
  <c r="I18" i="3"/>
  <c r="M43" i="1"/>
  <c r="G18" i="3"/>
  <c r="L43" i="1"/>
  <c r="K46" i="1"/>
  <c r="N46" i="1"/>
  <c r="L46" i="1" l="1"/>
  <c r="G20" i="3" s="1"/>
  <c r="L45" i="1"/>
  <c r="M46" i="1"/>
  <c r="I20" i="3" s="1"/>
  <c r="M45" i="1"/>
  <c r="M52" i="1" l="1"/>
  <c r="M51" i="1"/>
  <c r="M49" i="1"/>
  <c r="M50" i="1"/>
  <c r="L51" i="1"/>
  <c r="L50" i="1"/>
  <c r="L52" i="1"/>
  <c r="L49" i="1"/>
  <c r="I24" i="3"/>
  <c r="G24" i="3"/>
  <c r="G22" i="3" l="1"/>
  <c r="I22" i="3"/>
</calcChain>
</file>

<file path=xl/sharedStrings.xml><?xml version="1.0" encoding="utf-8"?>
<sst xmlns="http://schemas.openxmlformats.org/spreadsheetml/2006/main" count="258" uniqueCount="196">
  <si>
    <t>Grain and Straw Harvested</t>
  </si>
  <si>
    <t>ITEM</t>
  </si>
  <si>
    <t>EXPLANATION</t>
  </si>
  <si>
    <t>PRICE PER</t>
  </si>
  <si>
    <t>YIELD (bu/A)</t>
  </si>
  <si>
    <t xml:space="preserve">YOUR </t>
  </si>
  <si>
    <t>UNIT</t>
  </si>
  <si>
    <t>BUDGET</t>
  </si>
  <si>
    <t>RECEIPTS</t>
  </si>
  <si>
    <t>/bu</t>
  </si>
  <si>
    <t>VARIABLE  COSTS</t>
  </si>
  <si>
    <t>Seed</t>
  </si>
  <si>
    <t>/lb</t>
  </si>
  <si>
    <t>N (lbs.)</t>
  </si>
  <si>
    <t>Lime(ton)</t>
  </si>
  <si>
    <t>/ton</t>
  </si>
  <si>
    <t>Trucking - Fuel Only</t>
  </si>
  <si>
    <t>mo.</t>
  </si>
  <si>
    <t>TOTAL VARIABLE COSTS</t>
  </si>
  <si>
    <t>-Per Acre</t>
  </si>
  <si>
    <t>-Per Bushel</t>
  </si>
  <si>
    <t>FIXED COSTS</t>
  </si>
  <si>
    <t>hours</t>
  </si>
  <si>
    <t>/hr</t>
  </si>
  <si>
    <t>of gross revenue</t>
  </si>
  <si>
    <t>TOTAL FIXED COSTS</t>
  </si>
  <si>
    <t>TOTAL COSTS  (Grain Only)</t>
  </si>
  <si>
    <t>RETURN ABOVE TOTAL COSTS</t>
  </si>
  <si>
    <t>RECEIPTS (Straw Only)</t>
  </si>
  <si>
    <t>VARIABLE COSTS (Straw Only)</t>
  </si>
  <si>
    <t>Miscellaneous</t>
  </si>
  <si>
    <t>FIXED COSTS (Straw Only)</t>
  </si>
  <si>
    <t>/hour</t>
  </si>
  <si>
    <t>RETURN ABOVE VARIABLE COSTS (Straw Only)</t>
  </si>
  <si>
    <t>RETURN ABOVE TOTAL COSTS (Straw Only)</t>
  </si>
  <si>
    <t>See tables below for specific calculations.</t>
  </si>
  <si>
    <t xml:space="preserve">Part or all of labor may be a variable cost if paid labor varies with acres farmed. </t>
  </si>
  <si>
    <t xml:space="preserve">It's a fixed cost if labor costs do not change with acres farmed. </t>
  </si>
  <si>
    <t>Number times used</t>
  </si>
  <si>
    <t xml:space="preserve">Cost </t>
  </si>
  <si>
    <t>Repairs ($/A)</t>
  </si>
  <si>
    <t>Fertilizer Spreader</t>
  </si>
  <si>
    <t>Price of Diesel Fuel =</t>
  </si>
  <si>
    <t>*Fuel calculations are based on the implement plus tractor.</t>
  </si>
  <si>
    <t>Machinery Inventory - Straw Only</t>
  </si>
  <si>
    <t>Fuel*        (gal/A)</t>
  </si>
  <si>
    <r>
      <t>Fertilizer</t>
    </r>
    <r>
      <rPr>
        <vertAlign val="superscript"/>
        <sz val="10"/>
        <rFont val="Arial"/>
        <family val="2"/>
      </rPr>
      <t xml:space="preserve"> 3</t>
    </r>
  </si>
  <si>
    <r>
      <t>P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</t>
    </r>
    <r>
      <rPr>
        <vertAlign val="subscript"/>
        <sz val="10"/>
        <rFont val="Arial"/>
        <family val="2"/>
      </rPr>
      <t>5</t>
    </r>
    <r>
      <rPr>
        <sz val="10"/>
        <rFont val="Arial"/>
        <family val="2"/>
      </rPr>
      <t>(lbs)</t>
    </r>
  </si>
  <si>
    <r>
      <t>K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O(lbs)</t>
    </r>
  </si>
  <si>
    <r>
      <t xml:space="preserve">Chemicals </t>
    </r>
    <r>
      <rPr>
        <vertAlign val="superscript"/>
        <sz val="10"/>
        <rFont val="Arial"/>
        <family val="2"/>
      </rPr>
      <t>4</t>
    </r>
  </si>
  <si>
    <r>
      <t xml:space="preserve">Fuel, Oil, Grease </t>
    </r>
    <r>
      <rPr>
        <vertAlign val="superscript"/>
        <sz val="10"/>
        <rFont val="Arial"/>
        <family val="2"/>
      </rPr>
      <t>5</t>
    </r>
  </si>
  <si>
    <r>
      <t xml:space="preserve">Repairs </t>
    </r>
    <r>
      <rPr>
        <vertAlign val="superscript"/>
        <sz val="10"/>
        <rFont val="Arial"/>
        <family val="2"/>
      </rPr>
      <t>6</t>
    </r>
  </si>
  <si>
    <r>
      <t xml:space="preserve">Miscellaneous </t>
    </r>
    <r>
      <rPr>
        <vertAlign val="superscript"/>
        <sz val="10"/>
        <rFont val="Arial"/>
        <family val="2"/>
      </rPr>
      <t>7</t>
    </r>
  </si>
  <si>
    <r>
      <t>Int. on Oper. Cap.</t>
    </r>
    <r>
      <rPr>
        <vertAlign val="superscript"/>
        <sz val="10"/>
        <rFont val="Arial"/>
        <family val="2"/>
      </rPr>
      <t xml:space="preserve"> 8</t>
    </r>
  </si>
  <si>
    <r>
      <t xml:space="preserve">Hired Labor </t>
    </r>
    <r>
      <rPr>
        <vertAlign val="superscript"/>
        <sz val="10"/>
        <rFont val="Arial"/>
        <family val="2"/>
      </rPr>
      <t>9</t>
    </r>
  </si>
  <si>
    <r>
      <t xml:space="preserve">Labor Charge </t>
    </r>
    <r>
      <rPr>
        <vertAlign val="superscript"/>
        <sz val="10"/>
        <rFont val="Arial"/>
        <family val="2"/>
      </rPr>
      <t>9</t>
    </r>
  </si>
  <si>
    <t>Total Wheat Receipts</t>
  </si>
  <si>
    <t>seeds</t>
  </si>
  <si>
    <t>/1000</t>
  </si>
  <si>
    <t>***</t>
  </si>
  <si>
    <t xml:space="preserve">Machinery and Equipment charge = </t>
  </si>
  <si>
    <t>Hay Rake (Hyd) 9 ft.</t>
  </si>
  <si>
    <t>Hay Baler PTO Twine 12 ft.</t>
  </si>
  <si>
    <t>Hay Wagon - 2</t>
  </si>
  <si>
    <t xml:space="preserve">Machines are all assumed to be new and in the first year of use (except for Semi Tractor-Trailer and Pickup-Truck). </t>
  </si>
  <si>
    <t>See tables below for specific calculations. Lubrication costs are assumed to be 10% of fuel costs.</t>
  </si>
  <si>
    <t>Crop Insurance</t>
  </si>
  <si>
    <r>
      <t xml:space="preserve">Wheat (Grain Only) </t>
    </r>
    <r>
      <rPr>
        <vertAlign val="superscript"/>
        <sz val="10"/>
        <rFont val="Arial"/>
        <family val="2"/>
      </rPr>
      <t>1</t>
    </r>
  </si>
  <si>
    <t xml:space="preserve">Includes supplies, utilities, soil tests, small tools, etc… </t>
  </si>
  <si>
    <t>Fertilizer amounts and costs listed are amounts in addition to fertilizer amounts listed for wheat.</t>
  </si>
  <si>
    <t>Machinery Cost</t>
  </si>
  <si>
    <t>Acres per Year</t>
  </si>
  <si>
    <t>Cost per Acre</t>
  </si>
  <si>
    <t>Acres/ Hr</t>
  </si>
  <si>
    <t>Pickup Truck (1/2)**</t>
  </si>
  <si>
    <t>Fuel</t>
  </si>
  <si>
    <t>Machinery and Equipment Charge per Acre</t>
  </si>
  <si>
    <t>F&amp;L</t>
  </si>
  <si>
    <t>Repairs</t>
  </si>
  <si>
    <t xml:space="preserve">TOTAL COSTS (Straw Only)- Per Acre </t>
  </si>
  <si>
    <t>TOTAL VARIABLE COSTS- Per Acre</t>
  </si>
  <si>
    <t>Machinery Inventory - Wheat Only</t>
  </si>
  <si>
    <t>**Semi Tractor Trailer and Pickup Truck are assumed to be used equipment.</t>
  </si>
  <si>
    <t>***Fuel for Semi is included in Budget as Trucking - Fuel Only</t>
  </si>
  <si>
    <t>YOUR</t>
  </si>
  <si>
    <t>PROD.</t>
  </si>
  <si>
    <t>NUMBERS</t>
  </si>
  <si>
    <t xml:space="preserve">Values highlighted in gold may be changed to assist in computing "Your Budget" Column using macros embeded within  </t>
  </si>
  <si>
    <t>the spreadsheet.</t>
  </si>
  <si>
    <t>Values highlighted in light blue are cells embedded with macros and will be calculted for the user based on data entered.</t>
  </si>
  <si>
    <t>These cells may be input manually, but macros will be overwritten!</t>
  </si>
  <si>
    <t>Values highlighted in gray are stand alone cells that require direct input from the user.</t>
  </si>
  <si>
    <t>-----</t>
  </si>
  <si>
    <t xml:space="preserve"> 6.0% Interest on Average Value, 0.5% Insurance Cost on Average Value and 1.0% Housing Cost on Average Value.</t>
  </si>
  <si>
    <t>Salvage Values are based on ASAE formulas.</t>
  </si>
  <si>
    <t>Assumes UAN(28-0-0):</t>
  </si>
  <si>
    <t>/ton     MAP(11-52-0):</t>
  </si>
  <si>
    <t>/ton     Potash(0-0-60):</t>
  </si>
  <si>
    <t>Updated:</t>
  </si>
  <si>
    <t>RETURN TO LAND</t>
  </si>
  <si>
    <t>Average Value</t>
  </si>
  <si>
    <t>Depreciation</t>
  </si>
  <si>
    <t>Cost Cap.</t>
  </si>
  <si>
    <t>Insurance</t>
  </si>
  <si>
    <t>Housing</t>
  </si>
  <si>
    <t>Total</t>
  </si>
  <si>
    <t>Cost/acre</t>
  </si>
  <si>
    <t>Machinery</t>
  </si>
  <si>
    <t>Machinery Inventory Explanations - Wheat Only</t>
  </si>
  <si>
    <t>Machinery Inventory Explanations - Hay Only</t>
  </si>
  <si>
    <t>Hours/ Year</t>
  </si>
  <si>
    <t>Acres / Year</t>
  </si>
  <si>
    <t>Hours/Year</t>
  </si>
  <si>
    <t xml:space="preserve">and 20 CEC. Fertilizer prices vary over time and by area.  </t>
  </si>
  <si>
    <t>Item</t>
  </si>
  <si>
    <t>Input</t>
  </si>
  <si>
    <t>Yield in bushels/acre</t>
  </si>
  <si>
    <t>Receipts</t>
  </si>
  <si>
    <t>/bushel</t>
  </si>
  <si>
    <t>Variable Costs</t>
  </si>
  <si>
    <t>Seed Cost</t>
  </si>
  <si>
    <t>/1000 seeds</t>
  </si>
  <si>
    <t>Chemicals</t>
  </si>
  <si>
    <t>Fixed Costs</t>
  </si>
  <si>
    <t>Land Rent</t>
  </si>
  <si>
    <t xml:space="preserve">Fuel/Diesel </t>
  </si>
  <si>
    <t>/gallon</t>
  </si>
  <si>
    <t>Returns</t>
  </si>
  <si>
    <t>Return to Land</t>
  </si>
  <si>
    <t>Wheat Price</t>
  </si>
  <si>
    <t>N (UAN)</t>
  </si>
  <si>
    <t>Herbicide</t>
  </si>
  <si>
    <t>Insecticide</t>
  </si>
  <si>
    <t>Fungicide</t>
  </si>
  <si>
    <r>
      <t>P</t>
    </r>
    <r>
      <rPr>
        <vertAlign val="subscript"/>
        <sz val="16"/>
        <rFont val="Arial"/>
        <family val="2"/>
      </rPr>
      <t>2</t>
    </r>
    <r>
      <rPr>
        <sz val="16"/>
        <rFont val="Arial"/>
        <family val="2"/>
      </rPr>
      <t>0</t>
    </r>
    <r>
      <rPr>
        <vertAlign val="subscript"/>
        <sz val="16"/>
        <rFont val="Arial"/>
        <family val="2"/>
      </rPr>
      <t xml:space="preserve">5   </t>
    </r>
    <r>
      <rPr>
        <sz val="16"/>
        <rFont val="Arial"/>
        <family val="2"/>
      </rPr>
      <t>(MAP)</t>
    </r>
  </si>
  <si>
    <r>
      <t>K</t>
    </r>
    <r>
      <rPr>
        <vertAlign val="subscript"/>
        <sz val="16"/>
        <rFont val="Arial"/>
        <family val="2"/>
      </rPr>
      <t>2</t>
    </r>
    <r>
      <rPr>
        <sz val="16"/>
        <rFont val="Arial"/>
        <family val="2"/>
      </rPr>
      <t>0   (Potash)</t>
    </r>
  </si>
  <si>
    <t>/gal Diesel</t>
  </si>
  <si>
    <t>miles</t>
  </si>
  <si>
    <t>30 Ft. No-Till Drill</t>
  </si>
  <si>
    <t>Reflects 2000 acres, conservation tillage. Wheat grown 1 out of 5 years. See tables below for specific calculations.</t>
  </si>
  <si>
    <t>Interest on all variable costs, except trucking.</t>
  </si>
  <si>
    <t>Cost per Acre = Machinery Cost (New Cost) Assumes 8 Year Useful Life using Straight Line Depreciation,</t>
  </si>
  <si>
    <t>30' Grain Head</t>
  </si>
  <si>
    <t>2 Semi Tractor/Trailers**</t>
  </si>
  <si>
    <t>Land charges vary throughout the state, check your local rates.</t>
  </si>
  <si>
    <t>37 ft. Chisel Plow</t>
  </si>
  <si>
    <t>47 ft. Field Cultivator</t>
  </si>
  <si>
    <t>Boom Sprayer, Self. Prop.</t>
  </si>
  <si>
    <t>Combine 340 HP</t>
  </si>
  <si>
    <t>Grain Cart</t>
  </si>
  <si>
    <t>310 HP Tractor</t>
  </si>
  <si>
    <t>260 HP Tractor</t>
  </si>
  <si>
    <t>Labor and Management</t>
  </si>
  <si>
    <t>Reflects 2000 acres, Conservation Tillage Wheat/Corn/No-Till RR Soybeans</t>
  </si>
  <si>
    <t>The "machinery cost" tab (next tab at the bottom of this worksheet) shows details of "Machinery and Equipment Charge per Acre".</t>
  </si>
  <si>
    <t>Grower or Market Premium</t>
  </si>
  <si>
    <t>Return to Total Costs</t>
  </si>
  <si>
    <t xml:space="preserve">Prepared by: Barry Ward, Leader, Production Business Management; Laura Lindsey, Extension Soybean and Small Grain Specialist, </t>
  </si>
  <si>
    <t>Mark Loux, Extension Specialist - Weed Management in Field Crops</t>
  </si>
  <si>
    <t>60 ft. Field Cultivator</t>
  </si>
  <si>
    <t>Air Seeder Drill w/Cart '40</t>
  </si>
  <si>
    <t>Combine 440 HP</t>
  </si>
  <si>
    <t>30' Draper Head</t>
  </si>
  <si>
    <t>360 HP Tractor</t>
  </si>
  <si>
    <t>Crop Insurance Indemnity</t>
  </si>
  <si>
    <t>Breakeven Cost / Bu</t>
  </si>
  <si>
    <t xml:space="preserve">Assumes only maintenance application of fertilizer needed, soil test values of 25 PPM P/A and 125 PPM K/A, </t>
  </si>
  <si>
    <t>Assumes a ARC-CO Program Choice, 40/40/20 Corn/Soybean/Wheat Program Acres, payment on 85% of program acres.</t>
  </si>
  <si>
    <r>
      <t>ARC/PLC Payment</t>
    </r>
    <r>
      <rPr>
        <vertAlign val="superscript"/>
        <sz val="10"/>
        <rFont val="Arial"/>
        <family val="2"/>
      </rPr>
      <t>2</t>
    </r>
  </si>
  <si>
    <t>RETURN ABOVE VARIABLE AND LAND COSTS</t>
  </si>
  <si>
    <t>RETURN TO LABOR AND MANAGEMENT</t>
  </si>
  <si>
    <t>RETURN TO LAND, LABOR AND MANAGEMENT</t>
  </si>
  <si>
    <r>
      <t>Management Charge</t>
    </r>
    <r>
      <rPr>
        <vertAlign val="superscript"/>
        <sz val="10"/>
        <rFont val="Arial"/>
        <family val="2"/>
      </rPr>
      <t>10</t>
    </r>
  </si>
  <si>
    <r>
      <t>Mach. And Equip. Charge</t>
    </r>
    <r>
      <rPr>
        <vertAlign val="superscript"/>
        <sz val="10"/>
        <rFont val="Arial"/>
        <family val="2"/>
      </rPr>
      <t xml:space="preserve"> 11</t>
    </r>
  </si>
  <si>
    <r>
      <t xml:space="preserve">Land Charge </t>
    </r>
    <r>
      <rPr>
        <vertAlign val="superscript"/>
        <sz val="10"/>
        <rFont val="Arial"/>
        <family val="2"/>
      </rPr>
      <t>12</t>
    </r>
  </si>
  <si>
    <t>Management Charge is calculated as 5% of total receipts.</t>
  </si>
  <si>
    <r>
      <t xml:space="preserve">Mach. &amp; Equip. Charge </t>
    </r>
    <r>
      <rPr>
        <vertAlign val="superscript"/>
        <sz val="10"/>
        <rFont val="Arial"/>
        <family val="2"/>
      </rPr>
      <t>11</t>
    </r>
  </si>
  <si>
    <r>
      <t>RETURN TO LABOR AND MANAGEMENT (Straw Only)</t>
    </r>
    <r>
      <rPr>
        <b/>
        <vertAlign val="superscript"/>
        <sz val="10"/>
        <rFont val="Arial"/>
        <family val="2"/>
      </rPr>
      <t>13</t>
    </r>
  </si>
  <si>
    <r>
      <t>RETURN ABOVE VARIABLE COSTS</t>
    </r>
    <r>
      <rPr>
        <b/>
        <vertAlign val="superscript"/>
        <sz val="10"/>
        <rFont val="Arial"/>
        <family val="2"/>
      </rPr>
      <t>13</t>
    </r>
  </si>
  <si>
    <t>Return Above Variable Costs equals total receipts minus total variable costs.</t>
  </si>
  <si>
    <t>Return Above Variable and Land Costs equals total receipts minus total variable and land costs.</t>
  </si>
  <si>
    <t>Return Above Total Costs equals total receipts minus total costs.</t>
  </si>
  <si>
    <t>Return to Land equals total receipts minus total costs except land costs.</t>
  </si>
  <si>
    <t>Return to Labor and Management equals total receipts minus total expenses except operator labor and management cost.</t>
  </si>
  <si>
    <t xml:space="preserve">Return to Land, Labor and Management equals total receipts minus total expenses </t>
  </si>
  <si>
    <t>except operator labor and management and land costs.</t>
  </si>
  <si>
    <t>Return to Variable Costs</t>
  </si>
  <si>
    <t>Price is based on current Ohio September Forward contract price less 0.20 basis</t>
  </si>
  <si>
    <t>ARC/PLC</t>
  </si>
  <si>
    <t xml:space="preserve">Based on use of Spring application of 0.6 oz of Harmony Extra SG TotalSol, 1 pint of 2,4-D (4 lb/gal) </t>
  </si>
  <si>
    <t>and (non-ionic surfactant) NIS</t>
  </si>
  <si>
    <t>Average based on "Ohio Cropland Values and Cash Rents" factsheet found at: http://ohioline.osu.edu/</t>
  </si>
  <si>
    <t xml:space="preserve">Machinery cost estimates, fuel estimates and cost calculations based on information from industry sources and </t>
  </si>
  <si>
    <t>the "Farm Machinery Cost Estimates". See the reference online at:   http://wlazarus.cfans.umn.edu/william-f-lazarus-farm-machinery-management</t>
  </si>
  <si>
    <t>WHEAT PRODUCTION BUDGET Conservation Till- 2018</t>
  </si>
  <si>
    <t>WHEAT SELECTED BUDGET STATS - 2018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</si>
</sst>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5" formatCode="&quot;$&quot;#,##0.00"/>
    <numFmt numFmtId="166" formatCode="&quot;$&quot;#,##0"/>
    <numFmt numFmtId="167" formatCode="_(* #,##0_);_(* \(#,##0\);_(* &quot;-&quot;??_);_(@_)"/>
    <numFmt numFmtId="168" formatCode="0.0000"/>
    <numFmt numFmtId="169" formatCode="#,##0.000"/>
  </numFmts>
  <fonts count="20" x14ac:knownFonts="1">
    <font>
      <sz val="10"/>
      <name val="Arial"/>
    </font>
    <font>
      <sz val="10"/>
      <name val="Arial"/>
      <family val="2"/>
    </font>
    <font>
      <b/>
      <vertAlign val="superscript"/>
      <sz val="10"/>
      <name val="Arial"/>
      <family val="2"/>
    </font>
    <font>
      <b/>
      <sz val="10"/>
      <name val="Arial"/>
      <family val="2"/>
    </font>
    <font>
      <vertAlign val="superscript"/>
      <sz val="10"/>
      <name val="Arial"/>
      <family val="2"/>
    </font>
    <font>
      <vertAlign val="subscript"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vertAlign val="superscript"/>
      <sz val="9"/>
      <name val="Arial"/>
      <family val="2"/>
    </font>
    <font>
      <sz val="9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i/>
      <sz val="10"/>
      <name val="Arial"/>
      <family val="2"/>
    </font>
    <font>
      <sz val="8"/>
      <name val="Arial"/>
      <family val="2"/>
    </font>
    <font>
      <sz val="22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i/>
      <sz val="16"/>
      <name val="Arial"/>
      <family val="2"/>
    </font>
    <font>
      <vertAlign val="subscript"/>
      <sz val="16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</fills>
  <borders count="17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mediumDash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/>
      <top/>
      <bottom style="mediumDashed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29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2" fontId="3" fillId="0" borderId="0" xfId="0" applyNumberFormat="1" applyFont="1" applyBorder="1"/>
    <xf numFmtId="0" fontId="3" fillId="0" borderId="2" xfId="0" applyFont="1" applyBorder="1"/>
    <xf numFmtId="165" fontId="0" fillId="0" borderId="0" xfId="0" applyNumberFormat="1"/>
    <xf numFmtId="1" fontId="0" fillId="0" borderId="0" xfId="0" applyNumberFormat="1"/>
    <xf numFmtId="0" fontId="3" fillId="0" borderId="0" xfId="0" quotePrefix="1" applyFont="1"/>
    <xf numFmtId="0" fontId="0" fillId="0" borderId="0" xfId="0" applyBorder="1"/>
    <xf numFmtId="0" fontId="0" fillId="0" borderId="3" xfId="0" applyBorder="1"/>
    <xf numFmtId="1" fontId="0" fillId="0" borderId="0" xfId="0" applyNumberFormat="1" applyBorder="1"/>
    <xf numFmtId="0" fontId="4" fillId="0" borderId="0" xfId="0" applyFont="1"/>
    <xf numFmtId="0" fontId="6" fillId="0" borderId="0" xfId="0" applyFont="1"/>
    <xf numFmtId="2" fontId="6" fillId="0" borderId="0" xfId="0" applyNumberFormat="1" applyFont="1"/>
    <xf numFmtId="0" fontId="6" fillId="0" borderId="0" xfId="0" applyFont="1" applyAlignment="1">
      <alignment horizontal="center"/>
    </xf>
    <xf numFmtId="2" fontId="3" fillId="0" borderId="0" xfId="0" applyNumberFormat="1" applyFont="1" applyAlignment="1">
      <alignment horizontal="center"/>
    </xf>
    <xf numFmtId="9" fontId="6" fillId="0" borderId="0" xfId="3" applyFont="1" applyAlignment="1">
      <alignment horizontal="right"/>
    </xf>
    <xf numFmtId="167" fontId="6" fillId="0" borderId="0" xfId="1" applyNumberFormat="1" applyFont="1"/>
    <xf numFmtId="2" fontId="3" fillId="0" borderId="0" xfId="0" applyNumberFormat="1" applyFont="1"/>
    <xf numFmtId="166" fontId="3" fillId="0" borderId="0" xfId="0" applyNumberFormat="1" applyFont="1" applyAlignment="1">
      <alignment horizontal="right"/>
    </xf>
    <xf numFmtId="7" fontId="3" fillId="0" borderId="0" xfId="2" applyNumberFormat="1" applyFont="1"/>
    <xf numFmtId="167" fontId="6" fillId="0" borderId="0" xfId="0" applyNumberFormat="1" applyFont="1" applyAlignment="1">
      <alignment horizontal="right"/>
    </xf>
    <xf numFmtId="0" fontId="6" fillId="0" borderId="0" xfId="0" applyFont="1" applyBorder="1"/>
    <xf numFmtId="0" fontId="6" fillId="0" borderId="0" xfId="0" quotePrefix="1" applyFont="1" applyFill="1" applyBorder="1" applyAlignment="1">
      <alignment horizontal="left"/>
    </xf>
    <xf numFmtId="0" fontId="6" fillId="0" borderId="0" xfId="0" applyFont="1" applyFill="1" applyBorder="1"/>
    <xf numFmtId="2" fontId="6" fillId="0" borderId="0" xfId="0" applyNumberFormat="1" applyFont="1" applyFill="1" applyBorder="1"/>
    <xf numFmtId="2" fontId="6" fillId="0" borderId="0" xfId="0" applyNumberFormat="1" applyFont="1" applyBorder="1"/>
    <xf numFmtId="2" fontId="0" fillId="0" borderId="0" xfId="0" applyNumberFormat="1" applyBorder="1"/>
    <xf numFmtId="165" fontId="6" fillId="0" borderId="0" xfId="0" applyNumberFormat="1" applyFont="1"/>
    <xf numFmtId="0" fontId="8" fillId="0" borderId="0" xfId="0" applyFont="1"/>
    <xf numFmtId="0" fontId="9" fillId="0" borderId="0" xfId="0" applyFont="1"/>
    <xf numFmtId="2" fontId="9" fillId="0" borderId="0" xfId="0" applyNumberFormat="1" applyFont="1"/>
    <xf numFmtId="3" fontId="0" fillId="0" borderId="0" xfId="0" applyNumberFormat="1"/>
    <xf numFmtId="167" fontId="9" fillId="0" borderId="0" xfId="1" applyNumberFormat="1" applyFont="1"/>
    <xf numFmtId="166" fontId="0" fillId="0" borderId="0" xfId="0" applyNumberFormat="1" applyBorder="1" applyAlignment="1">
      <alignment horizontal="center"/>
    </xf>
    <xf numFmtId="164" fontId="0" fillId="0" borderId="0" xfId="0" applyNumberFormat="1"/>
    <xf numFmtId="2" fontId="0" fillId="0" borderId="2" xfId="0" applyNumberFormat="1" applyBorder="1"/>
    <xf numFmtId="165" fontId="3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right"/>
    </xf>
    <xf numFmtId="0" fontId="7" fillId="0" borderId="0" xfId="0" applyFont="1" applyAlignment="1">
      <alignment horizontal="center" wrapText="1"/>
    </xf>
    <xf numFmtId="0" fontId="9" fillId="0" borderId="0" xfId="0" applyFont="1" applyAlignment="1">
      <alignment horizontal="center" wrapText="1"/>
    </xf>
    <xf numFmtId="0" fontId="9" fillId="0" borderId="0" xfId="0" applyFont="1" applyAlignment="1">
      <alignment horizontal="center"/>
    </xf>
    <xf numFmtId="3" fontId="9" fillId="0" borderId="0" xfId="0" applyNumberFormat="1" applyFont="1" applyFill="1" applyAlignment="1">
      <alignment horizontal="center"/>
    </xf>
    <xf numFmtId="2" fontId="9" fillId="0" borderId="0" xfId="0" applyNumberFormat="1" applyFont="1" applyBorder="1" applyAlignment="1">
      <alignment horizontal="center"/>
    </xf>
    <xf numFmtId="2" fontId="9" fillId="0" borderId="0" xfId="0" applyNumberFormat="1" applyFont="1" applyAlignment="1">
      <alignment horizontal="center"/>
    </xf>
    <xf numFmtId="3" fontId="9" fillId="0" borderId="2" xfId="2" applyNumberFormat="1" applyFont="1" applyFill="1" applyBorder="1" applyAlignment="1">
      <alignment horizontal="center"/>
    </xf>
    <xf numFmtId="9" fontId="9" fillId="0" borderId="0" xfId="3" applyFont="1"/>
    <xf numFmtId="0" fontId="11" fillId="0" borderId="0" xfId="0" applyFont="1" applyAlignment="1">
      <alignment horizontal="center"/>
    </xf>
    <xf numFmtId="0" fontId="11" fillId="0" borderId="0" xfId="0" applyFont="1"/>
    <xf numFmtId="167" fontId="11" fillId="0" borderId="0" xfId="1" applyNumberFormat="1" applyFont="1" applyAlignment="1">
      <alignment horizontal="center"/>
    </xf>
    <xf numFmtId="165" fontId="11" fillId="0" borderId="0" xfId="0" applyNumberFormat="1" applyFont="1" applyAlignment="1">
      <alignment horizontal="center"/>
    </xf>
    <xf numFmtId="9" fontId="11" fillId="0" borderId="0" xfId="3" applyFont="1" applyAlignment="1">
      <alignment horizontal="right"/>
    </xf>
    <xf numFmtId="9" fontId="9" fillId="0" borderId="0" xfId="3" applyFont="1" applyAlignment="1">
      <alignment horizontal="right"/>
    </xf>
    <xf numFmtId="2" fontId="11" fillId="0" borderId="0" xfId="0" applyNumberFormat="1" applyFont="1"/>
    <xf numFmtId="167" fontId="11" fillId="0" borderId="0" xfId="0" applyNumberFormat="1" applyFont="1" applyAlignment="1">
      <alignment horizontal="right"/>
    </xf>
    <xf numFmtId="0" fontId="9" fillId="0" borderId="0" xfId="0" applyNumberFormat="1" applyFont="1" applyAlignment="1">
      <alignment horizontal="center"/>
    </xf>
    <xf numFmtId="0" fontId="12" fillId="0" borderId="0" xfId="0" applyFont="1" applyAlignment="1">
      <alignment horizontal="center"/>
    </xf>
    <xf numFmtId="0" fontId="12" fillId="0" borderId="2" xfId="0" applyFont="1" applyBorder="1" applyAlignment="1">
      <alignment horizontal="center"/>
    </xf>
    <xf numFmtId="0" fontId="6" fillId="0" borderId="0" xfId="0" applyFont="1" applyFill="1"/>
    <xf numFmtId="4" fontId="0" fillId="0" borderId="0" xfId="0" applyNumberFormat="1"/>
    <xf numFmtId="4" fontId="6" fillId="0" borderId="0" xfId="0" applyNumberFormat="1" applyFont="1"/>
    <xf numFmtId="4" fontId="0" fillId="0" borderId="4" xfId="0" quotePrefix="1" applyNumberFormat="1" applyBorder="1"/>
    <xf numFmtId="4" fontId="0" fillId="0" borderId="3" xfId="0" applyNumberFormat="1" applyBorder="1"/>
    <xf numFmtId="4" fontId="0" fillId="0" borderId="2" xfId="0" applyNumberFormat="1" applyBorder="1"/>
    <xf numFmtId="165" fontId="0" fillId="2" borderId="0" xfId="0" applyNumberFormat="1" applyFill="1" applyAlignment="1">
      <alignment horizontal="center"/>
    </xf>
    <xf numFmtId="0" fontId="9" fillId="3" borderId="0" xfId="0" applyFont="1" applyFill="1"/>
    <xf numFmtId="0" fontId="9" fillId="2" borderId="0" xfId="0" applyFont="1" applyFill="1"/>
    <xf numFmtId="0" fontId="9" fillId="0" borderId="0" xfId="0" applyFont="1" applyFill="1"/>
    <xf numFmtId="0" fontId="9" fillId="4" borderId="0" xfId="0" applyFont="1" applyFill="1"/>
    <xf numFmtId="0" fontId="13" fillId="3" borderId="2" xfId="0" applyFont="1" applyFill="1" applyBorder="1" applyAlignment="1">
      <alignment horizontal="center"/>
    </xf>
    <xf numFmtId="165" fontId="13" fillId="3" borderId="0" xfId="0" applyNumberFormat="1" applyFont="1" applyFill="1"/>
    <xf numFmtId="4" fontId="3" fillId="2" borderId="0" xfId="0" applyNumberFormat="1" applyFont="1" applyFill="1"/>
    <xf numFmtId="4" fontId="3" fillId="0" borderId="0" xfId="0" applyNumberFormat="1" applyFont="1"/>
    <xf numFmtId="4" fontId="3" fillId="4" borderId="0" xfId="0" applyNumberFormat="1" applyFont="1" applyFill="1"/>
    <xf numFmtId="4" fontId="3" fillId="0" borderId="4" xfId="0" quotePrefix="1" applyNumberFormat="1" applyFont="1" applyBorder="1"/>
    <xf numFmtId="4" fontId="3" fillId="2" borderId="2" xfId="0" applyNumberFormat="1" applyFont="1" applyFill="1" applyBorder="1"/>
    <xf numFmtId="3" fontId="13" fillId="3" borderId="0" xfId="0" applyNumberFormat="1" applyFont="1" applyFill="1"/>
    <xf numFmtId="168" fontId="13" fillId="3" borderId="0" xfId="0" applyNumberFormat="1" applyFont="1" applyFill="1"/>
    <xf numFmtId="0" fontId="13" fillId="0" borderId="0" xfId="0" applyFont="1"/>
    <xf numFmtId="164" fontId="13" fillId="3" borderId="0" xfId="0" applyNumberFormat="1" applyFont="1" applyFill="1"/>
    <xf numFmtId="0" fontId="13" fillId="3" borderId="0" xfId="0" applyFont="1" applyFill="1"/>
    <xf numFmtId="0" fontId="13" fillId="3" borderId="0" xfId="0" applyFont="1" applyFill="1" applyAlignment="1">
      <alignment horizontal="center"/>
    </xf>
    <xf numFmtId="2" fontId="13" fillId="3" borderId="0" xfId="0" applyNumberFormat="1" applyFont="1" applyFill="1"/>
    <xf numFmtId="9" fontId="13" fillId="3" borderId="0" xfId="3" applyFont="1" applyFill="1"/>
    <xf numFmtId="0" fontId="9" fillId="3" borderId="0" xfId="0" applyFont="1" applyFill="1" applyAlignment="1">
      <alignment horizontal="center"/>
    </xf>
    <xf numFmtId="166" fontId="9" fillId="3" borderId="0" xfId="0" applyNumberFormat="1" applyFont="1" applyFill="1" applyAlignment="1">
      <alignment horizontal="center"/>
    </xf>
    <xf numFmtId="3" fontId="9" fillId="3" borderId="0" xfId="0" applyNumberFormat="1" applyFont="1" applyFill="1" applyAlignment="1">
      <alignment horizontal="center"/>
    </xf>
    <xf numFmtId="0" fontId="9" fillId="3" borderId="0" xfId="0" applyNumberFormat="1" applyFont="1" applyFill="1" applyAlignment="1">
      <alignment horizontal="center"/>
    </xf>
    <xf numFmtId="0" fontId="9" fillId="3" borderId="2" xfId="0" applyFont="1" applyFill="1" applyBorder="1"/>
    <xf numFmtId="0" fontId="9" fillId="3" borderId="2" xfId="0" applyFont="1" applyFill="1" applyBorder="1" applyAlignment="1">
      <alignment horizontal="center"/>
    </xf>
    <xf numFmtId="166" fontId="9" fillId="3" borderId="2" xfId="2" applyNumberFormat="1" applyFont="1" applyFill="1" applyBorder="1" applyAlignment="1">
      <alignment horizontal="center"/>
    </xf>
    <xf numFmtId="3" fontId="9" fillId="3" borderId="2" xfId="2" applyNumberFormat="1" applyFont="1" applyFill="1" applyBorder="1" applyAlignment="1">
      <alignment horizontal="center"/>
    </xf>
    <xf numFmtId="164" fontId="9" fillId="3" borderId="0" xfId="0" applyNumberFormat="1" applyFont="1" applyFill="1" applyAlignment="1">
      <alignment horizontal="center"/>
    </xf>
    <xf numFmtId="164" fontId="9" fillId="3" borderId="0" xfId="0" applyNumberFormat="1" applyFont="1" applyFill="1" applyBorder="1" applyAlignment="1">
      <alignment horizontal="center"/>
    </xf>
    <xf numFmtId="165" fontId="11" fillId="2" borderId="0" xfId="0" applyNumberFormat="1" applyFont="1" applyFill="1" applyAlignment="1">
      <alignment horizontal="center"/>
    </xf>
    <xf numFmtId="7" fontId="11" fillId="3" borderId="0" xfId="2" applyNumberFormat="1" applyFont="1" applyFill="1"/>
    <xf numFmtId="0" fontId="0" fillId="3" borderId="0" xfId="0" applyFill="1"/>
    <xf numFmtId="164" fontId="9" fillId="0" borderId="0" xfId="0" quotePrefix="1" applyNumberFormat="1" applyFont="1" applyBorder="1" applyAlignment="1">
      <alignment horizontal="center"/>
    </xf>
    <xf numFmtId="2" fontId="9" fillId="0" borderId="0" xfId="0" quotePrefix="1" applyNumberFormat="1" applyFont="1" applyBorder="1" applyAlignment="1">
      <alignment horizontal="center"/>
    </xf>
    <xf numFmtId="164" fontId="9" fillId="0" borderId="0" xfId="0" quotePrefix="1" applyNumberFormat="1" applyFont="1" applyAlignment="1">
      <alignment horizontal="center"/>
    </xf>
    <xf numFmtId="0" fontId="9" fillId="0" borderId="0" xfId="0" quotePrefix="1" applyFont="1" applyAlignment="1">
      <alignment horizontal="center"/>
    </xf>
    <xf numFmtId="2" fontId="9" fillId="0" borderId="2" xfId="0" quotePrefix="1" applyNumberFormat="1" applyFont="1" applyBorder="1" applyAlignment="1">
      <alignment horizontal="center"/>
    </xf>
    <xf numFmtId="0" fontId="0" fillId="3" borderId="0" xfId="0" applyFill="1" applyAlignment="1">
      <alignment horizontal="center"/>
    </xf>
    <xf numFmtId="166" fontId="12" fillId="3" borderId="0" xfId="0" applyNumberFormat="1" applyFont="1" applyFill="1" applyAlignment="1">
      <alignment horizontal="center"/>
    </xf>
    <xf numFmtId="0" fontId="12" fillId="3" borderId="0" xfId="0" applyFont="1" applyFill="1" applyAlignment="1">
      <alignment horizontal="center"/>
    </xf>
    <xf numFmtId="0" fontId="0" fillId="3" borderId="2" xfId="0" applyFill="1" applyBorder="1" applyAlignment="1">
      <alignment horizontal="center"/>
    </xf>
    <xf numFmtId="166" fontId="12" fillId="3" borderId="2" xfId="0" applyNumberFormat="1" applyFont="1" applyFill="1" applyBorder="1" applyAlignment="1">
      <alignment horizontal="center"/>
    </xf>
    <xf numFmtId="0" fontId="12" fillId="3" borderId="2" xfId="0" applyFont="1" applyFill="1" applyBorder="1" applyAlignment="1">
      <alignment horizontal="center"/>
    </xf>
    <xf numFmtId="2" fontId="11" fillId="0" borderId="0" xfId="0" applyNumberFormat="1" applyFont="1" applyAlignment="1">
      <alignment horizontal="right"/>
    </xf>
    <xf numFmtId="167" fontId="9" fillId="0" borderId="0" xfId="0" applyNumberFormat="1" applyFont="1" applyAlignment="1">
      <alignment horizontal="right"/>
    </xf>
    <xf numFmtId="0" fontId="9" fillId="0" borderId="0" xfId="0" applyFont="1" applyFill="1" applyAlignment="1">
      <alignment horizontal="left"/>
    </xf>
    <xf numFmtId="0" fontId="9" fillId="0" borderId="0" xfId="0" quotePrefix="1" applyFont="1" applyFill="1" applyAlignment="1">
      <alignment horizontal="left"/>
    </xf>
    <xf numFmtId="7" fontId="11" fillId="0" borderId="0" xfId="2" applyNumberFormat="1" applyFont="1" applyFill="1"/>
    <xf numFmtId="0" fontId="0" fillId="3" borderId="2" xfId="0" applyFill="1" applyBorder="1"/>
    <xf numFmtId="0" fontId="10" fillId="0" borderId="0" xfId="0" applyFont="1" applyAlignment="1">
      <alignment horizontal="center"/>
    </xf>
    <xf numFmtId="0" fontId="10" fillId="0" borderId="0" xfId="0" applyFont="1"/>
    <xf numFmtId="0" fontId="9" fillId="0" borderId="0" xfId="0" quotePrefix="1" applyFont="1"/>
    <xf numFmtId="1" fontId="9" fillId="3" borderId="0" xfId="0" applyNumberFormat="1" applyFont="1" applyFill="1"/>
    <xf numFmtId="2" fontId="9" fillId="0" borderId="0" xfId="0" quotePrefix="1" applyNumberFormat="1" applyFont="1"/>
    <xf numFmtId="169" fontId="13" fillId="3" borderId="0" xfId="0" applyNumberFormat="1" applyFont="1" applyFill="1"/>
    <xf numFmtId="4" fontId="3" fillId="2" borderId="0" xfId="0" applyNumberFormat="1" applyFont="1" applyFill="1" applyBorder="1"/>
    <xf numFmtId="2" fontId="9" fillId="0" borderId="0" xfId="0" applyNumberFormat="1" applyFont="1" applyFill="1" applyBorder="1" applyAlignment="1">
      <alignment horizontal="center"/>
    </xf>
    <xf numFmtId="164" fontId="9" fillId="0" borderId="0" xfId="0" applyNumberFormat="1" applyFont="1" applyFill="1" applyBorder="1" applyAlignment="1">
      <alignment horizontal="center"/>
    </xf>
    <xf numFmtId="165" fontId="0" fillId="0" borderId="2" xfId="0" applyNumberFormat="1" applyFill="1" applyBorder="1" applyAlignment="1">
      <alignment horizontal="center"/>
    </xf>
    <xf numFmtId="4" fontId="0" fillId="0" borderId="1" xfId="0" applyNumberFormat="1" applyBorder="1"/>
    <xf numFmtId="4" fontId="0" fillId="0" borderId="0" xfId="0" applyNumberFormat="1" applyBorder="1"/>
    <xf numFmtId="164" fontId="9" fillId="0" borderId="1" xfId="0" applyNumberFormat="1" applyFont="1" applyFill="1" applyBorder="1" applyAlignment="1">
      <alignment horizontal="center"/>
    </xf>
    <xf numFmtId="2" fontId="9" fillId="0" borderId="1" xfId="0" applyNumberFormat="1" applyFont="1" applyFill="1" applyBorder="1" applyAlignment="1">
      <alignment horizontal="center"/>
    </xf>
    <xf numFmtId="164" fontId="9" fillId="0" borderId="2" xfId="0" applyNumberFormat="1" applyFont="1" applyFill="1" applyBorder="1" applyAlignment="1">
      <alignment horizontal="center"/>
    </xf>
    <xf numFmtId="2" fontId="9" fillId="0" borderId="2" xfId="0" applyNumberFormat="1" applyFont="1" applyFill="1" applyBorder="1" applyAlignment="1">
      <alignment horizontal="center"/>
    </xf>
    <xf numFmtId="0" fontId="9" fillId="0" borderId="0" xfId="0" applyFont="1" applyBorder="1" applyAlignment="1">
      <alignment horizontal="center" wrapText="1"/>
    </xf>
    <xf numFmtId="0" fontId="0" fillId="3" borderId="1" xfId="0" applyFill="1" applyBorder="1"/>
    <xf numFmtId="165" fontId="0" fillId="0" borderId="1" xfId="0" applyNumberFormat="1" applyFill="1" applyBorder="1" applyAlignment="1">
      <alignment horizontal="center"/>
    </xf>
    <xf numFmtId="0" fontId="0" fillId="3" borderId="0" xfId="0" applyFill="1" applyBorder="1"/>
    <xf numFmtId="165" fontId="0" fillId="0" borderId="0" xfId="0" applyNumberFormat="1" applyFill="1" applyBorder="1" applyAlignment="1">
      <alignment horizontal="center"/>
    </xf>
    <xf numFmtId="0" fontId="9" fillId="0" borderId="0" xfId="0" applyFont="1" applyFill="1" applyBorder="1"/>
    <xf numFmtId="0" fontId="9" fillId="0" borderId="0" xfId="0" applyFont="1" applyBorder="1" applyAlignment="1">
      <alignment horizontal="center"/>
    </xf>
    <xf numFmtId="2" fontId="9" fillId="2" borderId="0" xfId="0" applyNumberFormat="1" applyFont="1" applyFill="1" applyBorder="1" applyAlignment="1">
      <alignment horizontal="center"/>
    </xf>
    <xf numFmtId="39" fontId="9" fillId="2" borderId="2" xfId="0" applyNumberFormat="1" applyFont="1" applyFill="1" applyBorder="1" applyAlignment="1">
      <alignment horizontal="center"/>
    </xf>
    <xf numFmtId="2" fontId="9" fillId="2" borderId="0" xfId="0" applyNumberFormat="1" applyFont="1" applyFill="1" applyAlignment="1">
      <alignment horizontal="center"/>
    </xf>
    <xf numFmtId="2" fontId="9" fillId="2" borderId="2" xfId="0" applyNumberFormat="1" applyFont="1" applyFill="1" applyBorder="1" applyAlignment="1">
      <alignment horizontal="center"/>
    </xf>
    <xf numFmtId="2" fontId="12" fillId="0" borderId="0" xfId="0" applyNumberFormat="1" applyFont="1" applyAlignment="1">
      <alignment horizontal="center" wrapText="1"/>
    </xf>
    <xf numFmtId="2" fontId="0" fillId="2" borderId="0" xfId="0" applyNumberFormat="1" applyFill="1"/>
    <xf numFmtId="2" fontId="0" fillId="2" borderId="2" xfId="0" applyNumberFormat="1" applyFill="1" applyBorder="1"/>
    <xf numFmtId="0" fontId="6" fillId="0" borderId="2" xfId="0" applyFont="1" applyBorder="1"/>
    <xf numFmtId="165" fontId="0" fillId="2" borderId="2" xfId="0" applyNumberFormat="1" applyFill="1" applyBorder="1" applyAlignment="1">
      <alignment horizontal="center"/>
    </xf>
    <xf numFmtId="164" fontId="9" fillId="3" borderId="2" xfId="0" applyNumberFormat="1" applyFont="1" applyFill="1" applyBorder="1" applyAlignment="1">
      <alignment horizontal="center"/>
    </xf>
    <xf numFmtId="0" fontId="7" fillId="0" borderId="1" xfId="0" applyFont="1" applyBorder="1" applyAlignment="1">
      <alignment horizontal="center" wrapText="1"/>
    </xf>
    <xf numFmtId="0" fontId="6" fillId="0" borderId="1" xfId="0" applyFon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9" fillId="0" borderId="1" xfId="0" applyFont="1" applyBorder="1" applyAlignment="1">
      <alignment horizontal="center" wrapText="1"/>
    </xf>
    <xf numFmtId="2" fontId="0" fillId="0" borderId="1" xfId="0" applyNumberFormat="1" applyBorder="1" applyAlignment="1">
      <alignment horizontal="center" wrapText="1"/>
    </xf>
    <xf numFmtId="0" fontId="17" fillId="0" borderId="0" xfId="0" applyFont="1"/>
    <xf numFmtId="0" fontId="17" fillId="5" borderId="6" xfId="0" applyFont="1" applyFill="1" applyBorder="1"/>
    <xf numFmtId="0" fontId="16" fillId="5" borderId="1" xfId="0" applyFont="1" applyFill="1" applyBorder="1"/>
    <xf numFmtId="0" fontId="17" fillId="0" borderId="1" xfId="0" applyFont="1" applyFill="1" applyBorder="1"/>
    <xf numFmtId="165" fontId="16" fillId="0" borderId="0" xfId="0" applyNumberFormat="1" applyFont="1" applyFill="1" applyBorder="1"/>
    <xf numFmtId="165" fontId="16" fillId="0" borderId="0" xfId="0" applyNumberFormat="1" applyFont="1"/>
    <xf numFmtId="0" fontId="17" fillId="5" borderId="1" xfId="0" applyFont="1" applyFill="1" applyBorder="1"/>
    <xf numFmtId="165" fontId="16" fillId="0" borderId="1" xfId="0" applyNumberFormat="1" applyFont="1" applyFill="1" applyBorder="1"/>
    <xf numFmtId="0" fontId="16" fillId="6" borderId="7" xfId="0" applyFont="1" applyFill="1" applyBorder="1"/>
    <xf numFmtId="0" fontId="17" fillId="6" borderId="6" xfId="0" applyFont="1" applyFill="1" applyBorder="1"/>
    <xf numFmtId="0" fontId="17" fillId="7" borderId="2" xfId="0" applyFont="1" applyFill="1" applyBorder="1"/>
    <xf numFmtId="0" fontId="17" fillId="7" borderId="1" xfId="0" applyFont="1" applyFill="1" applyBorder="1"/>
    <xf numFmtId="165" fontId="16" fillId="7" borderId="1" xfId="0" applyNumberFormat="1" applyFont="1" applyFill="1" applyBorder="1"/>
    <xf numFmtId="165" fontId="16" fillId="7" borderId="6" xfId="0" applyNumberFormat="1" applyFont="1" applyFill="1" applyBorder="1"/>
    <xf numFmtId="0" fontId="17" fillId="7" borderId="0" xfId="0" applyFont="1" applyFill="1" applyBorder="1"/>
    <xf numFmtId="0" fontId="18" fillId="7" borderId="1" xfId="0" applyFont="1" applyFill="1" applyBorder="1"/>
    <xf numFmtId="0" fontId="18" fillId="7" borderId="0" xfId="0" applyFont="1" applyFill="1" applyBorder="1"/>
    <xf numFmtId="165" fontId="16" fillId="7" borderId="0" xfId="0" applyNumberFormat="1" applyFont="1" applyFill="1" applyBorder="1"/>
    <xf numFmtId="165" fontId="16" fillId="7" borderId="9" xfId="0" applyNumberFormat="1" applyFont="1" applyFill="1" applyBorder="1"/>
    <xf numFmtId="1" fontId="18" fillId="7" borderId="0" xfId="0" applyNumberFormat="1" applyFont="1" applyFill="1" applyBorder="1"/>
    <xf numFmtId="7" fontId="18" fillId="7" borderId="2" xfId="0" applyNumberFormat="1" applyFont="1" applyFill="1" applyBorder="1"/>
    <xf numFmtId="165" fontId="16" fillId="7" borderId="2" xfId="0" applyNumberFormat="1" applyFont="1" applyFill="1" applyBorder="1"/>
    <xf numFmtId="165" fontId="16" fillId="7" borderId="10" xfId="0" applyNumberFormat="1" applyFont="1" applyFill="1" applyBorder="1"/>
    <xf numFmtId="165" fontId="3" fillId="8" borderId="0" xfId="0" applyNumberFormat="1" applyFont="1" applyFill="1"/>
    <xf numFmtId="0" fontId="6" fillId="0" borderId="0" xfId="0" quotePrefix="1" applyFont="1"/>
    <xf numFmtId="0" fontId="1" fillId="0" borderId="0" xfId="0" applyFont="1"/>
    <xf numFmtId="2" fontId="3" fillId="9" borderId="0" xfId="0" applyNumberFormat="1" applyFont="1" applyFill="1"/>
    <xf numFmtId="2" fontId="1" fillId="0" borderId="0" xfId="0" quotePrefix="1" applyNumberFormat="1" applyFont="1" applyAlignment="1">
      <alignment horizontal="center"/>
    </xf>
    <xf numFmtId="2" fontId="9" fillId="9" borderId="0" xfId="0" applyNumberFormat="1" applyFont="1" applyFill="1" applyBorder="1" applyAlignment="1">
      <alignment horizontal="center"/>
    </xf>
    <xf numFmtId="2" fontId="9" fillId="9" borderId="0" xfId="0" quotePrefix="1" applyNumberFormat="1" applyFont="1" applyFill="1" applyAlignment="1">
      <alignment horizontal="center"/>
    </xf>
    <xf numFmtId="164" fontId="9" fillId="0" borderId="0" xfId="0" quotePrefix="1" applyNumberFormat="1" applyFont="1" applyFill="1" applyBorder="1" applyAlignment="1">
      <alignment horizontal="center"/>
    </xf>
    <xf numFmtId="0" fontId="17" fillId="10" borderId="0" xfId="0" applyFont="1" applyFill="1" applyBorder="1"/>
    <xf numFmtId="0" fontId="17" fillId="10" borderId="1" xfId="0" applyFont="1" applyFill="1" applyBorder="1"/>
    <xf numFmtId="0" fontId="16" fillId="0" borderId="0" xfId="0" applyFont="1"/>
    <xf numFmtId="1" fontId="16" fillId="11" borderId="11" xfId="0" applyNumberFormat="1" applyFont="1" applyFill="1" applyBorder="1" applyAlignment="1"/>
    <xf numFmtId="0" fontId="16" fillId="11" borderId="2" xfId="0" applyFont="1" applyFill="1" applyBorder="1" applyAlignment="1"/>
    <xf numFmtId="1" fontId="16" fillId="11" borderId="10" xfId="0" applyNumberFormat="1" applyFont="1" applyFill="1" applyBorder="1" applyAlignment="1"/>
    <xf numFmtId="165" fontId="13" fillId="0" borderId="0" xfId="0" applyNumberFormat="1" applyFont="1" applyFill="1"/>
    <xf numFmtId="4" fontId="3" fillId="0" borderId="0" xfId="0" applyNumberFormat="1" applyFont="1" applyFill="1"/>
    <xf numFmtId="10" fontId="13" fillId="3" borderId="0" xfId="0" applyNumberFormat="1" applyFont="1" applyFill="1"/>
    <xf numFmtId="4" fontId="0" fillId="0" borderId="0" xfId="0" quotePrefix="1" applyNumberFormat="1" applyBorder="1"/>
    <xf numFmtId="4" fontId="3" fillId="0" borderId="0" xfId="0" quotePrefix="1" applyNumberFormat="1" applyFont="1" applyBorder="1"/>
    <xf numFmtId="4" fontId="6" fillId="0" borderId="0" xfId="0" applyNumberFormat="1" applyFont="1" applyBorder="1"/>
    <xf numFmtId="4" fontId="3" fillId="4" borderId="0" xfId="0" applyNumberFormat="1" applyFont="1" applyFill="1" applyBorder="1"/>
    <xf numFmtId="0" fontId="0" fillId="0" borderId="0" xfId="0" applyAlignment="1"/>
    <xf numFmtId="0" fontId="1" fillId="0" borderId="2" xfId="0" applyFont="1" applyBorder="1"/>
    <xf numFmtId="4" fontId="0" fillId="0" borderId="5" xfId="0" applyNumberFormat="1" applyBorder="1"/>
    <xf numFmtId="1" fontId="1" fillId="0" borderId="2" xfId="0" applyNumberFormat="1" applyFont="1" applyBorder="1"/>
    <xf numFmtId="165" fontId="18" fillId="7" borderId="1" xfId="0" applyNumberFormat="1" applyFont="1" applyFill="1" applyBorder="1"/>
    <xf numFmtId="0" fontId="17" fillId="0" borderId="0" xfId="0" applyFont="1" applyFill="1" applyBorder="1"/>
    <xf numFmtId="165" fontId="18" fillId="7" borderId="2" xfId="0" applyNumberFormat="1" applyFont="1" applyFill="1" applyBorder="1"/>
    <xf numFmtId="14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2" fontId="11" fillId="0" borderId="0" xfId="0" applyNumberFormat="1" applyFont="1" applyAlignment="1">
      <alignment horizontal="right"/>
    </xf>
    <xf numFmtId="0" fontId="11" fillId="0" borderId="0" xfId="0" applyFont="1" applyAlignment="1"/>
    <xf numFmtId="0" fontId="9" fillId="0" borderId="0" xfId="0" applyFont="1" applyAlignment="1"/>
    <xf numFmtId="0" fontId="3" fillId="0" borderId="1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15" fillId="12" borderId="12" xfId="0" applyFont="1" applyFill="1" applyBorder="1" applyAlignment="1">
      <alignment horizontal="center"/>
    </xf>
    <xf numFmtId="0" fontId="15" fillId="12" borderId="0" xfId="0" applyFont="1" applyFill="1" applyBorder="1" applyAlignment="1">
      <alignment horizontal="center"/>
    </xf>
    <xf numFmtId="0" fontId="15" fillId="12" borderId="13" xfId="0" applyFont="1" applyFill="1" applyBorder="1" applyAlignment="1">
      <alignment horizontal="center"/>
    </xf>
    <xf numFmtId="0" fontId="15" fillId="12" borderId="14" xfId="0" applyFont="1" applyFill="1" applyBorder="1" applyAlignment="1">
      <alignment horizontal="center"/>
    </xf>
    <xf numFmtId="0" fontId="15" fillId="12" borderId="15" xfId="0" applyFont="1" applyFill="1" applyBorder="1" applyAlignment="1">
      <alignment horizontal="center"/>
    </xf>
    <xf numFmtId="0" fontId="15" fillId="12" borderId="16" xfId="0" applyFont="1" applyFill="1" applyBorder="1" applyAlignment="1">
      <alignment horizontal="center"/>
    </xf>
    <xf numFmtId="0" fontId="16" fillId="13" borderId="8" xfId="0" applyFont="1" applyFill="1" applyBorder="1" applyAlignment="1">
      <alignment horizontal="left"/>
    </xf>
    <xf numFmtId="0" fontId="16" fillId="13" borderId="1" xfId="0" applyFont="1" applyFill="1" applyBorder="1" applyAlignment="1">
      <alignment horizontal="center"/>
    </xf>
    <xf numFmtId="0" fontId="16" fillId="13" borderId="6" xfId="0" applyFont="1" applyFill="1" applyBorder="1" applyAlignment="1">
      <alignment horizontal="center"/>
    </xf>
    <xf numFmtId="0" fontId="0" fillId="0" borderId="0" xfId="0" applyFill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1</xdr:row>
      <xdr:rowOff>75340</xdr:rowOff>
    </xdr:from>
    <xdr:to>
      <xdr:col>4</xdr:col>
      <xdr:colOff>374650</xdr:colOff>
      <xdr:row>3</xdr:row>
      <xdr:rowOff>96110</xdr:rowOff>
    </xdr:to>
    <xdr:pic>
      <xdr:nvPicPr>
        <xdr:cNvPr id="134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71450" y="271132"/>
          <a:ext cx="1907117" cy="3435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2"/>
  <sheetViews>
    <sheetView tabSelected="1" view="pageLayout" zoomScaleNormal="100" zoomScaleSheetLayoutView="120" workbookViewId="0">
      <selection activeCell="D8" sqref="D8"/>
    </sheetView>
  </sheetViews>
  <sheetFormatPr defaultRowHeight="12.5" x14ac:dyDescent="0.25"/>
  <cols>
    <col min="1" max="2" width="2.6328125" customWidth="1"/>
    <col min="4" max="4" width="10.36328125" customWidth="1"/>
    <col min="6" max="6" width="10.08984375" bestFit="1" customWidth="1"/>
    <col min="7" max="7" width="9.36328125" bestFit="1" customWidth="1"/>
    <col min="8" max="8" width="9.6328125" customWidth="1"/>
    <col min="9" max="9" width="8" customWidth="1"/>
    <col min="10" max="10" width="7.90625" customWidth="1"/>
    <col min="11" max="11" width="7" style="1" customWidth="1"/>
    <col min="12" max="12" width="7.36328125" style="1" customWidth="1"/>
    <col min="13" max="13" width="7" style="1" customWidth="1"/>
    <col min="14" max="14" width="8" customWidth="1"/>
  </cols>
  <sheetData>
    <row r="1" spans="1:18" ht="15.5" x14ac:dyDescent="0.35">
      <c r="A1" s="228"/>
      <c r="B1" s="228"/>
      <c r="C1" s="228"/>
      <c r="D1" s="228"/>
      <c r="E1" s="228"/>
      <c r="F1" s="202"/>
      <c r="G1" s="202"/>
      <c r="H1" s="202"/>
      <c r="I1" s="120" t="s">
        <v>194</v>
      </c>
      <c r="J1" s="202"/>
      <c r="K1" s="202"/>
      <c r="L1" s="202"/>
    </row>
    <row r="2" spans="1:18" ht="13" x14ac:dyDescent="0.3">
      <c r="A2" s="228"/>
      <c r="B2" s="228"/>
      <c r="C2" s="228"/>
      <c r="D2" s="228"/>
      <c r="E2" s="228"/>
      <c r="F2" s="202"/>
      <c r="G2" s="202"/>
      <c r="H2" s="202"/>
      <c r="I2" s="3" t="s">
        <v>0</v>
      </c>
      <c r="J2" s="202"/>
      <c r="K2" s="202"/>
      <c r="L2" s="202"/>
    </row>
    <row r="3" spans="1:18" x14ac:dyDescent="0.25">
      <c r="A3" s="228"/>
      <c r="B3" s="228"/>
      <c r="C3" s="228"/>
      <c r="D3" s="228"/>
      <c r="E3" s="228"/>
      <c r="F3" s="202"/>
      <c r="G3" s="202"/>
      <c r="H3" s="202"/>
      <c r="I3" s="2" t="s">
        <v>153</v>
      </c>
      <c r="J3" s="202"/>
      <c r="K3" s="202"/>
      <c r="L3" s="202"/>
    </row>
    <row r="4" spans="1:18" ht="15.75" customHeight="1" x14ac:dyDescent="0.35">
      <c r="A4" s="228"/>
      <c r="B4" s="228"/>
      <c r="C4" s="228"/>
      <c r="D4" s="228"/>
      <c r="E4" s="228"/>
      <c r="G4" s="121"/>
      <c r="H4" s="121"/>
      <c r="I4" s="121"/>
      <c r="K4" s="24" t="s">
        <v>98</v>
      </c>
      <c r="M4" s="209">
        <v>42993</v>
      </c>
      <c r="N4" s="210"/>
    </row>
    <row r="5" spans="1:18" s="14" customFormat="1" ht="15.75" customHeight="1" x14ac:dyDescent="0.35">
      <c r="A5" s="228"/>
      <c r="B5" s="228"/>
      <c r="C5" s="228"/>
      <c r="D5" s="228"/>
      <c r="E5" s="228"/>
      <c r="F5" s="121"/>
      <c r="G5" s="18"/>
      <c r="H5" s="18"/>
      <c r="I5" s="120"/>
      <c r="J5" s="3"/>
      <c r="K5" s="3"/>
      <c r="L5" s="3"/>
      <c r="M5" s="3"/>
      <c r="N5"/>
    </row>
    <row r="6" spans="1:18" s="7" customFormat="1" ht="13" x14ac:dyDescent="0.3">
      <c r="A6" s="214" t="s">
        <v>1</v>
      </c>
      <c r="B6" s="214"/>
      <c r="C6" s="214"/>
      <c r="D6" s="214"/>
      <c r="E6" s="6"/>
      <c r="F6" s="214" t="s">
        <v>2</v>
      </c>
      <c r="G6" s="214"/>
      <c r="H6" s="5" t="s">
        <v>84</v>
      </c>
      <c r="I6" s="214" t="s">
        <v>3</v>
      </c>
      <c r="J6" s="214"/>
      <c r="K6" s="217" t="s">
        <v>4</v>
      </c>
      <c r="L6" s="217"/>
      <c r="M6" s="217"/>
      <c r="N6" s="5" t="s">
        <v>5</v>
      </c>
    </row>
    <row r="7" spans="1:18" s="7" customFormat="1" ht="13" x14ac:dyDescent="0.3">
      <c r="H7" s="8" t="s">
        <v>85</v>
      </c>
      <c r="I7" s="218" t="s">
        <v>6</v>
      </c>
      <c r="J7" s="218"/>
      <c r="K7" s="9"/>
      <c r="L7" s="9"/>
      <c r="M7" s="9"/>
      <c r="N7" s="8" t="s">
        <v>7</v>
      </c>
    </row>
    <row r="8" spans="1:18" s="7" customFormat="1" ht="13" x14ac:dyDescent="0.3">
      <c r="A8" s="10"/>
      <c r="B8" s="10"/>
      <c r="C8" s="10"/>
      <c r="D8" s="10"/>
      <c r="E8" s="10"/>
      <c r="F8" s="10"/>
      <c r="G8" s="10"/>
      <c r="H8" s="10" t="s">
        <v>86</v>
      </c>
      <c r="I8" s="10"/>
      <c r="J8" s="10"/>
      <c r="K8" s="205">
        <v>59.8</v>
      </c>
      <c r="L8" s="205">
        <v>74.7</v>
      </c>
      <c r="M8" s="205">
        <v>89.6</v>
      </c>
      <c r="N8" s="75">
        <v>92</v>
      </c>
    </row>
    <row r="9" spans="1:18" s="14" customFormat="1" ht="13" x14ac:dyDescent="0.3">
      <c r="A9" s="4" t="s">
        <v>8</v>
      </c>
      <c r="B9"/>
      <c r="C9"/>
      <c r="D9"/>
      <c r="E9"/>
      <c r="F9"/>
      <c r="G9"/>
      <c r="H9"/>
      <c r="I9"/>
      <c r="J9"/>
      <c r="K9" s="1"/>
      <c r="L9" s="1"/>
      <c r="M9" s="1"/>
      <c r="N9"/>
    </row>
    <row r="10" spans="1:18" s="14" customFormat="1" ht="15" x14ac:dyDescent="0.3">
      <c r="A10"/>
      <c r="B10" t="s">
        <v>67</v>
      </c>
      <c r="C10"/>
      <c r="D10"/>
      <c r="E10"/>
      <c r="F10"/>
      <c r="G10"/>
      <c r="H10"/>
      <c r="I10" s="76">
        <v>4.8</v>
      </c>
      <c r="J10" t="s">
        <v>9</v>
      </c>
      <c r="K10" s="65">
        <f>+$I$10*K8</f>
        <v>287.03999999999996</v>
      </c>
      <c r="L10" s="65">
        <f>+$I$10*L8</f>
        <v>358.56</v>
      </c>
      <c r="M10" s="65">
        <f>+$I$10*M8</f>
        <v>430.08</v>
      </c>
      <c r="N10" s="77">
        <f>+$I$10*N8</f>
        <v>441.59999999999997</v>
      </c>
      <c r="O10" s="131"/>
      <c r="P10" s="131"/>
      <c r="Q10" s="131"/>
      <c r="R10" s="131"/>
    </row>
    <row r="11" spans="1:18" s="14" customFormat="1" ht="15" x14ac:dyDescent="0.3">
      <c r="A11"/>
      <c r="B11" s="183" t="s">
        <v>168</v>
      </c>
      <c r="C11"/>
      <c r="D11"/>
      <c r="E11"/>
      <c r="F11"/>
      <c r="G11"/>
      <c r="H11"/>
      <c r="I11" s="195"/>
      <c r="J11"/>
      <c r="K11" s="65">
        <v>3.6</v>
      </c>
      <c r="L11" s="65">
        <v>3.6</v>
      </c>
      <c r="M11" s="65">
        <v>3.6</v>
      </c>
      <c r="N11" s="196">
        <v>3.6</v>
      </c>
      <c r="O11" s="131"/>
      <c r="P11" s="131"/>
      <c r="Q11" s="131"/>
      <c r="R11" s="131"/>
    </row>
    <row r="12" spans="1:18" s="14" customFormat="1" ht="13" x14ac:dyDescent="0.3">
      <c r="A12"/>
      <c r="B12" s="183" t="s">
        <v>164</v>
      </c>
      <c r="C12"/>
      <c r="D12"/>
      <c r="E12"/>
      <c r="F12"/>
      <c r="G12"/>
      <c r="H12"/>
      <c r="I12" s="195"/>
      <c r="J12"/>
      <c r="K12" s="65">
        <v>0</v>
      </c>
      <c r="L12" s="65">
        <v>0</v>
      </c>
      <c r="M12" s="65">
        <v>0</v>
      </c>
      <c r="N12" s="196">
        <v>0</v>
      </c>
      <c r="O12" s="131"/>
      <c r="P12" s="131"/>
      <c r="Q12" s="131"/>
      <c r="R12" s="131"/>
    </row>
    <row r="13" spans="1:18" s="14" customFormat="1" ht="13" x14ac:dyDescent="0.3">
      <c r="A13"/>
      <c r="B13" s="183" t="s">
        <v>155</v>
      </c>
      <c r="C13"/>
      <c r="D13"/>
      <c r="E13"/>
      <c r="F13"/>
      <c r="G13"/>
      <c r="H13"/>
      <c r="I13" s="195"/>
      <c r="J13"/>
      <c r="K13" s="65">
        <v>0</v>
      </c>
      <c r="L13" s="65">
        <v>0</v>
      </c>
      <c r="M13" s="65">
        <v>0</v>
      </c>
      <c r="N13" s="77">
        <v>0</v>
      </c>
      <c r="O13" s="131"/>
      <c r="P13" s="131"/>
      <c r="Q13" s="131"/>
      <c r="R13" s="131"/>
    </row>
    <row r="14" spans="1:18" ht="13" x14ac:dyDescent="0.3">
      <c r="B14" s="18"/>
      <c r="C14" s="18"/>
      <c r="D14" s="18"/>
      <c r="E14" s="20"/>
      <c r="F14" s="20"/>
      <c r="G14" s="20"/>
      <c r="H14" s="20"/>
      <c r="I14" s="34"/>
      <c r="J14" s="20"/>
      <c r="K14" s="66"/>
      <c r="L14" s="66"/>
      <c r="M14" s="66"/>
      <c r="N14" s="78"/>
      <c r="O14" s="65"/>
      <c r="P14" s="65"/>
      <c r="Q14" s="65"/>
      <c r="R14" s="65"/>
    </row>
    <row r="15" spans="1:18" ht="13" x14ac:dyDescent="0.3">
      <c r="A15" s="4" t="s">
        <v>56</v>
      </c>
      <c r="B15" s="18"/>
      <c r="C15" s="18"/>
      <c r="D15" s="18"/>
      <c r="E15" s="20"/>
      <c r="F15" s="20"/>
      <c r="G15" s="20"/>
      <c r="H15" s="20"/>
      <c r="I15" s="34"/>
      <c r="J15" s="20"/>
      <c r="K15" s="66">
        <f>SUM(K10:K13)</f>
        <v>290.64</v>
      </c>
      <c r="L15" s="66">
        <f>SUM(L10:L13)</f>
        <v>362.16</v>
      </c>
      <c r="M15" s="66">
        <f>SUM(M10:M13)</f>
        <v>433.68</v>
      </c>
      <c r="N15" s="77">
        <f>SUM(N10:N13)</f>
        <v>445.2</v>
      </c>
      <c r="O15" s="65"/>
      <c r="P15" s="65"/>
      <c r="Q15" s="65"/>
      <c r="R15" s="65"/>
    </row>
    <row r="16" spans="1:18" ht="13" x14ac:dyDescent="0.3">
      <c r="A16" s="4" t="s">
        <v>10</v>
      </c>
      <c r="K16" s="65"/>
      <c r="L16" s="65"/>
      <c r="M16" s="65"/>
      <c r="N16" s="78"/>
      <c r="O16" s="65"/>
      <c r="P16" s="65"/>
      <c r="Q16" s="65"/>
      <c r="R16" s="65"/>
    </row>
    <row r="17" spans="2:18" ht="13" x14ac:dyDescent="0.3">
      <c r="B17" t="s">
        <v>11</v>
      </c>
      <c r="F17" s="38">
        <v>1400000</v>
      </c>
      <c r="G17" t="s">
        <v>57</v>
      </c>
      <c r="H17" s="82">
        <v>1400000</v>
      </c>
      <c r="I17" s="83">
        <v>3.1E-2</v>
      </c>
      <c r="J17" t="s">
        <v>58</v>
      </c>
      <c r="K17" s="65">
        <f>$F$17/1000*$I$17</f>
        <v>43.4</v>
      </c>
      <c r="L17" s="65">
        <f>$F$17/1000*$I$17</f>
        <v>43.4</v>
      </c>
      <c r="M17" s="65">
        <f>$F$17/1000*$I$17</f>
        <v>43.4</v>
      </c>
      <c r="N17" s="77">
        <f>$F$17/1000*$I$17</f>
        <v>43.4</v>
      </c>
      <c r="O17" s="65"/>
      <c r="P17" s="65"/>
      <c r="Q17" s="65"/>
      <c r="R17" s="65"/>
    </row>
    <row r="18" spans="2:18" ht="15" x14ac:dyDescent="0.3">
      <c r="B18" t="s">
        <v>46</v>
      </c>
      <c r="H18" s="84"/>
      <c r="I18" s="84"/>
      <c r="J18" t="s">
        <v>57</v>
      </c>
      <c r="K18" s="65"/>
      <c r="L18" s="65"/>
      <c r="M18" s="65"/>
      <c r="N18" s="78"/>
      <c r="O18" s="65"/>
      <c r="P18" s="65"/>
      <c r="Q18" s="65"/>
      <c r="R18" s="65"/>
    </row>
    <row r="19" spans="2:18" ht="13" x14ac:dyDescent="0.3">
      <c r="C19" t="s">
        <v>13</v>
      </c>
      <c r="E19" s="41">
        <f>40+(1.75*(K8-50))</f>
        <v>57.149999999999991</v>
      </c>
      <c r="F19" s="41">
        <f>40+(1.75*(L8-50))</f>
        <v>83.225000000000009</v>
      </c>
      <c r="G19" s="41">
        <f>40+(1.75*(M8-50))</f>
        <v>109.29999999999998</v>
      </c>
      <c r="H19" s="85">
        <f>40+(1.75*(N8-50))</f>
        <v>113.5</v>
      </c>
      <c r="I19" s="125">
        <f>F84/560</f>
        <v>0.3125</v>
      </c>
      <c r="J19" t="s">
        <v>12</v>
      </c>
      <c r="K19" s="65">
        <f>+$I$19*E19</f>
        <v>17.859374999999996</v>
      </c>
      <c r="L19" s="65">
        <f>+$I$19*F19</f>
        <v>26.007812500000004</v>
      </c>
      <c r="M19" s="65">
        <f>+$I$19*G19</f>
        <v>34.156249999999993</v>
      </c>
      <c r="N19" s="77">
        <f>+$I$19*H19</f>
        <v>35.46875</v>
      </c>
      <c r="O19" s="65"/>
      <c r="P19" s="65"/>
      <c r="Q19" s="65"/>
      <c r="R19" s="65"/>
    </row>
    <row r="20" spans="2:18" ht="15.5" x14ac:dyDescent="0.4">
      <c r="C20" t="s">
        <v>47</v>
      </c>
      <c r="E20" s="41">
        <f>K8*0.63</f>
        <v>37.673999999999999</v>
      </c>
      <c r="F20" s="41">
        <f>L8*0.63</f>
        <v>47.061</v>
      </c>
      <c r="G20" s="41">
        <f>M8*0.63</f>
        <v>56.447999999999993</v>
      </c>
      <c r="H20" s="85">
        <f>N8*0.63</f>
        <v>57.96</v>
      </c>
      <c r="I20" s="125">
        <f>I84/1040</f>
        <v>0.4375</v>
      </c>
      <c r="J20" t="s">
        <v>12</v>
      </c>
      <c r="K20" s="65">
        <f>+$I$20*E20</f>
        <v>16.482375000000001</v>
      </c>
      <c r="L20" s="65">
        <f>+$I$20*F20</f>
        <v>20.589187500000001</v>
      </c>
      <c r="M20" s="65">
        <f>+$I$20*G20</f>
        <v>24.695999999999998</v>
      </c>
      <c r="N20" s="77">
        <f>+$I$20*H20</f>
        <v>25.357500000000002</v>
      </c>
      <c r="O20" s="65"/>
      <c r="P20" s="65"/>
      <c r="Q20" s="65"/>
      <c r="R20" s="65"/>
    </row>
    <row r="21" spans="2:18" ht="15.5" x14ac:dyDescent="0.4">
      <c r="C21" t="s">
        <v>48</v>
      </c>
      <c r="E21" s="41">
        <f>(K8*0.37)+20</f>
        <v>42.125999999999998</v>
      </c>
      <c r="F21" s="41">
        <f>(L8*0.37)+20</f>
        <v>47.638999999999996</v>
      </c>
      <c r="G21" s="41">
        <f>(M8*0.37)+20</f>
        <v>53.152000000000001</v>
      </c>
      <c r="H21" s="85">
        <f>(N8*0.37)+20</f>
        <v>54.04</v>
      </c>
      <c r="I21" s="125">
        <f>M84/1200</f>
        <v>0.26250000000000001</v>
      </c>
      <c r="J21" t="s">
        <v>12</v>
      </c>
      <c r="K21" s="65">
        <f>+$I$21*E21</f>
        <v>11.058075000000001</v>
      </c>
      <c r="L21" s="65">
        <f>+$I$21*F21</f>
        <v>12.5052375</v>
      </c>
      <c r="M21" s="65">
        <f>+$I$21*G21</f>
        <v>13.952400000000001</v>
      </c>
      <c r="N21" s="77">
        <f>+$I$21*H21</f>
        <v>14.185500000000001</v>
      </c>
      <c r="O21" s="65"/>
      <c r="P21" s="65"/>
      <c r="Q21" s="65"/>
      <c r="R21" s="65"/>
    </row>
    <row r="22" spans="2:18" ht="13" x14ac:dyDescent="0.3">
      <c r="C22" t="s">
        <v>14</v>
      </c>
      <c r="F22" s="86">
        <v>0.25</v>
      </c>
      <c r="H22" s="84"/>
      <c r="I22" s="86">
        <v>25</v>
      </c>
      <c r="J22" t="s">
        <v>15</v>
      </c>
      <c r="K22" s="65">
        <f>+F22*I22</f>
        <v>6.25</v>
      </c>
      <c r="L22" s="65">
        <f>+F22*I22</f>
        <v>6.25</v>
      </c>
      <c r="M22" s="65">
        <f>+$F$22*$I$22</f>
        <v>6.25</v>
      </c>
      <c r="N22" s="77">
        <f>+$F$22*$I$22</f>
        <v>6.25</v>
      </c>
      <c r="O22" s="65"/>
      <c r="P22" s="65"/>
      <c r="Q22" s="65"/>
      <c r="R22" s="65"/>
    </row>
    <row r="23" spans="2:18" ht="15" x14ac:dyDescent="0.3">
      <c r="B23" t="s">
        <v>49</v>
      </c>
      <c r="D23" s="18" t="s">
        <v>131</v>
      </c>
      <c r="H23" s="84"/>
      <c r="I23" s="84"/>
      <c r="K23" s="65">
        <v>13.25</v>
      </c>
      <c r="L23" s="65">
        <v>13.25</v>
      </c>
      <c r="M23" s="65">
        <v>13.25</v>
      </c>
      <c r="N23" s="79">
        <v>13.25</v>
      </c>
      <c r="O23" s="65"/>
      <c r="P23" s="65"/>
      <c r="Q23" s="65"/>
      <c r="R23" s="65"/>
    </row>
    <row r="24" spans="2:18" ht="13" x14ac:dyDescent="0.3">
      <c r="D24" s="18" t="s">
        <v>132</v>
      </c>
      <c r="H24" s="84"/>
      <c r="I24" s="84"/>
      <c r="K24" s="65">
        <v>0</v>
      </c>
      <c r="L24" s="65">
        <v>0</v>
      </c>
      <c r="M24" s="65">
        <v>0</v>
      </c>
      <c r="N24" s="79">
        <v>0</v>
      </c>
      <c r="O24" s="65"/>
      <c r="P24" s="65"/>
      <c r="Q24" s="65"/>
      <c r="R24" s="65"/>
    </row>
    <row r="25" spans="2:18" ht="13" x14ac:dyDescent="0.3">
      <c r="D25" s="18" t="s">
        <v>133</v>
      </c>
      <c r="H25" s="84"/>
      <c r="I25" s="84"/>
      <c r="K25" s="65">
        <v>0</v>
      </c>
      <c r="L25" s="65">
        <v>0</v>
      </c>
      <c r="M25" s="65">
        <v>0</v>
      </c>
      <c r="N25" s="79">
        <v>0</v>
      </c>
      <c r="O25" s="65"/>
      <c r="P25" s="65"/>
      <c r="Q25" s="65"/>
      <c r="R25" s="65"/>
    </row>
    <row r="26" spans="2:18" ht="13" x14ac:dyDescent="0.3">
      <c r="B26" t="s">
        <v>16</v>
      </c>
      <c r="F26" s="181">
        <v>2.7</v>
      </c>
      <c r="G26" s="182" t="s">
        <v>136</v>
      </c>
      <c r="H26" s="18"/>
      <c r="I26" s="82">
        <v>30</v>
      </c>
      <c r="J26" s="18" t="s">
        <v>137</v>
      </c>
      <c r="K26" s="19">
        <f>(((($I$26/6)*$F$26)/900)*K8)+(((($I$26/6)*$F$26)/900)*K8)*0.1</f>
        <v>0.98669999999999991</v>
      </c>
      <c r="L26" s="19">
        <f>(((($I$26/6)*$F$26)/900)*L8)+(((($I$26/6)*$F$26)/900)*L8)*0.1</f>
        <v>1.23255</v>
      </c>
      <c r="M26" s="19">
        <f>(((($I$26/6)*$F$26)/900)*M8)+(((($I$26/6)*$F$26)/900)*M8)*0.1</f>
        <v>1.4783999999999999</v>
      </c>
      <c r="N26" s="184">
        <f>(((($I$26/6)*$F$26)/900)*N8)+(((($I$26/6)*$F$26)/900)*N8)*0.1</f>
        <v>1.5179999999999998</v>
      </c>
      <c r="O26" s="65"/>
      <c r="P26" s="65"/>
      <c r="Q26" s="65"/>
      <c r="R26" s="65"/>
    </row>
    <row r="27" spans="2:18" ht="15" x14ac:dyDescent="0.3">
      <c r="B27" t="s">
        <v>50</v>
      </c>
      <c r="K27" s="65">
        <f>$K$119</f>
        <v>9.9034941176470603</v>
      </c>
      <c r="L27" s="65">
        <f>$K$119</f>
        <v>9.9034941176470603</v>
      </c>
      <c r="M27" s="65">
        <f>$K$119</f>
        <v>9.9034941176470603</v>
      </c>
      <c r="N27" s="77">
        <f>$K$119</f>
        <v>9.9034941176470603</v>
      </c>
      <c r="O27" s="65"/>
      <c r="P27" s="65"/>
      <c r="Q27" s="65"/>
      <c r="R27" s="65"/>
    </row>
    <row r="28" spans="2:18" ht="15" x14ac:dyDescent="0.3">
      <c r="B28" t="s">
        <v>51</v>
      </c>
      <c r="K28" s="65">
        <f>+$M$119</f>
        <v>20.315477125248083</v>
      </c>
      <c r="L28" s="65">
        <f>+$M$119</f>
        <v>20.315477125248083</v>
      </c>
      <c r="M28" s="65">
        <f>+$M$119</f>
        <v>20.315477125248083</v>
      </c>
      <c r="N28" s="77">
        <f>+$M$119</f>
        <v>20.315477125248083</v>
      </c>
      <c r="O28" s="65"/>
      <c r="P28" s="65"/>
      <c r="Q28" s="65"/>
      <c r="R28" s="65"/>
    </row>
    <row r="29" spans="2:18" ht="13" x14ac:dyDescent="0.3">
      <c r="B29" t="s">
        <v>66</v>
      </c>
      <c r="K29" s="65">
        <v>13</v>
      </c>
      <c r="L29" s="65">
        <v>13</v>
      </c>
      <c r="M29" s="65">
        <v>13</v>
      </c>
      <c r="N29" s="79">
        <v>13</v>
      </c>
      <c r="O29" s="65"/>
      <c r="P29" s="65"/>
      <c r="Q29" s="65"/>
      <c r="R29" s="65"/>
    </row>
    <row r="30" spans="2:18" ht="15" x14ac:dyDescent="0.3">
      <c r="B30" t="s">
        <v>52</v>
      </c>
      <c r="K30" s="65">
        <v>3</v>
      </c>
      <c r="L30" s="65">
        <v>3</v>
      </c>
      <c r="M30" s="65">
        <v>3</v>
      </c>
      <c r="N30" s="79">
        <v>3</v>
      </c>
      <c r="O30" s="65"/>
      <c r="P30" s="65"/>
      <c r="Q30" s="65"/>
      <c r="R30" s="65"/>
    </row>
    <row r="31" spans="2:18" ht="15" x14ac:dyDescent="0.3">
      <c r="B31" t="s">
        <v>53</v>
      </c>
      <c r="E31" s="12"/>
      <c r="F31" s="87">
        <v>8</v>
      </c>
      <c r="G31" t="s">
        <v>17</v>
      </c>
      <c r="I31" s="197">
        <v>0.05</v>
      </c>
      <c r="K31" s="65">
        <f>(SUM(K17:K30)-K26)*$I$31*($F$31/12)</f>
        <v>5.1506265414298369</v>
      </c>
      <c r="L31" s="65">
        <f>(SUM(L17:L30)-L26)*$I$31*($F$31/12)</f>
        <v>5.6073736247631718</v>
      </c>
      <c r="M31" s="65">
        <f>(SUM(M17:M30)-M26)*$I$31*($F$31/12)</f>
        <v>6.0641207080965041</v>
      </c>
      <c r="N31" s="77">
        <f>(SUM(N17:N30)-N26)*$I$31*($F$31/12)</f>
        <v>6.1376907080965051</v>
      </c>
      <c r="O31" s="65"/>
      <c r="P31" s="65"/>
      <c r="Q31" s="65"/>
      <c r="R31" s="65"/>
    </row>
    <row r="32" spans="2:18" ht="15" x14ac:dyDescent="0.3">
      <c r="B32" t="s">
        <v>54</v>
      </c>
      <c r="K32" s="65">
        <v>0</v>
      </c>
      <c r="L32" s="65">
        <v>0</v>
      </c>
      <c r="M32" s="65">
        <v>0</v>
      </c>
      <c r="N32" s="79">
        <v>0</v>
      </c>
      <c r="O32" s="65"/>
      <c r="P32" s="65"/>
      <c r="Q32" s="65"/>
      <c r="R32" s="65"/>
    </row>
    <row r="33" spans="1:18" ht="13" x14ac:dyDescent="0.3">
      <c r="K33" s="67"/>
      <c r="L33" s="67"/>
      <c r="M33" s="67"/>
      <c r="N33" s="80"/>
      <c r="O33" s="65"/>
      <c r="P33" s="65"/>
      <c r="Q33" s="65"/>
      <c r="R33" s="65"/>
    </row>
    <row r="34" spans="1:18" ht="13" x14ac:dyDescent="0.3">
      <c r="A34" s="4" t="s">
        <v>18</v>
      </c>
      <c r="F34" s="13" t="s">
        <v>19</v>
      </c>
      <c r="K34" s="65">
        <f>SUM(K17:K33)</f>
        <v>160.65612278432496</v>
      </c>
      <c r="L34" s="65">
        <f>SUM(L17:L33)</f>
        <v>175.06113236765833</v>
      </c>
      <c r="M34" s="65">
        <f>SUM(M17:M33)</f>
        <v>189.46614195099164</v>
      </c>
      <c r="N34" s="77">
        <f>SUM(N17:N33)</f>
        <v>191.78641195099166</v>
      </c>
      <c r="O34" s="65"/>
      <c r="P34" s="65"/>
      <c r="Q34" s="65"/>
      <c r="R34" s="65"/>
    </row>
    <row r="35" spans="1:18" ht="13" x14ac:dyDescent="0.3">
      <c r="F35" s="13" t="s">
        <v>20</v>
      </c>
      <c r="K35" s="65">
        <f>+K34/K8</f>
        <v>2.68655723719607</v>
      </c>
      <c r="L35" s="65">
        <f>+L34/L8</f>
        <v>2.3435225216553994</v>
      </c>
      <c r="M35" s="65">
        <f>+M34/M8</f>
        <v>2.1145774771316033</v>
      </c>
      <c r="N35" s="77">
        <f>+N34/N8</f>
        <v>2.0846349125107788</v>
      </c>
      <c r="O35" s="65"/>
      <c r="P35" s="65"/>
      <c r="Q35" s="65"/>
      <c r="R35" s="65"/>
    </row>
    <row r="36" spans="1:18" ht="13" x14ac:dyDescent="0.3">
      <c r="A36" s="4" t="s">
        <v>21</v>
      </c>
      <c r="K36" s="65"/>
      <c r="L36" s="65"/>
      <c r="M36" s="65"/>
      <c r="N36" s="78"/>
      <c r="O36" s="65"/>
      <c r="P36" s="65"/>
      <c r="Q36" s="65"/>
      <c r="R36" s="65"/>
    </row>
    <row r="37" spans="1:18" ht="15" x14ac:dyDescent="0.3">
      <c r="B37" t="s">
        <v>55</v>
      </c>
      <c r="F37" s="86">
        <v>1.5</v>
      </c>
      <c r="G37" t="s">
        <v>22</v>
      </c>
      <c r="I37" s="88">
        <v>15</v>
      </c>
      <c r="J37" t="s">
        <v>23</v>
      </c>
      <c r="K37" s="65">
        <f>+$F$37*$I$37</f>
        <v>22.5</v>
      </c>
      <c r="L37" s="65">
        <f>+$F$37*$I$37</f>
        <v>22.5</v>
      </c>
      <c r="M37" s="65">
        <f>+$F$37*$I$37</f>
        <v>22.5</v>
      </c>
      <c r="N37" s="77">
        <f>+$F$37*$I$37</f>
        <v>22.5</v>
      </c>
      <c r="O37" s="65"/>
      <c r="P37" s="65"/>
      <c r="Q37" s="65"/>
      <c r="R37" s="65"/>
    </row>
    <row r="38" spans="1:18" ht="15" x14ac:dyDescent="0.3">
      <c r="B38" s="183" t="s">
        <v>172</v>
      </c>
      <c r="F38" s="89">
        <v>0.05</v>
      </c>
      <c r="G38" t="s">
        <v>24</v>
      </c>
      <c r="K38" s="65">
        <f>$F$38*K10</f>
        <v>14.351999999999999</v>
      </c>
      <c r="L38" s="65">
        <f>$F$38*L10</f>
        <v>17.928000000000001</v>
      </c>
      <c r="M38" s="65">
        <f>$F$38*M10</f>
        <v>21.504000000000001</v>
      </c>
      <c r="N38" s="77">
        <f>$F$38*N10</f>
        <v>22.08</v>
      </c>
      <c r="O38" s="65"/>
      <c r="P38" s="65"/>
      <c r="Q38" s="65"/>
      <c r="R38" s="65"/>
    </row>
    <row r="39" spans="1:18" ht="15" x14ac:dyDescent="0.3">
      <c r="B39" s="183" t="s">
        <v>173</v>
      </c>
      <c r="K39" s="65">
        <f>+$I$119</f>
        <v>125.86011197916666</v>
      </c>
      <c r="L39" s="65">
        <f>+$I$119</f>
        <v>125.86011197916666</v>
      </c>
      <c r="M39" s="65">
        <f>+$I$119</f>
        <v>125.86011197916666</v>
      </c>
      <c r="N39" s="77">
        <f>+$I$119</f>
        <v>125.86011197916666</v>
      </c>
      <c r="O39" s="65"/>
      <c r="P39" s="65"/>
      <c r="Q39" s="65"/>
      <c r="R39" s="65"/>
    </row>
    <row r="40" spans="1:18" ht="15" x14ac:dyDescent="0.3">
      <c r="B40" s="183" t="s">
        <v>174</v>
      </c>
      <c r="K40" s="200">
        <v>141</v>
      </c>
      <c r="L40" s="200">
        <v>187</v>
      </c>
      <c r="M40" s="200">
        <v>239</v>
      </c>
      <c r="N40" s="201">
        <v>239</v>
      </c>
      <c r="O40" s="65"/>
      <c r="P40" s="65"/>
      <c r="Q40" s="65"/>
      <c r="R40" s="65"/>
    </row>
    <row r="41" spans="1:18" ht="15" x14ac:dyDescent="0.3">
      <c r="B41" t="s">
        <v>52</v>
      </c>
      <c r="K41" s="200">
        <v>13</v>
      </c>
      <c r="L41" s="200">
        <v>13</v>
      </c>
      <c r="M41" s="200">
        <v>13</v>
      </c>
      <c r="N41" s="201">
        <v>13</v>
      </c>
      <c r="O41" s="65"/>
      <c r="P41" s="65"/>
      <c r="Q41" s="65"/>
      <c r="R41" s="65"/>
    </row>
    <row r="42" spans="1:18" ht="13" x14ac:dyDescent="0.3">
      <c r="K42" s="198"/>
      <c r="L42" s="198"/>
      <c r="M42" s="198"/>
      <c r="N42" s="199"/>
      <c r="O42" s="65"/>
      <c r="P42" s="65"/>
      <c r="Q42" s="65"/>
      <c r="R42" s="65"/>
    </row>
    <row r="43" spans="1:18" ht="13" x14ac:dyDescent="0.3">
      <c r="A43" s="4" t="s">
        <v>25</v>
      </c>
      <c r="K43" s="65">
        <f>SUM(K37:K42)</f>
        <v>316.71211197916665</v>
      </c>
      <c r="L43" s="65">
        <f>SUM(L37:L42)</f>
        <v>366.28811197916667</v>
      </c>
      <c r="M43" s="65">
        <f>SUM(M37:M42)</f>
        <v>421.86411197916664</v>
      </c>
      <c r="N43" s="77">
        <f>SUM(N37:N42)</f>
        <v>422.44011197916666</v>
      </c>
      <c r="O43" s="65"/>
      <c r="P43" s="65"/>
      <c r="Q43" s="65"/>
      <c r="R43" s="65"/>
    </row>
    <row r="44" spans="1:18" ht="13" x14ac:dyDescent="0.3">
      <c r="K44" s="65"/>
      <c r="L44" s="65"/>
      <c r="M44" s="65"/>
      <c r="N44" s="78"/>
      <c r="O44" s="65"/>
      <c r="P44" s="65"/>
      <c r="Q44" s="65"/>
      <c r="R44" s="65"/>
    </row>
    <row r="45" spans="1:18" ht="13" x14ac:dyDescent="0.3">
      <c r="A45" s="4" t="s">
        <v>26</v>
      </c>
      <c r="F45" s="13" t="s">
        <v>19</v>
      </c>
      <c r="K45" s="65">
        <f>+K34+K43</f>
        <v>477.36823476349161</v>
      </c>
      <c r="L45" s="65">
        <f>+L34+L43</f>
        <v>541.349244346825</v>
      </c>
      <c r="M45" s="65">
        <f>+M34+M43</f>
        <v>611.33025393015828</v>
      </c>
      <c r="N45" s="77">
        <f>+N34+N43</f>
        <v>614.22652393015835</v>
      </c>
      <c r="O45" s="65"/>
      <c r="P45" s="65"/>
      <c r="Q45" s="65"/>
      <c r="R45" s="65"/>
    </row>
    <row r="46" spans="1:18" ht="13" x14ac:dyDescent="0.3">
      <c r="A46" s="4"/>
      <c r="F46" s="13" t="s">
        <v>20</v>
      </c>
      <c r="K46" s="69">
        <f>+(K43/45)+K35</f>
        <v>9.7246041700664403</v>
      </c>
      <c r="L46" s="69">
        <f>+(L43/60)+L35</f>
        <v>8.4483243879748446</v>
      </c>
      <c r="M46" s="69">
        <f>+(M43/75)+M35</f>
        <v>7.7394323035204922</v>
      </c>
      <c r="N46" s="81">
        <f>+(N43/75)+N35</f>
        <v>7.717169738899667</v>
      </c>
      <c r="O46" s="65"/>
      <c r="P46" s="65"/>
      <c r="Q46" s="65"/>
      <c r="R46" s="65"/>
    </row>
    <row r="47" spans="1:18" ht="15" x14ac:dyDescent="0.3">
      <c r="A47" s="4" t="s">
        <v>178</v>
      </c>
      <c r="B47" s="183"/>
      <c r="K47" s="65">
        <f>+K15-K34</f>
        <v>129.98387721567502</v>
      </c>
      <c r="L47" s="65">
        <f t="shared" ref="L47:N47" si="0">+L15-L34</f>
        <v>187.09886763234169</v>
      </c>
      <c r="M47" s="65">
        <f t="shared" si="0"/>
        <v>244.21385804900837</v>
      </c>
      <c r="N47" s="65">
        <f t="shared" si="0"/>
        <v>253.41358804900833</v>
      </c>
      <c r="O47" s="65"/>
      <c r="P47" s="65"/>
      <c r="Q47" s="65"/>
      <c r="R47" s="65"/>
    </row>
    <row r="48" spans="1:18" ht="13" x14ac:dyDescent="0.3">
      <c r="A48" s="4" t="s">
        <v>169</v>
      </c>
      <c r="B48" s="183"/>
      <c r="K48" s="65">
        <f>+K15-K34-K40</f>
        <v>-11.016122784324978</v>
      </c>
      <c r="L48" s="65">
        <f t="shared" ref="L48:N48" si="1">+L15-L34-L40</f>
        <v>9.8867632341693934E-2</v>
      </c>
      <c r="M48" s="65">
        <f t="shared" si="1"/>
        <v>5.2138580490083655</v>
      </c>
      <c r="N48" s="65">
        <f t="shared" si="1"/>
        <v>14.413588049008325</v>
      </c>
      <c r="O48" s="65"/>
      <c r="P48" s="65"/>
      <c r="Q48" s="65"/>
      <c r="R48" s="65"/>
    </row>
    <row r="49" spans="1:18" ht="13" x14ac:dyDescent="0.3">
      <c r="A49" s="4" t="s">
        <v>27</v>
      </c>
      <c r="B49" s="183"/>
      <c r="K49" s="65">
        <f>K15-K45</f>
        <v>-186.72823476349163</v>
      </c>
      <c r="L49" s="65">
        <f t="shared" ref="L49:N49" si="2">L15-L45</f>
        <v>-179.18924434682498</v>
      </c>
      <c r="M49" s="65">
        <f t="shared" si="2"/>
        <v>-177.65025393015827</v>
      </c>
      <c r="N49" s="65">
        <f t="shared" si="2"/>
        <v>-169.02652393015836</v>
      </c>
      <c r="O49" s="65"/>
      <c r="P49" s="65"/>
      <c r="Q49" s="65"/>
      <c r="R49" s="65"/>
    </row>
    <row r="50" spans="1:18" ht="13" x14ac:dyDescent="0.3">
      <c r="A50" s="7" t="s">
        <v>99</v>
      </c>
      <c r="B50" s="183"/>
      <c r="K50" s="65">
        <f>K15-K45+K40</f>
        <v>-45.728234763491628</v>
      </c>
      <c r="L50" s="65">
        <f t="shared" ref="L50:N50" si="3">L15-L45+L40</f>
        <v>7.810755653175022</v>
      </c>
      <c r="M50" s="65">
        <f t="shared" si="3"/>
        <v>61.349746069841729</v>
      </c>
      <c r="N50" s="65">
        <f t="shared" si="3"/>
        <v>69.973476069841638</v>
      </c>
      <c r="O50" s="65"/>
      <c r="P50" s="65"/>
      <c r="Q50" s="65"/>
      <c r="R50" s="65"/>
    </row>
    <row r="51" spans="1:18" ht="13" x14ac:dyDescent="0.3">
      <c r="A51" s="7" t="s">
        <v>170</v>
      </c>
      <c r="B51" s="183"/>
      <c r="K51" s="65">
        <f>K15-K45+K37+K38</f>
        <v>-149.87623476349162</v>
      </c>
      <c r="L51" s="65">
        <f t="shared" ref="L51:N51" si="4">L15-L45+L37+L38</f>
        <v>-138.76124434682498</v>
      </c>
      <c r="M51" s="65">
        <f t="shared" si="4"/>
        <v>-133.64625393015828</v>
      </c>
      <c r="N51" s="65">
        <f t="shared" si="4"/>
        <v>-124.44652393015836</v>
      </c>
      <c r="O51" s="65"/>
      <c r="P51" s="65"/>
      <c r="Q51" s="65"/>
      <c r="R51" s="65"/>
    </row>
    <row r="52" spans="1:18" ht="13.5" thickBot="1" x14ac:dyDescent="0.35">
      <c r="A52" s="10" t="s">
        <v>171</v>
      </c>
      <c r="B52" s="203"/>
      <c r="K52" s="65">
        <f>+K15-K45+K40+K37+K38</f>
        <v>-8.8762347634916292</v>
      </c>
      <c r="L52" s="65">
        <f t="shared" ref="L52:N52" si="5">+L15-L45+L40+L37+L38</f>
        <v>48.238755653175019</v>
      </c>
      <c r="M52" s="65">
        <f t="shared" si="5"/>
        <v>105.35374606984173</v>
      </c>
      <c r="N52" s="204">
        <f t="shared" si="5"/>
        <v>114.55347606984164</v>
      </c>
      <c r="O52" s="65"/>
      <c r="P52" s="65"/>
      <c r="Q52" s="65"/>
      <c r="R52" s="65"/>
    </row>
    <row r="53" spans="1:18" s="15" customFormat="1" ht="9" customHeight="1" x14ac:dyDescent="0.3">
      <c r="K53" s="68"/>
      <c r="L53" s="68"/>
      <c r="M53" s="68"/>
      <c r="N53" s="7"/>
    </row>
    <row r="54" spans="1:18" ht="13" x14ac:dyDescent="0.3">
      <c r="A54" s="4" t="s">
        <v>28</v>
      </c>
      <c r="E54">
        <v>1</v>
      </c>
      <c r="F54">
        <v>1.1000000000000001</v>
      </c>
      <c r="G54">
        <v>1.2</v>
      </c>
      <c r="H54" s="86">
        <v>1.2</v>
      </c>
      <c r="I54" s="86">
        <v>100</v>
      </c>
      <c r="J54" t="s">
        <v>15</v>
      </c>
      <c r="K54" s="65">
        <f>+E54*$I$54</f>
        <v>100</v>
      </c>
      <c r="L54" s="65">
        <f>+F54*$I$54</f>
        <v>110.00000000000001</v>
      </c>
      <c r="M54" s="65">
        <f>+G54*$I$54</f>
        <v>120</v>
      </c>
      <c r="N54" s="77">
        <f>+H54*$I$54</f>
        <v>120</v>
      </c>
    </row>
    <row r="55" spans="1:18" ht="13" x14ac:dyDescent="0.3">
      <c r="A55" s="4" t="s">
        <v>29</v>
      </c>
      <c r="H55" s="84"/>
      <c r="I55" s="84"/>
      <c r="K55" s="65"/>
      <c r="L55" s="65"/>
      <c r="M55" s="65"/>
      <c r="N55" s="7"/>
    </row>
    <row r="56" spans="1:18" ht="15" x14ac:dyDescent="0.3">
      <c r="A56" s="4"/>
      <c r="B56" t="s">
        <v>46</v>
      </c>
      <c r="H56" s="84"/>
      <c r="I56" s="84"/>
      <c r="K56" s="65"/>
      <c r="L56" s="65"/>
      <c r="M56" s="65"/>
      <c r="N56" s="7"/>
    </row>
    <row r="57" spans="1:18" ht="15.5" x14ac:dyDescent="0.4">
      <c r="A57" s="4"/>
      <c r="C57" t="s">
        <v>47</v>
      </c>
      <c r="E57" s="41">
        <f>K8*0.09</f>
        <v>5.3819999999999997</v>
      </c>
      <c r="F57" s="41">
        <f>L8*0.09</f>
        <v>6.7229999999999999</v>
      </c>
      <c r="G57" s="41">
        <f>M8*0.09</f>
        <v>8.0640000000000001</v>
      </c>
      <c r="H57" s="85">
        <f>N8*0.09</f>
        <v>8.2799999999999994</v>
      </c>
      <c r="I57" s="125">
        <f>I84/1040</f>
        <v>0.4375</v>
      </c>
      <c r="J57" t="s">
        <v>12</v>
      </c>
      <c r="K57" s="65">
        <f>+$I$57*E57</f>
        <v>2.354625</v>
      </c>
      <c r="L57" s="65">
        <f>+$I$57*F57</f>
        <v>2.9413125</v>
      </c>
      <c r="M57" s="65">
        <f>+$I$57*G57</f>
        <v>3.528</v>
      </c>
      <c r="N57" s="77">
        <f>+$I$57*H57</f>
        <v>3.6224999999999996</v>
      </c>
    </row>
    <row r="58" spans="1:18" ht="15.5" x14ac:dyDescent="0.4">
      <c r="A58" s="4"/>
      <c r="C58" t="s">
        <v>48</v>
      </c>
      <c r="E58" s="41">
        <f>(K8*0.91)</f>
        <v>54.417999999999999</v>
      </c>
      <c r="F58" s="41">
        <f>(L8*0.91)</f>
        <v>67.977000000000004</v>
      </c>
      <c r="G58" s="41">
        <f>(M8*0.91)</f>
        <v>81.536000000000001</v>
      </c>
      <c r="H58" s="85">
        <f>(N8*0.91)</f>
        <v>83.72</v>
      </c>
      <c r="I58" s="125">
        <f>M84/1200</f>
        <v>0.26250000000000001</v>
      </c>
      <c r="J58" t="s">
        <v>12</v>
      </c>
      <c r="K58" s="65">
        <f>+$I$58*E58</f>
        <v>14.284725</v>
      </c>
      <c r="L58" s="65">
        <f>+$I$58*F58</f>
        <v>17.843962500000004</v>
      </c>
      <c r="M58" s="65">
        <f>+$I$58*G58</f>
        <v>21.403200000000002</v>
      </c>
      <c r="N58" s="77">
        <f>+$I$58*H58</f>
        <v>21.976500000000001</v>
      </c>
    </row>
    <row r="59" spans="1:18" ht="15" x14ac:dyDescent="0.3">
      <c r="B59" t="s">
        <v>50</v>
      </c>
      <c r="K59" s="65">
        <f>+$K$140</f>
        <v>1.9118000000000002</v>
      </c>
      <c r="L59" s="65">
        <f>+$K$140</f>
        <v>1.9118000000000002</v>
      </c>
      <c r="M59" s="65">
        <f>+$K$140</f>
        <v>1.9118000000000002</v>
      </c>
      <c r="N59" s="77">
        <f>+$K$140</f>
        <v>1.9118000000000002</v>
      </c>
    </row>
    <row r="60" spans="1:18" ht="15" x14ac:dyDescent="0.3">
      <c r="B60" t="s">
        <v>51</v>
      </c>
      <c r="K60" s="65">
        <f>+$M$140</f>
        <v>3.49</v>
      </c>
      <c r="L60" s="65">
        <f>+$M$140</f>
        <v>3.49</v>
      </c>
      <c r="M60" s="65">
        <f>+$M$140</f>
        <v>3.49</v>
      </c>
      <c r="N60" s="77">
        <f>+$M$140</f>
        <v>3.49</v>
      </c>
    </row>
    <row r="61" spans="1:18" ht="13" x14ac:dyDescent="0.3">
      <c r="B61" t="s">
        <v>30</v>
      </c>
      <c r="K61" s="65">
        <v>2</v>
      </c>
      <c r="L61" s="65">
        <v>2</v>
      </c>
      <c r="M61" s="65">
        <v>2</v>
      </c>
      <c r="N61" s="79">
        <v>2</v>
      </c>
    </row>
    <row r="62" spans="1:18" ht="15" x14ac:dyDescent="0.3">
      <c r="B62" t="s">
        <v>54</v>
      </c>
      <c r="K62" s="65">
        <v>0</v>
      </c>
      <c r="L62" s="65">
        <v>0</v>
      </c>
      <c r="M62" s="65">
        <v>0</v>
      </c>
      <c r="N62" s="79">
        <v>0</v>
      </c>
    </row>
    <row r="63" spans="1:18" ht="13" x14ac:dyDescent="0.3">
      <c r="A63" s="4" t="s">
        <v>80</v>
      </c>
      <c r="K63" s="65">
        <f>SUM(K57:K62)</f>
        <v>24.041150000000002</v>
      </c>
      <c r="L63" s="65">
        <f>SUM(L57:L62)</f>
        <v>28.187075</v>
      </c>
      <c r="M63" s="65">
        <f>SUM(M57:M62)</f>
        <v>32.332999999999998</v>
      </c>
      <c r="N63" s="77">
        <f>SUM(N57:N62)</f>
        <v>33.000799999999998</v>
      </c>
    </row>
    <row r="64" spans="1:18" ht="13" x14ac:dyDescent="0.3">
      <c r="A64" s="4" t="s">
        <v>31</v>
      </c>
      <c r="K64" s="65"/>
      <c r="L64" s="65"/>
      <c r="M64" s="65"/>
      <c r="N64" s="7"/>
    </row>
    <row r="65" spans="1:14" ht="15" x14ac:dyDescent="0.3">
      <c r="B65" t="s">
        <v>55</v>
      </c>
      <c r="F65" s="86">
        <v>1.5</v>
      </c>
      <c r="G65" t="s">
        <v>22</v>
      </c>
      <c r="I65" s="88">
        <v>15</v>
      </c>
      <c r="J65" t="s">
        <v>32</v>
      </c>
      <c r="K65" s="65">
        <f>$F$65*$I$65</f>
        <v>22.5</v>
      </c>
      <c r="L65" s="65">
        <f>$F$65*$I$65</f>
        <v>22.5</v>
      </c>
      <c r="M65" s="65">
        <f>$F$65*$I$65</f>
        <v>22.5</v>
      </c>
      <c r="N65" s="77">
        <f>$F$65*$I$65</f>
        <v>22.5</v>
      </c>
    </row>
    <row r="66" spans="1:14" ht="15" x14ac:dyDescent="0.3">
      <c r="B66" s="183" t="s">
        <v>172</v>
      </c>
      <c r="F66" s="89">
        <v>0.05</v>
      </c>
      <c r="G66" t="s">
        <v>24</v>
      </c>
      <c r="K66" s="65">
        <f>$F$66*K54</f>
        <v>5</v>
      </c>
      <c r="L66" s="65">
        <f>$F$66*L54</f>
        <v>5.5000000000000009</v>
      </c>
      <c r="M66" s="65">
        <f>$F$66*M54</f>
        <v>6</v>
      </c>
      <c r="N66" s="77">
        <f>$F$66*N54</f>
        <v>6</v>
      </c>
    </row>
    <row r="67" spans="1:14" ht="15" x14ac:dyDescent="0.3">
      <c r="B67" s="183" t="s">
        <v>176</v>
      </c>
      <c r="K67" s="65">
        <f>$I$140</f>
        <v>10.798640625000001</v>
      </c>
      <c r="L67" s="65">
        <f>+$I$140</f>
        <v>10.798640625000001</v>
      </c>
      <c r="M67" s="65">
        <f>+$I$140</f>
        <v>10.798640625000001</v>
      </c>
      <c r="N67" s="77">
        <f>+$I$140</f>
        <v>10.798640625000001</v>
      </c>
    </row>
    <row r="68" spans="1:14" ht="13" x14ac:dyDescent="0.3">
      <c r="A68" s="4" t="s">
        <v>25</v>
      </c>
      <c r="K68" s="65">
        <f>SUM(K65:K67)</f>
        <v>38.298640625000004</v>
      </c>
      <c r="L68" s="65">
        <f>SUM(L65:L67)</f>
        <v>38.798640625000004</v>
      </c>
      <c r="M68" s="65">
        <f>SUM(M65:M67)</f>
        <v>39.298640625000004</v>
      </c>
      <c r="N68" s="77">
        <f>SUM(N65:N67)</f>
        <v>39.298640625000004</v>
      </c>
    </row>
    <row r="69" spans="1:14" ht="13" x14ac:dyDescent="0.3">
      <c r="A69" s="4" t="s">
        <v>79</v>
      </c>
      <c r="K69" s="65">
        <f>+K63+K68</f>
        <v>62.339790625000006</v>
      </c>
      <c r="L69" s="65">
        <f>+L63+L68</f>
        <v>66.985715625000012</v>
      </c>
      <c r="M69" s="65">
        <f>+M63+M68</f>
        <v>71.631640625000003</v>
      </c>
      <c r="N69" s="77">
        <f>+N63+N68</f>
        <v>72.299440625000003</v>
      </c>
    </row>
    <row r="70" spans="1:14" ht="15" x14ac:dyDescent="0.3">
      <c r="A70" s="7" t="s">
        <v>177</v>
      </c>
      <c r="B70" s="14"/>
      <c r="C70" s="14"/>
      <c r="D70" s="14"/>
      <c r="E70" s="14"/>
      <c r="F70" s="14"/>
      <c r="G70" s="14"/>
      <c r="H70" s="14"/>
      <c r="I70" s="14"/>
      <c r="J70" s="14"/>
      <c r="K70" s="131">
        <f>+K72+K66+K65</f>
        <v>65.160209374999994</v>
      </c>
      <c r="L70" s="131">
        <f>+L72+L66+L65</f>
        <v>71.014284375000003</v>
      </c>
      <c r="M70" s="131">
        <f>+M72+M66+M65</f>
        <v>76.868359374999997</v>
      </c>
      <c r="N70" s="126">
        <f>+N72+N66+N65</f>
        <v>76.200559374999997</v>
      </c>
    </row>
    <row r="71" spans="1:14" ht="13" x14ac:dyDescent="0.3">
      <c r="A71" s="4" t="s">
        <v>33</v>
      </c>
      <c r="K71" s="65">
        <f>+K54-K63</f>
        <v>75.958849999999998</v>
      </c>
      <c r="L71" s="65">
        <f>+L54-L63</f>
        <v>81.812925000000007</v>
      </c>
      <c r="M71" s="65">
        <f>+M54-M63</f>
        <v>87.667000000000002</v>
      </c>
      <c r="N71" s="77">
        <f>+N54-N63</f>
        <v>86.999200000000002</v>
      </c>
    </row>
    <row r="72" spans="1:14" ht="13" x14ac:dyDescent="0.3">
      <c r="A72" s="4" t="s">
        <v>34</v>
      </c>
      <c r="K72" s="65">
        <f>+K54-K69</f>
        <v>37.660209374999994</v>
      </c>
      <c r="L72" s="65">
        <f>+L54-L69</f>
        <v>43.014284375000003</v>
      </c>
      <c r="M72" s="65">
        <f>+M54-M69</f>
        <v>48.368359374999997</v>
      </c>
      <c r="N72" s="77">
        <f>+N54-N69</f>
        <v>47.700559374999997</v>
      </c>
    </row>
    <row r="73" spans="1:14" s="14" customFormat="1" ht="3.75" customHeight="1" x14ac:dyDescent="0.3">
      <c r="C73" s="7"/>
      <c r="K73" s="16"/>
      <c r="L73" s="16"/>
      <c r="M73" s="16"/>
    </row>
    <row r="74" spans="1:14" x14ac:dyDescent="0.25">
      <c r="A74" s="36" t="s">
        <v>87</v>
      </c>
      <c r="B74" s="36"/>
      <c r="C74" s="36"/>
      <c r="D74" s="71"/>
      <c r="E74" s="36"/>
      <c r="F74" s="36"/>
      <c r="G74" s="36"/>
      <c r="H74" s="36"/>
      <c r="I74" s="36"/>
      <c r="J74" s="36"/>
      <c r="K74" s="36"/>
      <c r="L74" s="37"/>
      <c r="M74" s="37"/>
    </row>
    <row r="75" spans="1:14" x14ac:dyDescent="0.25">
      <c r="B75" s="36" t="s">
        <v>88</v>
      </c>
      <c r="C75" s="36"/>
      <c r="D75" s="36"/>
      <c r="E75" s="36"/>
      <c r="F75" s="36"/>
      <c r="G75" s="36"/>
      <c r="H75" s="36"/>
      <c r="I75" s="36"/>
      <c r="J75" s="36"/>
      <c r="K75" s="36"/>
      <c r="L75" s="37"/>
      <c r="M75" s="37"/>
    </row>
    <row r="76" spans="1:14" x14ac:dyDescent="0.25">
      <c r="A76" s="36" t="s">
        <v>89</v>
      </c>
      <c r="B76" s="36"/>
      <c r="C76" s="36"/>
      <c r="D76" s="72"/>
      <c r="E76" s="73"/>
      <c r="F76" s="36"/>
      <c r="G76" s="36"/>
      <c r="H76" s="36"/>
      <c r="I76" s="36"/>
      <c r="J76" s="36"/>
      <c r="K76" s="36"/>
      <c r="L76" s="37"/>
      <c r="M76" s="37"/>
    </row>
    <row r="77" spans="1:14" x14ac:dyDescent="0.25">
      <c r="A77" s="36"/>
      <c r="B77" s="36" t="s">
        <v>90</v>
      </c>
      <c r="C77" s="36"/>
      <c r="D77" s="73"/>
      <c r="E77" s="73"/>
      <c r="F77" s="36"/>
      <c r="G77" s="36"/>
      <c r="H77" s="36"/>
      <c r="I77" s="36"/>
      <c r="J77" s="36"/>
      <c r="K77" s="36"/>
      <c r="L77" s="37"/>
      <c r="M77" s="37"/>
    </row>
    <row r="78" spans="1:14" x14ac:dyDescent="0.25">
      <c r="A78" s="36" t="s">
        <v>91</v>
      </c>
      <c r="B78" s="36"/>
      <c r="C78" s="36"/>
      <c r="D78" s="74"/>
      <c r="E78" s="36"/>
      <c r="F78" s="36"/>
      <c r="G78" s="36"/>
      <c r="H78" s="36"/>
      <c r="I78" s="36"/>
      <c r="J78" s="36"/>
      <c r="K78" s="36"/>
      <c r="L78" s="37"/>
      <c r="M78" s="37"/>
    </row>
    <row r="79" spans="1:14" ht="13.5" x14ac:dyDescent="0.25">
      <c r="A79" s="35">
        <v>1</v>
      </c>
      <c r="B79" s="36" t="s">
        <v>187</v>
      </c>
      <c r="C79" s="36"/>
      <c r="D79" s="36"/>
      <c r="E79" s="36"/>
      <c r="F79" s="36"/>
      <c r="G79" s="36"/>
      <c r="H79" s="36"/>
      <c r="K79" s="12"/>
      <c r="L79" s="12"/>
      <c r="M79" s="12"/>
    </row>
    <row r="80" spans="1:14" ht="13.5" x14ac:dyDescent="0.25">
      <c r="A80" s="35">
        <v>2</v>
      </c>
      <c r="B80" s="36" t="s">
        <v>167</v>
      </c>
      <c r="C80" s="36"/>
      <c r="D80" s="36"/>
      <c r="E80" s="36"/>
      <c r="F80" s="36"/>
      <c r="G80" s="36"/>
      <c r="H80" s="36"/>
      <c r="I80" s="36"/>
      <c r="J80" s="36"/>
      <c r="K80" s="36"/>
      <c r="L80" s="37"/>
      <c r="M80" s="37"/>
    </row>
    <row r="81" spans="1:14" ht="14.5" x14ac:dyDescent="0.25">
      <c r="A81" s="17">
        <v>3</v>
      </c>
      <c r="B81" s="36" t="s">
        <v>166</v>
      </c>
      <c r="C81" s="36"/>
      <c r="D81" s="36"/>
      <c r="E81" s="36"/>
      <c r="F81" s="36"/>
      <c r="G81" s="36"/>
      <c r="H81" s="36"/>
      <c r="K81" s="12"/>
      <c r="L81" s="12"/>
      <c r="M81" s="12"/>
    </row>
    <row r="82" spans="1:14" ht="14.5" x14ac:dyDescent="0.25">
      <c r="A82" s="17"/>
      <c r="B82" s="36"/>
      <c r="C82" s="36" t="s">
        <v>113</v>
      </c>
      <c r="D82" s="36"/>
      <c r="E82" s="36"/>
      <c r="F82" s="36"/>
      <c r="G82" s="36"/>
      <c r="H82" s="36"/>
      <c r="K82" s="12"/>
      <c r="L82" s="12"/>
      <c r="M82" s="12"/>
    </row>
    <row r="83" spans="1:14" ht="14.5" x14ac:dyDescent="0.25">
      <c r="A83" s="17"/>
      <c r="B83" s="36"/>
      <c r="C83" s="36" t="s">
        <v>69</v>
      </c>
      <c r="D83" s="36"/>
      <c r="E83" s="36"/>
      <c r="F83" s="36"/>
      <c r="G83" s="36"/>
      <c r="H83" s="36"/>
      <c r="K83" s="12"/>
      <c r="L83" s="12"/>
      <c r="M83" s="12"/>
    </row>
    <row r="84" spans="1:14" ht="14.5" x14ac:dyDescent="0.25">
      <c r="A84" s="17"/>
      <c r="B84" s="36"/>
      <c r="C84" s="36" t="s">
        <v>95</v>
      </c>
      <c r="D84" s="36"/>
      <c r="E84" s="36"/>
      <c r="F84" s="71">
        <v>175</v>
      </c>
      <c r="G84" s="122" t="s">
        <v>96</v>
      </c>
      <c r="H84" s="36"/>
      <c r="I84" s="71">
        <v>455</v>
      </c>
      <c r="J84" s="122" t="s">
        <v>97</v>
      </c>
      <c r="K84" s="122"/>
      <c r="L84" s="37"/>
      <c r="M84" s="123">
        <v>315</v>
      </c>
      <c r="N84" s="124" t="s">
        <v>15</v>
      </c>
    </row>
    <row r="85" spans="1:14" ht="14.5" x14ac:dyDescent="0.25">
      <c r="A85" s="17">
        <v>4</v>
      </c>
      <c r="B85" s="36" t="s">
        <v>189</v>
      </c>
      <c r="C85" s="36"/>
      <c r="D85" s="36"/>
      <c r="E85" s="36"/>
      <c r="F85" s="36"/>
      <c r="G85" s="36"/>
      <c r="H85" s="36"/>
      <c r="K85" s="12"/>
      <c r="L85" s="12"/>
      <c r="M85" s="12"/>
    </row>
    <row r="86" spans="1:14" ht="14.5" x14ac:dyDescent="0.25">
      <c r="A86" s="17"/>
      <c r="B86" s="36"/>
      <c r="C86" s="36" t="s">
        <v>190</v>
      </c>
      <c r="D86" s="36"/>
      <c r="E86" s="36"/>
      <c r="F86" s="36"/>
      <c r="G86" s="36"/>
      <c r="H86" s="36"/>
      <c r="K86" s="12"/>
      <c r="L86" s="12"/>
      <c r="M86" s="12"/>
    </row>
    <row r="87" spans="1:14" ht="14.5" x14ac:dyDescent="0.25">
      <c r="A87" s="17">
        <v>5</v>
      </c>
      <c r="B87" s="36" t="s">
        <v>65</v>
      </c>
      <c r="C87" s="36"/>
      <c r="D87" s="36"/>
      <c r="E87" s="36"/>
      <c r="F87" s="36"/>
      <c r="G87" s="36"/>
      <c r="H87" s="36"/>
      <c r="K87" s="12"/>
      <c r="L87" s="12"/>
      <c r="M87" s="12"/>
    </row>
    <row r="88" spans="1:14" ht="14.5" x14ac:dyDescent="0.25">
      <c r="A88" s="17">
        <v>6</v>
      </c>
      <c r="B88" s="36" t="s">
        <v>35</v>
      </c>
      <c r="C88" s="36"/>
      <c r="D88" s="36"/>
      <c r="E88" s="36"/>
      <c r="F88" s="36"/>
      <c r="G88" s="36"/>
      <c r="H88" s="36"/>
      <c r="K88" s="12"/>
      <c r="L88" s="12"/>
      <c r="M88" s="12"/>
    </row>
    <row r="89" spans="1:14" ht="14.5" x14ac:dyDescent="0.25">
      <c r="A89" s="17">
        <v>7</v>
      </c>
      <c r="B89" s="36" t="s">
        <v>68</v>
      </c>
      <c r="C89" s="36"/>
      <c r="D89" s="36"/>
      <c r="E89" s="36"/>
      <c r="F89" s="36"/>
      <c r="G89" s="36"/>
      <c r="H89" s="36"/>
      <c r="K89" s="12"/>
      <c r="L89" s="12"/>
      <c r="M89" s="12"/>
    </row>
    <row r="90" spans="1:14" ht="14.5" x14ac:dyDescent="0.25">
      <c r="A90" s="17">
        <v>8</v>
      </c>
      <c r="B90" s="36" t="s">
        <v>140</v>
      </c>
      <c r="C90" s="36"/>
      <c r="D90" s="36"/>
      <c r="E90" s="36"/>
      <c r="F90" s="36"/>
      <c r="G90" s="36"/>
      <c r="H90" s="36"/>
      <c r="K90" s="12"/>
      <c r="L90" s="12"/>
      <c r="M90" s="12"/>
    </row>
    <row r="91" spans="1:14" ht="14.5" x14ac:dyDescent="0.25">
      <c r="A91" s="17">
        <v>9</v>
      </c>
      <c r="B91" s="36" t="s">
        <v>36</v>
      </c>
      <c r="C91" s="36"/>
      <c r="D91" s="36"/>
      <c r="E91" s="36"/>
      <c r="F91" s="36"/>
      <c r="G91" s="36"/>
      <c r="H91" s="36"/>
      <c r="K91" s="12"/>
      <c r="L91" s="12"/>
      <c r="M91" s="12"/>
    </row>
    <row r="92" spans="1:14" ht="14.5" x14ac:dyDescent="0.25">
      <c r="A92" s="17"/>
      <c r="B92" s="36"/>
      <c r="C92" s="36" t="s">
        <v>37</v>
      </c>
      <c r="D92" s="36"/>
      <c r="E92" s="36"/>
      <c r="F92" s="36"/>
      <c r="G92" s="36"/>
      <c r="H92" s="36"/>
      <c r="K92" s="12"/>
      <c r="L92" s="12"/>
      <c r="M92" s="12"/>
    </row>
    <row r="93" spans="1:14" ht="14.5" x14ac:dyDescent="0.25">
      <c r="A93" s="17">
        <v>10</v>
      </c>
      <c r="B93" s="36" t="s">
        <v>175</v>
      </c>
      <c r="C93" s="36"/>
      <c r="D93" s="36"/>
      <c r="E93" s="36"/>
      <c r="F93" s="36"/>
      <c r="G93" s="36"/>
      <c r="H93" s="36"/>
      <c r="K93" s="12"/>
      <c r="L93" s="12"/>
      <c r="M93" s="12"/>
    </row>
    <row r="94" spans="1:14" ht="14.5" x14ac:dyDescent="0.25">
      <c r="A94" s="17">
        <v>11</v>
      </c>
      <c r="B94" s="36" t="s">
        <v>139</v>
      </c>
      <c r="C94" s="36"/>
      <c r="D94" s="36"/>
      <c r="E94" s="36"/>
      <c r="F94" s="36"/>
      <c r="G94" s="36"/>
      <c r="H94" s="36"/>
      <c r="K94" s="12"/>
      <c r="L94" s="12"/>
      <c r="M94" s="12"/>
    </row>
    <row r="95" spans="1:14" ht="14.5" x14ac:dyDescent="0.25">
      <c r="A95" s="17">
        <v>12</v>
      </c>
      <c r="B95" s="36" t="s">
        <v>191</v>
      </c>
      <c r="C95" s="36"/>
      <c r="D95" s="36"/>
      <c r="E95" s="36"/>
      <c r="F95" s="36"/>
      <c r="G95" s="36"/>
      <c r="H95" s="36"/>
      <c r="K95" s="12"/>
      <c r="L95" s="12"/>
      <c r="M95" s="12"/>
    </row>
    <row r="96" spans="1:14" ht="14.5" x14ac:dyDescent="0.25">
      <c r="A96" s="17"/>
      <c r="B96" s="36" t="s">
        <v>144</v>
      </c>
      <c r="C96" s="36"/>
      <c r="D96" s="36"/>
      <c r="E96" s="36"/>
      <c r="F96" s="36"/>
      <c r="G96" s="36"/>
      <c r="H96" s="36"/>
      <c r="K96" s="12"/>
      <c r="L96" s="12"/>
      <c r="M96" s="12"/>
    </row>
    <row r="97" spans="1:15" ht="14.5" x14ac:dyDescent="0.25">
      <c r="A97" s="17">
        <v>13</v>
      </c>
      <c r="B97" s="36" t="s">
        <v>179</v>
      </c>
      <c r="C97" s="36"/>
      <c r="D97" s="36"/>
      <c r="E97" s="36"/>
      <c r="F97" s="36"/>
      <c r="G97" s="36"/>
      <c r="H97" s="36"/>
      <c r="K97" s="12"/>
      <c r="L97" s="12"/>
      <c r="M97" s="12"/>
    </row>
    <row r="98" spans="1:15" ht="14.5" x14ac:dyDescent="0.25">
      <c r="A98" s="17"/>
      <c r="B98" s="36" t="s">
        <v>180</v>
      </c>
      <c r="C98" s="36"/>
      <c r="D98" s="36"/>
      <c r="E98" s="36"/>
      <c r="F98" s="36"/>
      <c r="G98" s="36"/>
      <c r="H98" s="36"/>
      <c r="K98" s="12"/>
      <c r="L98" s="12"/>
      <c r="M98" s="12"/>
    </row>
    <row r="99" spans="1:15" ht="14.5" x14ac:dyDescent="0.25">
      <c r="A99" s="17"/>
      <c r="B99" s="36" t="s">
        <v>181</v>
      </c>
      <c r="C99" s="36"/>
      <c r="D99" s="36"/>
      <c r="E99" s="36"/>
      <c r="F99" s="36"/>
      <c r="G99" s="36"/>
      <c r="H99" s="36"/>
      <c r="K99" s="12"/>
      <c r="L99" s="12"/>
      <c r="M99" s="12"/>
    </row>
    <row r="100" spans="1:15" ht="14.5" x14ac:dyDescent="0.25">
      <c r="A100" s="17"/>
      <c r="B100" s="36" t="s">
        <v>182</v>
      </c>
      <c r="C100" s="36"/>
      <c r="D100" s="36"/>
      <c r="E100" s="36"/>
      <c r="F100" s="36"/>
      <c r="G100" s="36"/>
      <c r="H100" s="36"/>
      <c r="K100" s="12"/>
      <c r="L100" s="12"/>
      <c r="M100" s="12"/>
    </row>
    <row r="101" spans="1:15" ht="14.5" x14ac:dyDescent="0.25">
      <c r="A101" s="17"/>
      <c r="B101" s="36" t="s">
        <v>183</v>
      </c>
      <c r="C101" s="36"/>
      <c r="D101" s="36"/>
      <c r="E101" s="36"/>
      <c r="F101" s="36"/>
      <c r="G101" s="36"/>
      <c r="H101" s="36"/>
      <c r="K101" s="12"/>
      <c r="L101" s="12"/>
      <c r="M101" s="12"/>
    </row>
    <row r="102" spans="1:15" x14ac:dyDescent="0.25">
      <c r="B102" s="36" t="s">
        <v>184</v>
      </c>
      <c r="C102" s="36"/>
      <c r="D102" s="36"/>
      <c r="E102" s="36"/>
      <c r="F102" s="36"/>
      <c r="G102" s="36"/>
      <c r="H102" s="36"/>
      <c r="K102" s="12"/>
      <c r="L102" s="12"/>
      <c r="M102" s="12"/>
    </row>
    <row r="103" spans="1:15" x14ac:dyDescent="0.25">
      <c r="B103" s="36"/>
      <c r="C103" s="36" t="s">
        <v>185</v>
      </c>
      <c r="D103" s="36"/>
      <c r="E103" s="36"/>
      <c r="F103" s="36"/>
      <c r="G103" s="36"/>
      <c r="H103" s="36"/>
      <c r="K103" s="12"/>
      <c r="L103" s="12"/>
      <c r="M103" s="12"/>
    </row>
    <row r="104" spans="1:15" ht="13" x14ac:dyDescent="0.3">
      <c r="A104" s="215" t="s">
        <v>81</v>
      </c>
      <c r="B104" s="216"/>
      <c r="C104" s="216"/>
      <c r="D104" s="216"/>
      <c r="E104" s="216"/>
      <c r="F104" s="216"/>
      <c r="G104" s="216"/>
      <c r="H104" s="216"/>
      <c r="I104" s="216"/>
      <c r="J104" s="216"/>
      <c r="K104" s="216"/>
      <c r="L104" s="216"/>
      <c r="M104" s="216"/>
      <c r="N104" s="18"/>
    </row>
    <row r="105" spans="1:15" ht="23" x14ac:dyDescent="0.25">
      <c r="A105" s="36"/>
      <c r="B105" s="36"/>
      <c r="C105" s="36"/>
      <c r="D105" s="36"/>
      <c r="E105" s="45" t="s">
        <v>38</v>
      </c>
      <c r="F105" s="46" t="s">
        <v>70</v>
      </c>
      <c r="G105" s="45" t="s">
        <v>71</v>
      </c>
      <c r="H105" s="45"/>
      <c r="I105" s="46" t="s">
        <v>72</v>
      </c>
      <c r="J105" s="46" t="s">
        <v>73</v>
      </c>
      <c r="K105" s="46" t="s">
        <v>45</v>
      </c>
      <c r="L105" s="147" t="s">
        <v>110</v>
      </c>
      <c r="M105" s="46" t="s">
        <v>40</v>
      </c>
      <c r="N105" s="18"/>
    </row>
    <row r="106" spans="1:15" ht="15.75" customHeight="1" x14ac:dyDescent="0.25">
      <c r="A106" s="36"/>
      <c r="B106" s="71" t="s">
        <v>145</v>
      </c>
      <c r="C106" s="71"/>
      <c r="D106" s="71"/>
      <c r="E106" s="90">
        <v>1</v>
      </c>
      <c r="F106" s="91">
        <v>50500</v>
      </c>
      <c r="G106" s="92">
        <v>1200</v>
      </c>
      <c r="H106" s="48"/>
      <c r="I106" s="70">
        <f>'machinery costs'!J3</f>
        <v>5.7167578124999991</v>
      </c>
      <c r="J106" s="98">
        <v>21</v>
      </c>
      <c r="K106" s="143">
        <f>0.64*E106</f>
        <v>0.64</v>
      </c>
      <c r="L106" s="148">
        <f>(G106*E106)/J106</f>
        <v>57.142857142857146</v>
      </c>
      <c r="M106" s="143">
        <v>0.74</v>
      </c>
      <c r="N106" s="18"/>
    </row>
    <row r="107" spans="1:15" x14ac:dyDescent="0.25">
      <c r="A107" s="36"/>
      <c r="B107" s="71" t="s">
        <v>159</v>
      </c>
      <c r="C107" s="71"/>
      <c r="D107" s="71"/>
      <c r="E107" s="90">
        <v>1</v>
      </c>
      <c r="F107" s="91">
        <v>75500</v>
      </c>
      <c r="G107" s="92">
        <v>1200</v>
      </c>
      <c r="H107" s="48"/>
      <c r="I107" s="70">
        <f>'machinery costs'!J4</f>
        <v>8.5468359374999991</v>
      </c>
      <c r="J107" s="98">
        <v>43.27</v>
      </c>
      <c r="K107" s="143">
        <v>0.34</v>
      </c>
      <c r="L107" s="148">
        <f>(G107*E107)/J107</f>
        <v>27.732840305061242</v>
      </c>
      <c r="M107" s="143">
        <v>0.56000000000000005</v>
      </c>
    </row>
    <row r="108" spans="1:15" x14ac:dyDescent="0.25">
      <c r="A108" s="36"/>
      <c r="B108" s="71" t="s">
        <v>147</v>
      </c>
      <c r="C108" s="71"/>
      <c r="D108" s="71"/>
      <c r="E108" s="90">
        <v>2</v>
      </c>
      <c r="F108" s="91">
        <v>242500</v>
      </c>
      <c r="G108" s="92">
        <v>2000</v>
      </c>
      <c r="H108" s="48"/>
      <c r="I108" s="70">
        <f>'machinery costs'!J5</f>
        <v>16.471054687500001</v>
      </c>
      <c r="J108" s="98">
        <v>44.12</v>
      </c>
      <c r="K108" s="143">
        <v>7.0000000000000007E-2</v>
      </c>
      <c r="L108" s="148">
        <f>(G108*E108)/J108</f>
        <v>90.66183136899366</v>
      </c>
      <c r="M108" s="143">
        <f>3.15*E108</f>
        <v>6.3</v>
      </c>
    </row>
    <row r="109" spans="1:15" x14ac:dyDescent="0.25">
      <c r="A109" s="36"/>
      <c r="B109" s="71" t="s">
        <v>160</v>
      </c>
      <c r="C109" s="71"/>
      <c r="D109" s="71"/>
      <c r="E109" s="90">
        <v>1</v>
      </c>
      <c r="F109" s="91">
        <v>155000</v>
      </c>
      <c r="G109" s="92">
        <v>1200</v>
      </c>
      <c r="H109" s="48"/>
      <c r="I109" s="70">
        <f>'machinery costs'!J6</f>
        <v>16.355729166666666</v>
      </c>
      <c r="J109" s="98">
        <v>14</v>
      </c>
      <c r="K109" s="143">
        <v>0.52</v>
      </c>
      <c r="L109" s="148">
        <f>(G109*E109)/J109</f>
        <v>85.714285714285708</v>
      </c>
      <c r="M109" s="143">
        <f>2.92*E109</f>
        <v>2.92</v>
      </c>
    </row>
    <row r="110" spans="1:15" x14ac:dyDescent="0.25">
      <c r="A110" s="36"/>
      <c r="B110" s="71" t="s">
        <v>161</v>
      </c>
      <c r="C110" s="71"/>
      <c r="D110" s="71"/>
      <c r="E110" s="90">
        <v>1</v>
      </c>
      <c r="F110" s="91">
        <v>360000</v>
      </c>
      <c r="G110" s="92">
        <v>2000</v>
      </c>
      <c r="H110" s="48"/>
      <c r="I110" s="70">
        <f>'machinery costs'!J7</f>
        <v>25.2815625</v>
      </c>
      <c r="J110" s="103" t="s">
        <v>92</v>
      </c>
      <c r="K110" s="104" t="s">
        <v>92</v>
      </c>
      <c r="L110" s="148">
        <f>L111</f>
        <v>117.64705882352942</v>
      </c>
      <c r="M110" s="145">
        <f>(L110*60.06)/G110</f>
        <v>3.5329411764705889</v>
      </c>
    </row>
    <row r="111" spans="1:15" x14ac:dyDescent="0.25">
      <c r="A111" s="36"/>
      <c r="B111" s="71"/>
      <c r="C111" s="71" t="s">
        <v>162</v>
      </c>
      <c r="D111" s="71"/>
      <c r="E111" s="90">
        <v>1</v>
      </c>
      <c r="F111" s="91">
        <v>60000</v>
      </c>
      <c r="G111" s="93">
        <v>1200</v>
      </c>
      <c r="H111" s="61"/>
      <c r="I111" s="70">
        <f>'machinery costs'!J8</f>
        <v>7.0226562499999998</v>
      </c>
      <c r="J111" s="99">
        <v>10.199999999999999</v>
      </c>
      <c r="K111" s="143">
        <f>1.49*E111</f>
        <v>1.49</v>
      </c>
      <c r="L111" s="148">
        <f>(G111*E111)/J111</f>
        <v>117.64705882352942</v>
      </c>
      <c r="M111" s="145">
        <v>0.31</v>
      </c>
    </row>
    <row r="112" spans="1:15" x14ac:dyDescent="0.25">
      <c r="A112" s="36"/>
      <c r="B112" s="71" t="s">
        <v>41</v>
      </c>
      <c r="C112" s="71"/>
      <c r="D112" s="71"/>
      <c r="E112" s="90">
        <v>2</v>
      </c>
      <c r="F112" s="91">
        <v>12000</v>
      </c>
      <c r="G112" s="92">
        <v>2000</v>
      </c>
      <c r="H112" s="48"/>
      <c r="I112" s="70">
        <f>'machinery costs'!J9</f>
        <v>0.81506249999999991</v>
      </c>
      <c r="J112" s="99">
        <v>34</v>
      </c>
      <c r="K112" s="143">
        <f>0.12*E112</f>
        <v>0.24</v>
      </c>
      <c r="L112" s="148">
        <f>(G112*E112)/J112</f>
        <v>117.64705882352941</v>
      </c>
      <c r="M112" s="145">
        <f>0.15*E112</f>
        <v>0.3</v>
      </c>
      <c r="O112" s="102"/>
    </row>
    <row r="113" spans="1:14" x14ac:dyDescent="0.25">
      <c r="A113" s="36"/>
      <c r="B113" s="71" t="s">
        <v>143</v>
      </c>
      <c r="C113" s="71"/>
      <c r="D113" s="71"/>
      <c r="E113" s="90">
        <v>1</v>
      </c>
      <c r="F113" s="91">
        <v>70000</v>
      </c>
      <c r="G113" s="92">
        <v>2000</v>
      </c>
      <c r="H113" s="48"/>
      <c r="I113" s="70">
        <f>'machinery costs'!J10</f>
        <v>4.6900000000000004</v>
      </c>
      <c r="J113" s="103" t="s">
        <v>92</v>
      </c>
      <c r="K113" s="49" t="s">
        <v>59</v>
      </c>
      <c r="L113" s="185" t="s">
        <v>92</v>
      </c>
      <c r="M113" s="145">
        <f>3.5*E113</f>
        <v>3.5</v>
      </c>
    </row>
    <row r="114" spans="1:14" x14ac:dyDescent="0.25">
      <c r="A114" s="36"/>
      <c r="B114" s="71" t="s">
        <v>149</v>
      </c>
      <c r="C114" s="71"/>
      <c r="D114" s="71"/>
      <c r="E114" s="90">
        <v>1</v>
      </c>
      <c r="F114" s="91">
        <v>50500</v>
      </c>
      <c r="G114" s="92">
        <v>2000</v>
      </c>
      <c r="H114" s="48"/>
      <c r="I114" s="70">
        <f>'machinery costs'!J11</f>
        <v>3.3835000000000006</v>
      </c>
      <c r="J114" s="188"/>
      <c r="K114" s="186">
        <f>(L114*9.9)/1000</f>
        <v>0.58235294117647063</v>
      </c>
      <c r="L114" s="187">
        <f>L110*0.5</f>
        <v>58.82352941176471</v>
      </c>
      <c r="M114" s="145">
        <v>1</v>
      </c>
    </row>
    <row r="115" spans="1:14" x14ac:dyDescent="0.25">
      <c r="A115" s="36"/>
      <c r="B115" s="71" t="s">
        <v>163</v>
      </c>
      <c r="C115" s="71"/>
      <c r="D115" s="71"/>
      <c r="E115" s="90">
        <v>3</v>
      </c>
      <c r="F115" s="91">
        <v>274000</v>
      </c>
      <c r="G115" s="92">
        <v>2000</v>
      </c>
      <c r="H115" s="48"/>
      <c r="I115" s="70">
        <f>'machinery costs'!J12</f>
        <v>18.358000000000004</v>
      </c>
      <c r="J115" s="105" t="s">
        <v>92</v>
      </c>
      <c r="K115" s="106" t="s">
        <v>92</v>
      </c>
      <c r="L115" s="148">
        <f>L106+L108+L114+L136</f>
        <v>298.37133718967056</v>
      </c>
      <c r="M115" s="145">
        <f>(L115*4.38)/G115</f>
        <v>0.65343322844537854</v>
      </c>
    </row>
    <row r="116" spans="1:14" x14ac:dyDescent="0.25">
      <c r="A116" s="36"/>
      <c r="B116" s="71" t="s">
        <v>150</v>
      </c>
      <c r="C116" s="71"/>
      <c r="D116" s="71"/>
      <c r="E116" s="90">
        <v>2</v>
      </c>
      <c r="F116" s="91">
        <v>266000</v>
      </c>
      <c r="G116" s="92">
        <v>2000</v>
      </c>
      <c r="H116" s="48"/>
      <c r="I116" s="70">
        <f>'machinery costs'!J13</f>
        <v>17.208953124999997</v>
      </c>
      <c r="J116" s="106" t="s">
        <v>92</v>
      </c>
      <c r="K116" s="106" t="s">
        <v>92</v>
      </c>
      <c r="L116" s="148">
        <f>L107+L112+L138</f>
        <v>210.8463475737625</v>
      </c>
      <c r="M116" s="145">
        <f>(L116*4.26)/G115</f>
        <v>0.44910272033211412</v>
      </c>
    </row>
    <row r="117" spans="1:14" x14ac:dyDescent="0.25">
      <c r="A117" s="36"/>
      <c r="B117" s="94" t="s">
        <v>74</v>
      </c>
      <c r="C117" s="94"/>
      <c r="D117" s="94"/>
      <c r="E117" s="95">
        <v>1</v>
      </c>
      <c r="F117" s="96">
        <v>30000</v>
      </c>
      <c r="G117" s="97">
        <v>2000</v>
      </c>
      <c r="H117" s="51"/>
      <c r="I117" s="151">
        <f>'machinery costs'!J14</f>
        <v>2.0099999999999998</v>
      </c>
      <c r="J117" s="107" t="s">
        <v>92</v>
      </c>
      <c r="K117" s="144">
        <f>0.21*E117</f>
        <v>0.21</v>
      </c>
      <c r="L117" s="42"/>
      <c r="M117" s="146">
        <f>0.05*E117</f>
        <v>0.05</v>
      </c>
      <c r="N117" s="18"/>
    </row>
    <row r="118" spans="1:14" x14ac:dyDescent="0.25">
      <c r="A118" s="36"/>
      <c r="C118" s="36"/>
      <c r="D118" s="36"/>
      <c r="E118" s="52"/>
      <c r="F118" s="47"/>
      <c r="G118" s="47"/>
      <c r="H118" s="47"/>
      <c r="I118" s="11"/>
      <c r="J118" s="53" t="s">
        <v>75</v>
      </c>
      <c r="K118" s="100">
        <f>SUM(K106:K117)*M121</f>
        <v>9.0031764705882367</v>
      </c>
      <c r="M118" s="50"/>
      <c r="N118" s="18"/>
    </row>
    <row r="119" spans="1:14" ht="13" x14ac:dyDescent="0.3">
      <c r="A119" s="36"/>
      <c r="C119" s="54"/>
      <c r="D119" s="54" t="s">
        <v>76</v>
      </c>
      <c r="E119" s="54"/>
      <c r="F119" s="55"/>
      <c r="G119" s="55"/>
      <c r="H119" s="55"/>
      <c r="I119" s="100">
        <f>SUM(I106:I117)</f>
        <v>125.86011197916666</v>
      </c>
      <c r="J119" s="53" t="s">
        <v>77</v>
      </c>
      <c r="K119" s="100">
        <f>(K118*0.1)+K118</f>
        <v>9.9034941176470603</v>
      </c>
      <c r="L119" s="21" t="s">
        <v>78</v>
      </c>
      <c r="M119" s="100">
        <f>SUM(M106:M117)</f>
        <v>20.315477125248083</v>
      </c>
      <c r="N119" s="18"/>
    </row>
    <row r="120" spans="1:14" x14ac:dyDescent="0.25">
      <c r="A120" s="36"/>
      <c r="B120" s="54"/>
      <c r="C120" s="36"/>
      <c r="D120" s="36"/>
      <c r="E120" s="36"/>
      <c r="F120" s="57"/>
      <c r="G120" s="58"/>
      <c r="H120" s="58"/>
      <c r="I120" s="39"/>
      <c r="J120" s="54"/>
      <c r="K120" s="59"/>
      <c r="L120" s="59"/>
      <c r="M120" s="59"/>
      <c r="N120" s="18"/>
    </row>
    <row r="121" spans="1:14" x14ac:dyDescent="0.25">
      <c r="A121" s="36"/>
      <c r="B121" s="36"/>
      <c r="C121" s="54"/>
      <c r="D121" s="54"/>
      <c r="E121" s="54"/>
      <c r="F121" s="60"/>
      <c r="G121" s="60"/>
      <c r="H121" s="60"/>
      <c r="I121" s="60"/>
      <c r="J121" s="211" t="s">
        <v>42</v>
      </c>
      <c r="K121" s="211"/>
      <c r="L121" s="211"/>
      <c r="M121" s="101">
        <v>2.2000000000000002</v>
      </c>
      <c r="N121" s="18"/>
    </row>
    <row r="122" spans="1:14" x14ac:dyDescent="0.25">
      <c r="A122" s="36"/>
      <c r="B122" s="36"/>
      <c r="C122" s="54"/>
      <c r="D122" s="54"/>
      <c r="E122" s="54"/>
      <c r="F122" s="60"/>
      <c r="G122" s="60"/>
      <c r="H122" s="60"/>
      <c r="I122" s="60"/>
      <c r="J122" s="114"/>
      <c r="K122" s="114"/>
      <c r="L122" s="114"/>
      <c r="M122" s="118"/>
      <c r="N122" s="18"/>
    </row>
    <row r="123" spans="1:14" x14ac:dyDescent="0.25">
      <c r="A123" s="36" t="s">
        <v>192</v>
      </c>
      <c r="B123" s="54"/>
      <c r="C123" s="54"/>
      <c r="D123" s="54"/>
      <c r="E123" s="54"/>
      <c r="F123" s="60"/>
      <c r="G123" s="60"/>
      <c r="H123" s="60"/>
      <c r="I123" s="60"/>
      <c r="J123" s="114"/>
      <c r="K123" s="114"/>
      <c r="L123" s="114"/>
      <c r="M123" s="118"/>
      <c r="N123" s="18"/>
    </row>
    <row r="124" spans="1:14" x14ac:dyDescent="0.25">
      <c r="A124" s="36" t="s">
        <v>193</v>
      </c>
      <c r="B124" s="54"/>
      <c r="C124" s="54"/>
      <c r="D124" s="54"/>
      <c r="E124" s="54"/>
      <c r="F124" s="60"/>
      <c r="G124" s="60"/>
      <c r="H124" s="60"/>
      <c r="I124" s="60"/>
      <c r="J124" s="114"/>
      <c r="K124" s="114"/>
      <c r="L124" s="114"/>
      <c r="M124" s="118"/>
      <c r="N124" s="18"/>
    </row>
    <row r="125" spans="1:14" x14ac:dyDescent="0.25">
      <c r="A125" s="36" t="s">
        <v>60</v>
      </c>
      <c r="B125" s="36"/>
      <c r="C125" s="36"/>
      <c r="D125" s="36"/>
      <c r="E125" s="36"/>
      <c r="F125" s="115"/>
      <c r="G125" s="115"/>
      <c r="H125" s="23"/>
      <c r="I125" s="18"/>
      <c r="J125" s="19"/>
      <c r="K125" s="19"/>
      <c r="L125" s="19"/>
      <c r="M125" s="19"/>
      <c r="N125" s="18"/>
    </row>
    <row r="126" spans="1:14" x14ac:dyDescent="0.25">
      <c r="A126" s="36" t="s">
        <v>141</v>
      </c>
      <c r="B126" s="36"/>
      <c r="C126" s="36"/>
      <c r="D126" s="36"/>
      <c r="E126" s="36"/>
      <c r="F126" s="36"/>
      <c r="G126" s="36"/>
      <c r="H126" s="18"/>
      <c r="I126" s="18"/>
      <c r="J126" s="18"/>
      <c r="K126" s="18"/>
      <c r="L126" s="19"/>
      <c r="M126" s="19"/>
      <c r="N126" s="18"/>
    </row>
    <row r="127" spans="1:14" x14ac:dyDescent="0.25">
      <c r="A127" s="36" t="s">
        <v>93</v>
      </c>
      <c r="B127" s="36"/>
      <c r="C127" s="36"/>
      <c r="D127" s="36"/>
      <c r="E127" s="73"/>
      <c r="F127" s="73"/>
      <c r="G127" s="73"/>
      <c r="H127" s="64"/>
      <c r="I127" s="64"/>
      <c r="J127" s="18"/>
      <c r="K127" s="18"/>
      <c r="L127" s="19"/>
      <c r="M127" s="19"/>
      <c r="N127" s="18"/>
    </row>
    <row r="128" spans="1:14" x14ac:dyDescent="0.25">
      <c r="A128" s="116" t="s">
        <v>94</v>
      </c>
      <c r="B128" s="36"/>
      <c r="C128" s="117"/>
      <c r="D128" s="36"/>
      <c r="E128" s="73"/>
      <c r="F128" s="73"/>
      <c r="G128" s="73"/>
      <c r="H128" s="64"/>
      <c r="I128" s="64"/>
      <c r="J128" s="18"/>
      <c r="K128" s="18"/>
      <c r="L128" s="19"/>
      <c r="M128" s="19"/>
      <c r="N128" s="18"/>
    </row>
    <row r="129" spans="1:14" x14ac:dyDescent="0.25">
      <c r="A129" s="36" t="s">
        <v>64</v>
      </c>
      <c r="B129" s="36"/>
      <c r="C129" s="36"/>
      <c r="D129" s="36"/>
      <c r="E129" s="36"/>
      <c r="F129" s="18"/>
      <c r="G129" s="18"/>
      <c r="H129" s="18"/>
      <c r="I129" s="18"/>
      <c r="J129" s="18"/>
      <c r="K129" s="19"/>
      <c r="L129" s="19"/>
      <c r="M129" s="19"/>
      <c r="N129" s="18"/>
    </row>
    <row r="130" spans="1:14" x14ac:dyDescent="0.25">
      <c r="A130" s="36" t="s">
        <v>154</v>
      </c>
      <c r="B130" s="36"/>
      <c r="C130" s="36"/>
      <c r="D130" s="36"/>
      <c r="E130" s="36"/>
      <c r="G130" s="18"/>
      <c r="H130" s="18"/>
      <c r="I130" s="18"/>
    </row>
    <row r="131" spans="1:14" x14ac:dyDescent="0.25">
      <c r="A131" s="36" t="s">
        <v>43</v>
      </c>
      <c r="B131" s="36"/>
      <c r="C131" s="36"/>
      <c r="D131" s="36"/>
      <c r="E131" s="36"/>
      <c r="G131" s="18"/>
      <c r="H131" s="18"/>
    </row>
    <row r="132" spans="1:14" x14ac:dyDescent="0.25">
      <c r="A132" s="36" t="s">
        <v>82</v>
      </c>
      <c r="B132" s="36"/>
      <c r="C132" s="36"/>
      <c r="D132" s="36"/>
      <c r="E132" s="36"/>
      <c r="G132" s="18"/>
      <c r="H132" s="18"/>
    </row>
    <row r="133" spans="1:14" x14ac:dyDescent="0.25">
      <c r="A133" s="36" t="s">
        <v>83</v>
      </c>
      <c r="B133" s="36"/>
      <c r="C133" s="36"/>
      <c r="D133" s="36"/>
      <c r="E133" s="36"/>
      <c r="G133" s="18"/>
      <c r="H133" s="18"/>
    </row>
    <row r="134" spans="1:14" ht="13" x14ac:dyDescent="0.3">
      <c r="A134" s="215" t="s">
        <v>44</v>
      </c>
      <c r="B134" s="215"/>
      <c r="C134" s="215"/>
      <c r="D134" s="215"/>
      <c r="E134" s="215"/>
      <c r="F134" s="215"/>
      <c r="G134" s="215"/>
      <c r="H134" s="215"/>
      <c r="I134" s="215"/>
      <c r="J134" s="215"/>
      <c r="K134" s="215"/>
      <c r="L134" s="215"/>
      <c r="M134" s="215"/>
      <c r="N134" s="18"/>
    </row>
    <row r="135" spans="1:14" ht="25.5" customHeight="1" x14ac:dyDescent="0.25">
      <c r="A135" s="18"/>
      <c r="B135" s="18"/>
      <c r="C135" s="18"/>
      <c r="D135" s="18"/>
      <c r="E135" s="153" t="s">
        <v>38</v>
      </c>
      <c r="F135" s="154" t="s">
        <v>39</v>
      </c>
      <c r="G135" s="155" t="s">
        <v>71</v>
      </c>
      <c r="H135" s="155"/>
      <c r="I135" s="156" t="s">
        <v>72</v>
      </c>
      <c r="J135" s="156" t="s">
        <v>73</v>
      </c>
      <c r="K135" s="156" t="s">
        <v>45</v>
      </c>
      <c r="L135" s="157" t="s">
        <v>112</v>
      </c>
      <c r="M135" s="156" t="s">
        <v>40</v>
      </c>
      <c r="N135" s="18"/>
    </row>
    <row r="136" spans="1:14" x14ac:dyDescent="0.25">
      <c r="A136" s="18"/>
      <c r="B136" s="102" t="s">
        <v>62</v>
      </c>
      <c r="C136" s="102"/>
      <c r="D136" s="102"/>
      <c r="E136" s="108">
        <v>1</v>
      </c>
      <c r="F136" s="109">
        <v>27500</v>
      </c>
      <c r="G136" s="110">
        <v>400</v>
      </c>
      <c r="H136" s="62"/>
      <c r="I136" s="70">
        <f>'machinery costs'!J18</f>
        <v>9.4660156250000007</v>
      </c>
      <c r="J136" s="98">
        <v>4.3600000000000003</v>
      </c>
      <c r="K136" s="143">
        <f>0.4*E136</f>
        <v>0.4</v>
      </c>
      <c r="L136" s="148">
        <f>(G136*E136)/J136</f>
        <v>91.743119266055032</v>
      </c>
      <c r="M136" s="143">
        <f>3.18*E136</f>
        <v>3.18</v>
      </c>
    </row>
    <row r="137" spans="1:14" x14ac:dyDescent="0.25">
      <c r="A137" s="18"/>
      <c r="B137" s="102" t="s">
        <v>63</v>
      </c>
      <c r="C137" s="102"/>
      <c r="D137" s="102"/>
      <c r="E137" s="108">
        <v>1</v>
      </c>
      <c r="F137" s="109">
        <v>8000</v>
      </c>
      <c r="G137" s="110">
        <v>400</v>
      </c>
      <c r="H137" s="62"/>
      <c r="I137" s="70">
        <f>'machinery costs'!J19</f>
        <v>0.69008333333333316</v>
      </c>
      <c r="J137" s="98">
        <v>4.4000000000000004</v>
      </c>
      <c r="K137" s="143">
        <f>0.1*E137</f>
        <v>0.1</v>
      </c>
      <c r="L137" s="148">
        <f>L136</f>
        <v>91.743119266055032</v>
      </c>
      <c r="M137" s="143">
        <f>0.1*E137</f>
        <v>0.1</v>
      </c>
    </row>
    <row r="138" spans="1:14" x14ac:dyDescent="0.25">
      <c r="A138" s="150"/>
      <c r="B138" s="119" t="s">
        <v>61</v>
      </c>
      <c r="C138" s="119"/>
      <c r="D138" s="119"/>
      <c r="E138" s="111">
        <v>1</v>
      </c>
      <c r="F138" s="112">
        <v>7000</v>
      </c>
      <c r="G138" s="113">
        <v>400</v>
      </c>
      <c r="H138" s="63"/>
      <c r="I138" s="151">
        <f>'machinery costs'!J20</f>
        <v>0.64254166666666657</v>
      </c>
      <c r="J138" s="152">
        <v>6.11</v>
      </c>
      <c r="K138" s="146">
        <f>0.29*E138</f>
        <v>0.28999999999999998</v>
      </c>
      <c r="L138" s="149">
        <f>(G138*E138)/J138</f>
        <v>65.466448445171849</v>
      </c>
      <c r="M138" s="146">
        <f>0.21*E138</f>
        <v>0.21</v>
      </c>
    </row>
    <row r="139" spans="1:14" x14ac:dyDescent="0.25">
      <c r="A139" s="18"/>
      <c r="E139" s="2"/>
      <c r="F139" s="40"/>
      <c r="I139" s="53"/>
      <c r="J139" s="53" t="s">
        <v>75</v>
      </c>
      <c r="K139" s="100">
        <f>SUM(K136:K138)*M121</f>
        <v>1.7380000000000002</v>
      </c>
      <c r="L139" s="49"/>
      <c r="M139" s="37"/>
    </row>
    <row r="140" spans="1:14" x14ac:dyDescent="0.25">
      <c r="A140" s="18"/>
      <c r="D140" s="212" t="s">
        <v>76</v>
      </c>
      <c r="E140" s="212"/>
      <c r="F140" s="213"/>
      <c r="G140" s="213"/>
      <c r="H140" s="213"/>
      <c r="I140" s="100">
        <f>SUM(I136:I138)</f>
        <v>10.798640625000001</v>
      </c>
      <c r="J140" s="53" t="s">
        <v>77</v>
      </c>
      <c r="K140" s="100">
        <f>(K139*0.1)+K139</f>
        <v>1.9118000000000002</v>
      </c>
      <c r="L140" s="56" t="s">
        <v>78</v>
      </c>
      <c r="M140" s="100">
        <f>SUM(M136:M138)</f>
        <v>3.49</v>
      </c>
    </row>
    <row r="141" spans="1:14" ht="13" x14ac:dyDescent="0.3">
      <c r="A141" s="36" t="s">
        <v>157</v>
      </c>
      <c r="B141" s="18"/>
      <c r="C141" s="18"/>
      <c r="I141" s="4"/>
      <c r="J141" s="43"/>
      <c r="K141" s="24"/>
      <c r="M141" s="19"/>
    </row>
    <row r="142" spans="1:14" ht="13" x14ac:dyDescent="0.3">
      <c r="A142" s="36" t="s">
        <v>158</v>
      </c>
      <c r="B142" s="4"/>
      <c r="C142" s="4"/>
      <c r="D142" s="4"/>
      <c r="E142" s="4"/>
      <c r="F142" s="25"/>
      <c r="G142" s="23"/>
      <c r="H142" s="23"/>
      <c r="I142" s="44"/>
      <c r="J142" s="44"/>
      <c r="K142" s="44"/>
      <c r="L142" s="26"/>
      <c r="M142" s="19"/>
    </row>
    <row r="143" spans="1:14" ht="13" x14ac:dyDescent="0.3">
      <c r="A143" s="18"/>
      <c r="B143" s="18"/>
      <c r="C143" s="18"/>
      <c r="D143" s="18"/>
      <c r="E143" s="18"/>
      <c r="F143" s="22"/>
      <c r="G143" s="23"/>
      <c r="H143" s="23"/>
      <c r="I143" s="4"/>
      <c r="J143" s="24"/>
      <c r="K143" s="24"/>
      <c r="M143" s="19"/>
    </row>
    <row r="144" spans="1:14" x14ac:dyDescent="0.25">
      <c r="A144" s="18"/>
    </row>
    <row r="145" spans="1:14" ht="13" x14ac:dyDescent="0.3">
      <c r="A145" s="18"/>
      <c r="B145" s="4"/>
      <c r="C145" s="4"/>
      <c r="D145" s="4"/>
      <c r="E145" s="4"/>
      <c r="F145" s="27"/>
      <c r="G145" s="23"/>
      <c r="H145" s="23"/>
      <c r="I145" s="4"/>
      <c r="J145" s="24"/>
      <c r="K145" s="24"/>
      <c r="M145" s="19"/>
      <c r="N145" s="18"/>
    </row>
    <row r="146" spans="1:14" x14ac:dyDescent="0.25">
      <c r="A146" s="18"/>
      <c r="C146" s="18"/>
      <c r="D146" s="18"/>
      <c r="E146" s="18"/>
      <c r="F146" s="27"/>
      <c r="G146" s="23"/>
      <c r="H146" s="23"/>
      <c r="I146" s="18"/>
      <c r="J146" s="19"/>
      <c r="K146" s="19"/>
      <c r="M146" s="19"/>
      <c r="N146" s="18"/>
    </row>
    <row r="147" spans="1:14" s="14" customFormat="1" x14ac:dyDescent="0.25">
      <c r="A147" s="28"/>
      <c r="B147" s="28"/>
      <c r="C147" s="28"/>
      <c r="D147" s="28"/>
      <c r="E147" s="29"/>
      <c r="G147" s="30"/>
      <c r="H147" s="30"/>
      <c r="I147" s="30"/>
      <c r="J147" s="30"/>
      <c r="K147" s="31"/>
      <c r="L147" s="32"/>
      <c r="M147" s="32"/>
      <c r="N147" s="28"/>
    </row>
    <row r="148" spans="1:14" s="14" customFormat="1" ht="13" x14ac:dyDescent="0.3">
      <c r="K148" s="33"/>
      <c r="L148" s="9"/>
      <c r="M148" s="32"/>
      <c r="N148" s="28"/>
    </row>
    <row r="149" spans="1:14" ht="13" x14ac:dyDescent="0.3">
      <c r="L149" s="24"/>
      <c r="M149" s="19"/>
      <c r="N149" s="18"/>
    </row>
    <row r="150" spans="1:14" x14ac:dyDescent="0.25">
      <c r="M150" s="19"/>
      <c r="N150" s="18"/>
    </row>
    <row r="151" spans="1:14" ht="13" x14ac:dyDescent="0.3">
      <c r="L151" s="24"/>
      <c r="M151" s="19"/>
      <c r="N151" s="18"/>
    </row>
    <row r="152" spans="1:14" x14ac:dyDescent="0.25">
      <c r="L152" s="19"/>
      <c r="M152" s="19"/>
      <c r="N152" s="18"/>
    </row>
  </sheetData>
  <mergeCells count="10">
    <mergeCell ref="M4:N4"/>
    <mergeCell ref="J121:L121"/>
    <mergeCell ref="D140:H140"/>
    <mergeCell ref="A6:D6"/>
    <mergeCell ref="A104:M104"/>
    <mergeCell ref="A134:M134"/>
    <mergeCell ref="K6:M6"/>
    <mergeCell ref="I6:J6"/>
    <mergeCell ref="I7:J7"/>
    <mergeCell ref="F6:G6"/>
  </mergeCells>
  <phoneticPr fontId="0" type="noConversion"/>
  <printOptions horizontalCentered="1"/>
  <pageMargins left="0.5" right="0.5" top="0.25" bottom="0.25" header="0.5" footer="0.5"/>
  <pageSetup scale="74" orientation="portrait" r:id="rId1"/>
  <headerFooter alignWithMargins="0"/>
  <rowBreaks count="1" manualBreakCount="1">
    <brk id="73" max="15" man="1"/>
  </rowBreaks>
  <ignoredErrors>
    <ignoredError sqref="L110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E20" sqref="E20"/>
    </sheetView>
  </sheetViews>
  <sheetFormatPr defaultRowHeight="12.5" x14ac:dyDescent="0.25"/>
  <cols>
    <col min="1" max="1" width="3.6328125" customWidth="1"/>
    <col min="2" max="2" width="19.36328125" customWidth="1"/>
    <col min="3" max="3" width="13.90625" customWidth="1"/>
    <col min="4" max="4" width="14.08984375" customWidth="1"/>
    <col min="5" max="5" width="11.36328125" customWidth="1"/>
    <col min="6" max="6" width="14" customWidth="1"/>
    <col min="8" max="9" width="11.08984375" customWidth="1"/>
  </cols>
  <sheetData>
    <row r="1" spans="1:10" ht="13" x14ac:dyDescent="0.3">
      <c r="D1" s="4" t="s">
        <v>108</v>
      </c>
    </row>
    <row r="2" spans="1:10" ht="17.25" customHeight="1" x14ac:dyDescent="0.25">
      <c r="A2" s="36" t="s">
        <v>107</v>
      </c>
      <c r="B2" s="36"/>
      <c r="C2" s="46" t="s">
        <v>100</v>
      </c>
      <c r="D2" s="46" t="s">
        <v>101</v>
      </c>
      <c r="E2" s="46" t="s">
        <v>102</v>
      </c>
      <c r="F2" s="46" t="s">
        <v>103</v>
      </c>
      <c r="G2" s="46" t="s">
        <v>104</v>
      </c>
      <c r="H2" s="46" t="s">
        <v>105</v>
      </c>
      <c r="I2" s="46" t="s">
        <v>111</v>
      </c>
      <c r="J2" s="46" t="s">
        <v>106</v>
      </c>
    </row>
    <row r="3" spans="1:10" x14ac:dyDescent="0.25">
      <c r="A3" s="71" t="s">
        <v>145</v>
      </c>
      <c r="B3" s="71"/>
      <c r="C3" s="130">
        <f>(wheat!F106+(wheat!F106*0.34)+D3)/2</f>
        <v>35918.125</v>
      </c>
      <c r="D3" s="130">
        <f>(wheat!F106-(wheat!F106*0.34))/8</f>
        <v>4166.25</v>
      </c>
      <c r="E3" s="130">
        <f>0.06*C3</f>
        <v>2155.0875000000001</v>
      </c>
      <c r="F3" s="130">
        <f>0.005*C3</f>
        <v>179.59062500000002</v>
      </c>
      <c r="G3" s="130">
        <f>0.01*C3</f>
        <v>359.18125000000003</v>
      </c>
      <c r="H3" s="132">
        <f>SUM(D3:G3)</f>
        <v>6860.1093749999991</v>
      </c>
      <c r="I3" s="132">
        <f>wheat!G106</f>
        <v>1200</v>
      </c>
      <c r="J3" s="133">
        <f>H3/I3</f>
        <v>5.7167578124999991</v>
      </c>
    </row>
    <row r="4" spans="1:10" x14ac:dyDescent="0.25">
      <c r="A4" s="71" t="s">
        <v>146</v>
      </c>
      <c r="B4" s="71"/>
      <c r="C4" s="131">
        <f>(wheat!F107+(wheat!F107*0.34)+D4)/2</f>
        <v>53699.375</v>
      </c>
      <c r="D4" s="131">
        <f>(wheat!F107-(wheat!F107*0.34))/8</f>
        <v>6228.75</v>
      </c>
      <c r="E4" s="131">
        <f t="shared" ref="E4:E14" si="0">0.06*C4</f>
        <v>3221.9625000000001</v>
      </c>
      <c r="F4" s="131">
        <f t="shared" ref="F4:F14" si="1">0.005*C4</f>
        <v>268.49687499999999</v>
      </c>
      <c r="G4" s="131">
        <f t="shared" ref="G4:G14" si="2">0.01*C4</f>
        <v>536.99374999999998</v>
      </c>
      <c r="H4" s="128">
        <f t="shared" ref="H4:H14" si="3">SUM(D4:G4)</f>
        <v>10256.203125</v>
      </c>
      <c r="I4" s="128">
        <f>wheat!G107</f>
        <v>1200</v>
      </c>
      <c r="J4" s="127">
        <f>H4/I4</f>
        <v>8.5468359374999991</v>
      </c>
    </row>
    <row r="5" spans="1:10" x14ac:dyDescent="0.25">
      <c r="A5" s="71" t="s">
        <v>147</v>
      </c>
      <c r="B5" s="71"/>
      <c r="C5" s="131">
        <f>(wheat!F108+(wheat!F108*0.34)+D5)/2</f>
        <v>172478.125</v>
      </c>
      <c r="D5" s="131">
        <f>(wheat!F108-(wheat!F108*0.34))/8</f>
        <v>20006.25</v>
      </c>
      <c r="E5" s="131">
        <f t="shared" si="0"/>
        <v>10348.6875</v>
      </c>
      <c r="F5" s="131">
        <f t="shared" si="1"/>
        <v>862.390625</v>
      </c>
      <c r="G5" s="131">
        <f t="shared" si="2"/>
        <v>1724.78125</v>
      </c>
      <c r="H5" s="128">
        <f t="shared" si="3"/>
        <v>32942.109375</v>
      </c>
      <c r="I5" s="128">
        <f>wheat!G108</f>
        <v>2000</v>
      </c>
      <c r="J5" s="127">
        <f t="shared" ref="J5:J14" si="4">H5/I5</f>
        <v>16.471054687500001</v>
      </c>
    </row>
    <row r="6" spans="1:10" x14ac:dyDescent="0.25">
      <c r="A6" s="71" t="s">
        <v>138</v>
      </c>
      <c r="B6" s="71"/>
      <c r="C6" s="131">
        <f>(wheat!F109+(wheat!F109*0.44)+D6)/2</f>
        <v>117025</v>
      </c>
      <c r="D6" s="131">
        <f>(wheat!F109-(wheat!F109*0.44))/8</f>
        <v>10850</v>
      </c>
      <c r="E6" s="131">
        <f t="shared" si="0"/>
        <v>7021.5</v>
      </c>
      <c r="F6" s="131">
        <f t="shared" si="1"/>
        <v>585.125</v>
      </c>
      <c r="G6" s="131">
        <f t="shared" si="2"/>
        <v>1170.25</v>
      </c>
      <c r="H6" s="128">
        <f t="shared" si="3"/>
        <v>19626.875</v>
      </c>
      <c r="I6" s="128">
        <f>wheat!G109</f>
        <v>1200</v>
      </c>
      <c r="J6" s="127">
        <f t="shared" si="4"/>
        <v>16.355729166666666</v>
      </c>
    </row>
    <row r="7" spans="1:10" x14ac:dyDescent="0.25">
      <c r="A7" s="71" t="s">
        <v>148</v>
      </c>
      <c r="B7" s="71"/>
      <c r="C7" s="131">
        <f>(wheat!F110+(wheat!F110*0.29)+D7)/2</f>
        <v>248175</v>
      </c>
      <c r="D7" s="131">
        <f>(wheat!F110-(wheat!F110*0.29))/8</f>
        <v>31950</v>
      </c>
      <c r="E7" s="131">
        <f t="shared" si="0"/>
        <v>14890.5</v>
      </c>
      <c r="F7" s="131">
        <f t="shared" si="1"/>
        <v>1240.875</v>
      </c>
      <c r="G7" s="131">
        <f t="shared" si="2"/>
        <v>2481.75</v>
      </c>
      <c r="H7" s="128">
        <f t="shared" si="3"/>
        <v>50563.125</v>
      </c>
      <c r="I7" s="128">
        <f>wheat!G110</f>
        <v>2000</v>
      </c>
      <c r="J7" s="127">
        <f t="shared" si="4"/>
        <v>25.2815625</v>
      </c>
    </row>
    <row r="8" spans="1:10" x14ac:dyDescent="0.25">
      <c r="A8" s="71"/>
      <c r="B8" s="71" t="s">
        <v>142</v>
      </c>
      <c r="C8" s="131">
        <f>(wheat!F111+(wheat!F111*0.29)+D8)/2</f>
        <v>41362.5</v>
      </c>
      <c r="D8" s="131">
        <f>(wheat!F111-(wheat!F111*0.29))/8</f>
        <v>5325</v>
      </c>
      <c r="E8" s="131">
        <f t="shared" si="0"/>
        <v>2481.75</v>
      </c>
      <c r="F8" s="131">
        <f t="shared" si="1"/>
        <v>206.8125</v>
      </c>
      <c r="G8" s="131">
        <f t="shared" si="2"/>
        <v>413.625</v>
      </c>
      <c r="H8" s="128">
        <f t="shared" si="3"/>
        <v>8427.1875</v>
      </c>
      <c r="I8" s="128">
        <f>wheat!G111</f>
        <v>1200</v>
      </c>
      <c r="J8" s="127">
        <f t="shared" si="4"/>
        <v>7.0226562499999998</v>
      </c>
    </row>
    <row r="9" spans="1:10" x14ac:dyDescent="0.25">
      <c r="A9" s="71" t="s">
        <v>41</v>
      </c>
      <c r="B9" s="71"/>
      <c r="C9" s="131">
        <f>(wheat!F112+(wheat!F112*0.34)+D9)/2</f>
        <v>8535</v>
      </c>
      <c r="D9" s="131">
        <f>(wheat!F112-(wheat!F112*0.34))/8</f>
        <v>990</v>
      </c>
      <c r="E9" s="131">
        <f t="shared" si="0"/>
        <v>512.1</v>
      </c>
      <c r="F9" s="131">
        <f t="shared" si="1"/>
        <v>42.675000000000004</v>
      </c>
      <c r="G9" s="131">
        <f t="shared" si="2"/>
        <v>85.350000000000009</v>
      </c>
      <c r="H9" s="128">
        <f t="shared" si="3"/>
        <v>1630.1249999999998</v>
      </c>
      <c r="I9" s="128">
        <f>wheat!G112</f>
        <v>2000</v>
      </c>
      <c r="J9" s="127">
        <f t="shared" si="4"/>
        <v>0.81506249999999991</v>
      </c>
    </row>
    <row r="10" spans="1:10" x14ac:dyDescent="0.25">
      <c r="A10" s="71" t="s">
        <v>143</v>
      </c>
      <c r="B10" s="71"/>
      <c r="C10" s="131">
        <f>(wheat!F113+(wheat!F113*0.36)+D10)/2</f>
        <v>50400</v>
      </c>
      <c r="D10" s="131">
        <f>(wheat!F113-(wheat!F113*0.36))/8</f>
        <v>5600</v>
      </c>
      <c r="E10" s="131">
        <f t="shared" si="0"/>
        <v>3024</v>
      </c>
      <c r="F10" s="131">
        <f t="shared" si="1"/>
        <v>252</v>
      </c>
      <c r="G10" s="131">
        <f t="shared" si="2"/>
        <v>504</v>
      </c>
      <c r="H10" s="128">
        <f t="shared" si="3"/>
        <v>9380</v>
      </c>
      <c r="I10" s="128">
        <f>wheat!G113</f>
        <v>2000</v>
      </c>
      <c r="J10" s="127">
        <f t="shared" si="4"/>
        <v>4.6900000000000004</v>
      </c>
    </row>
    <row r="11" spans="1:10" x14ac:dyDescent="0.25">
      <c r="A11" s="71" t="s">
        <v>149</v>
      </c>
      <c r="B11" s="71"/>
      <c r="C11" s="131">
        <f>(wheat!F114+(wheat!F114*0.36)+D11)/2</f>
        <v>36360</v>
      </c>
      <c r="D11" s="131">
        <f>(wheat!F114-(wheat!F114*0.36))/8</f>
        <v>4040</v>
      </c>
      <c r="E11" s="131">
        <f>0.06*C11</f>
        <v>2181.6</v>
      </c>
      <c r="F11" s="131">
        <f>0.005*C11</f>
        <v>181.8</v>
      </c>
      <c r="G11" s="131">
        <f>0.01*C11</f>
        <v>363.6</v>
      </c>
      <c r="H11" s="128">
        <f>SUM(D11:G11)</f>
        <v>6767.0000000000009</v>
      </c>
      <c r="I11" s="128">
        <f>wheat!G114</f>
        <v>2000</v>
      </c>
      <c r="J11" s="127">
        <f>H11/I11</f>
        <v>3.3835000000000006</v>
      </c>
    </row>
    <row r="12" spans="1:10" x14ac:dyDescent="0.25">
      <c r="A12" s="71" t="s">
        <v>150</v>
      </c>
      <c r="B12" s="71"/>
      <c r="C12" s="131">
        <f>(wheat!F115+(wheat!F115*0.36)+D12)/2</f>
        <v>197280</v>
      </c>
      <c r="D12" s="131">
        <f>(wheat!F115-(wheat!F115*0.36))/8</f>
        <v>21920</v>
      </c>
      <c r="E12" s="131">
        <f t="shared" si="0"/>
        <v>11836.8</v>
      </c>
      <c r="F12" s="131">
        <f t="shared" si="1"/>
        <v>986.4</v>
      </c>
      <c r="G12" s="131">
        <f t="shared" si="2"/>
        <v>1972.8</v>
      </c>
      <c r="H12" s="128">
        <f t="shared" si="3"/>
        <v>36716.000000000007</v>
      </c>
      <c r="I12" s="128">
        <f>wheat!G115</f>
        <v>2000</v>
      </c>
      <c r="J12" s="127">
        <f t="shared" si="4"/>
        <v>18.358000000000004</v>
      </c>
    </row>
    <row r="13" spans="1:10" x14ac:dyDescent="0.25">
      <c r="A13" s="71" t="s">
        <v>151</v>
      </c>
      <c r="B13" s="71"/>
      <c r="C13" s="131">
        <f>(wheat!F116+(wheat!F116*0.41)+D13)/2</f>
        <v>197338.75</v>
      </c>
      <c r="D13" s="131">
        <f>(wheat!F116-(wheat!F116*0.41))/8</f>
        <v>19617.5</v>
      </c>
      <c r="E13" s="131">
        <f t="shared" si="0"/>
        <v>11840.324999999999</v>
      </c>
      <c r="F13" s="131">
        <f t="shared" si="1"/>
        <v>986.69375000000002</v>
      </c>
      <c r="G13" s="131">
        <f t="shared" si="2"/>
        <v>1973.3875</v>
      </c>
      <c r="H13" s="128">
        <f t="shared" si="3"/>
        <v>34417.906249999993</v>
      </c>
      <c r="I13" s="128">
        <f>wheat!G116</f>
        <v>2000</v>
      </c>
      <c r="J13" s="127">
        <f t="shared" si="4"/>
        <v>17.208953124999997</v>
      </c>
    </row>
    <row r="14" spans="1:10" x14ac:dyDescent="0.25">
      <c r="A14" s="94" t="s">
        <v>74</v>
      </c>
      <c r="B14" s="94"/>
      <c r="C14" s="69">
        <f>(wheat!F117+(wheat!F117*0.36)+D14)/2</f>
        <v>21600</v>
      </c>
      <c r="D14" s="69">
        <f>(wheat!F117-(wheat!F117*0.36))/8</f>
        <v>2400</v>
      </c>
      <c r="E14" s="69">
        <f t="shared" si="0"/>
        <v>1296</v>
      </c>
      <c r="F14" s="69">
        <f t="shared" si="1"/>
        <v>108</v>
      </c>
      <c r="G14" s="69">
        <f t="shared" si="2"/>
        <v>216</v>
      </c>
      <c r="H14" s="134">
        <f t="shared" si="3"/>
        <v>4020</v>
      </c>
      <c r="I14" s="134">
        <f>wheat!G117</f>
        <v>2000</v>
      </c>
      <c r="J14" s="135">
        <f t="shared" si="4"/>
        <v>2.0099999999999998</v>
      </c>
    </row>
    <row r="15" spans="1:10" x14ac:dyDescent="0.25">
      <c r="D15" s="65">
        <f>SUM(D3:D14)</f>
        <v>133093.75</v>
      </c>
      <c r="E15" s="65">
        <f>SUM(E3:E14)</f>
        <v>70810.3125</v>
      </c>
      <c r="F15" s="65">
        <f>SUM(F3:F14)</f>
        <v>5900.8593750000009</v>
      </c>
      <c r="G15" s="65">
        <f>SUM(G3:G14)</f>
        <v>11801.718750000002</v>
      </c>
      <c r="H15" s="65">
        <f>SUM(H3:H14)</f>
        <v>221606.640625</v>
      </c>
    </row>
    <row r="16" spans="1:10" ht="13" x14ac:dyDescent="0.3">
      <c r="D16" s="4" t="s">
        <v>109</v>
      </c>
    </row>
    <row r="17" spans="1:10" x14ac:dyDescent="0.25">
      <c r="A17" s="141" t="s">
        <v>107</v>
      </c>
      <c r="B17" s="36"/>
      <c r="C17" s="36" t="s">
        <v>100</v>
      </c>
      <c r="D17" s="136" t="s">
        <v>101</v>
      </c>
      <c r="E17" s="142" t="s">
        <v>102</v>
      </c>
      <c r="F17" s="136" t="s">
        <v>103</v>
      </c>
      <c r="G17" s="136" t="s">
        <v>104</v>
      </c>
      <c r="H17" s="136" t="s">
        <v>105</v>
      </c>
      <c r="I17" s="136" t="s">
        <v>111</v>
      </c>
      <c r="J17" s="136" t="s">
        <v>106</v>
      </c>
    </row>
    <row r="18" spans="1:10" ht="15" customHeight="1" x14ac:dyDescent="0.25">
      <c r="A18" s="137" t="s">
        <v>62</v>
      </c>
      <c r="B18" s="137"/>
      <c r="C18" s="130">
        <f>(wheat!F136+(wheat!F136*0.32)+D18)/2</f>
        <v>19318.75</v>
      </c>
      <c r="D18" s="130">
        <f>(wheat!F136-(wheat!F136*0.32))/8</f>
        <v>2337.5</v>
      </c>
      <c r="E18" s="130">
        <f>0.06*C18</f>
        <v>1159.125</v>
      </c>
      <c r="F18" s="130">
        <f>0.005*C18</f>
        <v>96.59375</v>
      </c>
      <c r="G18" s="130">
        <f>0.01*C18</f>
        <v>193.1875</v>
      </c>
      <c r="H18" s="138">
        <f>SUM(D18:G18)</f>
        <v>3786.40625</v>
      </c>
      <c r="I18" s="138">
        <f>wheat!G136</f>
        <v>400</v>
      </c>
      <c r="J18" s="133">
        <f>H18/I18</f>
        <v>9.4660156250000007</v>
      </c>
    </row>
    <row r="19" spans="1:10" x14ac:dyDescent="0.25">
      <c r="A19" s="139" t="s">
        <v>63</v>
      </c>
      <c r="B19" s="139"/>
      <c r="C19" s="131">
        <f>(wheat!F137+(wheat!F137*0.41)+D19)/2</f>
        <v>5935</v>
      </c>
      <c r="D19" s="131">
        <f>(wheat!F137-(wheat!F137*0.41))/8</f>
        <v>590</v>
      </c>
      <c r="E19" s="131">
        <f>0.06*C19</f>
        <v>356.09999999999997</v>
      </c>
      <c r="F19" s="131">
        <f>0.005*C19</f>
        <v>29.675000000000001</v>
      </c>
      <c r="G19" s="131">
        <f>0.01*C19</f>
        <v>59.35</v>
      </c>
      <c r="H19" s="140">
        <f>SUM(D19:G19)</f>
        <v>1035.1249999999998</v>
      </c>
      <c r="I19" s="140">
        <f>wheat!G137</f>
        <v>400</v>
      </c>
      <c r="J19" s="127">
        <f>H19/1500</f>
        <v>0.69008333333333316</v>
      </c>
    </row>
    <row r="20" spans="1:10" x14ac:dyDescent="0.25">
      <c r="A20" s="119" t="s">
        <v>61</v>
      </c>
      <c r="B20" s="119"/>
      <c r="C20" s="69">
        <f>(wheat!F138+(wheat!F138*0.32)+D20)/2</f>
        <v>4917.5</v>
      </c>
      <c r="D20" s="69">
        <f>(wheat!F138-(wheat!F138*0.32))/8</f>
        <v>595</v>
      </c>
      <c r="E20" s="69">
        <f>0.06*C20</f>
        <v>295.05</v>
      </c>
      <c r="F20" s="69">
        <f>0.005*C20</f>
        <v>24.587500000000002</v>
      </c>
      <c r="G20" s="69">
        <f>0.01*C20</f>
        <v>49.175000000000004</v>
      </c>
      <c r="H20" s="129">
        <f>SUM(D20:G20)</f>
        <v>963.81249999999989</v>
      </c>
      <c r="I20" s="129">
        <f>wheat!G138</f>
        <v>400</v>
      </c>
      <c r="J20" s="135">
        <f>H20/1500</f>
        <v>0.64254166666666657</v>
      </c>
    </row>
  </sheetData>
  <phoneticPr fontId="14" type="noConversion"/>
  <pageMargins left="0.75" right="0.75" top="1" bottom="1" header="0.5" footer="0.5"/>
  <pageSetup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showGridLines="0" workbookViewId="0">
      <selection sqref="A1:I24"/>
    </sheetView>
  </sheetViews>
  <sheetFormatPr defaultRowHeight="12.5" x14ac:dyDescent="0.25"/>
  <cols>
    <col min="2" max="2" width="12.08984375" customWidth="1"/>
    <col min="4" max="4" width="13.453125" customWidth="1"/>
    <col min="6" max="6" width="12" customWidth="1"/>
    <col min="7" max="7" width="14" customWidth="1"/>
    <col min="8" max="8" width="6.90625" customWidth="1"/>
    <col min="9" max="9" width="13.36328125" customWidth="1"/>
  </cols>
  <sheetData>
    <row r="1" spans="1:9" x14ac:dyDescent="0.25">
      <c r="A1" s="219" t="s">
        <v>195</v>
      </c>
      <c r="B1" s="220"/>
      <c r="C1" s="220"/>
      <c r="D1" s="220"/>
      <c r="E1" s="220"/>
      <c r="F1" s="220"/>
      <c r="G1" s="220"/>
      <c r="H1" s="220"/>
      <c r="I1" s="221"/>
    </row>
    <row r="2" spans="1:9" ht="12" customHeight="1" thickBot="1" x14ac:dyDescent="0.3">
      <c r="A2" s="222"/>
      <c r="B2" s="223"/>
      <c r="C2" s="223"/>
      <c r="D2" s="223"/>
      <c r="E2" s="223"/>
      <c r="F2" s="223"/>
      <c r="G2" s="223"/>
      <c r="H2" s="223"/>
      <c r="I2" s="224"/>
    </row>
    <row r="3" spans="1:9" ht="20.5" thickTop="1" x14ac:dyDescent="0.4">
      <c r="A3" s="225" t="s">
        <v>114</v>
      </c>
      <c r="B3" s="225"/>
      <c r="C3" s="225"/>
      <c r="D3" s="225" t="s">
        <v>115</v>
      </c>
      <c r="E3" s="225"/>
      <c r="F3" s="225"/>
      <c r="G3" s="226" t="s">
        <v>116</v>
      </c>
      <c r="H3" s="226"/>
      <c r="I3" s="227"/>
    </row>
    <row r="4" spans="1:9" ht="20" x14ac:dyDescent="0.4">
      <c r="A4" s="166" t="s">
        <v>117</v>
      </c>
      <c r="B4" s="167"/>
      <c r="C4" s="158"/>
      <c r="D4" s="158"/>
      <c r="E4" s="158"/>
      <c r="F4" s="158"/>
      <c r="G4" s="192">
        <f>wheat!L8</f>
        <v>74.7</v>
      </c>
      <c r="H4" s="193"/>
      <c r="I4" s="194">
        <f>wheat!M8</f>
        <v>89.6</v>
      </c>
    </row>
    <row r="5" spans="1:9" ht="20" x14ac:dyDescent="0.4">
      <c r="A5" s="172" t="s">
        <v>129</v>
      </c>
      <c r="B5" s="172"/>
      <c r="C5" s="169"/>
      <c r="D5" s="206">
        <f>wheat!I10</f>
        <v>4.8</v>
      </c>
      <c r="E5" s="169" t="s">
        <v>118</v>
      </c>
      <c r="F5" s="169"/>
      <c r="G5" s="170">
        <f>wheat!L10</f>
        <v>358.56</v>
      </c>
      <c r="H5" s="170"/>
      <c r="I5" s="171">
        <f>wheat!M10</f>
        <v>430.08</v>
      </c>
    </row>
    <row r="6" spans="1:9" ht="20" x14ac:dyDescent="0.4">
      <c r="A6" s="168" t="s">
        <v>188</v>
      </c>
      <c r="B6" s="168"/>
      <c r="C6" s="168"/>
      <c r="D6" s="208"/>
      <c r="E6" s="168"/>
      <c r="F6" s="168"/>
      <c r="G6" s="179">
        <f>wheat!L11</f>
        <v>3.6</v>
      </c>
      <c r="H6" s="179"/>
      <c r="I6" s="180">
        <f>wheat!M11</f>
        <v>3.6</v>
      </c>
    </row>
    <row r="7" spans="1:9" ht="6.75" customHeight="1" x14ac:dyDescent="0.4">
      <c r="A7" s="158"/>
      <c r="B7" s="158"/>
      <c r="C7" s="158"/>
      <c r="D7" s="158"/>
      <c r="E7" s="158"/>
      <c r="F7" s="207"/>
      <c r="G7" s="7"/>
      <c r="H7" s="7"/>
      <c r="I7" s="7"/>
    </row>
    <row r="8" spans="1:9" ht="20" x14ac:dyDescent="0.4">
      <c r="A8" s="160" t="s">
        <v>119</v>
      </c>
      <c r="B8" s="164"/>
      <c r="C8" s="159"/>
      <c r="D8" s="158"/>
      <c r="E8" s="158"/>
      <c r="G8" s="162"/>
      <c r="H8" s="162"/>
      <c r="I8" s="162"/>
    </row>
    <row r="9" spans="1:9" ht="20" x14ac:dyDescent="0.4">
      <c r="A9" s="172" t="s">
        <v>120</v>
      </c>
      <c r="B9" s="172"/>
      <c r="C9" s="172"/>
      <c r="D9" s="173">
        <f>wheat!I17</f>
        <v>3.1E-2</v>
      </c>
      <c r="E9" s="169" t="s">
        <v>121</v>
      </c>
      <c r="F9" s="169"/>
      <c r="G9" s="170">
        <f>wheat!L17</f>
        <v>43.4</v>
      </c>
      <c r="H9" s="170"/>
      <c r="I9" s="171">
        <f>wheat!M17</f>
        <v>43.4</v>
      </c>
    </row>
    <row r="10" spans="1:9" ht="20" x14ac:dyDescent="0.4">
      <c r="A10" s="172" t="s">
        <v>130</v>
      </c>
      <c r="B10" s="172"/>
      <c r="C10" s="172"/>
      <c r="D10" s="174">
        <f>wheat!F84</f>
        <v>175</v>
      </c>
      <c r="E10" s="172"/>
      <c r="F10" s="172"/>
      <c r="G10" s="175">
        <f>wheat!L20</f>
        <v>20.589187500000001</v>
      </c>
      <c r="H10" s="175"/>
      <c r="I10" s="176">
        <f>wheat!M19</f>
        <v>34.156249999999993</v>
      </c>
    </row>
    <row r="11" spans="1:9" ht="24" x14ac:dyDescent="0.6">
      <c r="A11" s="172" t="s">
        <v>134</v>
      </c>
      <c r="B11" s="172"/>
      <c r="C11" s="172"/>
      <c r="D11" s="174">
        <f>wheat!I84</f>
        <v>455</v>
      </c>
      <c r="E11" s="172" t="s">
        <v>15</v>
      </c>
      <c r="F11" s="172"/>
      <c r="G11" s="175">
        <f>wheat!L20</f>
        <v>20.589187500000001</v>
      </c>
      <c r="H11" s="175"/>
      <c r="I11" s="176">
        <f>wheat!M20</f>
        <v>24.695999999999998</v>
      </c>
    </row>
    <row r="12" spans="1:9" ht="24" x14ac:dyDescent="0.6">
      <c r="A12" s="172" t="s">
        <v>135</v>
      </c>
      <c r="B12" s="172"/>
      <c r="C12" s="172"/>
      <c r="D12" s="177">
        <f>wheat!M84</f>
        <v>315</v>
      </c>
      <c r="E12" s="172" t="s">
        <v>15</v>
      </c>
      <c r="F12" s="172"/>
      <c r="G12" s="175">
        <f>wheat!L21</f>
        <v>12.5052375</v>
      </c>
      <c r="H12" s="175"/>
      <c r="I12" s="176">
        <f>wheat!M21</f>
        <v>13.952400000000001</v>
      </c>
    </row>
    <row r="13" spans="1:9" ht="20" x14ac:dyDescent="0.4">
      <c r="A13" s="172" t="s">
        <v>122</v>
      </c>
      <c r="B13" s="172"/>
      <c r="C13" s="172"/>
      <c r="D13" s="172"/>
      <c r="E13" s="172"/>
      <c r="F13" s="172"/>
      <c r="G13" s="175">
        <f>wheat!L23</f>
        <v>13.25</v>
      </c>
      <c r="H13" s="175"/>
      <c r="I13" s="176">
        <f>wheat!M23</f>
        <v>13.25</v>
      </c>
    </row>
    <row r="14" spans="1:9" ht="20" x14ac:dyDescent="0.4">
      <c r="A14" s="168" t="s">
        <v>125</v>
      </c>
      <c r="B14" s="168"/>
      <c r="C14" s="168"/>
      <c r="D14" s="178">
        <f>wheat!M121</f>
        <v>2.2000000000000002</v>
      </c>
      <c r="E14" s="168" t="s">
        <v>126</v>
      </c>
      <c r="F14" s="168"/>
      <c r="G14" s="179">
        <f>wheat!$L$27</f>
        <v>9.9034941176470603</v>
      </c>
      <c r="H14" s="179"/>
      <c r="I14" s="180">
        <f>wheat!$M$27</f>
        <v>9.9034941176470603</v>
      </c>
    </row>
    <row r="15" spans="1:9" ht="21" customHeight="1" x14ac:dyDescent="0.4">
      <c r="A15" s="158"/>
      <c r="B15" s="158"/>
      <c r="C15" s="191" t="s">
        <v>165</v>
      </c>
      <c r="D15" s="158"/>
      <c r="E15" s="158"/>
      <c r="G15" s="170">
        <f>wheat!L35</f>
        <v>2.3435225216553994</v>
      </c>
      <c r="I15" s="170">
        <f>wheat!M35</f>
        <v>2.1145774771316033</v>
      </c>
    </row>
    <row r="16" spans="1:9" ht="20" x14ac:dyDescent="0.4">
      <c r="A16" s="160" t="s">
        <v>123</v>
      </c>
      <c r="B16" s="159"/>
      <c r="C16" s="158"/>
      <c r="D16" s="158"/>
      <c r="E16" s="158"/>
      <c r="F16" s="158"/>
      <c r="G16" s="163"/>
      <c r="H16" s="163"/>
      <c r="I16" s="163"/>
    </row>
    <row r="17" spans="1:9" ht="20" x14ac:dyDescent="0.4">
      <c r="A17" s="189" t="s">
        <v>152</v>
      </c>
      <c r="B17" s="189"/>
      <c r="C17" s="190"/>
      <c r="D17" s="190"/>
      <c r="E17" s="190"/>
      <c r="F17" s="190"/>
      <c r="G17" s="170">
        <f>wheat!L38+wheat!L37</f>
        <v>40.427999999999997</v>
      </c>
      <c r="H17" s="170"/>
      <c r="I17" s="171">
        <f>wheat!M38+wheat!M37</f>
        <v>44.004000000000005</v>
      </c>
    </row>
    <row r="18" spans="1:9" ht="20" x14ac:dyDescent="0.4">
      <c r="A18" s="189" t="s">
        <v>70</v>
      </c>
      <c r="B18" s="189"/>
      <c r="C18" s="189"/>
      <c r="D18" s="189"/>
      <c r="E18" s="189"/>
      <c r="F18" s="189"/>
      <c r="G18" s="175">
        <f>wheat!L39</f>
        <v>125.86011197916666</v>
      </c>
      <c r="H18" s="175"/>
      <c r="I18" s="176">
        <f>wheat!M39</f>
        <v>125.86011197916666</v>
      </c>
    </row>
    <row r="19" spans="1:9" ht="20" x14ac:dyDescent="0.4">
      <c r="A19" s="168" t="s">
        <v>124</v>
      </c>
      <c r="B19" s="168"/>
      <c r="C19" s="168"/>
      <c r="D19" s="168"/>
      <c r="E19" s="168"/>
      <c r="F19" s="172"/>
      <c r="G19" s="175">
        <f>wheat!L40</f>
        <v>187</v>
      </c>
      <c r="H19" s="175"/>
      <c r="I19" s="176">
        <f>wheat!M40</f>
        <v>239</v>
      </c>
    </row>
    <row r="20" spans="1:9" ht="19.5" customHeight="1" x14ac:dyDescent="0.4">
      <c r="A20" s="158"/>
      <c r="B20" s="158"/>
      <c r="C20" s="191" t="s">
        <v>165</v>
      </c>
      <c r="D20" s="158"/>
      <c r="E20" s="158"/>
      <c r="F20" s="161"/>
      <c r="G20" s="170">
        <f>wheat!L46</f>
        <v>8.4483243879748446</v>
      </c>
      <c r="H20" s="165"/>
      <c r="I20" s="170">
        <f>wheat!M46</f>
        <v>7.7394323035204922</v>
      </c>
    </row>
    <row r="21" spans="1:9" ht="20" x14ac:dyDescent="0.4">
      <c r="A21" s="160" t="s">
        <v>127</v>
      </c>
      <c r="B21" s="159"/>
      <c r="C21" s="158"/>
      <c r="D21" s="158"/>
      <c r="E21" s="158"/>
      <c r="F21" s="158"/>
      <c r="G21" s="163"/>
      <c r="H21" s="163"/>
      <c r="I21" s="163"/>
    </row>
    <row r="22" spans="1:9" ht="20" x14ac:dyDescent="0.4">
      <c r="A22" s="169" t="s">
        <v>156</v>
      </c>
      <c r="B22" s="169"/>
      <c r="C22" s="169"/>
      <c r="D22" s="169"/>
      <c r="E22" s="169"/>
      <c r="F22" s="169"/>
      <c r="G22" s="170">
        <f>wheat!L49</f>
        <v>-179.18924434682498</v>
      </c>
      <c r="H22" s="170"/>
      <c r="I22" s="171">
        <f>wheat!L49</f>
        <v>-179.18924434682498</v>
      </c>
    </row>
    <row r="23" spans="1:9" ht="20" x14ac:dyDescent="0.4">
      <c r="A23" s="172" t="s">
        <v>186</v>
      </c>
      <c r="B23" s="172"/>
      <c r="C23" s="172"/>
      <c r="D23" s="172"/>
      <c r="E23" s="172"/>
      <c r="F23" s="172"/>
      <c r="G23" s="175">
        <f>wheat!L47</f>
        <v>187.09886763234169</v>
      </c>
      <c r="H23" s="175"/>
      <c r="I23" s="176">
        <f>wheat!M47</f>
        <v>244.21385804900837</v>
      </c>
    </row>
    <row r="24" spans="1:9" ht="20" x14ac:dyDescent="0.4">
      <c r="A24" s="168" t="s">
        <v>128</v>
      </c>
      <c r="B24" s="168"/>
      <c r="C24" s="168"/>
      <c r="D24" s="168"/>
      <c r="E24" s="168"/>
      <c r="F24" s="168"/>
      <c r="G24" s="179">
        <f>wheat!L48</f>
        <v>9.8867632341693934E-2</v>
      </c>
      <c r="H24" s="179"/>
      <c r="I24" s="180">
        <f>wheat!M48</f>
        <v>5.2138580490083655</v>
      </c>
    </row>
    <row r="25" spans="1:9" ht="19.5" customHeight="1" x14ac:dyDescent="0.25"/>
  </sheetData>
  <mergeCells count="4">
    <mergeCell ref="A1:I2"/>
    <mergeCell ref="A3:C3"/>
    <mergeCell ref="D3:F3"/>
    <mergeCell ref="G3:I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wheat</vt:lpstr>
      <vt:lpstr>machinery costs</vt:lpstr>
      <vt:lpstr>Quick Stats</vt:lpstr>
      <vt:lpstr>wheat!Print_Area</vt:lpstr>
    </vt:vector>
  </TitlesOfParts>
  <Company>Dept. of Ag., Env., &amp; Dev. Economics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Moore</dc:creator>
  <cp:lastModifiedBy>Julie Moose</cp:lastModifiedBy>
  <cp:lastPrinted>2017-09-18T13:05:34Z</cp:lastPrinted>
  <dcterms:created xsi:type="dcterms:W3CDTF">2002-12-27T16:09:39Z</dcterms:created>
  <dcterms:modified xsi:type="dcterms:W3CDTF">2017-09-18T13:36:47Z</dcterms:modified>
</cp:coreProperties>
</file>