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  <sheet name="DV-IDENTITY-0" sheetId="4" state="veryHidden" r:id="rId4"/>
  </sheets>
  <calcPr calcId="144525"/>
</workbook>
</file>

<file path=xl/calcChain.xml><?xml version="1.0" encoding="utf-8"?>
<calcChain xmlns="http://schemas.openxmlformats.org/spreadsheetml/2006/main">
  <c r="A8" i="4" l="1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D8" i="4"/>
  <c r="BG8" i="4"/>
  <c r="BJ8" i="4"/>
  <c r="BK8" i="4"/>
  <c r="BL8" i="4"/>
  <c r="BM8" i="4"/>
  <c r="BN8" i="4"/>
  <c r="BO8" i="4"/>
  <c r="A7" i="4"/>
  <c r="B7" i="4"/>
  <c r="C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A6" i="4"/>
  <c r="B6" i="4"/>
  <c r="C6" i="4"/>
  <c r="D6" i="4"/>
  <c r="E6" i="4"/>
  <c r="F6" i="4"/>
  <c r="G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A4" i="4"/>
  <c r="B4" i="4"/>
  <c r="C4" i="4"/>
  <c r="D4" i="4"/>
  <c r="E4" i="4"/>
  <c r="F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A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H6" i="1"/>
  <c r="E6" i="1"/>
  <c r="B6" i="1"/>
  <c r="D6" i="1" s="1"/>
  <c r="G6" i="1" l="1"/>
  <c r="B7" i="1" l="1"/>
  <c r="G7" i="1" s="1"/>
  <c r="H7" i="1" s="1"/>
  <c r="D7" i="1" l="1"/>
  <c r="E7" i="1" s="1"/>
  <c r="B8" i="1" l="1"/>
  <c r="G8" i="1" l="1"/>
  <c r="BC8" i="4"/>
  <c r="D8" i="1"/>
  <c r="H8" i="1" l="1"/>
  <c r="BI8" i="4" s="1"/>
  <c r="BH8" i="4"/>
  <c r="E8" i="1"/>
  <c r="BF8" i="4" s="1"/>
  <c r="BE8" i="4"/>
  <c r="B9" i="1"/>
  <c r="G9" i="1" s="1"/>
  <c r="H9" i="1" s="1"/>
  <c r="D9" i="1" l="1"/>
  <c r="E9" i="1" s="1"/>
  <c r="B10" i="1" l="1"/>
  <c r="D10" i="1" l="1"/>
  <c r="E10" i="1" s="1"/>
  <c r="G10" i="1"/>
  <c r="H10" i="1" s="1"/>
  <c r="B11" i="1" l="1"/>
  <c r="D11" i="1" l="1"/>
  <c r="E11" i="1" s="1"/>
  <c r="G11" i="1"/>
  <c r="H11" i="1" s="1"/>
  <c r="B12" i="1" l="1"/>
  <c r="D12" i="1" l="1"/>
  <c r="E12" i="1" s="1"/>
  <c r="G12" i="1"/>
  <c r="H12" i="1" s="1"/>
  <c r="B13" i="1" l="1"/>
  <c r="G13" i="1" l="1"/>
  <c r="H13" i="1" s="1"/>
  <c r="D13" i="1"/>
  <c r="E13" i="1" s="1"/>
  <c r="B14" i="1" l="1"/>
  <c r="D14" i="1" l="1"/>
  <c r="E14" i="1" s="1"/>
  <c r="G14" i="1"/>
  <c r="H14" i="1" s="1"/>
  <c r="B15" i="1" l="1"/>
  <c r="D15" i="1" l="1"/>
  <c r="E15" i="1" s="1"/>
  <c r="G15" i="1"/>
  <c r="H15" i="1" s="1"/>
  <c r="B16" i="1" l="1"/>
  <c r="D16" i="1" l="1"/>
  <c r="E16" i="1" s="1"/>
  <c r="G16" i="1"/>
  <c r="H16" i="1" s="1"/>
  <c r="B17" i="1" l="1"/>
  <c r="D17" i="1" l="1"/>
  <c r="E17" i="1" s="1"/>
  <c r="G17" i="1"/>
  <c r="H17" i="1" s="1"/>
  <c r="B18" i="1" l="1"/>
  <c r="G18" i="1" l="1"/>
  <c r="H18" i="1" s="1"/>
  <c r="D18" i="1"/>
  <c r="E18" i="1" s="1"/>
  <c r="B19" i="1" l="1"/>
  <c r="G19" i="1" l="1"/>
  <c r="H19" i="1" s="1"/>
  <c r="D19" i="1"/>
  <c r="E19" i="1" s="1"/>
  <c r="B20" i="1" l="1"/>
  <c r="G20" i="1" l="1"/>
  <c r="H20" i="1" s="1"/>
  <c r="D20" i="1"/>
  <c r="E20" i="1" s="1"/>
  <c r="B21" i="1" l="1"/>
  <c r="G21" i="1" l="1"/>
  <c r="H21" i="1" s="1"/>
  <c r="D21" i="1"/>
  <c r="E21" i="1" s="1"/>
  <c r="B22" i="1" l="1"/>
  <c r="G22" i="1" l="1"/>
  <c r="H22" i="1" s="1"/>
  <c r="D22" i="1"/>
  <c r="E22" i="1" s="1"/>
  <c r="B23" i="1" l="1"/>
  <c r="G23" i="1" l="1"/>
  <c r="H23" i="1" s="1"/>
  <c r="D23" i="1"/>
  <c r="E23" i="1" s="1"/>
  <c r="B24" i="1" l="1"/>
  <c r="G24" i="1" l="1"/>
  <c r="H24" i="1" s="1"/>
  <c r="D24" i="1"/>
  <c r="E24" i="1" s="1"/>
  <c r="B25" i="1" l="1"/>
  <c r="G25" i="1" l="1"/>
  <c r="H25" i="1" s="1"/>
  <c r="D25" i="1"/>
  <c r="E25" i="1" s="1"/>
  <c r="B26" i="1" l="1"/>
  <c r="D26" i="1" l="1"/>
  <c r="E26" i="1" s="1"/>
  <c r="G26" i="1"/>
  <c r="H26" i="1" s="1"/>
  <c r="B27" i="1" l="1"/>
  <c r="D27" i="1" l="1"/>
  <c r="E27" i="1" s="1"/>
  <c r="G27" i="1"/>
  <c r="H27" i="1" s="1"/>
  <c r="B28" i="1" l="1"/>
  <c r="D28" i="1" l="1"/>
  <c r="E28" i="1" s="1"/>
  <c r="G28" i="1"/>
  <c r="H28" i="1" s="1"/>
  <c r="B29" i="1" l="1"/>
  <c r="D29" i="1" l="1"/>
  <c r="E29" i="1" s="1"/>
  <c r="G29" i="1"/>
  <c r="H29" i="1" s="1"/>
  <c r="B30" i="1" l="1"/>
  <c r="D30" i="1" l="1"/>
  <c r="E30" i="1" s="1"/>
  <c r="G30" i="1"/>
  <c r="H30" i="1" s="1"/>
  <c r="B31" i="1" l="1"/>
  <c r="G31" i="1" l="1"/>
  <c r="H31" i="1" s="1"/>
  <c r="D31" i="1"/>
  <c r="E31" i="1" s="1"/>
  <c r="B32" i="1" l="1"/>
  <c r="G32" i="1" l="1"/>
  <c r="H32" i="1" s="1"/>
  <c r="D32" i="1"/>
  <c r="E32" i="1" s="1"/>
  <c r="B33" i="1" l="1"/>
  <c r="G33" i="1" l="1"/>
  <c r="H33" i="1" s="1"/>
  <c r="D33" i="1"/>
  <c r="E33" i="1" s="1"/>
  <c r="B34" i="1" l="1"/>
  <c r="G34" i="1" l="1"/>
  <c r="H34" i="1" s="1"/>
  <c r="D34" i="1"/>
  <c r="E34" i="1" s="1"/>
  <c r="B35" i="1" l="1"/>
  <c r="G35" i="1" l="1"/>
  <c r="H35" i="1" s="1"/>
  <c r="D35" i="1"/>
  <c r="E35" i="1" s="1"/>
  <c r="B36" i="1" l="1"/>
  <c r="D36" i="1" l="1"/>
  <c r="E36" i="1" s="1"/>
  <c r="G36" i="1"/>
  <c r="H36" i="1" s="1"/>
  <c r="B37" i="1" l="1"/>
  <c r="G37" i="1" l="1"/>
  <c r="H37" i="1" s="1"/>
  <c r="D37" i="1"/>
  <c r="E37" i="1" s="1"/>
  <c r="B38" i="1" l="1"/>
  <c r="D38" i="1" l="1"/>
  <c r="E38" i="1" s="1"/>
  <c r="G38" i="1"/>
  <c r="H38" i="1" s="1"/>
  <c r="B39" i="1" l="1"/>
  <c r="G39" i="1" l="1"/>
  <c r="H39" i="1" s="1"/>
  <c r="D39" i="1"/>
  <c r="E39" i="1" s="1"/>
  <c r="B40" i="1" l="1"/>
  <c r="D40" i="1" l="1"/>
  <c r="E40" i="1" s="1"/>
  <c r="G40" i="1"/>
  <c r="H40" i="1" s="1"/>
  <c r="B41" i="1" l="1"/>
  <c r="D41" i="1" l="1"/>
  <c r="E41" i="1" s="1"/>
  <c r="G41" i="1"/>
  <c r="H41" i="1" s="1"/>
  <c r="B42" i="1" l="1"/>
  <c r="D42" i="1" l="1"/>
  <c r="E42" i="1" s="1"/>
  <c r="G42" i="1"/>
  <c r="H42" i="1" s="1"/>
  <c r="B43" i="1" l="1"/>
  <c r="D43" i="1" l="1"/>
  <c r="E43" i="1" s="1"/>
  <c r="G43" i="1"/>
  <c r="H43" i="1" s="1"/>
  <c r="B44" i="1" l="1"/>
  <c r="G44" i="1" l="1"/>
  <c r="H44" i="1" s="1"/>
  <c r="D44" i="1"/>
  <c r="E44" i="1" s="1"/>
  <c r="B45" i="1" l="1"/>
  <c r="D45" i="1" l="1"/>
  <c r="E45" i="1" s="1"/>
  <c r="G45" i="1"/>
  <c r="H45" i="1" s="1"/>
  <c r="B46" i="1" l="1"/>
  <c r="G46" i="1" l="1"/>
  <c r="H46" i="1" s="1"/>
  <c r="D46" i="1"/>
  <c r="E46" i="1" s="1"/>
  <c r="B47" i="1" l="1"/>
  <c r="D47" i="1" l="1"/>
  <c r="E47" i="1" s="1"/>
  <c r="G47" i="1"/>
  <c r="H47" i="1" s="1"/>
  <c r="B48" i="1" l="1"/>
  <c r="G48" i="1" l="1"/>
  <c r="H48" i="1" s="1"/>
  <c r="D48" i="1"/>
  <c r="E48" i="1" s="1"/>
  <c r="B49" i="1" l="1"/>
  <c r="D49" i="1" l="1"/>
  <c r="E49" i="1" s="1"/>
  <c r="G49" i="1"/>
  <c r="H49" i="1" s="1"/>
  <c r="B50" i="1" l="1"/>
  <c r="D50" i="1" l="1"/>
  <c r="E50" i="1" s="1"/>
  <c r="G50" i="1"/>
  <c r="H50" i="1" s="1"/>
  <c r="B51" i="1" l="1"/>
  <c r="D51" i="1" l="1"/>
  <c r="E51" i="1" s="1"/>
  <c r="G51" i="1"/>
  <c r="H51" i="1" s="1"/>
  <c r="B52" i="1" l="1"/>
  <c r="D52" i="1" l="1"/>
  <c r="E52" i="1" s="1"/>
  <c r="G52" i="1"/>
  <c r="H52" i="1" s="1"/>
  <c r="B53" i="1" l="1"/>
  <c r="G53" i="1" l="1"/>
  <c r="H53" i="1" s="1"/>
  <c r="D53" i="1"/>
  <c r="E53" i="1" s="1"/>
  <c r="B54" i="1" l="1"/>
  <c r="D54" i="1" l="1"/>
  <c r="E54" i="1" s="1"/>
  <c r="G54" i="1"/>
  <c r="H54" i="1" s="1"/>
  <c r="B55" i="1" l="1"/>
  <c r="G55" i="1" l="1"/>
  <c r="H55" i="1" s="1"/>
  <c r="D55" i="1"/>
  <c r="E55" i="1" s="1"/>
  <c r="B56" i="1" l="1"/>
  <c r="D56" i="1" l="1"/>
  <c r="E56" i="1" s="1"/>
  <c r="G56" i="1"/>
  <c r="H56" i="1" s="1"/>
  <c r="B57" i="1" l="1"/>
  <c r="G57" i="1" l="1"/>
  <c r="H57" i="1" s="1"/>
  <c r="D57" i="1"/>
  <c r="E57" i="1" s="1"/>
  <c r="B58" i="1" l="1"/>
  <c r="B3" i="4" s="1"/>
  <c r="D58" i="1" l="1"/>
  <c r="E58" i="1" s="1"/>
  <c r="G58" i="1"/>
  <c r="H58" i="1" s="1"/>
  <c r="B59" i="1" l="1"/>
  <c r="G59" i="1" l="1"/>
  <c r="H59" i="1" s="1"/>
  <c r="D59" i="1"/>
  <c r="E59" i="1" s="1"/>
  <c r="B60" i="1" l="1"/>
  <c r="D60" i="1" l="1"/>
  <c r="E60" i="1" s="1"/>
  <c r="G60" i="1"/>
  <c r="H60" i="1" s="1"/>
  <c r="B61" i="1" l="1"/>
  <c r="G61" i="1" l="1"/>
  <c r="H61" i="1" s="1"/>
  <c r="D61" i="1"/>
  <c r="E61" i="1" s="1"/>
  <c r="B62" i="1" l="1"/>
  <c r="D62" i="1" l="1"/>
  <c r="E62" i="1" s="1"/>
  <c r="G62" i="1"/>
  <c r="H62" i="1" s="1"/>
  <c r="B63" i="1" l="1"/>
  <c r="G63" i="1" l="1"/>
  <c r="H63" i="1" s="1"/>
  <c r="D63" i="1"/>
  <c r="E63" i="1" s="1"/>
  <c r="B64" i="1" l="1"/>
  <c r="D64" i="1" l="1"/>
  <c r="E64" i="1" s="1"/>
  <c r="G64" i="1"/>
  <c r="H64" i="1" s="1"/>
  <c r="B65" i="1" l="1"/>
  <c r="G65" i="1" l="1"/>
  <c r="H65" i="1" s="1"/>
  <c r="D65" i="1"/>
  <c r="E65" i="1" s="1"/>
  <c r="B66" i="1" l="1"/>
  <c r="D66" i="1" l="1"/>
  <c r="E66" i="1" s="1"/>
  <c r="G66" i="1"/>
  <c r="H66" i="1" s="1"/>
  <c r="B67" i="1" l="1"/>
  <c r="G67" i="1" l="1"/>
  <c r="H67" i="1" s="1"/>
  <c r="D67" i="1"/>
  <c r="E67" i="1" s="1"/>
  <c r="B68" i="1" l="1"/>
  <c r="D68" i="1" l="1"/>
  <c r="E68" i="1" s="1"/>
  <c r="G68" i="1"/>
  <c r="H68" i="1" s="1"/>
  <c r="B69" i="1" l="1"/>
  <c r="G69" i="1" l="1"/>
  <c r="H69" i="1" s="1"/>
  <c r="D69" i="1"/>
  <c r="E69" i="1" s="1"/>
  <c r="B70" i="1" l="1"/>
  <c r="D70" i="1" l="1"/>
  <c r="E70" i="1" s="1"/>
  <c r="G70" i="1"/>
  <c r="H70" i="1" s="1"/>
  <c r="B71" i="1" l="1"/>
  <c r="G71" i="1" l="1"/>
  <c r="H71" i="1" s="1"/>
  <c r="D71" i="1"/>
  <c r="E71" i="1" s="1"/>
  <c r="B72" i="1" l="1"/>
  <c r="D72" i="1" l="1"/>
  <c r="E72" i="1" s="1"/>
  <c r="G72" i="1"/>
  <c r="H72" i="1" s="1"/>
  <c r="B73" i="1" l="1"/>
  <c r="G73" i="1" l="1"/>
  <c r="H73" i="1" s="1"/>
  <c r="D73" i="1"/>
  <c r="E73" i="1" s="1"/>
  <c r="B74" i="1" l="1"/>
  <c r="D74" i="1" l="1"/>
  <c r="E74" i="1" s="1"/>
  <c r="G74" i="1"/>
  <c r="H74" i="1" s="1"/>
  <c r="B75" i="1" l="1"/>
  <c r="G75" i="1" l="1"/>
  <c r="H75" i="1" s="1"/>
  <c r="D75" i="1"/>
  <c r="E75" i="1" s="1"/>
  <c r="B76" i="1" l="1"/>
  <c r="D76" i="1" l="1"/>
  <c r="E76" i="1" s="1"/>
  <c r="G76" i="1"/>
  <c r="H76" i="1" s="1"/>
  <c r="B77" i="1" l="1"/>
  <c r="G77" i="1" l="1"/>
  <c r="H77" i="1" s="1"/>
  <c r="D77" i="1"/>
  <c r="E77" i="1" s="1"/>
  <c r="B78" i="1" l="1"/>
  <c r="D78" i="1" l="1"/>
  <c r="E78" i="1" s="1"/>
  <c r="G78" i="1"/>
  <c r="H78" i="1" s="1"/>
  <c r="B79" i="1" l="1"/>
  <c r="G79" i="1" l="1"/>
  <c r="H79" i="1" s="1"/>
  <c r="D79" i="1"/>
  <c r="E79" i="1" s="1"/>
  <c r="B80" i="1" l="1"/>
  <c r="D80" i="1" l="1"/>
  <c r="E80" i="1" s="1"/>
  <c r="G80" i="1"/>
  <c r="H80" i="1" s="1"/>
  <c r="B81" i="1" l="1"/>
  <c r="G81" i="1" l="1"/>
  <c r="H81" i="1" s="1"/>
  <c r="D81" i="1"/>
  <c r="E81" i="1" s="1"/>
  <c r="B82" i="1" l="1"/>
  <c r="G82" i="1" l="1"/>
  <c r="H82" i="1" s="1"/>
  <c r="D82" i="1"/>
  <c r="E82" i="1" s="1"/>
  <c r="B83" i="1" l="1"/>
  <c r="D83" i="1" l="1"/>
  <c r="E83" i="1" s="1"/>
  <c r="G83" i="1"/>
  <c r="H83" i="1" s="1"/>
  <c r="B84" i="1" l="1"/>
  <c r="G84" i="1" l="1"/>
  <c r="H84" i="1" s="1"/>
  <c r="D84" i="1"/>
  <c r="E84" i="1" s="1"/>
  <c r="B85" i="1" l="1"/>
  <c r="D85" i="1" l="1"/>
  <c r="E85" i="1" s="1"/>
  <c r="G85" i="1"/>
  <c r="H85" i="1" s="1"/>
  <c r="B86" i="1" l="1"/>
  <c r="G86" i="1" l="1"/>
  <c r="H86" i="1" s="1"/>
  <c r="D86" i="1"/>
  <c r="E86" i="1" s="1"/>
  <c r="B87" i="1" l="1"/>
  <c r="D87" i="1" l="1"/>
  <c r="E87" i="1" s="1"/>
  <c r="G87" i="1"/>
  <c r="H87" i="1" l="1"/>
  <c r="G4" i="4"/>
  <c r="B88" i="1"/>
  <c r="G88" i="1" l="1"/>
  <c r="H88" i="1" s="1"/>
  <c r="D88" i="1"/>
  <c r="E88" i="1" s="1"/>
  <c r="B89" i="1" l="1"/>
  <c r="D89" i="1" l="1"/>
  <c r="E89" i="1" s="1"/>
  <c r="G89" i="1"/>
  <c r="H89" i="1" s="1"/>
  <c r="B90" i="1" l="1"/>
  <c r="G90" i="1" l="1"/>
  <c r="H90" i="1" s="1"/>
  <c r="D90" i="1"/>
  <c r="E90" i="1" s="1"/>
  <c r="B91" i="1" l="1"/>
  <c r="D91" i="1" l="1"/>
  <c r="E91" i="1" s="1"/>
  <c r="G91" i="1"/>
  <c r="H91" i="1" s="1"/>
  <c r="B92" i="1" l="1"/>
  <c r="G92" i="1" l="1"/>
  <c r="H92" i="1" s="1"/>
  <c r="D92" i="1"/>
  <c r="E92" i="1" s="1"/>
  <c r="B93" i="1" l="1"/>
  <c r="D93" i="1" l="1"/>
  <c r="E93" i="1" s="1"/>
  <c r="G93" i="1"/>
  <c r="H93" i="1" s="1"/>
  <c r="B94" i="1" l="1"/>
  <c r="G94" i="1" l="1"/>
  <c r="H94" i="1" s="1"/>
  <c r="D94" i="1"/>
  <c r="E94" i="1" s="1"/>
  <c r="B95" i="1" l="1"/>
  <c r="D95" i="1" l="1"/>
  <c r="E95" i="1" s="1"/>
  <c r="G95" i="1"/>
  <c r="H95" i="1" s="1"/>
  <c r="B96" i="1" l="1"/>
  <c r="G96" i="1" l="1"/>
  <c r="H96" i="1" s="1"/>
  <c r="D96" i="1"/>
  <c r="E96" i="1" s="1"/>
  <c r="B97" i="1" l="1"/>
  <c r="D97" i="1" l="1"/>
  <c r="E97" i="1" s="1"/>
  <c r="G97" i="1"/>
  <c r="H97" i="1" s="1"/>
  <c r="B98" i="1" l="1"/>
  <c r="G98" i="1" l="1"/>
  <c r="H98" i="1" s="1"/>
  <c r="D98" i="1"/>
  <c r="E98" i="1" s="1"/>
  <c r="B99" i="1" l="1"/>
  <c r="D99" i="1" l="1"/>
  <c r="E99" i="1" s="1"/>
  <c r="G99" i="1"/>
  <c r="H99" i="1" s="1"/>
  <c r="B100" i="1" l="1"/>
  <c r="G100" i="1" l="1"/>
  <c r="H100" i="1" s="1"/>
  <c r="D100" i="1"/>
  <c r="E100" i="1" s="1"/>
  <c r="B101" i="1" l="1"/>
  <c r="D101" i="1" l="1"/>
  <c r="E101" i="1" s="1"/>
  <c r="G101" i="1"/>
  <c r="H101" i="1" s="1"/>
  <c r="B102" i="1" l="1"/>
  <c r="G102" i="1" l="1"/>
  <c r="H102" i="1" s="1"/>
  <c r="D102" i="1"/>
  <c r="E102" i="1" s="1"/>
  <c r="B103" i="1" l="1"/>
  <c r="D103" i="1" l="1"/>
  <c r="E103" i="1" s="1"/>
  <c r="G103" i="1"/>
  <c r="H103" i="1" s="1"/>
  <c r="B104" i="1" l="1"/>
  <c r="G104" i="1" l="1"/>
  <c r="H104" i="1" s="1"/>
  <c r="D104" i="1"/>
  <c r="E104" i="1" s="1"/>
  <c r="B105" i="1" l="1"/>
  <c r="D105" i="1" l="1"/>
  <c r="E105" i="1" s="1"/>
  <c r="G105" i="1"/>
  <c r="H105" i="1" s="1"/>
  <c r="B106" i="1" l="1"/>
  <c r="G106" i="1" l="1"/>
  <c r="H106" i="1" s="1"/>
  <c r="D106" i="1"/>
  <c r="E106" i="1" s="1"/>
  <c r="B107" i="1" l="1"/>
  <c r="D107" i="1" l="1"/>
  <c r="E107" i="1" s="1"/>
  <c r="G107" i="1"/>
  <c r="H107" i="1" s="1"/>
  <c r="B108" i="1" l="1"/>
  <c r="G108" i="1" l="1"/>
  <c r="H108" i="1" s="1"/>
  <c r="D108" i="1"/>
  <c r="E108" i="1" s="1"/>
  <c r="B109" i="1" l="1"/>
  <c r="G109" i="1" l="1"/>
  <c r="H109" i="1" s="1"/>
  <c r="D109" i="1"/>
  <c r="E109" i="1" s="1"/>
  <c r="B110" i="1" l="1"/>
  <c r="D110" i="1" l="1"/>
  <c r="E110" i="1" s="1"/>
  <c r="G110" i="1"/>
  <c r="H110" i="1" s="1"/>
  <c r="B111" i="1" l="1"/>
  <c r="G111" i="1" l="1"/>
  <c r="H111" i="1" s="1"/>
  <c r="D111" i="1"/>
  <c r="E111" i="1" s="1"/>
  <c r="B112" i="1" l="1"/>
  <c r="D112" i="1" l="1"/>
  <c r="E112" i="1" s="1"/>
  <c r="G112" i="1"/>
  <c r="H112" i="1" s="1"/>
  <c r="B113" i="1" l="1"/>
  <c r="G113" i="1" l="1"/>
  <c r="H113" i="1" s="1"/>
  <c r="D113" i="1"/>
  <c r="E113" i="1" s="1"/>
  <c r="B114" i="1" l="1"/>
  <c r="D114" i="1" l="1"/>
  <c r="E114" i="1" s="1"/>
  <c r="G114" i="1"/>
  <c r="H114" i="1" s="1"/>
  <c r="B115" i="1" l="1"/>
  <c r="G115" i="1" l="1"/>
  <c r="H115" i="1" s="1"/>
  <c r="D115" i="1"/>
  <c r="E115" i="1" s="1"/>
  <c r="B116" i="1" l="1"/>
  <c r="D116" i="1" l="1"/>
  <c r="E116" i="1" s="1"/>
  <c r="G116" i="1"/>
  <c r="H116" i="1" s="1"/>
  <c r="B117" i="1" l="1"/>
  <c r="G117" i="1" l="1"/>
  <c r="H117" i="1" s="1"/>
  <c r="D117" i="1"/>
  <c r="E117" i="1" s="1"/>
  <c r="B118" i="1" l="1"/>
  <c r="D118" i="1" l="1"/>
  <c r="E118" i="1" s="1"/>
  <c r="G118" i="1"/>
  <c r="H118" i="1" s="1"/>
  <c r="B119" i="1" l="1"/>
  <c r="G119" i="1" l="1"/>
  <c r="H119" i="1" s="1"/>
  <c r="D119" i="1"/>
  <c r="E119" i="1" s="1"/>
  <c r="B120" i="1" l="1"/>
  <c r="D120" i="1" l="1"/>
  <c r="E120" i="1" s="1"/>
  <c r="G120" i="1"/>
  <c r="H120" i="1" s="1"/>
  <c r="B121" i="1" l="1"/>
  <c r="G121" i="1" l="1"/>
  <c r="H121" i="1" s="1"/>
  <c r="D121" i="1"/>
  <c r="E121" i="1" s="1"/>
  <c r="B122" i="1" l="1"/>
  <c r="D122" i="1" l="1"/>
  <c r="E122" i="1" s="1"/>
  <c r="G122" i="1"/>
  <c r="H122" i="1" s="1"/>
  <c r="B123" i="1" l="1"/>
  <c r="G123" i="1" l="1"/>
  <c r="H123" i="1" s="1"/>
  <c r="D123" i="1"/>
  <c r="E123" i="1" s="1"/>
  <c r="B124" i="1" l="1"/>
  <c r="D124" i="1" l="1"/>
  <c r="E124" i="1" s="1"/>
  <c r="G124" i="1"/>
  <c r="H124" i="1" s="1"/>
  <c r="B125" i="1" l="1"/>
  <c r="G125" i="1" l="1"/>
  <c r="H125" i="1" s="1"/>
  <c r="D125" i="1"/>
  <c r="E125" i="1" s="1"/>
  <c r="B126" i="1" l="1"/>
  <c r="D126" i="1" l="1"/>
  <c r="E126" i="1" s="1"/>
  <c r="G126" i="1"/>
  <c r="H126" i="1" s="1"/>
  <c r="B127" i="1" l="1"/>
  <c r="G127" i="1" l="1"/>
  <c r="H127" i="1" s="1"/>
  <c r="D127" i="1"/>
  <c r="E127" i="1" s="1"/>
  <c r="B128" i="1" l="1"/>
  <c r="D128" i="1" l="1"/>
  <c r="E128" i="1" s="1"/>
  <c r="G128" i="1"/>
  <c r="H128" i="1" s="1"/>
  <c r="B129" i="1" l="1"/>
  <c r="G129" i="1" l="1"/>
  <c r="H129" i="1" s="1"/>
  <c r="D129" i="1"/>
  <c r="E129" i="1" s="1"/>
  <c r="B130" i="1" l="1"/>
  <c r="D130" i="1" l="1"/>
  <c r="E130" i="1" s="1"/>
  <c r="G130" i="1"/>
  <c r="H130" i="1" s="1"/>
  <c r="B131" i="1" l="1"/>
  <c r="G131" i="1" l="1"/>
  <c r="H131" i="1" s="1"/>
  <c r="D131" i="1"/>
  <c r="E131" i="1" s="1"/>
  <c r="B132" i="1" l="1"/>
  <c r="D132" i="1" l="1"/>
  <c r="E132" i="1" s="1"/>
  <c r="G132" i="1"/>
  <c r="H132" i="1" s="1"/>
  <c r="B133" i="1" l="1"/>
  <c r="G133" i="1" l="1"/>
  <c r="H133" i="1" s="1"/>
  <c r="D133" i="1"/>
  <c r="E133" i="1" s="1"/>
  <c r="B134" i="1" l="1"/>
  <c r="D134" i="1" l="1"/>
  <c r="E134" i="1" s="1"/>
  <c r="G134" i="1"/>
  <c r="H134" i="1" s="1"/>
  <c r="B135" i="1" l="1"/>
  <c r="G135" i="1" l="1"/>
  <c r="H135" i="1" s="1"/>
  <c r="D135" i="1"/>
  <c r="E135" i="1" s="1"/>
  <c r="B136" i="1" l="1"/>
  <c r="D136" i="1" l="1"/>
  <c r="E136" i="1" s="1"/>
  <c r="G136" i="1"/>
  <c r="H136" i="1" s="1"/>
  <c r="B137" i="1" l="1"/>
  <c r="G137" i="1" l="1"/>
  <c r="H137" i="1" s="1"/>
  <c r="D137" i="1"/>
  <c r="E137" i="1" s="1"/>
  <c r="B138" i="1" l="1"/>
  <c r="D138" i="1" l="1"/>
  <c r="E138" i="1" s="1"/>
  <c r="G138" i="1"/>
  <c r="H138" i="1" s="1"/>
  <c r="B139" i="1" l="1"/>
  <c r="G139" i="1" l="1"/>
  <c r="H139" i="1" s="1"/>
  <c r="D139" i="1"/>
  <c r="E139" i="1" s="1"/>
  <c r="B140" i="1" l="1"/>
  <c r="D140" i="1" l="1"/>
  <c r="E140" i="1" s="1"/>
  <c r="G140" i="1"/>
  <c r="H140" i="1" s="1"/>
  <c r="B141" i="1" l="1"/>
  <c r="G141" i="1" l="1"/>
  <c r="H141" i="1" s="1"/>
  <c r="D141" i="1"/>
  <c r="E141" i="1" s="1"/>
  <c r="B142" i="1" l="1"/>
  <c r="D142" i="1" l="1"/>
  <c r="E142" i="1" s="1"/>
  <c r="G142" i="1"/>
  <c r="H142" i="1" s="1"/>
  <c r="B143" i="1" l="1"/>
  <c r="G143" i="1" l="1"/>
  <c r="H143" i="1" s="1"/>
  <c r="D143" i="1"/>
  <c r="E143" i="1" s="1"/>
  <c r="B144" i="1" l="1"/>
  <c r="D144" i="1" l="1"/>
  <c r="E144" i="1" s="1"/>
  <c r="G144" i="1"/>
  <c r="H144" i="1" s="1"/>
  <c r="H6" i="4" s="1"/>
  <c r="B145" i="1" l="1"/>
  <c r="G145" i="1" l="1"/>
  <c r="H145" i="1" s="1"/>
  <c r="D145" i="1"/>
  <c r="E145" i="1" s="1"/>
  <c r="B146" i="1" l="1"/>
  <c r="D146" i="1" l="1"/>
  <c r="E146" i="1" s="1"/>
  <c r="G146" i="1"/>
  <c r="H146" i="1" s="1"/>
  <c r="B147" i="1" l="1"/>
  <c r="G147" i="1" l="1"/>
  <c r="H147" i="1" s="1"/>
  <c r="D147" i="1"/>
  <c r="E147" i="1" s="1"/>
  <c r="B148" i="1" l="1"/>
  <c r="D148" i="1" l="1"/>
  <c r="E148" i="1" s="1"/>
  <c r="G148" i="1"/>
  <c r="H148" i="1" s="1"/>
  <c r="B149" i="1" l="1"/>
  <c r="G149" i="1" l="1"/>
  <c r="H149" i="1" s="1"/>
  <c r="D149" i="1"/>
  <c r="E149" i="1" s="1"/>
  <c r="B150" i="1" l="1"/>
  <c r="D150" i="1" l="1"/>
  <c r="E150" i="1" s="1"/>
  <c r="G150" i="1"/>
  <c r="H150" i="1" s="1"/>
  <c r="B151" i="1" l="1"/>
  <c r="G151" i="1" l="1"/>
  <c r="H151" i="1" s="1"/>
  <c r="D151" i="1"/>
  <c r="E151" i="1" s="1"/>
  <c r="B152" i="1" l="1"/>
  <c r="D152" i="1" l="1"/>
  <c r="E152" i="1" s="1"/>
  <c r="G152" i="1"/>
  <c r="H152" i="1" s="1"/>
  <c r="B153" i="1" l="1"/>
  <c r="G153" i="1" l="1"/>
  <c r="H153" i="1" s="1"/>
  <c r="D153" i="1"/>
  <c r="E153" i="1" s="1"/>
  <c r="B154" i="1" l="1"/>
  <c r="D154" i="1" l="1"/>
  <c r="E154" i="1" s="1"/>
  <c r="G154" i="1"/>
  <c r="H154" i="1" s="1"/>
  <c r="B155" i="1" l="1"/>
  <c r="G155" i="1" l="1"/>
  <c r="H155" i="1" s="1"/>
  <c r="D155" i="1"/>
  <c r="E155" i="1" s="1"/>
  <c r="B156" i="1" l="1"/>
  <c r="D156" i="1" l="1"/>
  <c r="E156" i="1" s="1"/>
  <c r="G156" i="1"/>
  <c r="H156" i="1" s="1"/>
  <c r="B157" i="1" l="1"/>
  <c r="G157" i="1" l="1"/>
  <c r="H157" i="1" s="1"/>
  <c r="D157" i="1"/>
  <c r="E157" i="1" s="1"/>
  <c r="B158" i="1" l="1"/>
  <c r="D158" i="1" l="1"/>
  <c r="E158" i="1" s="1"/>
  <c r="G158" i="1"/>
  <c r="H158" i="1" s="1"/>
  <c r="B159" i="1" l="1"/>
  <c r="G159" i="1" l="1"/>
  <c r="H159" i="1" s="1"/>
  <c r="D159" i="1"/>
  <c r="E159" i="1" s="1"/>
  <c r="B160" i="1" l="1"/>
  <c r="D160" i="1" l="1"/>
  <c r="E160" i="1" s="1"/>
  <c r="G160" i="1"/>
  <c r="H160" i="1" s="1"/>
  <c r="B161" i="1" l="1"/>
  <c r="G161" i="1" l="1"/>
  <c r="H161" i="1" s="1"/>
  <c r="D161" i="1"/>
  <c r="E161" i="1" s="1"/>
  <c r="B162" i="1" l="1"/>
  <c r="D162" i="1" l="1"/>
  <c r="E162" i="1" s="1"/>
  <c r="G162" i="1"/>
  <c r="H162" i="1" s="1"/>
  <c r="B163" i="1" l="1"/>
  <c r="G163" i="1" l="1"/>
  <c r="H163" i="1" s="1"/>
  <c r="D163" i="1"/>
  <c r="E163" i="1" s="1"/>
  <c r="B164" i="1" l="1"/>
  <c r="D164" i="1" l="1"/>
  <c r="E164" i="1" s="1"/>
  <c r="G164" i="1"/>
  <c r="H164" i="1" s="1"/>
  <c r="B165" i="1" l="1"/>
  <c r="G165" i="1" l="1"/>
  <c r="H165" i="1" s="1"/>
  <c r="D165" i="1"/>
  <c r="E165" i="1" s="1"/>
  <c r="B166" i="1" l="1"/>
  <c r="D166" i="1" l="1"/>
  <c r="E166" i="1" s="1"/>
  <c r="G166" i="1"/>
  <c r="H166" i="1" s="1"/>
  <c r="B167" i="1" l="1"/>
  <c r="G167" i="1" l="1"/>
  <c r="H167" i="1" s="1"/>
  <c r="D167" i="1"/>
  <c r="E167" i="1" s="1"/>
  <c r="B168" i="1" l="1"/>
  <c r="D168" i="1" l="1"/>
  <c r="E168" i="1" s="1"/>
  <c r="G168" i="1"/>
  <c r="H168" i="1" s="1"/>
  <c r="B169" i="1" l="1"/>
  <c r="G169" i="1" l="1"/>
  <c r="H169" i="1" s="1"/>
  <c r="D169" i="1"/>
  <c r="E169" i="1" s="1"/>
  <c r="B170" i="1" l="1"/>
  <c r="D170" i="1" l="1"/>
  <c r="E170" i="1" s="1"/>
  <c r="G170" i="1"/>
  <c r="H170" i="1" s="1"/>
  <c r="B171" i="1" l="1"/>
  <c r="G171" i="1" l="1"/>
  <c r="H171" i="1" s="1"/>
  <c r="D171" i="1"/>
  <c r="E171" i="1" s="1"/>
  <c r="B172" i="1" l="1"/>
  <c r="D172" i="1" l="1"/>
  <c r="G172" i="1"/>
  <c r="H172" i="1" s="1"/>
  <c r="E172" i="1" l="1"/>
  <c r="D7" i="4"/>
  <c r="B173" i="1"/>
  <c r="G173" i="1" l="1"/>
  <c r="H173" i="1" s="1"/>
  <c r="D173" i="1"/>
  <c r="E173" i="1" s="1"/>
  <c r="B174" i="1" l="1"/>
  <c r="D174" i="1" l="1"/>
  <c r="E174" i="1" s="1"/>
  <c r="G174" i="1"/>
  <c r="H174" i="1" s="1"/>
  <c r="B175" i="1" l="1"/>
  <c r="G175" i="1" l="1"/>
  <c r="H175" i="1" s="1"/>
  <c r="D175" i="1"/>
  <c r="E175" i="1" s="1"/>
  <c r="B176" i="1" l="1"/>
  <c r="D176" i="1" l="1"/>
  <c r="E176" i="1" s="1"/>
  <c r="G176" i="1"/>
  <c r="H176" i="1" s="1"/>
  <c r="B177" i="1" l="1"/>
  <c r="G177" i="1" l="1"/>
  <c r="H177" i="1" s="1"/>
  <c r="D177" i="1"/>
  <c r="E177" i="1" s="1"/>
  <c r="B178" i="1" l="1"/>
  <c r="D178" i="1" l="1"/>
  <c r="E178" i="1" s="1"/>
  <c r="G178" i="1"/>
  <c r="H178" i="1" s="1"/>
  <c r="B179" i="1" l="1"/>
  <c r="G179" i="1" l="1"/>
  <c r="H179" i="1" s="1"/>
  <c r="D179" i="1"/>
  <c r="E179" i="1" s="1"/>
  <c r="B180" i="1" l="1"/>
  <c r="D180" i="1" l="1"/>
  <c r="E180" i="1" s="1"/>
  <c r="G180" i="1"/>
  <c r="H180" i="1" s="1"/>
  <c r="B181" i="1" l="1"/>
  <c r="G181" i="1" l="1"/>
  <c r="H181" i="1" s="1"/>
  <c r="D181" i="1"/>
  <c r="E181" i="1" s="1"/>
  <c r="B182" i="1" l="1"/>
  <c r="D182" i="1" l="1"/>
  <c r="E182" i="1" s="1"/>
  <c r="G182" i="1"/>
  <c r="H182" i="1" s="1"/>
  <c r="B183" i="1" l="1"/>
  <c r="G183" i="1" l="1"/>
  <c r="H183" i="1" s="1"/>
  <c r="D183" i="1"/>
  <c r="E183" i="1" s="1"/>
  <c r="B184" i="1" l="1"/>
  <c r="D184" i="1" l="1"/>
  <c r="E184" i="1" s="1"/>
  <c r="G184" i="1"/>
  <c r="H184" i="1" s="1"/>
  <c r="B185" i="1" l="1"/>
  <c r="G185" i="1" l="1"/>
  <c r="H185" i="1" s="1"/>
  <c r="D185" i="1"/>
  <c r="E185" i="1" s="1"/>
  <c r="B186" i="1" l="1"/>
  <c r="D186" i="1" l="1"/>
  <c r="E186" i="1" s="1"/>
  <c r="G186" i="1"/>
  <c r="H186" i="1" s="1"/>
  <c r="B187" i="1" l="1"/>
  <c r="G187" i="1" l="1"/>
  <c r="H187" i="1" s="1"/>
  <c r="D187" i="1"/>
  <c r="E187" i="1" s="1"/>
  <c r="B188" i="1" l="1"/>
  <c r="D188" i="1" l="1"/>
  <c r="E188" i="1" s="1"/>
  <c r="G188" i="1"/>
  <c r="H188" i="1" s="1"/>
  <c r="B189" i="1" l="1"/>
  <c r="G189" i="1" l="1"/>
  <c r="H189" i="1" s="1"/>
  <c r="D189" i="1"/>
  <c r="E189" i="1" s="1"/>
  <c r="B190" i="1" l="1"/>
  <c r="D190" i="1" l="1"/>
  <c r="E190" i="1" s="1"/>
  <c r="G190" i="1"/>
  <c r="H190" i="1" s="1"/>
  <c r="B191" i="1" l="1"/>
  <c r="G191" i="1" l="1"/>
  <c r="H191" i="1" s="1"/>
  <c r="D191" i="1"/>
  <c r="E191" i="1" s="1"/>
  <c r="B192" i="1" l="1"/>
  <c r="D192" i="1" l="1"/>
  <c r="E192" i="1" s="1"/>
  <c r="G192" i="1"/>
  <c r="H192" i="1" s="1"/>
  <c r="B193" i="1" l="1"/>
  <c r="G193" i="1" l="1"/>
  <c r="H193" i="1" s="1"/>
  <c r="D193" i="1"/>
  <c r="E193" i="1" s="1"/>
  <c r="B194" i="1" l="1"/>
  <c r="D194" i="1" l="1"/>
  <c r="E194" i="1" s="1"/>
  <c r="G194" i="1"/>
  <c r="H194" i="1" s="1"/>
  <c r="B195" i="1" l="1"/>
  <c r="G195" i="1" l="1"/>
  <c r="H195" i="1" s="1"/>
  <c r="D195" i="1"/>
  <c r="E195" i="1" s="1"/>
  <c r="B196" i="1" l="1"/>
  <c r="D196" i="1" l="1"/>
  <c r="E196" i="1" s="1"/>
  <c r="G196" i="1"/>
  <c r="H196" i="1" s="1"/>
  <c r="B197" i="1" l="1"/>
  <c r="G197" i="1" l="1"/>
  <c r="H197" i="1" s="1"/>
  <c r="D197" i="1"/>
  <c r="E197" i="1" s="1"/>
  <c r="B198" i="1" l="1"/>
  <c r="D198" i="1" l="1"/>
  <c r="E198" i="1" s="1"/>
  <c r="G198" i="1"/>
  <c r="H198" i="1" s="1"/>
  <c r="B199" i="1" l="1"/>
  <c r="G199" i="1" l="1"/>
  <c r="H199" i="1" s="1"/>
  <c r="D199" i="1"/>
  <c r="E199" i="1" s="1"/>
  <c r="B200" i="1" l="1"/>
  <c r="D200" i="1" l="1"/>
  <c r="E200" i="1" s="1"/>
  <c r="G200" i="1"/>
  <c r="H200" i="1" s="1"/>
  <c r="B201" i="1" l="1"/>
  <c r="G201" i="1" l="1"/>
  <c r="H201" i="1" s="1"/>
  <c r="D201" i="1"/>
  <c r="E201" i="1" s="1"/>
  <c r="B202" i="1" l="1"/>
  <c r="D202" i="1" l="1"/>
  <c r="E202" i="1" s="1"/>
  <c r="G202" i="1"/>
  <c r="H202" i="1" s="1"/>
  <c r="B203" i="1" l="1"/>
  <c r="G203" i="1" l="1"/>
  <c r="H203" i="1" s="1"/>
  <c r="D203" i="1"/>
  <c r="E203" i="1" s="1"/>
  <c r="B204" i="1" l="1"/>
  <c r="D204" i="1" l="1"/>
  <c r="E204" i="1" s="1"/>
  <c r="G204" i="1"/>
  <c r="H204" i="1" s="1"/>
  <c r="B205" i="1" l="1"/>
  <c r="G205" i="1" l="1"/>
  <c r="H205" i="1" s="1"/>
  <c r="D205" i="1"/>
  <c r="E205" i="1" s="1"/>
</calcChain>
</file>

<file path=xl/sharedStrings.xml><?xml version="1.0" encoding="utf-8"?>
<sst xmlns="http://schemas.openxmlformats.org/spreadsheetml/2006/main" count="12" uniqueCount="12">
  <si>
    <t>Time</t>
  </si>
  <si>
    <t>Town 1</t>
  </si>
  <si>
    <t>Supply, A</t>
  </si>
  <si>
    <t>Price, A</t>
  </si>
  <si>
    <t>A -&gt; B</t>
  </si>
  <si>
    <t>Reaction Rate, A</t>
  </si>
  <si>
    <t>Price, B</t>
  </si>
  <si>
    <t>Supply, B</t>
  </si>
  <si>
    <t>Rate</t>
  </si>
  <si>
    <t>Influx, A</t>
  </si>
  <si>
    <t>Outflux, B</t>
  </si>
  <si>
    <t>AAAAAH2n10M=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</si>
</sst>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Price, A</c:v>
                </c:pt>
              </c:strCache>
            </c:strRef>
          </c:tx>
          <c:marker>
            <c:symbol val="none"/>
          </c:marker>
          <c:cat>
            <c:numRef>
              <c:f>Sheet1!$A$5:$A$205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1.0100287491004256</c:v>
                </c:pt>
                <c:pt idx="2">
                  <c:v>1.0204364372072938</c:v>
                </c:pt>
                <c:pt idx="3">
                  <c:v>1.0310320286645394</c:v>
                </c:pt>
                <c:pt idx="4">
                  <c:v>1.0418228665870159</c:v>
                </c:pt>
                <c:pt idx="5">
                  <c:v>1.052843784192478</c:v>
                </c:pt>
                <c:pt idx="6">
                  <c:v>1.0641360334914391</c:v>
                </c:pt>
                <c:pt idx="7">
                  <c:v>1.0756329807636986</c:v>
                </c:pt>
                <c:pt idx="8">
                  <c:v>1.0874007066287088</c:v>
                </c:pt>
                <c:pt idx="9">
                  <c:v>1.0993927446422294</c:v>
                </c:pt>
                <c:pt idx="10">
                  <c:v>1.1116411713576608</c:v>
                </c:pt>
                <c:pt idx="11">
                  <c:v>1.1241400767135614</c:v>
                </c:pt>
                <c:pt idx="12">
                  <c:v>1.1370277421828856</c:v>
                </c:pt>
                <c:pt idx="13">
                  <c:v>1.1501280838293833</c:v>
                </c:pt>
                <c:pt idx="14">
                  <c:v>1.1635681706662842</c:v>
                </c:pt>
                <c:pt idx="15">
                  <c:v>1.1773162702298032</c:v>
                </c:pt>
                <c:pt idx="16">
                  <c:v>1.177319229966673</c:v>
                </c:pt>
                <c:pt idx="17">
                  <c:v>1.1914095218722667</c:v>
                </c:pt>
                <c:pt idx="18">
                  <c:v>1.2057890053630043</c:v>
                </c:pt>
                <c:pt idx="19">
                  <c:v>1.2205613839870402</c:v>
                </c:pt>
                <c:pt idx="20">
                  <c:v>1.2357272102438479</c:v>
                </c:pt>
                <c:pt idx="21">
                  <c:v>1.2511745517937982</c:v>
                </c:pt>
                <c:pt idx="22">
                  <c:v>1.2671351320855617</c:v>
                </c:pt>
                <c:pt idx="23">
                  <c:v>1.2834608820606992</c:v>
                </c:pt>
                <c:pt idx="24">
                  <c:v>1.3001802045472373</c:v>
                </c:pt>
                <c:pt idx="25">
                  <c:v>1.3173927564036898</c:v>
                </c:pt>
                <c:pt idx="26">
                  <c:v>1.3350677751327917</c:v>
                </c:pt>
                <c:pt idx="27">
                  <c:v>1.3531805443362901</c:v>
                </c:pt>
                <c:pt idx="28">
                  <c:v>1.3531925405321286</c:v>
                </c:pt>
                <c:pt idx="29">
                  <c:v>1.3532899637036084</c:v>
                </c:pt>
                <c:pt idx="30">
                  <c:v>1.3533185581559057</c:v>
                </c:pt>
                <c:pt idx="31">
                  <c:v>1.3533444341948775</c:v>
                </c:pt>
                <c:pt idx="32">
                  <c:v>1.3533829596297553</c:v>
                </c:pt>
                <c:pt idx="33">
                  <c:v>1.3534042510559341</c:v>
                </c:pt>
                <c:pt idx="34">
                  <c:v>1.3534841310296031</c:v>
                </c:pt>
                <c:pt idx="35">
                  <c:v>1.3535042687184222</c:v>
                </c:pt>
                <c:pt idx="36">
                  <c:v>1.3535567735079603</c:v>
                </c:pt>
                <c:pt idx="37">
                  <c:v>1.3722254825905804</c:v>
                </c:pt>
                <c:pt idx="38">
                  <c:v>1.3913099807290819</c:v>
                </c:pt>
                <c:pt idx="39">
                  <c:v>1.4109851733170762</c:v>
                </c:pt>
                <c:pt idx="40">
                  <c:v>1.4312619580853214</c:v>
                </c:pt>
                <c:pt idx="41">
                  <c:v>1.4520820842179898</c:v>
                </c:pt>
                <c:pt idx="42">
                  <c:v>1.4734469875303926</c:v>
                </c:pt>
                <c:pt idx="43">
                  <c:v>1.4955489733652256</c:v>
                </c:pt>
                <c:pt idx="44">
                  <c:v>1.5183590739041346</c:v>
                </c:pt>
                <c:pt idx="45">
                  <c:v>1.5418713588884811</c:v>
                </c:pt>
                <c:pt idx="46">
                  <c:v>1.5659757412853179</c:v>
                </c:pt>
                <c:pt idx="47">
                  <c:v>1.5909863577927661</c:v>
                </c:pt>
                <c:pt idx="48">
                  <c:v>1.6166591455180153</c:v>
                </c:pt>
                <c:pt idx="49">
                  <c:v>1.616789279552006</c:v>
                </c:pt>
                <c:pt idx="50">
                  <c:v>1.6169295137322199</c:v>
                </c:pt>
                <c:pt idx="51">
                  <c:v>0.98285779049474031</c:v>
                </c:pt>
                <c:pt idx="52">
                  <c:v>0.99259019590791731</c:v>
                </c:pt>
                <c:pt idx="53">
                  <c:v>1.0025929329650163</c:v>
                </c:pt>
                <c:pt idx="54">
                  <c:v>1.0127769784048015</c:v>
                </c:pt>
                <c:pt idx="55">
                  <c:v>1.0231998668217768</c:v>
                </c:pt>
                <c:pt idx="56">
                  <c:v>1.0338097597472538</c:v>
                </c:pt>
                <c:pt idx="57">
                  <c:v>1.044605228296787</c:v>
                </c:pt>
                <c:pt idx="58">
                  <c:v>1.0556800820621275</c:v>
                </c:pt>
                <c:pt idx="59">
                  <c:v>1.0669980933948542</c:v>
                </c:pt>
                <c:pt idx="60">
                  <c:v>1.0784957200542868</c:v>
                </c:pt>
                <c:pt idx="61">
                  <c:v>1.0902654467589517</c:v>
                </c:pt>
                <c:pt idx="62">
                  <c:v>1.1022600362744215</c:v>
                </c:pt>
                <c:pt idx="63">
                  <c:v>1.114511671919687</c:v>
                </c:pt>
                <c:pt idx="64">
                  <c:v>1.1271290153370488</c:v>
                </c:pt>
                <c:pt idx="65">
                  <c:v>1.1399901848901717</c:v>
                </c:pt>
                <c:pt idx="66">
                  <c:v>1.1531797443811205</c:v>
                </c:pt>
                <c:pt idx="67">
                  <c:v>1.1666044143672005</c:v>
                </c:pt>
                <c:pt idx="68">
                  <c:v>1.1804252738105265</c:v>
                </c:pt>
                <c:pt idx="69">
                  <c:v>1.1945299479732987</c:v>
                </c:pt>
                <c:pt idx="70">
                  <c:v>1.2089536373004233</c:v>
                </c:pt>
                <c:pt idx="71">
                  <c:v>1.2238093675363553</c:v>
                </c:pt>
                <c:pt idx="72">
                  <c:v>1.238953416282889</c:v>
                </c:pt>
                <c:pt idx="73">
                  <c:v>1.2544885569102378</c:v>
                </c:pt>
                <c:pt idx="74">
                  <c:v>1.2703804593759374</c:v>
                </c:pt>
                <c:pt idx="75">
                  <c:v>1.2866912139288171</c:v>
                </c:pt>
                <c:pt idx="76">
                  <c:v>1.3035172208893036</c:v>
                </c:pt>
                <c:pt idx="77">
                  <c:v>1.3206826079887526</c:v>
                </c:pt>
                <c:pt idx="78">
                  <c:v>1.3383142104913481</c:v>
                </c:pt>
                <c:pt idx="79">
                  <c:v>1.3564766614675778</c:v>
                </c:pt>
                <c:pt idx="80">
                  <c:v>0.88835036297615189</c:v>
                </c:pt>
                <c:pt idx="81">
                  <c:v>0.89631562805123277</c:v>
                </c:pt>
                <c:pt idx="82">
                  <c:v>0.90447357068332102</c:v>
                </c:pt>
                <c:pt idx="83">
                  <c:v>0.91270753340586097</c:v>
                </c:pt>
                <c:pt idx="84">
                  <c:v>0.92115906731182529</c:v>
                </c:pt>
                <c:pt idx="85">
                  <c:v>0.92974412199046952</c:v>
                </c:pt>
                <c:pt idx="86">
                  <c:v>0.93846185279803662</c:v>
                </c:pt>
                <c:pt idx="87">
                  <c:v>0.9473537656909351</c:v>
                </c:pt>
                <c:pt idx="88">
                  <c:v>0.95638062658258016</c:v>
                </c:pt>
                <c:pt idx="89">
                  <c:v>0.96566820940710907</c:v>
                </c:pt>
                <c:pt idx="90">
                  <c:v>0.97508927199737727</c:v>
                </c:pt>
                <c:pt idx="91">
                  <c:v>0.98469380183589017</c:v>
                </c:pt>
                <c:pt idx="92">
                  <c:v>0.99446860287493766</c:v>
                </c:pt>
                <c:pt idx="93">
                  <c:v>1.0044387879205714</c:v>
                </c:pt>
                <c:pt idx="94">
                  <c:v>1.0146157901565123</c:v>
                </c:pt>
                <c:pt idx="95">
                  <c:v>1.0250018538608763</c:v>
                </c:pt>
                <c:pt idx="96">
                  <c:v>1.0356643354292423</c:v>
                </c:pt>
                <c:pt idx="97">
                  <c:v>1.0464591029994039</c:v>
                </c:pt>
                <c:pt idx="98">
                  <c:v>1.0575361098887563</c:v>
                </c:pt>
                <c:pt idx="99">
                  <c:v>1.0688434746088258</c:v>
                </c:pt>
                <c:pt idx="100">
                  <c:v>1.0803864502530396</c:v>
                </c:pt>
                <c:pt idx="101">
                  <c:v>1.0921791871617603</c:v>
                </c:pt>
                <c:pt idx="102">
                  <c:v>1.1042166035108119</c:v>
                </c:pt>
                <c:pt idx="103">
                  <c:v>1.1165100907033494</c:v>
                </c:pt>
                <c:pt idx="104">
                  <c:v>1.129145923613512</c:v>
                </c:pt>
                <c:pt idx="105">
                  <c:v>1.1420637356128629</c:v>
                </c:pt>
                <c:pt idx="106">
                  <c:v>1.1552270807129066</c:v>
                </c:pt>
                <c:pt idx="107">
                  <c:v>1.1686677547285831</c:v>
                </c:pt>
                <c:pt idx="108">
                  <c:v>1.182475427335524</c:v>
                </c:pt>
                <c:pt idx="109">
                  <c:v>1.1965835017105877</c:v>
                </c:pt>
                <c:pt idx="110">
                  <c:v>1.2110443780180111</c:v>
                </c:pt>
                <c:pt idx="111">
                  <c:v>1.2258385715356293</c:v>
                </c:pt>
                <c:pt idx="112">
                  <c:v>1.2409829069941203</c:v>
                </c:pt>
                <c:pt idx="113">
                  <c:v>1.2566178005439212</c:v>
                </c:pt>
                <c:pt idx="114">
                  <c:v>1.2725307634360457</c:v>
                </c:pt>
                <c:pt idx="115">
                  <c:v>1.2889478895680482</c:v>
                </c:pt>
                <c:pt idx="116">
                  <c:v>1.3057479486492407</c:v>
                </c:pt>
                <c:pt idx="117">
                  <c:v>1.3230270310601542</c:v>
                </c:pt>
                <c:pt idx="118">
                  <c:v>1.3407909761902643</c:v>
                </c:pt>
                <c:pt idx="119">
                  <c:v>1.3589533979375039</c:v>
                </c:pt>
                <c:pt idx="120">
                  <c:v>1.3776926546611501</c:v>
                </c:pt>
                <c:pt idx="121">
                  <c:v>1.3968878300022183</c:v>
                </c:pt>
                <c:pt idx="122">
                  <c:v>1.4165861665769188</c:v>
                </c:pt>
                <c:pt idx="123">
                  <c:v>1.4368897599021668</c:v>
                </c:pt>
                <c:pt idx="124">
                  <c:v>1.4577894730834322</c:v>
                </c:pt>
                <c:pt idx="125">
                  <c:v>1.4792642798939393</c:v>
                </c:pt>
                <c:pt idx="126">
                  <c:v>1.5014238214973521</c:v>
                </c:pt>
                <c:pt idx="127">
                  <c:v>1.5242748220846791</c:v>
                </c:pt>
                <c:pt idx="128">
                  <c:v>1.5478181862825795</c:v>
                </c:pt>
                <c:pt idx="129">
                  <c:v>1.5720034336199158</c:v>
                </c:pt>
                <c:pt idx="130">
                  <c:v>1.5970673383589302</c:v>
                </c:pt>
                <c:pt idx="131">
                  <c:v>0.98649412831227357</c:v>
                </c:pt>
                <c:pt idx="132">
                  <c:v>0.99635967597764086</c:v>
                </c:pt>
                <c:pt idx="133">
                  <c:v>1.0064200575072204</c:v>
                </c:pt>
                <c:pt idx="134">
                  <c:v>1.0166639669232116</c:v>
                </c:pt>
                <c:pt idx="135">
                  <c:v>1.0271071279228436</c:v>
                </c:pt>
                <c:pt idx="136">
                  <c:v>1.0376995040753285</c:v>
                </c:pt>
                <c:pt idx="137">
                  <c:v>1.0485338588957884</c:v>
                </c:pt>
                <c:pt idx="138">
                  <c:v>1.0596204007877206</c:v>
                </c:pt>
                <c:pt idx="139">
                  <c:v>1.0708947732674561</c:v>
                </c:pt>
                <c:pt idx="140">
                  <c:v>1.082469283917791</c:v>
                </c:pt>
                <c:pt idx="141">
                  <c:v>1.0943132848475441</c:v>
                </c:pt>
                <c:pt idx="142">
                  <c:v>1.1063871480164373</c:v>
                </c:pt>
                <c:pt idx="143">
                  <c:v>1.1187794217591875</c:v>
                </c:pt>
                <c:pt idx="144">
                  <c:v>1.1314369686433456</c:v>
                </c:pt>
                <c:pt idx="145">
                  <c:v>1.1443324249862576</c:v>
                </c:pt>
                <c:pt idx="146">
                  <c:v>1.1575380737998773</c:v>
                </c:pt>
                <c:pt idx="147">
                  <c:v>1.1710322960808097</c:v>
                </c:pt>
                <c:pt idx="148">
                  <c:v>1.1848628398240644</c:v>
                </c:pt>
                <c:pt idx="149">
                  <c:v>1.1990623530242022</c:v>
                </c:pt>
                <c:pt idx="150">
                  <c:v>1.2135290719765359</c:v>
                </c:pt>
                <c:pt idx="151">
                  <c:v>1.2283633445723769</c:v>
                </c:pt>
                <c:pt idx="152">
                  <c:v>1.2435535086436988</c:v>
                </c:pt>
                <c:pt idx="153">
                  <c:v>1.2592075188715932</c:v>
                </c:pt>
                <c:pt idx="154">
                  <c:v>1.2751728369368998</c:v>
                </c:pt>
                <c:pt idx="155">
                  <c:v>1.2916400144687037</c:v>
                </c:pt>
                <c:pt idx="156">
                  <c:v>1.3085156401738931</c:v>
                </c:pt>
                <c:pt idx="157">
                  <c:v>1.3257977617980647</c:v>
                </c:pt>
                <c:pt idx="158">
                  <c:v>1.3435472304835334</c:v>
                </c:pt>
                <c:pt idx="159">
                  <c:v>1.3617592553043556</c:v>
                </c:pt>
                <c:pt idx="160">
                  <c:v>1.3804517707243149</c:v>
                </c:pt>
                <c:pt idx="161">
                  <c:v>1.399732139359313</c:v>
                </c:pt>
                <c:pt idx="162">
                  <c:v>1.4195372596981908</c:v>
                </c:pt>
                <c:pt idx="163">
                  <c:v>1.4398252799715914</c:v>
                </c:pt>
                <c:pt idx="164">
                  <c:v>1.4607184675499902</c:v>
                </c:pt>
                <c:pt idx="165">
                  <c:v>1.4823279700815961</c:v>
                </c:pt>
                <c:pt idx="166">
                  <c:v>1.5044785153798825</c:v>
                </c:pt>
                <c:pt idx="167">
                  <c:v>1.5273573468505524</c:v>
                </c:pt>
                <c:pt idx="168">
                  <c:v>1.5508860787659673</c:v>
                </c:pt>
                <c:pt idx="169">
                  <c:v>1.5752081645089875</c:v>
                </c:pt>
                <c:pt idx="170">
                  <c:v>1.600366378152366</c:v>
                </c:pt>
                <c:pt idx="171">
                  <c:v>0.98846896213030155</c:v>
                </c:pt>
                <c:pt idx="172">
                  <c:v>0.99831785597133504</c:v>
                </c:pt>
                <c:pt idx="173">
                  <c:v>1.0083590595431156</c:v>
                </c:pt>
                <c:pt idx="174">
                  <c:v>1.0185621701637797</c:v>
                </c:pt>
                <c:pt idx="175">
                  <c:v>1.0290463207556597</c:v>
                </c:pt>
                <c:pt idx="176">
                  <c:v>1.0397498080793972</c:v>
                </c:pt>
                <c:pt idx="177">
                  <c:v>1.0505948059862698</c:v>
                </c:pt>
                <c:pt idx="178">
                  <c:v>1.0617493524797719</c:v>
                </c:pt>
                <c:pt idx="179">
                  <c:v>1.0731455638672169</c:v>
                </c:pt>
                <c:pt idx="180">
                  <c:v>1.0847553214585679</c:v>
                </c:pt>
                <c:pt idx="181">
                  <c:v>1.0966384840644707</c:v>
                </c:pt>
                <c:pt idx="182">
                  <c:v>1.108738123684792</c:v>
                </c:pt>
                <c:pt idx="183">
                  <c:v>1.1211309770139872</c:v>
                </c:pt>
                <c:pt idx="184">
                  <c:v>1.1338175095198113</c:v>
                </c:pt>
                <c:pt idx="185">
                  <c:v>1.1467126150900002</c:v>
                </c:pt>
                <c:pt idx="186">
                  <c:v>1.1599172316929063</c:v>
                </c:pt>
                <c:pt idx="187">
                  <c:v>1.1734294952161093</c:v>
                </c:pt>
                <c:pt idx="188">
                  <c:v>1.1873490827667503</c:v>
                </c:pt>
                <c:pt idx="189">
                  <c:v>1.2015556540423526</c:v>
                </c:pt>
                <c:pt idx="190">
                  <c:v>1.2161237660424475</c:v>
                </c:pt>
                <c:pt idx="191">
                  <c:v>1.2310702198631138</c:v>
                </c:pt>
                <c:pt idx="192">
                  <c:v>1.2463169716362184</c:v>
                </c:pt>
                <c:pt idx="193">
                  <c:v>1.2619201527973214</c:v>
                </c:pt>
                <c:pt idx="194">
                  <c:v>1.2779579560664713</c:v>
                </c:pt>
                <c:pt idx="195">
                  <c:v>1.2944652397290763</c:v>
                </c:pt>
                <c:pt idx="196">
                  <c:v>1.3113325140399557</c:v>
                </c:pt>
                <c:pt idx="197">
                  <c:v>1.3286793498089233</c:v>
                </c:pt>
                <c:pt idx="198">
                  <c:v>1.3464190879748525</c:v>
                </c:pt>
                <c:pt idx="199">
                  <c:v>1.3646598944731396</c:v>
                </c:pt>
                <c:pt idx="200">
                  <c:v>1.3834179673176181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Sheet1!$H$4</c:f>
              <c:strCache>
                <c:ptCount val="1"/>
                <c:pt idx="0">
                  <c:v>Price, B</c:v>
                </c:pt>
              </c:strCache>
            </c:strRef>
          </c:tx>
          <c:marker>
            <c:symbol val="none"/>
          </c:marker>
          <c:cat>
            <c:numRef>
              <c:f>Sheet1!$A$5:$A$205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Sheet1!$H$5:$H$205</c:f>
              <c:numCache>
                <c:formatCode>General</c:formatCode>
                <c:ptCount val="201"/>
                <c:pt idx="0">
                  <c:v>1.5</c:v>
                </c:pt>
                <c:pt idx="1">
                  <c:v>1.4706141405313613</c:v>
                </c:pt>
                <c:pt idx="2">
                  <c:v>1.4423811692891035</c:v>
                </c:pt>
                <c:pt idx="3">
                  <c:v>1.4152178077903581</c:v>
                </c:pt>
                <c:pt idx="4">
                  <c:v>1.3890114670786569</c:v>
                </c:pt>
                <c:pt idx="5">
                  <c:v>1.3638707818398916</c:v>
                </c:pt>
                <c:pt idx="6">
                  <c:v>1.3395593251381819</c:v>
                </c:pt>
                <c:pt idx="7">
                  <c:v>1.3161299690755224</c:v>
                </c:pt>
                <c:pt idx="8">
                  <c:v>1.2935474546723915</c:v>
                </c:pt>
                <c:pt idx="9">
                  <c:v>1.2716796999711848</c:v>
                </c:pt>
                <c:pt idx="10">
                  <c:v>1.2505002892246202</c:v>
                </c:pt>
                <c:pt idx="11">
                  <c:v>1.23006777521886</c:v>
                </c:pt>
                <c:pt idx="12">
                  <c:v>1.2103386270975203</c:v>
                </c:pt>
                <c:pt idx="13">
                  <c:v>1.1911390479434385</c:v>
                </c:pt>
                <c:pt idx="14">
                  <c:v>1.1725493783222876</c:v>
                </c:pt>
                <c:pt idx="15">
                  <c:v>1.1545479820280049</c:v>
                </c:pt>
                <c:pt idx="16">
                  <c:v>1.6676925347716911</c:v>
                </c:pt>
                <c:pt idx="17">
                  <c:v>1.6314799714539521</c:v>
                </c:pt>
                <c:pt idx="18">
                  <c:v>1.5968092017183726</c:v>
                </c:pt>
                <c:pt idx="19">
                  <c:v>1.5636234642886151</c:v>
                </c:pt>
                <c:pt idx="20">
                  <c:v>1.5318300149176292</c:v>
                </c:pt>
                <c:pt idx="21">
                  <c:v>1.5012967311011951</c:v>
                </c:pt>
                <c:pt idx="22">
                  <c:v>1.4719838951118298</c:v>
                </c:pt>
                <c:pt idx="23">
                  <c:v>1.4437185099826377</c:v>
                </c:pt>
                <c:pt idx="24">
                  <c:v>1.4165074958446084</c:v>
                </c:pt>
                <c:pt idx="25">
                  <c:v>1.3903646983325144</c:v>
                </c:pt>
                <c:pt idx="26">
                  <c:v>1.3651135404595458</c:v>
                </c:pt>
                <c:pt idx="27">
                  <c:v>1.3408168259616564</c:v>
                </c:pt>
                <c:pt idx="28">
                  <c:v>1.3408544955283908</c:v>
                </c:pt>
                <c:pt idx="29">
                  <c:v>1.3409000386674568</c:v>
                </c:pt>
                <c:pt idx="30">
                  <c:v>1.34102940102983</c:v>
                </c:pt>
                <c:pt idx="31">
                  <c:v>1.3411532957525825</c:v>
                </c:pt>
                <c:pt idx="32">
                  <c:v>1.3412535578451381</c:v>
                </c:pt>
                <c:pt idx="33">
                  <c:v>1.3413873081977881</c:v>
                </c:pt>
                <c:pt idx="34">
                  <c:v>1.3413997444548378</c:v>
                </c:pt>
                <c:pt idx="35">
                  <c:v>1.3415169729773684</c:v>
                </c:pt>
                <c:pt idx="36">
                  <c:v>2.0869407534878532</c:v>
                </c:pt>
                <c:pt idx="37">
                  <c:v>2.0306423450881876</c:v>
                </c:pt>
                <c:pt idx="38">
                  <c:v>1.9772868099869445</c:v>
                </c:pt>
                <c:pt idx="39">
                  <c:v>1.926675854746928</c:v>
                </c:pt>
                <c:pt idx="40">
                  <c:v>1.8786034486282517</c:v>
                </c:pt>
                <c:pt idx="41">
                  <c:v>1.8328451982267722</c:v>
                </c:pt>
                <c:pt idx="42">
                  <c:v>1.7893482860091423</c:v>
                </c:pt>
                <c:pt idx="43">
                  <c:v>1.7478615196882155</c:v>
                </c:pt>
                <c:pt idx="44">
                  <c:v>1.708272472343062</c:v>
                </c:pt>
                <c:pt idx="45">
                  <c:v>1.6704686600229808</c:v>
                </c:pt>
                <c:pt idx="46">
                  <c:v>1.6342419523900849</c:v>
                </c:pt>
                <c:pt idx="47">
                  <c:v>1.5994775565926262</c:v>
                </c:pt>
                <c:pt idx="48">
                  <c:v>1.5662019655438246</c:v>
                </c:pt>
                <c:pt idx="49">
                  <c:v>1.566260858930228</c:v>
                </c:pt>
                <c:pt idx="50">
                  <c:v>1.566272775910716</c:v>
                </c:pt>
                <c:pt idx="51">
                  <c:v>1.5664116286193104</c:v>
                </c:pt>
                <c:pt idx="52">
                  <c:v>1.534533115917134</c:v>
                </c:pt>
                <c:pt idx="53">
                  <c:v>1.5039219744995349</c:v>
                </c:pt>
                <c:pt idx="54">
                  <c:v>1.474467374085584</c:v>
                </c:pt>
                <c:pt idx="55">
                  <c:v>1.4462431235460433</c:v>
                </c:pt>
                <c:pt idx="56">
                  <c:v>2.2789366130353246</c:v>
                </c:pt>
                <c:pt idx="57">
                  <c:v>2.2120984492360458</c:v>
                </c:pt>
                <c:pt idx="58">
                  <c:v>2.1489252830765135</c:v>
                </c:pt>
                <c:pt idx="59">
                  <c:v>2.0894098596376836</c:v>
                </c:pt>
                <c:pt idx="60">
                  <c:v>2.0329900435695887</c:v>
                </c:pt>
                <c:pt idx="61">
                  <c:v>1.9794973591886866</c:v>
                </c:pt>
                <c:pt idx="62">
                  <c:v>1.9287496514999964</c:v>
                </c:pt>
                <c:pt idx="63">
                  <c:v>1.8807160878514166</c:v>
                </c:pt>
                <c:pt idx="64">
                  <c:v>1.8348664129072167</c:v>
                </c:pt>
                <c:pt idx="65">
                  <c:v>1.7913494913752199</c:v>
                </c:pt>
                <c:pt idx="66">
                  <c:v>1.7497064372426625</c:v>
                </c:pt>
                <c:pt idx="67">
                  <c:v>1.7100074694959382</c:v>
                </c:pt>
                <c:pt idx="68">
                  <c:v>1.6720109859400838</c:v>
                </c:pt>
                <c:pt idx="69">
                  <c:v>1.6357575650670155</c:v>
                </c:pt>
                <c:pt idx="70">
                  <c:v>1.6010512900073568</c:v>
                </c:pt>
                <c:pt idx="71">
                  <c:v>1.567783182069912</c:v>
                </c:pt>
                <c:pt idx="72">
                  <c:v>1.5359314477705541</c:v>
                </c:pt>
                <c:pt idx="73">
                  <c:v>1.5053001796236376</c:v>
                </c:pt>
                <c:pt idx="74">
                  <c:v>1.4757975203014837</c:v>
                </c:pt>
                <c:pt idx="75">
                  <c:v>1.4474489518153686</c:v>
                </c:pt>
                <c:pt idx="76">
                  <c:v>2.2808726112231574</c:v>
                </c:pt>
                <c:pt idx="77">
                  <c:v>2.2138242140160576</c:v>
                </c:pt>
                <c:pt idx="78">
                  <c:v>2.1507547670147473</c:v>
                </c:pt>
                <c:pt idx="79">
                  <c:v>2.0911913629466836</c:v>
                </c:pt>
                <c:pt idx="80">
                  <c:v>2.0347870171517446</c:v>
                </c:pt>
                <c:pt idx="81">
                  <c:v>1.9813360823533512</c:v>
                </c:pt>
                <c:pt idx="82">
                  <c:v>1.9305791467244597</c:v>
                </c:pt>
                <c:pt idx="83">
                  <c:v>1.882316541986617</c:v>
                </c:pt>
                <c:pt idx="84">
                  <c:v>1.8365012428168079</c:v>
                </c:pt>
                <c:pt idx="85">
                  <c:v>1.7927839230347669</c:v>
                </c:pt>
                <c:pt idx="86">
                  <c:v>1.7511812234403339</c:v>
                </c:pt>
                <c:pt idx="87">
                  <c:v>1.7114972941124877</c:v>
                </c:pt>
                <c:pt idx="88">
                  <c:v>1.6735398876544405</c:v>
                </c:pt>
                <c:pt idx="89">
                  <c:v>1.637254523887651</c:v>
                </c:pt>
                <c:pt idx="90">
                  <c:v>1.6024745760365904</c:v>
                </c:pt>
                <c:pt idx="91">
                  <c:v>1.5691929220839089</c:v>
                </c:pt>
                <c:pt idx="92">
                  <c:v>1.5372652165037093</c:v>
                </c:pt>
                <c:pt idx="93">
                  <c:v>1.5065938739256852</c:v>
                </c:pt>
                <c:pt idx="94">
                  <c:v>1.4770826787605913</c:v>
                </c:pt>
                <c:pt idx="95">
                  <c:v>1.4487052369082702</c:v>
                </c:pt>
                <c:pt idx="96">
                  <c:v>2.2829394836742298</c:v>
                </c:pt>
                <c:pt idx="97">
                  <c:v>2.21592964114476</c:v>
                </c:pt>
                <c:pt idx="98">
                  <c:v>2.1528220758408465</c:v>
                </c:pt>
                <c:pt idx="99">
                  <c:v>2.0931357330238454</c:v>
                </c:pt>
                <c:pt idx="100">
                  <c:v>2.0366300461022151</c:v>
                </c:pt>
                <c:pt idx="101">
                  <c:v>1.9832250349306488</c:v>
                </c:pt>
                <c:pt idx="102">
                  <c:v>1.932389795487462</c:v>
                </c:pt>
                <c:pt idx="103">
                  <c:v>1.884106948587742</c:v>
                </c:pt>
                <c:pt idx="104">
                  <c:v>1.8381599898401686</c:v>
                </c:pt>
                <c:pt idx="105">
                  <c:v>1.7945302348167165</c:v>
                </c:pt>
                <c:pt idx="106">
                  <c:v>1.7528304520439213</c:v>
                </c:pt>
                <c:pt idx="107">
                  <c:v>1.7131599696798672</c:v>
                </c:pt>
                <c:pt idx="108">
                  <c:v>1.6752559769022228</c:v>
                </c:pt>
                <c:pt idx="109">
                  <c:v>1.6388869433062827</c:v>
                </c:pt>
                <c:pt idx="110">
                  <c:v>1.6041674378351407</c:v>
                </c:pt>
                <c:pt idx="111">
                  <c:v>1.5707917734981436</c:v>
                </c:pt>
                <c:pt idx="112">
                  <c:v>1.538782186060939</c:v>
                </c:pt>
                <c:pt idx="113">
                  <c:v>1.5080281605968511</c:v>
                </c:pt>
                <c:pt idx="114">
                  <c:v>1.4785096341179145</c:v>
                </c:pt>
                <c:pt idx="115">
                  <c:v>1.4502077785972145</c:v>
                </c:pt>
                <c:pt idx="116">
                  <c:v>2.2853357220436794</c:v>
                </c:pt>
                <c:pt idx="117">
                  <c:v>2.2181378253327453</c:v>
                </c:pt>
                <c:pt idx="118">
                  <c:v>2.1549411518798616</c:v>
                </c:pt>
                <c:pt idx="119">
                  <c:v>2.0952230395162839</c:v>
                </c:pt>
                <c:pt idx="120">
                  <c:v>2.0387986603582027</c:v>
                </c:pt>
                <c:pt idx="121">
                  <c:v>1.9852526808538584</c:v>
                </c:pt>
                <c:pt idx="122">
                  <c:v>1.9344160663022869</c:v>
                </c:pt>
                <c:pt idx="123">
                  <c:v>1.8862031615566119</c:v>
                </c:pt>
                <c:pt idx="124">
                  <c:v>1.840222401019888</c:v>
                </c:pt>
                <c:pt idx="125">
                  <c:v>1.796510349587813</c:v>
                </c:pt>
                <c:pt idx="126">
                  <c:v>1.7548826489158897</c:v>
                </c:pt>
                <c:pt idx="127">
                  <c:v>1.715090921817666</c:v>
                </c:pt>
                <c:pt idx="128">
                  <c:v>1.6770771422209987</c:v>
                </c:pt>
                <c:pt idx="129">
                  <c:v>1.640753089785765</c:v>
                </c:pt>
                <c:pt idx="130">
                  <c:v>1.6059239405918391</c:v>
                </c:pt>
                <c:pt idx="131">
                  <c:v>1.5725598445652962</c:v>
                </c:pt>
                <c:pt idx="132">
                  <c:v>1.5405503298637535</c:v>
                </c:pt>
                <c:pt idx="133">
                  <c:v>1.5098686464236497</c:v>
                </c:pt>
                <c:pt idx="134">
                  <c:v>1.4803211824490261</c:v>
                </c:pt>
                <c:pt idx="135">
                  <c:v>1.4519885189935104</c:v>
                </c:pt>
                <c:pt idx="136">
                  <c:v>2.2881413797749515</c:v>
                </c:pt>
                <c:pt idx="137">
                  <c:v>2.2208880394052177</c:v>
                </c:pt>
                <c:pt idx="138">
                  <c:v>2.1574932054547689</c:v>
                </c:pt>
                <c:pt idx="139">
                  <c:v>2.0975652179350219</c:v>
                </c:pt>
                <c:pt idx="140">
                  <c:v>2.0409938889617654</c:v>
                </c:pt>
                <c:pt idx="141">
                  <c:v>1.9874511883898813</c:v>
                </c:pt>
                <c:pt idx="142">
                  <c:v>1.93649357730862</c:v>
                </c:pt>
                <c:pt idx="143">
                  <c:v>1.8881662558368493</c:v>
                </c:pt>
                <c:pt idx="144">
                  <c:v>1.8422788397845351</c:v>
                </c:pt>
                <c:pt idx="145">
                  <c:v>1.7985326379553583</c:v>
                </c:pt>
                <c:pt idx="146">
                  <c:v>1.7567153435097218</c:v>
                </c:pt>
                <c:pt idx="147">
                  <c:v>1.7168707235047964</c:v>
                </c:pt>
                <c:pt idx="148">
                  <c:v>1.6788835361351333</c:v>
                </c:pt>
                <c:pt idx="149">
                  <c:v>1.6424079540568677</c:v>
                </c:pt>
                <c:pt idx="150">
                  <c:v>1.6075620450489085</c:v>
                </c:pt>
                <c:pt idx="151">
                  <c:v>1.5740735019987275</c:v>
                </c:pt>
                <c:pt idx="152">
                  <c:v>1.5420850236803452</c:v>
                </c:pt>
                <c:pt idx="153">
                  <c:v>1.5113049396626157</c:v>
                </c:pt>
                <c:pt idx="154">
                  <c:v>1.4816751246576412</c:v>
                </c:pt>
                <c:pt idx="155">
                  <c:v>1.4532063759003222</c:v>
                </c:pt>
                <c:pt idx="156">
                  <c:v>2.2900764290625992</c:v>
                </c:pt>
                <c:pt idx="157">
                  <c:v>2.2227230743692488</c:v>
                </c:pt>
                <c:pt idx="158">
                  <c:v>2.1594074186983034</c:v>
                </c:pt>
                <c:pt idx="159">
                  <c:v>2.0994554623708259</c:v>
                </c:pt>
                <c:pt idx="160">
                  <c:v>2.0428067810519814</c:v>
                </c:pt>
                <c:pt idx="161">
                  <c:v>1.9892100957219065</c:v>
                </c:pt>
                <c:pt idx="162">
                  <c:v>1.9382760914270185</c:v>
                </c:pt>
                <c:pt idx="163">
                  <c:v>1.8899634476894833</c:v>
                </c:pt>
                <c:pt idx="164">
                  <c:v>1.8440015362193813</c:v>
                </c:pt>
                <c:pt idx="165">
                  <c:v>1.8001800331192814</c:v>
                </c:pt>
                <c:pt idx="166">
                  <c:v>1.7583798726404238</c:v>
                </c:pt>
                <c:pt idx="167">
                  <c:v>1.71854722268036</c:v>
                </c:pt>
                <c:pt idx="168">
                  <c:v>1.6804485089215755</c:v>
                </c:pt>
                <c:pt idx="169">
                  <c:v>1.6439933589583278</c:v>
                </c:pt>
                <c:pt idx="170">
                  <c:v>1.6091647125019808</c:v>
                </c:pt>
                <c:pt idx="171">
                  <c:v>1.5757065015338607</c:v>
                </c:pt>
                <c:pt idx="172">
                  <c:v>1.5435493016874358</c:v>
                </c:pt>
                <c:pt idx="173">
                  <c:v>1.512827064010497</c:v>
                </c:pt>
                <c:pt idx="174">
                  <c:v>1.4832304324946137</c:v>
                </c:pt>
                <c:pt idx="175">
                  <c:v>1.4547119160873221</c:v>
                </c:pt>
                <c:pt idx="176">
                  <c:v>2.2923625729975003</c:v>
                </c:pt>
                <c:pt idx="177">
                  <c:v>2.2250962352999992</c:v>
                </c:pt>
                <c:pt idx="178">
                  <c:v>2.1616062359117962</c:v>
                </c:pt>
                <c:pt idx="179">
                  <c:v>2.1017605681924247</c:v>
                </c:pt>
                <c:pt idx="180">
                  <c:v>2.0451435264002447</c:v>
                </c:pt>
                <c:pt idx="181">
                  <c:v>1.9913645326231455</c:v>
                </c:pt>
                <c:pt idx="182">
                  <c:v>1.9403370113138385</c:v>
                </c:pt>
                <c:pt idx="183">
                  <c:v>1.8918467857657462</c:v>
                </c:pt>
                <c:pt idx="184">
                  <c:v>1.8457480439271889</c:v>
                </c:pt>
                <c:pt idx="185">
                  <c:v>1.8019226277471043</c:v>
                </c:pt>
                <c:pt idx="186">
                  <c:v>1.7601519389601195</c:v>
                </c:pt>
                <c:pt idx="187">
                  <c:v>1.7202399312630208</c:v>
                </c:pt>
                <c:pt idx="188">
                  <c:v>1.682140504715488</c:v>
                </c:pt>
                <c:pt idx="189">
                  <c:v>1.6457086453298442</c:v>
                </c:pt>
                <c:pt idx="190">
                  <c:v>1.6107370403995589</c:v>
                </c:pt>
                <c:pt idx="191">
                  <c:v>1.5772881660645666</c:v>
                </c:pt>
                <c:pt idx="192">
                  <c:v>1.5451878565070398</c:v>
                </c:pt>
                <c:pt idx="193">
                  <c:v>1.5143400082429199</c:v>
                </c:pt>
                <c:pt idx="194">
                  <c:v>1.4847405932476903</c:v>
                </c:pt>
                <c:pt idx="195">
                  <c:v>1.4562605070533496</c:v>
                </c:pt>
                <c:pt idx="196">
                  <c:v>2.2948271847942703</c:v>
                </c:pt>
                <c:pt idx="197">
                  <c:v>2.2273840303877095</c:v>
                </c:pt>
                <c:pt idx="198">
                  <c:v>2.1638624830351572</c:v>
                </c:pt>
                <c:pt idx="199">
                  <c:v>2.1037852481769366</c:v>
                </c:pt>
                <c:pt idx="200">
                  <c:v>2.0469482130762224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76928"/>
        <c:axId val="333678464"/>
      </c:lineChart>
      <c:catAx>
        <c:axId val="3336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3678464"/>
        <c:crosses val="autoZero"/>
        <c:auto val="1"/>
        <c:lblAlgn val="ctr"/>
        <c:lblOffset val="100"/>
        <c:noMultiLvlLbl val="0"/>
      </c:catAx>
      <c:valAx>
        <c:axId val="33367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67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Price, 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Sheet1!$D$5:$D$205</c:f>
              <c:numCache>
                <c:formatCode>General</c:formatCode>
                <c:ptCount val="201"/>
                <c:pt idx="0">
                  <c:v>10</c:v>
                </c:pt>
                <c:pt idx="1">
                  <c:v>9.9</c:v>
                </c:pt>
                <c:pt idx="2">
                  <c:v>9.8000000000000007</c:v>
                </c:pt>
                <c:pt idx="3">
                  <c:v>9.7000000000000011</c:v>
                </c:pt>
                <c:pt idx="4">
                  <c:v>9.6000000000000014</c:v>
                </c:pt>
                <c:pt idx="5">
                  <c:v>9.5000000000000018</c:v>
                </c:pt>
                <c:pt idx="6">
                  <c:v>9.4000000000000021</c:v>
                </c:pt>
                <c:pt idx="7">
                  <c:v>9.3000000000000025</c:v>
                </c:pt>
                <c:pt idx="8">
                  <c:v>9.2000000000000028</c:v>
                </c:pt>
                <c:pt idx="9">
                  <c:v>9.1000000000000032</c:v>
                </c:pt>
                <c:pt idx="10">
                  <c:v>9.0000000000000036</c:v>
                </c:pt>
                <c:pt idx="11">
                  <c:v>8.9000000000000039</c:v>
                </c:pt>
                <c:pt idx="12">
                  <c:v>8.8000000000000043</c:v>
                </c:pt>
                <c:pt idx="13">
                  <c:v>8.7000000000000046</c:v>
                </c:pt>
                <c:pt idx="14">
                  <c:v>8.600000000000005</c:v>
                </c:pt>
                <c:pt idx="15">
                  <c:v>8.5000000000000053</c:v>
                </c:pt>
                <c:pt idx="16">
                  <c:v>8.5000000000000053</c:v>
                </c:pt>
                <c:pt idx="17">
                  <c:v>8.4000000000000057</c:v>
                </c:pt>
                <c:pt idx="18">
                  <c:v>8.300000000000006</c:v>
                </c:pt>
                <c:pt idx="19">
                  <c:v>8.2000000000000064</c:v>
                </c:pt>
                <c:pt idx="20">
                  <c:v>8.1000000000000068</c:v>
                </c:pt>
                <c:pt idx="21">
                  <c:v>8.0000000000000071</c:v>
                </c:pt>
                <c:pt idx="22">
                  <c:v>7.9000000000000075</c:v>
                </c:pt>
                <c:pt idx="23">
                  <c:v>7.8000000000000078</c:v>
                </c:pt>
                <c:pt idx="24">
                  <c:v>7.7000000000000082</c:v>
                </c:pt>
                <c:pt idx="25">
                  <c:v>7.6000000000000085</c:v>
                </c:pt>
                <c:pt idx="26">
                  <c:v>7.5000000000000089</c:v>
                </c:pt>
                <c:pt idx="27">
                  <c:v>7.4000000000000092</c:v>
                </c:pt>
                <c:pt idx="28">
                  <c:v>7.4000000000000092</c:v>
                </c:pt>
                <c:pt idx="29">
                  <c:v>7.4000000000000092</c:v>
                </c:pt>
                <c:pt idx="30">
                  <c:v>7.4000000000000092</c:v>
                </c:pt>
                <c:pt idx="31">
                  <c:v>7.4000000000000092</c:v>
                </c:pt>
                <c:pt idx="32">
                  <c:v>7.4000000000000092</c:v>
                </c:pt>
                <c:pt idx="33">
                  <c:v>7.4000000000000092</c:v>
                </c:pt>
                <c:pt idx="34">
                  <c:v>7.4000000000000092</c:v>
                </c:pt>
                <c:pt idx="35">
                  <c:v>7.4000000000000092</c:v>
                </c:pt>
                <c:pt idx="36">
                  <c:v>7.4000000000000092</c:v>
                </c:pt>
                <c:pt idx="37">
                  <c:v>7.3000000000000096</c:v>
                </c:pt>
                <c:pt idx="38">
                  <c:v>7.2000000000000099</c:v>
                </c:pt>
                <c:pt idx="39">
                  <c:v>7.1000000000000103</c:v>
                </c:pt>
                <c:pt idx="40">
                  <c:v>7.0000000000000107</c:v>
                </c:pt>
                <c:pt idx="41">
                  <c:v>6.900000000000011</c:v>
                </c:pt>
                <c:pt idx="42">
                  <c:v>6.8000000000000114</c:v>
                </c:pt>
                <c:pt idx="43">
                  <c:v>6.7000000000000117</c:v>
                </c:pt>
                <c:pt idx="44">
                  <c:v>6.6000000000000121</c:v>
                </c:pt>
                <c:pt idx="45">
                  <c:v>6.5000000000000124</c:v>
                </c:pt>
                <c:pt idx="46">
                  <c:v>6.4000000000000128</c:v>
                </c:pt>
                <c:pt idx="47">
                  <c:v>6.3000000000000131</c:v>
                </c:pt>
                <c:pt idx="48">
                  <c:v>6.2000000000000135</c:v>
                </c:pt>
                <c:pt idx="49">
                  <c:v>6.2000000000000135</c:v>
                </c:pt>
                <c:pt idx="50">
                  <c:v>6.2000000000000135</c:v>
                </c:pt>
                <c:pt idx="51">
                  <c:v>10.200000000000014</c:v>
                </c:pt>
                <c:pt idx="52">
                  <c:v>10.100000000000014</c:v>
                </c:pt>
                <c:pt idx="53">
                  <c:v>10.000000000000014</c:v>
                </c:pt>
                <c:pt idx="54">
                  <c:v>9.9000000000000146</c:v>
                </c:pt>
                <c:pt idx="55">
                  <c:v>9.8000000000000149</c:v>
                </c:pt>
                <c:pt idx="56">
                  <c:v>9.7000000000000153</c:v>
                </c:pt>
                <c:pt idx="57">
                  <c:v>9.6000000000000156</c:v>
                </c:pt>
                <c:pt idx="58">
                  <c:v>9.500000000000016</c:v>
                </c:pt>
                <c:pt idx="59">
                  <c:v>9.4000000000000163</c:v>
                </c:pt>
                <c:pt idx="60">
                  <c:v>9.3000000000000167</c:v>
                </c:pt>
                <c:pt idx="61">
                  <c:v>9.2000000000000171</c:v>
                </c:pt>
                <c:pt idx="62">
                  <c:v>9.1000000000000174</c:v>
                </c:pt>
                <c:pt idx="63">
                  <c:v>9.0000000000000178</c:v>
                </c:pt>
                <c:pt idx="64">
                  <c:v>8.9000000000000181</c:v>
                </c:pt>
                <c:pt idx="65">
                  <c:v>8.8000000000000185</c:v>
                </c:pt>
                <c:pt idx="66">
                  <c:v>8.7000000000000188</c:v>
                </c:pt>
                <c:pt idx="67">
                  <c:v>8.6000000000000192</c:v>
                </c:pt>
                <c:pt idx="68">
                  <c:v>8.5000000000000195</c:v>
                </c:pt>
                <c:pt idx="69">
                  <c:v>8.4000000000000199</c:v>
                </c:pt>
                <c:pt idx="70">
                  <c:v>8.3000000000000203</c:v>
                </c:pt>
                <c:pt idx="71">
                  <c:v>8.2000000000000206</c:v>
                </c:pt>
                <c:pt idx="72">
                  <c:v>8.100000000000021</c:v>
                </c:pt>
                <c:pt idx="73">
                  <c:v>8.0000000000000213</c:v>
                </c:pt>
                <c:pt idx="74">
                  <c:v>7.9000000000000217</c:v>
                </c:pt>
                <c:pt idx="75">
                  <c:v>7.800000000000022</c:v>
                </c:pt>
                <c:pt idx="76">
                  <c:v>7.7000000000000224</c:v>
                </c:pt>
                <c:pt idx="77">
                  <c:v>7.6000000000000227</c:v>
                </c:pt>
                <c:pt idx="78">
                  <c:v>7.5000000000000231</c:v>
                </c:pt>
                <c:pt idx="79">
                  <c:v>7.4000000000000234</c:v>
                </c:pt>
                <c:pt idx="80">
                  <c:v>11.300000000000024</c:v>
                </c:pt>
                <c:pt idx="81">
                  <c:v>11.200000000000024</c:v>
                </c:pt>
                <c:pt idx="82">
                  <c:v>11.100000000000025</c:v>
                </c:pt>
                <c:pt idx="83">
                  <c:v>11.000000000000025</c:v>
                </c:pt>
                <c:pt idx="84">
                  <c:v>10.900000000000025</c:v>
                </c:pt>
                <c:pt idx="85">
                  <c:v>10.800000000000026</c:v>
                </c:pt>
                <c:pt idx="86">
                  <c:v>10.700000000000026</c:v>
                </c:pt>
                <c:pt idx="87">
                  <c:v>10.600000000000026</c:v>
                </c:pt>
                <c:pt idx="88">
                  <c:v>10.500000000000027</c:v>
                </c:pt>
                <c:pt idx="89">
                  <c:v>10.400000000000027</c:v>
                </c:pt>
                <c:pt idx="90">
                  <c:v>10.300000000000027</c:v>
                </c:pt>
                <c:pt idx="91">
                  <c:v>10.200000000000028</c:v>
                </c:pt>
                <c:pt idx="92">
                  <c:v>10.100000000000028</c:v>
                </c:pt>
                <c:pt idx="93">
                  <c:v>10.000000000000028</c:v>
                </c:pt>
                <c:pt idx="94">
                  <c:v>9.9000000000000288</c:v>
                </c:pt>
                <c:pt idx="95">
                  <c:v>9.8000000000000291</c:v>
                </c:pt>
                <c:pt idx="96">
                  <c:v>9.7000000000000295</c:v>
                </c:pt>
                <c:pt idx="97">
                  <c:v>9.6000000000000298</c:v>
                </c:pt>
                <c:pt idx="98">
                  <c:v>9.5000000000000302</c:v>
                </c:pt>
                <c:pt idx="99">
                  <c:v>9.4000000000000306</c:v>
                </c:pt>
                <c:pt idx="100">
                  <c:v>9.3000000000000309</c:v>
                </c:pt>
                <c:pt idx="101">
                  <c:v>9.2000000000000313</c:v>
                </c:pt>
                <c:pt idx="102">
                  <c:v>9.1000000000000316</c:v>
                </c:pt>
                <c:pt idx="103">
                  <c:v>9.000000000000032</c:v>
                </c:pt>
                <c:pt idx="104">
                  <c:v>8.9000000000000323</c:v>
                </c:pt>
                <c:pt idx="105">
                  <c:v>8.8000000000000327</c:v>
                </c:pt>
                <c:pt idx="106">
                  <c:v>8.700000000000033</c:v>
                </c:pt>
                <c:pt idx="107">
                  <c:v>8.6000000000000334</c:v>
                </c:pt>
                <c:pt idx="108">
                  <c:v>8.5000000000000338</c:v>
                </c:pt>
                <c:pt idx="109">
                  <c:v>8.4000000000000341</c:v>
                </c:pt>
                <c:pt idx="110">
                  <c:v>8.3000000000000345</c:v>
                </c:pt>
                <c:pt idx="111">
                  <c:v>8.2000000000000348</c:v>
                </c:pt>
                <c:pt idx="112">
                  <c:v>8.1000000000000352</c:v>
                </c:pt>
                <c:pt idx="113">
                  <c:v>8.0000000000000355</c:v>
                </c:pt>
                <c:pt idx="114">
                  <c:v>7.9000000000000359</c:v>
                </c:pt>
                <c:pt idx="115">
                  <c:v>7.8000000000000362</c:v>
                </c:pt>
                <c:pt idx="116">
                  <c:v>7.7000000000000366</c:v>
                </c:pt>
                <c:pt idx="117">
                  <c:v>7.6000000000000369</c:v>
                </c:pt>
                <c:pt idx="118">
                  <c:v>7.5000000000000373</c:v>
                </c:pt>
                <c:pt idx="119">
                  <c:v>7.4000000000000377</c:v>
                </c:pt>
                <c:pt idx="120">
                  <c:v>7.300000000000038</c:v>
                </c:pt>
                <c:pt idx="121">
                  <c:v>7.2000000000000384</c:v>
                </c:pt>
                <c:pt idx="122">
                  <c:v>7.1000000000000387</c:v>
                </c:pt>
                <c:pt idx="123">
                  <c:v>7.0000000000000391</c:v>
                </c:pt>
                <c:pt idx="124">
                  <c:v>6.9000000000000394</c:v>
                </c:pt>
                <c:pt idx="125">
                  <c:v>6.8000000000000398</c:v>
                </c:pt>
                <c:pt idx="126">
                  <c:v>6.7000000000000401</c:v>
                </c:pt>
                <c:pt idx="127">
                  <c:v>6.6000000000000405</c:v>
                </c:pt>
                <c:pt idx="128">
                  <c:v>6.5000000000000409</c:v>
                </c:pt>
                <c:pt idx="129">
                  <c:v>6.4000000000000412</c:v>
                </c:pt>
                <c:pt idx="130">
                  <c:v>6.3000000000000416</c:v>
                </c:pt>
                <c:pt idx="131">
                  <c:v>10.200000000000042</c:v>
                </c:pt>
                <c:pt idx="132">
                  <c:v>10.100000000000042</c:v>
                </c:pt>
                <c:pt idx="133">
                  <c:v>10.000000000000043</c:v>
                </c:pt>
                <c:pt idx="134">
                  <c:v>9.900000000000043</c:v>
                </c:pt>
                <c:pt idx="135">
                  <c:v>9.8000000000000433</c:v>
                </c:pt>
                <c:pt idx="136">
                  <c:v>9.7000000000000437</c:v>
                </c:pt>
                <c:pt idx="137">
                  <c:v>9.6000000000000441</c:v>
                </c:pt>
                <c:pt idx="138">
                  <c:v>9.5000000000000444</c:v>
                </c:pt>
                <c:pt idx="139">
                  <c:v>9.4000000000000448</c:v>
                </c:pt>
                <c:pt idx="140">
                  <c:v>9.3000000000000451</c:v>
                </c:pt>
                <c:pt idx="141">
                  <c:v>9.2000000000000455</c:v>
                </c:pt>
                <c:pt idx="142">
                  <c:v>9.1000000000000458</c:v>
                </c:pt>
                <c:pt idx="143">
                  <c:v>9.0000000000000462</c:v>
                </c:pt>
                <c:pt idx="144">
                  <c:v>8.9000000000000465</c:v>
                </c:pt>
                <c:pt idx="145">
                  <c:v>8.8000000000000469</c:v>
                </c:pt>
                <c:pt idx="146">
                  <c:v>8.7000000000000473</c:v>
                </c:pt>
                <c:pt idx="147">
                  <c:v>8.6000000000000476</c:v>
                </c:pt>
                <c:pt idx="148">
                  <c:v>8.500000000000048</c:v>
                </c:pt>
                <c:pt idx="149">
                  <c:v>8.4000000000000483</c:v>
                </c:pt>
                <c:pt idx="150">
                  <c:v>8.3000000000000487</c:v>
                </c:pt>
                <c:pt idx="151">
                  <c:v>8.200000000000049</c:v>
                </c:pt>
                <c:pt idx="152">
                  <c:v>8.1000000000000494</c:v>
                </c:pt>
                <c:pt idx="153">
                  <c:v>8.0000000000000497</c:v>
                </c:pt>
                <c:pt idx="154">
                  <c:v>7.9000000000000501</c:v>
                </c:pt>
                <c:pt idx="155">
                  <c:v>7.8000000000000504</c:v>
                </c:pt>
                <c:pt idx="156">
                  <c:v>7.7000000000000508</c:v>
                </c:pt>
                <c:pt idx="157">
                  <c:v>7.6000000000000512</c:v>
                </c:pt>
                <c:pt idx="158">
                  <c:v>7.5000000000000515</c:v>
                </c:pt>
                <c:pt idx="159">
                  <c:v>7.4000000000000519</c:v>
                </c:pt>
                <c:pt idx="160">
                  <c:v>7.3000000000000522</c:v>
                </c:pt>
                <c:pt idx="161">
                  <c:v>7.2000000000000526</c:v>
                </c:pt>
                <c:pt idx="162">
                  <c:v>7.1000000000000529</c:v>
                </c:pt>
                <c:pt idx="163">
                  <c:v>7.0000000000000533</c:v>
                </c:pt>
                <c:pt idx="164">
                  <c:v>6.9000000000000536</c:v>
                </c:pt>
                <c:pt idx="165">
                  <c:v>6.800000000000054</c:v>
                </c:pt>
                <c:pt idx="166">
                  <c:v>6.7000000000000544</c:v>
                </c:pt>
                <c:pt idx="167">
                  <c:v>6.6000000000000547</c:v>
                </c:pt>
                <c:pt idx="168">
                  <c:v>6.5000000000000551</c:v>
                </c:pt>
                <c:pt idx="169">
                  <c:v>6.4000000000000554</c:v>
                </c:pt>
                <c:pt idx="170">
                  <c:v>6.3000000000000558</c:v>
                </c:pt>
                <c:pt idx="171">
                  <c:v>10.200000000000056</c:v>
                </c:pt>
                <c:pt idx="172">
                  <c:v>10.100000000000056</c:v>
                </c:pt>
                <c:pt idx="173">
                  <c:v>10.000000000000057</c:v>
                </c:pt>
                <c:pt idx="174">
                  <c:v>9.9000000000000572</c:v>
                </c:pt>
                <c:pt idx="175">
                  <c:v>9.8000000000000576</c:v>
                </c:pt>
                <c:pt idx="176">
                  <c:v>9.7000000000000579</c:v>
                </c:pt>
                <c:pt idx="177">
                  <c:v>9.6000000000000583</c:v>
                </c:pt>
                <c:pt idx="178">
                  <c:v>9.5000000000000586</c:v>
                </c:pt>
                <c:pt idx="179">
                  <c:v>9.400000000000059</c:v>
                </c:pt>
                <c:pt idx="180">
                  <c:v>9.3000000000000593</c:v>
                </c:pt>
                <c:pt idx="181">
                  <c:v>9.2000000000000597</c:v>
                </c:pt>
                <c:pt idx="182">
                  <c:v>9.10000000000006</c:v>
                </c:pt>
                <c:pt idx="183">
                  <c:v>9.0000000000000604</c:v>
                </c:pt>
                <c:pt idx="184">
                  <c:v>8.9000000000000608</c:v>
                </c:pt>
                <c:pt idx="185">
                  <c:v>8.8000000000000611</c:v>
                </c:pt>
                <c:pt idx="186">
                  <c:v>8.7000000000000615</c:v>
                </c:pt>
                <c:pt idx="187">
                  <c:v>8.6000000000000618</c:v>
                </c:pt>
                <c:pt idx="188">
                  <c:v>8.5000000000000622</c:v>
                </c:pt>
                <c:pt idx="189">
                  <c:v>8.4000000000000625</c:v>
                </c:pt>
                <c:pt idx="190">
                  <c:v>8.3000000000000629</c:v>
                </c:pt>
                <c:pt idx="191">
                  <c:v>8.2000000000000632</c:v>
                </c:pt>
                <c:pt idx="192">
                  <c:v>8.1000000000000636</c:v>
                </c:pt>
                <c:pt idx="193">
                  <c:v>8.0000000000000639</c:v>
                </c:pt>
                <c:pt idx="194">
                  <c:v>7.9000000000000643</c:v>
                </c:pt>
                <c:pt idx="195">
                  <c:v>7.8000000000000647</c:v>
                </c:pt>
                <c:pt idx="196">
                  <c:v>7.700000000000065</c:v>
                </c:pt>
                <c:pt idx="197">
                  <c:v>7.6000000000000654</c:v>
                </c:pt>
                <c:pt idx="198">
                  <c:v>7.5000000000000657</c:v>
                </c:pt>
                <c:pt idx="199">
                  <c:v>7.4000000000000661</c:v>
                </c:pt>
                <c:pt idx="200">
                  <c:v>7.3000000000000664</c:v>
                </c:pt>
              </c:numCache>
            </c:numRef>
          </c:xVal>
          <c:yVal>
            <c:numRef>
              <c:f>Sheet1!$E$5:$E$205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1.0100287491004256</c:v>
                </c:pt>
                <c:pt idx="2">
                  <c:v>1.0204364372072938</c:v>
                </c:pt>
                <c:pt idx="3">
                  <c:v>1.0310320286645394</c:v>
                </c:pt>
                <c:pt idx="4">
                  <c:v>1.0418228665870159</c:v>
                </c:pt>
                <c:pt idx="5">
                  <c:v>1.052843784192478</c:v>
                </c:pt>
                <c:pt idx="6">
                  <c:v>1.0641360334914391</c:v>
                </c:pt>
                <c:pt idx="7">
                  <c:v>1.0756329807636986</c:v>
                </c:pt>
                <c:pt idx="8">
                  <c:v>1.0874007066287088</c:v>
                </c:pt>
                <c:pt idx="9">
                  <c:v>1.0993927446422294</c:v>
                </c:pt>
                <c:pt idx="10">
                  <c:v>1.1116411713576608</c:v>
                </c:pt>
                <c:pt idx="11">
                  <c:v>1.1241400767135614</c:v>
                </c:pt>
                <c:pt idx="12">
                  <c:v>1.1370277421828856</c:v>
                </c:pt>
                <c:pt idx="13">
                  <c:v>1.1501280838293833</c:v>
                </c:pt>
                <c:pt idx="14">
                  <c:v>1.1635681706662842</c:v>
                </c:pt>
                <c:pt idx="15">
                  <c:v>1.1773162702298032</c:v>
                </c:pt>
                <c:pt idx="16">
                  <c:v>1.177319229966673</c:v>
                </c:pt>
                <c:pt idx="17">
                  <c:v>1.1914095218722667</c:v>
                </c:pt>
                <c:pt idx="18">
                  <c:v>1.2057890053630043</c:v>
                </c:pt>
                <c:pt idx="19">
                  <c:v>1.2205613839870402</c:v>
                </c:pt>
                <c:pt idx="20">
                  <c:v>1.2357272102438479</c:v>
                </c:pt>
                <c:pt idx="21">
                  <c:v>1.2511745517937982</c:v>
                </c:pt>
                <c:pt idx="22">
                  <c:v>1.2671351320855617</c:v>
                </c:pt>
                <c:pt idx="23">
                  <c:v>1.2834608820606992</c:v>
                </c:pt>
                <c:pt idx="24">
                  <c:v>1.3001802045472373</c:v>
                </c:pt>
                <c:pt idx="25">
                  <c:v>1.3173927564036898</c:v>
                </c:pt>
                <c:pt idx="26">
                  <c:v>1.3350677751327917</c:v>
                </c:pt>
                <c:pt idx="27">
                  <c:v>1.3531805443362901</c:v>
                </c:pt>
                <c:pt idx="28">
                  <c:v>1.3531925405321286</c:v>
                </c:pt>
                <c:pt idx="29">
                  <c:v>1.3532899637036084</c:v>
                </c:pt>
                <c:pt idx="30">
                  <c:v>1.3533185581559057</c:v>
                </c:pt>
                <c:pt idx="31">
                  <c:v>1.3533444341948775</c:v>
                </c:pt>
                <c:pt idx="32">
                  <c:v>1.3533829596297553</c:v>
                </c:pt>
                <c:pt idx="33">
                  <c:v>1.3534042510559341</c:v>
                </c:pt>
                <c:pt idx="34">
                  <c:v>1.3534841310296031</c:v>
                </c:pt>
                <c:pt idx="35">
                  <c:v>1.3535042687184222</c:v>
                </c:pt>
                <c:pt idx="36">
                  <c:v>1.3535567735079603</c:v>
                </c:pt>
                <c:pt idx="37">
                  <c:v>1.3722254825905804</c:v>
                </c:pt>
                <c:pt idx="38">
                  <c:v>1.3913099807290819</c:v>
                </c:pt>
                <c:pt idx="39">
                  <c:v>1.4109851733170762</c:v>
                </c:pt>
                <c:pt idx="40">
                  <c:v>1.4312619580853214</c:v>
                </c:pt>
                <c:pt idx="41">
                  <c:v>1.4520820842179898</c:v>
                </c:pt>
                <c:pt idx="42">
                  <c:v>1.4734469875303926</c:v>
                </c:pt>
                <c:pt idx="43">
                  <c:v>1.4955489733652256</c:v>
                </c:pt>
                <c:pt idx="44">
                  <c:v>1.5183590739041346</c:v>
                </c:pt>
                <c:pt idx="45">
                  <c:v>1.5418713588884811</c:v>
                </c:pt>
                <c:pt idx="46">
                  <c:v>1.5659757412853179</c:v>
                </c:pt>
                <c:pt idx="47">
                  <c:v>1.5909863577927661</c:v>
                </c:pt>
                <c:pt idx="48">
                  <c:v>1.6166591455180153</c:v>
                </c:pt>
                <c:pt idx="49">
                  <c:v>1.616789279552006</c:v>
                </c:pt>
                <c:pt idx="50">
                  <c:v>1.6169295137322199</c:v>
                </c:pt>
                <c:pt idx="51">
                  <c:v>0.98285779049474031</c:v>
                </c:pt>
                <c:pt idx="52">
                  <c:v>0.99259019590791731</c:v>
                </c:pt>
                <c:pt idx="53">
                  <c:v>1.0025929329650163</c:v>
                </c:pt>
                <c:pt idx="54">
                  <c:v>1.0127769784048015</c:v>
                </c:pt>
                <c:pt idx="55">
                  <c:v>1.0231998668217768</c:v>
                </c:pt>
                <c:pt idx="56">
                  <c:v>1.0338097597472538</c:v>
                </c:pt>
                <c:pt idx="57">
                  <c:v>1.044605228296787</c:v>
                </c:pt>
                <c:pt idx="58">
                  <c:v>1.0556800820621275</c:v>
                </c:pt>
                <c:pt idx="59">
                  <c:v>1.0669980933948542</c:v>
                </c:pt>
                <c:pt idx="60">
                  <c:v>1.0784957200542868</c:v>
                </c:pt>
                <c:pt idx="61">
                  <c:v>1.0902654467589517</c:v>
                </c:pt>
                <c:pt idx="62">
                  <c:v>1.1022600362744215</c:v>
                </c:pt>
                <c:pt idx="63">
                  <c:v>1.114511671919687</c:v>
                </c:pt>
                <c:pt idx="64">
                  <c:v>1.1271290153370488</c:v>
                </c:pt>
                <c:pt idx="65">
                  <c:v>1.1399901848901717</c:v>
                </c:pt>
                <c:pt idx="66">
                  <c:v>1.1531797443811205</c:v>
                </c:pt>
                <c:pt idx="67">
                  <c:v>1.1666044143672005</c:v>
                </c:pt>
                <c:pt idx="68">
                  <c:v>1.1804252738105265</c:v>
                </c:pt>
                <c:pt idx="69">
                  <c:v>1.1945299479732987</c:v>
                </c:pt>
                <c:pt idx="70">
                  <c:v>1.2089536373004233</c:v>
                </c:pt>
                <c:pt idx="71">
                  <c:v>1.2238093675363553</c:v>
                </c:pt>
                <c:pt idx="72">
                  <c:v>1.238953416282889</c:v>
                </c:pt>
                <c:pt idx="73">
                  <c:v>1.2544885569102378</c:v>
                </c:pt>
                <c:pt idx="74">
                  <c:v>1.2703804593759374</c:v>
                </c:pt>
                <c:pt idx="75">
                  <c:v>1.2866912139288171</c:v>
                </c:pt>
                <c:pt idx="76">
                  <c:v>1.3035172208893036</c:v>
                </c:pt>
                <c:pt idx="77">
                  <c:v>1.3206826079887526</c:v>
                </c:pt>
                <c:pt idx="78">
                  <c:v>1.3383142104913481</c:v>
                </c:pt>
                <c:pt idx="79">
                  <c:v>1.3564766614675778</c:v>
                </c:pt>
                <c:pt idx="80">
                  <c:v>0.88835036297615189</c:v>
                </c:pt>
                <c:pt idx="81">
                  <c:v>0.89631562805123277</c:v>
                </c:pt>
                <c:pt idx="82">
                  <c:v>0.90447357068332102</c:v>
                </c:pt>
                <c:pt idx="83">
                  <c:v>0.91270753340586097</c:v>
                </c:pt>
                <c:pt idx="84">
                  <c:v>0.92115906731182529</c:v>
                </c:pt>
                <c:pt idx="85">
                  <c:v>0.92974412199046952</c:v>
                </c:pt>
                <c:pt idx="86">
                  <c:v>0.93846185279803662</c:v>
                </c:pt>
                <c:pt idx="87">
                  <c:v>0.9473537656909351</c:v>
                </c:pt>
                <c:pt idx="88">
                  <c:v>0.95638062658258016</c:v>
                </c:pt>
                <c:pt idx="89">
                  <c:v>0.96566820940710907</c:v>
                </c:pt>
                <c:pt idx="90">
                  <c:v>0.97508927199737727</c:v>
                </c:pt>
                <c:pt idx="91">
                  <c:v>0.98469380183589017</c:v>
                </c:pt>
                <c:pt idx="92">
                  <c:v>0.99446860287493766</c:v>
                </c:pt>
                <c:pt idx="93">
                  <c:v>1.0044387879205714</c:v>
                </c:pt>
                <c:pt idx="94">
                  <c:v>1.0146157901565123</c:v>
                </c:pt>
                <c:pt idx="95">
                  <c:v>1.0250018538608763</c:v>
                </c:pt>
                <c:pt idx="96">
                  <c:v>1.0356643354292423</c:v>
                </c:pt>
                <c:pt idx="97">
                  <c:v>1.0464591029994039</c:v>
                </c:pt>
                <c:pt idx="98">
                  <c:v>1.0575361098887563</c:v>
                </c:pt>
                <c:pt idx="99">
                  <c:v>1.0688434746088258</c:v>
                </c:pt>
                <c:pt idx="100">
                  <c:v>1.0803864502530396</c:v>
                </c:pt>
                <c:pt idx="101">
                  <c:v>1.0921791871617603</c:v>
                </c:pt>
                <c:pt idx="102">
                  <c:v>1.1042166035108119</c:v>
                </c:pt>
                <c:pt idx="103">
                  <c:v>1.1165100907033494</c:v>
                </c:pt>
                <c:pt idx="104">
                  <c:v>1.129145923613512</c:v>
                </c:pt>
                <c:pt idx="105">
                  <c:v>1.1420637356128629</c:v>
                </c:pt>
                <c:pt idx="106">
                  <c:v>1.1552270807129066</c:v>
                </c:pt>
                <c:pt idx="107">
                  <c:v>1.1686677547285831</c:v>
                </c:pt>
                <c:pt idx="108">
                  <c:v>1.182475427335524</c:v>
                </c:pt>
                <c:pt idx="109">
                  <c:v>1.1965835017105877</c:v>
                </c:pt>
                <c:pt idx="110">
                  <c:v>1.2110443780180111</c:v>
                </c:pt>
                <c:pt idx="111">
                  <c:v>1.2258385715356293</c:v>
                </c:pt>
                <c:pt idx="112">
                  <c:v>1.2409829069941203</c:v>
                </c:pt>
                <c:pt idx="113">
                  <c:v>1.2566178005439212</c:v>
                </c:pt>
                <c:pt idx="114">
                  <c:v>1.2725307634360457</c:v>
                </c:pt>
                <c:pt idx="115">
                  <c:v>1.2889478895680482</c:v>
                </c:pt>
                <c:pt idx="116">
                  <c:v>1.3057479486492407</c:v>
                </c:pt>
                <c:pt idx="117">
                  <c:v>1.3230270310601542</c:v>
                </c:pt>
                <c:pt idx="118">
                  <c:v>1.3407909761902643</c:v>
                </c:pt>
                <c:pt idx="119">
                  <c:v>1.3589533979375039</c:v>
                </c:pt>
                <c:pt idx="120">
                  <c:v>1.3776926546611501</c:v>
                </c:pt>
                <c:pt idx="121">
                  <c:v>1.3968878300022183</c:v>
                </c:pt>
                <c:pt idx="122">
                  <c:v>1.4165861665769188</c:v>
                </c:pt>
                <c:pt idx="123">
                  <c:v>1.4368897599021668</c:v>
                </c:pt>
                <c:pt idx="124">
                  <c:v>1.4577894730834322</c:v>
                </c:pt>
                <c:pt idx="125">
                  <c:v>1.4792642798939393</c:v>
                </c:pt>
                <c:pt idx="126">
                  <c:v>1.5014238214973521</c:v>
                </c:pt>
                <c:pt idx="127">
                  <c:v>1.5242748220846791</c:v>
                </c:pt>
                <c:pt idx="128">
                  <c:v>1.5478181862825795</c:v>
                </c:pt>
                <c:pt idx="129">
                  <c:v>1.5720034336199158</c:v>
                </c:pt>
                <c:pt idx="130">
                  <c:v>1.5970673383589302</c:v>
                </c:pt>
                <c:pt idx="131">
                  <c:v>0.98649412831227357</c:v>
                </c:pt>
                <c:pt idx="132">
                  <c:v>0.99635967597764086</c:v>
                </c:pt>
                <c:pt idx="133">
                  <c:v>1.0064200575072204</c:v>
                </c:pt>
                <c:pt idx="134">
                  <c:v>1.0166639669232116</c:v>
                </c:pt>
                <c:pt idx="135">
                  <c:v>1.0271071279228436</c:v>
                </c:pt>
                <c:pt idx="136">
                  <c:v>1.0376995040753285</c:v>
                </c:pt>
                <c:pt idx="137">
                  <c:v>1.0485338588957884</c:v>
                </c:pt>
                <c:pt idx="138">
                  <c:v>1.0596204007877206</c:v>
                </c:pt>
                <c:pt idx="139">
                  <c:v>1.0708947732674561</c:v>
                </c:pt>
                <c:pt idx="140">
                  <c:v>1.082469283917791</c:v>
                </c:pt>
                <c:pt idx="141">
                  <c:v>1.0943132848475441</c:v>
                </c:pt>
                <c:pt idx="142">
                  <c:v>1.1063871480164373</c:v>
                </c:pt>
                <c:pt idx="143">
                  <c:v>1.1187794217591875</c:v>
                </c:pt>
                <c:pt idx="144">
                  <c:v>1.1314369686433456</c:v>
                </c:pt>
                <c:pt idx="145">
                  <c:v>1.1443324249862576</c:v>
                </c:pt>
                <c:pt idx="146">
                  <c:v>1.1575380737998773</c:v>
                </c:pt>
                <c:pt idx="147">
                  <c:v>1.1710322960808097</c:v>
                </c:pt>
                <c:pt idx="148">
                  <c:v>1.1848628398240644</c:v>
                </c:pt>
                <c:pt idx="149">
                  <c:v>1.1990623530242022</c:v>
                </c:pt>
                <c:pt idx="150">
                  <c:v>1.2135290719765359</c:v>
                </c:pt>
                <c:pt idx="151">
                  <c:v>1.2283633445723769</c:v>
                </c:pt>
                <c:pt idx="152">
                  <c:v>1.2435535086436988</c:v>
                </c:pt>
                <c:pt idx="153">
                  <c:v>1.2592075188715932</c:v>
                </c:pt>
                <c:pt idx="154">
                  <c:v>1.2751728369368998</c:v>
                </c:pt>
                <c:pt idx="155">
                  <c:v>1.2916400144687037</c:v>
                </c:pt>
                <c:pt idx="156">
                  <c:v>1.3085156401738931</c:v>
                </c:pt>
                <c:pt idx="157">
                  <c:v>1.3257977617980647</c:v>
                </c:pt>
                <c:pt idx="158">
                  <c:v>1.3435472304835334</c:v>
                </c:pt>
                <c:pt idx="159">
                  <c:v>1.3617592553043556</c:v>
                </c:pt>
                <c:pt idx="160">
                  <c:v>1.3804517707243149</c:v>
                </c:pt>
                <c:pt idx="161">
                  <c:v>1.399732139359313</c:v>
                </c:pt>
                <c:pt idx="162">
                  <c:v>1.4195372596981908</c:v>
                </c:pt>
                <c:pt idx="163">
                  <c:v>1.4398252799715914</c:v>
                </c:pt>
                <c:pt idx="164">
                  <c:v>1.4607184675499902</c:v>
                </c:pt>
                <c:pt idx="165">
                  <c:v>1.4823279700815961</c:v>
                </c:pt>
                <c:pt idx="166">
                  <c:v>1.5044785153798825</c:v>
                </c:pt>
                <c:pt idx="167">
                  <c:v>1.5273573468505524</c:v>
                </c:pt>
                <c:pt idx="168">
                  <c:v>1.5508860787659673</c:v>
                </c:pt>
                <c:pt idx="169">
                  <c:v>1.5752081645089875</c:v>
                </c:pt>
                <c:pt idx="170">
                  <c:v>1.600366378152366</c:v>
                </c:pt>
                <c:pt idx="171">
                  <c:v>0.98846896213030155</c:v>
                </c:pt>
                <c:pt idx="172">
                  <c:v>0.99831785597133504</c:v>
                </c:pt>
                <c:pt idx="173">
                  <c:v>1.0083590595431156</c:v>
                </c:pt>
                <c:pt idx="174">
                  <c:v>1.0185621701637797</c:v>
                </c:pt>
                <c:pt idx="175">
                  <c:v>1.0290463207556597</c:v>
                </c:pt>
                <c:pt idx="176">
                  <c:v>1.0397498080793972</c:v>
                </c:pt>
                <c:pt idx="177">
                  <c:v>1.0505948059862698</c:v>
                </c:pt>
                <c:pt idx="178">
                  <c:v>1.0617493524797719</c:v>
                </c:pt>
                <c:pt idx="179">
                  <c:v>1.0731455638672169</c:v>
                </c:pt>
                <c:pt idx="180">
                  <c:v>1.0847553214585679</c:v>
                </c:pt>
                <c:pt idx="181">
                  <c:v>1.0966384840644707</c:v>
                </c:pt>
                <c:pt idx="182">
                  <c:v>1.108738123684792</c:v>
                </c:pt>
                <c:pt idx="183">
                  <c:v>1.1211309770139872</c:v>
                </c:pt>
                <c:pt idx="184">
                  <c:v>1.1338175095198113</c:v>
                </c:pt>
                <c:pt idx="185">
                  <c:v>1.1467126150900002</c:v>
                </c:pt>
                <c:pt idx="186">
                  <c:v>1.1599172316929063</c:v>
                </c:pt>
                <c:pt idx="187">
                  <c:v>1.1734294952161093</c:v>
                </c:pt>
                <c:pt idx="188">
                  <c:v>1.1873490827667503</c:v>
                </c:pt>
                <c:pt idx="189">
                  <c:v>1.2015556540423526</c:v>
                </c:pt>
                <c:pt idx="190">
                  <c:v>1.2161237660424475</c:v>
                </c:pt>
                <c:pt idx="191">
                  <c:v>1.2310702198631138</c:v>
                </c:pt>
                <c:pt idx="192">
                  <c:v>1.2463169716362184</c:v>
                </c:pt>
                <c:pt idx="193">
                  <c:v>1.2619201527973214</c:v>
                </c:pt>
                <c:pt idx="194">
                  <c:v>1.2779579560664713</c:v>
                </c:pt>
                <c:pt idx="195">
                  <c:v>1.2944652397290763</c:v>
                </c:pt>
                <c:pt idx="196">
                  <c:v>1.3113325140399557</c:v>
                </c:pt>
                <c:pt idx="197">
                  <c:v>1.3286793498089233</c:v>
                </c:pt>
                <c:pt idx="198">
                  <c:v>1.3464190879748525</c:v>
                </c:pt>
                <c:pt idx="199">
                  <c:v>1.3646598944731396</c:v>
                </c:pt>
                <c:pt idx="200">
                  <c:v>1.3834179673176181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72544"/>
        <c:axId val="334170368"/>
      </c:scatterChart>
      <c:valAx>
        <c:axId val="334172544"/>
        <c:scaling>
          <c:orientation val="minMax"/>
          <c:min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334170368"/>
        <c:crosses val="autoZero"/>
        <c:crossBetween val="midCat"/>
      </c:valAx>
      <c:valAx>
        <c:axId val="3341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17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Price, 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Sheet1!$G$5:$G$205</c:f>
              <c:numCache>
                <c:formatCode>General</c:formatCode>
                <c:ptCount val="201"/>
                <c:pt idx="0">
                  <c:v>5</c:v>
                </c:pt>
                <c:pt idx="1">
                  <c:v>5.0999999999999996</c:v>
                </c:pt>
                <c:pt idx="2">
                  <c:v>5.1999999999999993</c:v>
                </c:pt>
                <c:pt idx="3">
                  <c:v>5.2999999999999989</c:v>
                </c:pt>
                <c:pt idx="4">
                  <c:v>5.3999999999999986</c:v>
                </c:pt>
                <c:pt idx="5">
                  <c:v>5.4999999999999982</c:v>
                </c:pt>
                <c:pt idx="6">
                  <c:v>5.5999999999999979</c:v>
                </c:pt>
                <c:pt idx="7">
                  <c:v>5.6999999999999975</c:v>
                </c:pt>
                <c:pt idx="8">
                  <c:v>5.7999999999999972</c:v>
                </c:pt>
                <c:pt idx="9">
                  <c:v>5.8999999999999968</c:v>
                </c:pt>
                <c:pt idx="10">
                  <c:v>5.9999999999999964</c:v>
                </c:pt>
                <c:pt idx="11">
                  <c:v>6.0999999999999961</c:v>
                </c:pt>
                <c:pt idx="12">
                  <c:v>6.1999999999999957</c:v>
                </c:pt>
                <c:pt idx="13">
                  <c:v>6.2999999999999954</c:v>
                </c:pt>
                <c:pt idx="14">
                  <c:v>6.399999999999995</c:v>
                </c:pt>
                <c:pt idx="15">
                  <c:v>6.4999999999999947</c:v>
                </c:pt>
                <c:pt idx="16">
                  <c:v>4.4999999999999947</c:v>
                </c:pt>
                <c:pt idx="17">
                  <c:v>4.5999999999999943</c:v>
                </c:pt>
                <c:pt idx="18">
                  <c:v>4.699999999999994</c:v>
                </c:pt>
                <c:pt idx="19">
                  <c:v>4.7999999999999936</c:v>
                </c:pt>
                <c:pt idx="20">
                  <c:v>4.8999999999999932</c:v>
                </c:pt>
                <c:pt idx="21">
                  <c:v>4.9999999999999929</c:v>
                </c:pt>
                <c:pt idx="22">
                  <c:v>5.0999999999999925</c:v>
                </c:pt>
                <c:pt idx="23">
                  <c:v>5.1999999999999922</c:v>
                </c:pt>
                <c:pt idx="24">
                  <c:v>5.2999999999999918</c:v>
                </c:pt>
                <c:pt idx="25">
                  <c:v>5.3999999999999915</c:v>
                </c:pt>
                <c:pt idx="26">
                  <c:v>5.4999999999999911</c:v>
                </c:pt>
                <c:pt idx="27">
                  <c:v>5.5999999999999908</c:v>
                </c:pt>
                <c:pt idx="28">
                  <c:v>5.5999999999999908</c:v>
                </c:pt>
                <c:pt idx="29">
                  <c:v>5.5999999999999908</c:v>
                </c:pt>
                <c:pt idx="30">
                  <c:v>5.5999999999999908</c:v>
                </c:pt>
                <c:pt idx="31">
                  <c:v>5.5999999999999908</c:v>
                </c:pt>
                <c:pt idx="32">
                  <c:v>5.5999999999999908</c:v>
                </c:pt>
                <c:pt idx="33">
                  <c:v>5.5999999999999908</c:v>
                </c:pt>
                <c:pt idx="34">
                  <c:v>5.5999999999999908</c:v>
                </c:pt>
                <c:pt idx="35">
                  <c:v>5.5999999999999908</c:v>
                </c:pt>
                <c:pt idx="36">
                  <c:v>3.5999999999999908</c:v>
                </c:pt>
                <c:pt idx="37">
                  <c:v>3.6999999999999909</c:v>
                </c:pt>
                <c:pt idx="38">
                  <c:v>3.7999999999999909</c:v>
                </c:pt>
                <c:pt idx="39">
                  <c:v>3.899999999999991</c:v>
                </c:pt>
                <c:pt idx="40">
                  <c:v>3.9999999999999911</c:v>
                </c:pt>
                <c:pt idx="41">
                  <c:v>4.0999999999999908</c:v>
                </c:pt>
                <c:pt idx="42">
                  <c:v>4.1999999999999904</c:v>
                </c:pt>
                <c:pt idx="43">
                  <c:v>4.2999999999999901</c:v>
                </c:pt>
                <c:pt idx="44">
                  <c:v>4.3999999999999897</c:v>
                </c:pt>
                <c:pt idx="45">
                  <c:v>4.4999999999999893</c:v>
                </c:pt>
                <c:pt idx="46">
                  <c:v>4.599999999999989</c:v>
                </c:pt>
                <c:pt idx="47">
                  <c:v>4.6999999999999886</c:v>
                </c:pt>
                <c:pt idx="48">
                  <c:v>4.7999999999999883</c:v>
                </c:pt>
                <c:pt idx="49">
                  <c:v>4.7999999999999883</c:v>
                </c:pt>
                <c:pt idx="50">
                  <c:v>4.7999999999999883</c:v>
                </c:pt>
                <c:pt idx="51">
                  <c:v>4.7999999999999883</c:v>
                </c:pt>
                <c:pt idx="52">
                  <c:v>4.8999999999999879</c:v>
                </c:pt>
                <c:pt idx="53">
                  <c:v>4.9999999999999876</c:v>
                </c:pt>
                <c:pt idx="54">
                  <c:v>5.0999999999999872</c:v>
                </c:pt>
                <c:pt idx="55">
                  <c:v>5.1999999999999869</c:v>
                </c:pt>
                <c:pt idx="56">
                  <c:v>3.2999999999999865</c:v>
                </c:pt>
                <c:pt idx="57">
                  <c:v>3.3999999999999866</c:v>
                </c:pt>
                <c:pt idx="58">
                  <c:v>3.4999999999999867</c:v>
                </c:pt>
                <c:pt idx="59">
                  <c:v>3.5999999999999868</c:v>
                </c:pt>
                <c:pt idx="60">
                  <c:v>3.6999999999999869</c:v>
                </c:pt>
                <c:pt idx="61">
                  <c:v>3.7999999999999869</c:v>
                </c:pt>
                <c:pt idx="62">
                  <c:v>3.899999999999987</c:v>
                </c:pt>
                <c:pt idx="63">
                  <c:v>3.9999999999999871</c:v>
                </c:pt>
                <c:pt idx="64">
                  <c:v>4.0999999999999872</c:v>
                </c:pt>
                <c:pt idx="65">
                  <c:v>4.1999999999999869</c:v>
                </c:pt>
                <c:pt idx="66">
                  <c:v>4.2999999999999865</c:v>
                </c:pt>
                <c:pt idx="67">
                  <c:v>4.3999999999999861</c:v>
                </c:pt>
                <c:pt idx="68">
                  <c:v>4.4999999999999858</c:v>
                </c:pt>
                <c:pt idx="69">
                  <c:v>4.5999999999999854</c:v>
                </c:pt>
                <c:pt idx="70">
                  <c:v>4.6999999999999851</c:v>
                </c:pt>
                <c:pt idx="71">
                  <c:v>4.7999999999999847</c:v>
                </c:pt>
                <c:pt idx="72">
                  <c:v>4.8999999999999844</c:v>
                </c:pt>
                <c:pt idx="73">
                  <c:v>4.999999999999984</c:v>
                </c:pt>
                <c:pt idx="74">
                  <c:v>5.0999999999999837</c:v>
                </c:pt>
                <c:pt idx="75">
                  <c:v>5.1999999999999833</c:v>
                </c:pt>
                <c:pt idx="76">
                  <c:v>3.2999999999999829</c:v>
                </c:pt>
                <c:pt idx="77">
                  <c:v>3.399999999999983</c:v>
                </c:pt>
                <c:pt idx="78">
                  <c:v>3.4999999999999831</c:v>
                </c:pt>
                <c:pt idx="79">
                  <c:v>3.5999999999999832</c:v>
                </c:pt>
                <c:pt idx="80">
                  <c:v>3.6999999999999833</c:v>
                </c:pt>
                <c:pt idx="81">
                  <c:v>3.7999999999999834</c:v>
                </c:pt>
                <c:pt idx="82">
                  <c:v>3.8999999999999835</c:v>
                </c:pt>
                <c:pt idx="83">
                  <c:v>3.9999999999999836</c:v>
                </c:pt>
                <c:pt idx="84">
                  <c:v>4.0999999999999837</c:v>
                </c:pt>
                <c:pt idx="85">
                  <c:v>4.1999999999999833</c:v>
                </c:pt>
                <c:pt idx="86">
                  <c:v>4.2999999999999829</c:v>
                </c:pt>
                <c:pt idx="87">
                  <c:v>4.3999999999999826</c:v>
                </c:pt>
                <c:pt idx="88">
                  <c:v>4.4999999999999822</c:v>
                </c:pt>
                <c:pt idx="89">
                  <c:v>4.5999999999999819</c:v>
                </c:pt>
                <c:pt idx="90">
                  <c:v>4.6999999999999815</c:v>
                </c:pt>
                <c:pt idx="91">
                  <c:v>4.7999999999999812</c:v>
                </c:pt>
                <c:pt idx="92">
                  <c:v>4.8999999999999808</c:v>
                </c:pt>
                <c:pt idx="93">
                  <c:v>4.9999999999999805</c:v>
                </c:pt>
                <c:pt idx="94">
                  <c:v>5.0999999999999801</c:v>
                </c:pt>
                <c:pt idx="95">
                  <c:v>5.1999999999999797</c:v>
                </c:pt>
                <c:pt idx="96">
                  <c:v>3.2999999999999794</c:v>
                </c:pt>
                <c:pt idx="97">
                  <c:v>3.3999999999999795</c:v>
                </c:pt>
                <c:pt idx="98">
                  <c:v>3.4999999999999796</c:v>
                </c:pt>
                <c:pt idx="99">
                  <c:v>3.5999999999999797</c:v>
                </c:pt>
                <c:pt idx="100">
                  <c:v>3.6999999999999797</c:v>
                </c:pt>
                <c:pt idx="101">
                  <c:v>3.7999999999999798</c:v>
                </c:pt>
                <c:pt idx="102">
                  <c:v>3.8999999999999799</c:v>
                </c:pt>
                <c:pt idx="103">
                  <c:v>3.99999999999998</c:v>
                </c:pt>
                <c:pt idx="104">
                  <c:v>4.0999999999999801</c:v>
                </c:pt>
                <c:pt idx="105">
                  <c:v>4.1999999999999797</c:v>
                </c:pt>
                <c:pt idx="106">
                  <c:v>4.2999999999999794</c:v>
                </c:pt>
                <c:pt idx="107">
                  <c:v>4.399999999999979</c:v>
                </c:pt>
                <c:pt idx="108">
                  <c:v>4.4999999999999787</c:v>
                </c:pt>
                <c:pt idx="109">
                  <c:v>4.5999999999999783</c:v>
                </c:pt>
                <c:pt idx="110">
                  <c:v>4.699999999999978</c:v>
                </c:pt>
                <c:pt idx="111">
                  <c:v>4.7999999999999776</c:v>
                </c:pt>
                <c:pt idx="112">
                  <c:v>4.8999999999999773</c:v>
                </c:pt>
                <c:pt idx="113">
                  <c:v>4.9999999999999769</c:v>
                </c:pt>
                <c:pt idx="114">
                  <c:v>5.0999999999999766</c:v>
                </c:pt>
                <c:pt idx="115">
                  <c:v>5.1999999999999762</c:v>
                </c:pt>
                <c:pt idx="116">
                  <c:v>3.2999999999999758</c:v>
                </c:pt>
                <c:pt idx="117">
                  <c:v>3.3999999999999759</c:v>
                </c:pt>
                <c:pt idx="118">
                  <c:v>3.499999999999976</c:v>
                </c:pt>
                <c:pt idx="119">
                  <c:v>3.5999999999999761</c:v>
                </c:pt>
                <c:pt idx="120">
                  <c:v>3.6999999999999762</c:v>
                </c:pt>
                <c:pt idx="121">
                  <c:v>3.7999999999999763</c:v>
                </c:pt>
                <c:pt idx="122">
                  <c:v>3.8999999999999764</c:v>
                </c:pt>
                <c:pt idx="123">
                  <c:v>3.9999999999999765</c:v>
                </c:pt>
                <c:pt idx="124">
                  <c:v>4.0999999999999766</c:v>
                </c:pt>
                <c:pt idx="125">
                  <c:v>4.1999999999999762</c:v>
                </c:pt>
                <c:pt idx="126">
                  <c:v>4.2999999999999758</c:v>
                </c:pt>
                <c:pt idx="127">
                  <c:v>4.3999999999999755</c:v>
                </c:pt>
                <c:pt idx="128">
                  <c:v>4.4999999999999751</c:v>
                </c:pt>
                <c:pt idx="129">
                  <c:v>4.5999999999999748</c:v>
                </c:pt>
                <c:pt idx="130">
                  <c:v>4.6999999999999744</c:v>
                </c:pt>
                <c:pt idx="131">
                  <c:v>4.7999999999999741</c:v>
                </c:pt>
                <c:pt idx="132">
                  <c:v>4.8999999999999737</c:v>
                </c:pt>
                <c:pt idx="133">
                  <c:v>4.9999999999999734</c:v>
                </c:pt>
                <c:pt idx="134">
                  <c:v>5.099999999999973</c:v>
                </c:pt>
                <c:pt idx="135">
                  <c:v>5.1999999999999726</c:v>
                </c:pt>
                <c:pt idx="136">
                  <c:v>3.2999999999999723</c:v>
                </c:pt>
                <c:pt idx="137">
                  <c:v>3.3999999999999724</c:v>
                </c:pt>
                <c:pt idx="138">
                  <c:v>3.4999999999999725</c:v>
                </c:pt>
                <c:pt idx="139">
                  <c:v>3.5999999999999726</c:v>
                </c:pt>
                <c:pt idx="140">
                  <c:v>3.6999999999999726</c:v>
                </c:pt>
                <c:pt idx="141">
                  <c:v>3.7999999999999727</c:v>
                </c:pt>
                <c:pt idx="142">
                  <c:v>3.8999999999999728</c:v>
                </c:pt>
                <c:pt idx="143">
                  <c:v>3.9999999999999729</c:v>
                </c:pt>
                <c:pt idx="144">
                  <c:v>4.099999999999973</c:v>
                </c:pt>
                <c:pt idx="145">
                  <c:v>4.1999999999999726</c:v>
                </c:pt>
                <c:pt idx="146">
                  <c:v>4.2999999999999723</c:v>
                </c:pt>
                <c:pt idx="147">
                  <c:v>4.3999999999999719</c:v>
                </c:pt>
                <c:pt idx="148">
                  <c:v>4.4999999999999716</c:v>
                </c:pt>
                <c:pt idx="149">
                  <c:v>4.5999999999999712</c:v>
                </c:pt>
                <c:pt idx="150">
                  <c:v>4.6999999999999709</c:v>
                </c:pt>
                <c:pt idx="151">
                  <c:v>4.7999999999999705</c:v>
                </c:pt>
                <c:pt idx="152">
                  <c:v>4.8999999999999702</c:v>
                </c:pt>
                <c:pt idx="153">
                  <c:v>4.9999999999999698</c:v>
                </c:pt>
                <c:pt idx="154">
                  <c:v>5.0999999999999694</c:v>
                </c:pt>
                <c:pt idx="155">
                  <c:v>5.1999999999999691</c:v>
                </c:pt>
                <c:pt idx="156">
                  <c:v>3.2999999999999687</c:v>
                </c:pt>
                <c:pt idx="157">
                  <c:v>3.3999999999999688</c:v>
                </c:pt>
                <c:pt idx="158">
                  <c:v>3.4999999999999689</c:v>
                </c:pt>
                <c:pt idx="159">
                  <c:v>3.599999999999969</c:v>
                </c:pt>
                <c:pt idx="160">
                  <c:v>3.6999999999999691</c:v>
                </c:pt>
                <c:pt idx="161">
                  <c:v>3.7999999999999692</c:v>
                </c:pt>
                <c:pt idx="162">
                  <c:v>3.8999999999999693</c:v>
                </c:pt>
                <c:pt idx="163">
                  <c:v>3.9999999999999694</c:v>
                </c:pt>
                <c:pt idx="164">
                  <c:v>4.0999999999999694</c:v>
                </c:pt>
                <c:pt idx="165">
                  <c:v>4.1999999999999691</c:v>
                </c:pt>
                <c:pt idx="166">
                  <c:v>4.2999999999999687</c:v>
                </c:pt>
                <c:pt idx="167">
                  <c:v>4.3999999999999684</c:v>
                </c:pt>
                <c:pt idx="168">
                  <c:v>4.499999999999968</c:v>
                </c:pt>
                <c:pt idx="169">
                  <c:v>4.5999999999999677</c:v>
                </c:pt>
                <c:pt idx="170">
                  <c:v>4.6999999999999673</c:v>
                </c:pt>
                <c:pt idx="171">
                  <c:v>4.799999999999967</c:v>
                </c:pt>
                <c:pt idx="172">
                  <c:v>4.8999999999999666</c:v>
                </c:pt>
                <c:pt idx="173">
                  <c:v>4.9999999999999662</c:v>
                </c:pt>
                <c:pt idx="174">
                  <c:v>5.0999999999999659</c:v>
                </c:pt>
                <c:pt idx="175">
                  <c:v>5.1999999999999655</c:v>
                </c:pt>
                <c:pt idx="176">
                  <c:v>3.2999999999999652</c:v>
                </c:pt>
                <c:pt idx="177">
                  <c:v>3.3999999999999653</c:v>
                </c:pt>
                <c:pt idx="178">
                  <c:v>3.4999999999999654</c:v>
                </c:pt>
                <c:pt idx="179">
                  <c:v>3.5999999999999654</c:v>
                </c:pt>
                <c:pt idx="180">
                  <c:v>3.6999999999999655</c:v>
                </c:pt>
                <c:pt idx="181">
                  <c:v>3.7999999999999656</c:v>
                </c:pt>
                <c:pt idx="182">
                  <c:v>3.8999999999999657</c:v>
                </c:pt>
                <c:pt idx="183">
                  <c:v>3.9999999999999658</c:v>
                </c:pt>
                <c:pt idx="184">
                  <c:v>4.0999999999999659</c:v>
                </c:pt>
                <c:pt idx="185">
                  <c:v>4.1999999999999655</c:v>
                </c:pt>
                <c:pt idx="186">
                  <c:v>4.2999999999999652</c:v>
                </c:pt>
                <c:pt idx="187">
                  <c:v>4.3999999999999648</c:v>
                </c:pt>
                <c:pt idx="188">
                  <c:v>4.4999999999999645</c:v>
                </c:pt>
                <c:pt idx="189">
                  <c:v>4.5999999999999641</c:v>
                </c:pt>
                <c:pt idx="190">
                  <c:v>4.6999999999999638</c:v>
                </c:pt>
                <c:pt idx="191">
                  <c:v>4.7999999999999634</c:v>
                </c:pt>
                <c:pt idx="192">
                  <c:v>4.8999999999999631</c:v>
                </c:pt>
                <c:pt idx="193">
                  <c:v>4.9999999999999627</c:v>
                </c:pt>
                <c:pt idx="194">
                  <c:v>5.0999999999999623</c:v>
                </c:pt>
                <c:pt idx="195">
                  <c:v>5.199999999999962</c:v>
                </c:pt>
                <c:pt idx="196">
                  <c:v>3.2999999999999616</c:v>
                </c:pt>
                <c:pt idx="197">
                  <c:v>3.3999999999999617</c:v>
                </c:pt>
                <c:pt idx="198">
                  <c:v>3.4999999999999618</c:v>
                </c:pt>
                <c:pt idx="199">
                  <c:v>3.5999999999999619</c:v>
                </c:pt>
                <c:pt idx="200">
                  <c:v>3.699999999999962</c:v>
                </c:pt>
              </c:numCache>
            </c:numRef>
          </c:xVal>
          <c:yVal>
            <c:numRef>
              <c:f>Sheet1!$H$5:$H$205</c:f>
              <c:numCache>
                <c:formatCode>General</c:formatCode>
                <c:ptCount val="201"/>
                <c:pt idx="0">
                  <c:v>1.5</c:v>
                </c:pt>
                <c:pt idx="1">
                  <c:v>1.4706141405313613</c:v>
                </c:pt>
                <c:pt idx="2">
                  <c:v>1.4423811692891035</c:v>
                </c:pt>
                <c:pt idx="3">
                  <c:v>1.4152178077903581</c:v>
                </c:pt>
                <c:pt idx="4">
                  <c:v>1.3890114670786569</c:v>
                </c:pt>
                <c:pt idx="5">
                  <c:v>1.3638707818398916</c:v>
                </c:pt>
                <c:pt idx="6">
                  <c:v>1.3395593251381819</c:v>
                </c:pt>
                <c:pt idx="7">
                  <c:v>1.3161299690755224</c:v>
                </c:pt>
                <c:pt idx="8">
                  <c:v>1.2935474546723915</c:v>
                </c:pt>
                <c:pt idx="9">
                  <c:v>1.2716796999711848</c:v>
                </c:pt>
                <c:pt idx="10">
                  <c:v>1.2505002892246202</c:v>
                </c:pt>
                <c:pt idx="11">
                  <c:v>1.23006777521886</c:v>
                </c:pt>
                <c:pt idx="12">
                  <c:v>1.2103386270975203</c:v>
                </c:pt>
                <c:pt idx="13">
                  <c:v>1.1911390479434385</c:v>
                </c:pt>
                <c:pt idx="14">
                  <c:v>1.1725493783222876</c:v>
                </c:pt>
                <c:pt idx="15">
                  <c:v>1.1545479820280049</c:v>
                </c:pt>
                <c:pt idx="16">
                  <c:v>1.6676925347716911</c:v>
                </c:pt>
                <c:pt idx="17">
                  <c:v>1.6314799714539521</c:v>
                </c:pt>
                <c:pt idx="18">
                  <c:v>1.5968092017183726</c:v>
                </c:pt>
                <c:pt idx="19">
                  <c:v>1.5636234642886151</c:v>
                </c:pt>
                <c:pt idx="20">
                  <c:v>1.5318300149176292</c:v>
                </c:pt>
                <c:pt idx="21">
                  <c:v>1.5012967311011951</c:v>
                </c:pt>
                <c:pt idx="22">
                  <c:v>1.4719838951118298</c:v>
                </c:pt>
                <c:pt idx="23">
                  <c:v>1.4437185099826377</c:v>
                </c:pt>
                <c:pt idx="24">
                  <c:v>1.4165074958446084</c:v>
                </c:pt>
                <c:pt idx="25">
                  <c:v>1.3903646983325144</c:v>
                </c:pt>
                <c:pt idx="26">
                  <c:v>1.3651135404595458</c:v>
                </c:pt>
                <c:pt idx="27">
                  <c:v>1.3408168259616564</c:v>
                </c:pt>
                <c:pt idx="28">
                  <c:v>1.3408544955283908</c:v>
                </c:pt>
                <c:pt idx="29">
                  <c:v>1.3409000386674568</c:v>
                </c:pt>
                <c:pt idx="30">
                  <c:v>1.34102940102983</c:v>
                </c:pt>
                <c:pt idx="31">
                  <c:v>1.3411532957525825</c:v>
                </c:pt>
                <c:pt idx="32">
                  <c:v>1.3412535578451381</c:v>
                </c:pt>
                <c:pt idx="33">
                  <c:v>1.3413873081977881</c:v>
                </c:pt>
                <c:pt idx="34">
                  <c:v>1.3413997444548378</c:v>
                </c:pt>
                <c:pt idx="35">
                  <c:v>1.3415169729773684</c:v>
                </c:pt>
                <c:pt idx="36">
                  <c:v>2.0869407534878532</c:v>
                </c:pt>
                <c:pt idx="37">
                  <c:v>2.0306423450881876</c:v>
                </c:pt>
                <c:pt idx="38">
                  <c:v>1.9772868099869445</c:v>
                </c:pt>
                <c:pt idx="39">
                  <c:v>1.926675854746928</c:v>
                </c:pt>
                <c:pt idx="40">
                  <c:v>1.8786034486282517</c:v>
                </c:pt>
                <c:pt idx="41">
                  <c:v>1.8328451982267722</c:v>
                </c:pt>
                <c:pt idx="42">
                  <c:v>1.7893482860091423</c:v>
                </c:pt>
                <c:pt idx="43">
                  <c:v>1.7478615196882155</c:v>
                </c:pt>
                <c:pt idx="44">
                  <c:v>1.708272472343062</c:v>
                </c:pt>
                <c:pt idx="45">
                  <c:v>1.6704686600229808</c:v>
                </c:pt>
                <c:pt idx="46">
                  <c:v>1.6342419523900849</c:v>
                </c:pt>
                <c:pt idx="47">
                  <c:v>1.5994775565926262</c:v>
                </c:pt>
                <c:pt idx="48">
                  <c:v>1.5662019655438246</c:v>
                </c:pt>
                <c:pt idx="49">
                  <c:v>1.566260858930228</c:v>
                </c:pt>
                <c:pt idx="50">
                  <c:v>1.566272775910716</c:v>
                </c:pt>
                <c:pt idx="51">
                  <c:v>1.5664116286193104</c:v>
                </c:pt>
                <c:pt idx="52">
                  <c:v>1.534533115917134</c:v>
                </c:pt>
                <c:pt idx="53">
                  <c:v>1.5039219744995349</c:v>
                </c:pt>
                <c:pt idx="54">
                  <c:v>1.474467374085584</c:v>
                </c:pt>
                <c:pt idx="55">
                  <c:v>1.4462431235460433</c:v>
                </c:pt>
                <c:pt idx="56">
                  <c:v>2.2789366130353246</c:v>
                </c:pt>
                <c:pt idx="57">
                  <c:v>2.2120984492360458</c:v>
                </c:pt>
                <c:pt idx="58">
                  <c:v>2.1489252830765135</c:v>
                </c:pt>
                <c:pt idx="59">
                  <c:v>2.0894098596376836</c:v>
                </c:pt>
                <c:pt idx="60">
                  <c:v>2.0329900435695887</c:v>
                </c:pt>
                <c:pt idx="61">
                  <c:v>1.9794973591886866</c:v>
                </c:pt>
                <c:pt idx="62">
                  <c:v>1.9287496514999964</c:v>
                </c:pt>
                <c:pt idx="63">
                  <c:v>1.8807160878514166</c:v>
                </c:pt>
                <c:pt idx="64">
                  <c:v>1.8348664129072167</c:v>
                </c:pt>
                <c:pt idx="65">
                  <c:v>1.7913494913752199</c:v>
                </c:pt>
                <c:pt idx="66">
                  <c:v>1.7497064372426625</c:v>
                </c:pt>
                <c:pt idx="67">
                  <c:v>1.7100074694959382</c:v>
                </c:pt>
                <c:pt idx="68">
                  <c:v>1.6720109859400838</c:v>
                </c:pt>
                <c:pt idx="69">
                  <c:v>1.6357575650670155</c:v>
                </c:pt>
                <c:pt idx="70">
                  <c:v>1.6010512900073568</c:v>
                </c:pt>
                <c:pt idx="71">
                  <c:v>1.567783182069912</c:v>
                </c:pt>
                <c:pt idx="72">
                  <c:v>1.5359314477705541</c:v>
                </c:pt>
                <c:pt idx="73">
                  <c:v>1.5053001796236376</c:v>
                </c:pt>
                <c:pt idx="74">
                  <c:v>1.4757975203014837</c:v>
                </c:pt>
                <c:pt idx="75">
                  <c:v>1.4474489518153686</c:v>
                </c:pt>
                <c:pt idx="76">
                  <c:v>2.2808726112231574</c:v>
                </c:pt>
                <c:pt idx="77">
                  <c:v>2.2138242140160576</c:v>
                </c:pt>
                <c:pt idx="78">
                  <c:v>2.1507547670147473</c:v>
                </c:pt>
                <c:pt idx="79">
                  <c:v>2.0911913629466836</c:v>
                </c:pt>
                <c:pt idx="80">
                  <c:v>2.0347870171517446</c:v>
                </c:pt>
                <c:pt idx="81">
                  <c:v>1.9813360823533512</c:v>
                </c:pt>
                <c:pt idx="82">
                  <c:v>1.9305791467244597</c:v>
                </c:pt>
                <c:pt idx="83">
                  <c:v>1.882316541986617</c:v>
                </c:pt>
                <c:pt idx="84">
                  <c:v>1.8365012428168079</c:v>
                </c:pt>
                <c:pt idx="85">
                  <c:v>1.7927839230347669</c:v>
                </c:pt>
                <c:pt idx="86">
                  <c:v>1.7511812234403339</c:v>
                </c:pt>
                <c:pt idx="87">
                  <c:v>1.7114972941124877</c:v>
                </c:pt>
                <c:pt idx="88">
                  <c:v>1.6735398876544405</c:v>
                </c:pt>
                <c:pt idx="89">
                  <c:v>1.637254523887651</c:v>
                </c:pt>
                <c:pt idx="90">
                  <c:v>1.6024745760365904</c:v>
                </c:pt>
                <c:pt idx="91">
                  <c:v>1.5691929220839089</c:v>
                </c:pt>
                <c:pt idx="92">
                  <c:v>1.5372652165037093</c:v>
                </c:pt>
                <c:pt idx="93">
                  <c:v>1.5065938739256852</c:v>
                </c:pt>
                <c:pt idx="94">
                  <c:v>1.4770826787605913</c:v>
                </c:pt>
                <c:pt idx="95">
                  <c:v>1.4487052369082702</c:v>
                </c:pt>
                <c:pt idx="96">
                  <c:v>2.2829394836742298</c:v>
                </c:pt>
                <c:pt idx="97">
                  <c:v>2.21592964114476</c:v>
                </c:pt>
                <c:pt idx="98">
                  <c:v>2.1528220758408465</c:v>
                </c:pt>
                <c:pt idx="99">
                  <c:v>2.0931357330238454</c:v>
                </c:pt>
                <c:pt idx="100">
                  <c:v>2.0366300461022151</c:v>
                </c:pt>
                <c:pt idx="101">
                  <c:v>1.9832250349306488</c:v>
                </c:pt>
                <c:pt idx="102">
                  <c:v>1.932389795487462</c:v>
                </c:pt>
                <c:pt idx="103">
                  <c:v>1.884106948587742</c:v>
                </c:pt>
                <c:pt idx="104">
                  <c:v>1.8381599898401686</c:v>
                </c:pt>
                <c:pt idx="105">
                  <c:v>1.7945302348167165</c:v>
                </c:pt>
                <c:pt idx="106">
                  <c:v>1.7528304520439213</c:v>
                </c:pt>
                <c:pt idx="107">
                  <c:v>1.7131599696798672</c:v>
                </c:pt>
                <c:pt idx="108">
                  <c:v>1.6752559769022228</c:v>
                </c:pt>
                <c:pt idx="109">
                  <c:v>1.6388869433062827</c:v>
                </c:pt>
                <c:pt idx="110">
                  <c:v>1.6041674378351407</c:v>
                </c:pt>
                <c:pt idx="111">
                  <c:v>1.5707917734981436</c:v>
                </c:pt>
                <c:pt idx="112">
                  <c:v>1.538782186060939</c:v>
                </c:pt>
                <c:pt idx="113">
                  <c:v>1.5080281605968511</c:v>
                </c:pt>
                <c:pt idx="114">
                  <c:v>1.4785096341179145</c:v>
                </c:pt>
                <c:pt idx="115">
                  <c:v>1.4502077785972145</c:v>
                </c:pt>
                <c:pt idx="116">
                  <c:v>2.2853357220436794</c:v>
                </c:pt>
                <c:pt idx="117">
                  <c:v>2.2181378253327453</c:v>
                </c:pt>
                <c:pt idx="118">
                  <c:v>2.1549411518798616</c:v>
                </c:pt>
                <c:pt idx="119">
                  <c:v>2.0952230395162839</c:v>
                </c:pt>
                <c:pt idx="120">
                  <c:v>2.0387986603582027</c:v>
                </c:pt>
                <c:pt idx="121">
                  <c:v>1.9852526808538584</c:v>
                </c:pt>
                <c:pt idx="122">
                  <c:v>1.9344160663022869</c:v>
                </c:pt>
                <c:pt idx="123">
                  <c:v>1.8862031615566119</c:v>
                </c:pt>
                <c:pt idx="124">
                  <c:v>1.840222401019888</c:v>
                </c:pt>
                <c:pt idx="125">
                  <c:v>1.796510349587813</c:v>
                </c:pt>
                <c:pt idx="126">
                  <c:v>1.7548826489158897</c:v>
                </c:pt>
                <c:pt idx="127">
                  <c:v>1.715090921817666</c:v>
                </c:pt>
                <c:pt idx="128">
                  <c:v>1.6770771422209987</c:v>
                </c:pt>
                <c:pt idx="129">
                  <c:v>1.640753089785765</c:v>
                </c:pt>
                <c:pt idx="130">
                  <c:v>1.6059239405918391</c:v>
                </c:pt>
                <c:pt idx="131">
                  <c:v>1.5725598445652962</c:v>
                </c:pt>
                <c:pt idx="132">
                  <c:v>1.5405503298637535</c:v>
                </c:pt>
                <c:pt idx="133">
                  <c:v>1.5098686464236497</c:v>
                </c:pt>
                <c:pt idx="134">
                  <c:v>1.4803211824490261</c:v>
                </c:pt>
                <c:pt idx="135">
                  <c:v>1.4519885189935104</c:v>
                </c:pt>
                <c:pt idx="136">
                  <c:v>2.2881413797749515</c:v>
                </c:pt>
                <c:pt idx="137">
                  <c:v>2.2208880394052177</c:v>
                </c:pt>
                <c:pt idx="138">
                  <c:v>2.1574932054547689</c:v>
                </c:pt>
                <c:pt idx="139">
                  <c:v>2.0975652179350219</c:v>
                </c:pt>
                <c:pt idx="140">
                  <c:v>2.0409938889617654</c:v>
                </c:pt>
                <c:pt idx="141">
                  <c:v>1.9874511883898813</c:v>
                </c:pt>
                <c:pt idx="142">
                  <c:v>1.93649357730862</c:v>
                </c:pt>
                <c:pt idx="143">
                  <c:v>1.8881662558368493</c:v>
                </c:pt>
                <c:pt idx="144">
                  <c:v>1.8422788397845351</c:v>
                </c:pt>
                <c:pt idx="145">
                  <c:v>1.7985326379553583</c:v>
                </c:pt>
                <c:pt idx="146">
                  <c:v>1.7567153435097218</c:v>
                </c:pt>
                <c:pt idx="147">
                  <c:v>1.7168707235047964</c:v>
                </c:pt>
                <c:pt idx="148">
                  <c:v>1.6788835361351333</c:v>
                </c:pt>
                <c:pt idx="149">
                  <c:v>1.6424079540568677</c:v>
                </c:pt>
                <c:pt idx="150">
                  <c:v>1.6075620450489085</c:v>
                </c:pt>
                <c:pt idx="151">
                  <c:v>1.5740735019987275</c:v>
                </c:pt>
                <c:pt idx="152">
                  <c:v>1.5420850236803452</c:v>
                </c:pt>
                <c:pt idx="153">
                  <c:v>1.5113049396626157</c:v>
                </c:pt>
                <c:pt idx="154">
                  <c:v>1.4816751246576412</c:v>
                </c:pt>
                <c:pt idx="155">
                  <c:v>1.4532063759003222</c:v>
                </c:pt>
                <c:pt idx="156">
                  <c:v>2.2900764290625992</c:v>
                </c:pt>
                <c:pt idx="157">
                  <c:v>2.2227230743692488</c:v>
                </c:pt>
                <c:pt idx="158">
                  <c:v>2.1594074186983034</c:v>
                </c:pt>
                <c:pt idx="159">
                  <c:v>2.0994554623708259</c:v>
                </c:pt>
                <c:pt idx="160">
                  <c:v>2.0428067810519814</c:v>
                </c:pt>
                <c:pt idx="161">
                  <c:v>1.9892100957219065</c:v>
                </c:pt>
                <c:pt idx="162">
                  <c:v>1.9382760914270185</c:v>
                </c:pt>
                <c:pt idx="163">
                  <c:v>1.8899634476894833</c:v>
                </c:pt>
                <c:pt idx="164">
                  <c:v>1.8440015362193813</c:v>
                </c:pt>
                <c:pt idx="165">
                  <c:v>1.8001800331192814</c:v>
                </c:pt>
                <c:pt idx="166">
                  <c:v>1.7583798726404238</c:v>
                </c:pt>
                <c:pt idx="167">
                  <c:v>1.71854722268036</c:v>
                </c:pt>
                <c:pt idx="168">
                  <c:v>1.6804485089215755</c:v>
                </c:pt>
                <c:pt idx="169">
                  <c:v>1.6439933589583278</c:v>
                </c:pt>
                <c:pt idx="170">
                  <c:v>1.6091647125019808</c:v>
                </c:pt>
                <c:pt idx="171">
                  <c:v>1.5757065015338607</c:v>
                </c:pt>
                <c:pt idx="172">
                  <c:v>1.5435493016874358</c:v>
                </c:pt>
                <c:pt idx="173">
                  <c:v>1.512827064010497</c:v>
                </c:pt>
                <c:pt idx="174">
                  <c:v>1.4832304324946137</c:v>
                </c:pt>
                <c:pt idx="175">
                  <c:v>1.4547119160873221</c:v>
                </c:pt>
                <c:pt idx="176">
                  <c:v>2.2923625729975003</c:v>
                </c:pt>
                <c:pt idx="177">
                  <c:v>2.2250962352999992</c:v>
                </c:pt>
                <c:pt idx="178">
                  <c:v>2.1616062359117962</c:v>
                </c:pt>
                <c:pt idx="179">
                  <c:v>2.1017605681924247</c:v>
                </c:pt>
                <c:pt idx="180">
                  <c:v>2.0451435264002447</c:v>
                </c:pt>
                <c:pt idx="181">
                  <c:v>1.9913645326231455</c:v>
                </c:pt>
                <c:pt idx="182">
                  <c:v>1.9403370113138385</c:v>
                </c:pt>
                <c:pt idx="183">
                  <c:v>1.8918467857657462</c:v>
                </c:pt>
                <c:pt idx="184">
                  <c:v>1.8457480439271889</c:v>
                </c:pt>
                <c:pt idx="185">
                  <c:v>1.8019226277471043</c:v>
                </c:pt>
                <c:pt idx="186">
                  <c:v>1.7601519389601195</c:v>
                </c:pt>
                <c:pt idx="187">
                  <c:v>1.7202399312630208</c:v>
                </c:pt>
                <c:pt idx="188">
                  <c:v>1.682140504715488</c:v>
                </c:pt>
                <c:pt idx="189">
                  <c:v>1.6457086453298442</c:v>
                </c:pt>
                <c:pt idx="190">
                  <c:v>1.6107370403995589</c:v>
                </c:pt>
                <c:pt idx="191">
                  <c:v>1.5772881660645666</c:v>
                </c:pt>
                <c:pt idx="192">
                  <c:v>1.5451878565070398</c:v>
                </c:pt>
                <c:pt idx="193">
                  <c:v>1.5143400082429199</c:v>
                </c:pt>
                <c:pt idx="194">
                  <c:v>1.4847405932476903</c:v>
                </c:pt>
                <c:pt idx="195">
                  <c:v>1.4562605070533496</c:v>
                </c:pt>
                <c:pt idx="196">
                  <c:v>2.2948271847942703</c:v>
                </c:pt>
                <c:pt idx="197">
                  <c:v>2.2273840303877095</c:v>
                </c:pt>
                <c:pt idx="198">
                  <c:v>2.1638624830351572</c:v>
                </c:pt>
                <c:pt idx="199">
                  <c:v>2.1037852481769366</c:v>
                </c:pt>
                <c:pt idx="200">
                  <c:v>2.0469482130762224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7600"/>
        <c:axId val="98130176"/>
      </c:scatterChart>
      <c:valAx>
        <c:axId val="98137600"/>
        <c:scaling>
          <c:orientation val="minMax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98130176"/>
        <c:crosses val="autoZero"/>
        <c:crossBetween val="midCat"/>
      </c:valAx>
      <c:valAx>
        <c:axId val="981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3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</xdr:row>
      <xdr:rowOff>85725</xdr:rowOff>
    </xdr:from>
    <xdr:to>
      <xdr:col>16</xdr:col>
      <xdr:colOff>338137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233362</xdr:colOff>
      <xdr:row>18</xdr:row>
      <xdr:rowOff>9525</xdr:rowOff>
    </xdr:from>
    <xdr:to>
      <xdr:col>8</xdr:col>
      <xdr:colOff>185737</xdr:colOff>
      <xdr:row>32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</xdr:colOff>
      <xdr:row>18</xdr:row>
      <xdr:rowOff>9525</xdr:rowOff>
    </xdr:from>
    <xdr:to>
      <xdr:col>16</xdr:col>
      <xdr:colOff>328612</xdr:colOff>
      <xdr:row>32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7ZpotrVXkxR2QG9aUfUwE5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UoStbNR06woG8oUkrtfuTC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GB" sz="1100"/>
            <a:t>R4GSC0I7Otd250v0f75krl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5"/>
  <sheetViews>
    <sheetView tabSelected="1" topLeftCell="B1" workbookViewId="0"/>
  </sheetViews>
  <sheetFormatPr defaultRowHeight="15" x14ac:dyDescent="0.25"/>
  <cols>
    <col min="2" max="2" width="19.85546875" bestFit="1" customWidth="1"/>
    <col min="3" max="3" width="19.85546875" customWidth="1"/>
    <col min="4" max="4" width="9.28515625" bestFit="1" customWidth="1"/>
    <col min="5" max="5" width="12" bestFit="1" customWidth="1"/>
    <col min="6" max="6" width="9.85546875" bestFit="1" customWidth="1"/>
  </cols>
  <sheetData>
    <row r="1" spans="1:8" x14ac:dyDescent="0.25">
      <c r="B1" t="s">
        <v>4</v>
      </c>
      <c r="C1" t="s">
        <v>8</v>
      </c>
      <c r="D1">
        <v>0.1</v>
      </c>
    </row>
    <row r="3" spans="1:8" x14ac:dyDescent="0.25">
      <c r="A3" t="s">
        <v>1</v>
      </c>
    </row>
    <row r="4" spans="1:8" x14ac:dyDescent="0.25">
      <c r="A4" t="s">
        <v>0</v>
      </c>
      <c r="B4" t="s">
        <v>5</v>
      </c>
      <c r="C4" t="s">
        <v>9</v>
      </c>
      <c r="D4" t="s">
        <v>2</v>
      </c>
      <c r="E4" t="s">
        <v>3</v>
      </c>
      <c r="F4" t="s">
        <v>10</v>
      </c>
      <c r="G4" t="s">
        <v>7</v>
      </c>
      <c r="H4" t="s">
        <v>6</v>
      </c>
    </row>
    <row r="5" spans="1:8" x14ac:dyDescent="0.25">
      <c r="A5">
        <v>0</v>
      </c>
      <c r="D5">
        <v>10</v>
      </c>
      <c r="E5">
        <v>1</v>
      </c>
      <c r="G5">
        <v>5</v>
      </c>
      <c r="H5">
        <v>1.5</v>
      </c>
    </row>
    <row r="6" spans="1:8" x14ac:dyDescent="0.25">
      <c r="A6">
        <v>1</v>
      </c>
      <c r="B6">
        <f>IF(H5&gt;E5,$D$1,0)</f>
        <v>0.1</v>
      </c>
      <c r="D6">
        <f>D5-B6*(A6-A5)+C6</f>
        <v>9.9</v>
      </c>
      <c r="E6">
        <f ca="1">E5*D5/D6/(1 + RAND()/10000)</f>
        <v>1.0100287491004256</v>
      </c>
      <c r="G6">
        <f>G5+B6*(A6-A5)-F6</f>
        <v>5.0999999999999996</v>
      </c>
      <c r="H6">
        <f ca="1">H5*G5/G6*(1 + RAND()/10000)</f>
        <v>1.4706141405313613</v>
      </c>
    </row>
    <row r="7" spans="1:8" x14ac:dyDescent="0.25">
      <c r="A7">
        <v>2</v>
      </c>
      <c r="B7">
        <f ca="1">IF(H6&gt;E6,$D$1,0)</f>
        <v>0.1</v>
      </c>
      <c r="D7">
        <f t="shared" ref="D7:D26" ca="1" si="0">D6-B7*(A7-A6)+C7</f>
        <v>9.8000000000000007</v>
      </c>
      <c r="E7">
        <f t="shared" ref="E7:E70" ca="1" si="1">E6*D6/D7*(1 + RAND()/10000)</f>
        <v>1.0204364372072938</v>
      </c>
      <c r="G7">
        <f t="shared" ref="G7:G26" ca="1" si="2">G6+B7*(A7-A6)-F7</f>
        <v>5.1999999999999993</v>
      </c>
      <c r="H7">
        <f t="shared" ref="H7:H70" ca="1" si="3">H6*G6/G7*(1 + RAND()/10000)</f>
        <v>1.4423811692891035</v>
      </c>
    </row>
    <row r="8" spans="1:8" x14ac:dyDescent="0.25">
      <c r="A8">
        <v>3</v>
      </c>
      <c r="B8">
        <f ca="1">IF(H7&gt;E7,$D$1,0)</f>
        <v>0.1</v>
      </c>
      <c r="D8">
        <f t="shared" ca="1" si="0"/>
        <v>9.7000000000000011</v>
      </c>
      <c r="E8">
        <f t="shared" ca="1" si="1"/>
        <v>1.0310320286645394</v>
      </c>
      <c r="G8">
        <f t="shared" ca="1" si="2"/>
        <v>5.2999999999999989</v>
      </c>
      <c r="H8">
        <f t="shared" ca="1" si="3"/>
        <v>1.4152178077903581</v>
      </c>
    </row>
    <row r="9" spans="1:8" x14ac:dyDescent="0.25">
      <c r="A9">
        <v>4</v>
      </c>
      <c r="B9">
        <f ca="1">IF(H8&gt;E8,$D$1,0)</f>
        <v>0.1</v>
      </c>
      <c r="D9">
        <f t="shared" ca="1" si="0"/>
        <v>9.6000000000000014</v>
      </c>
      <c r="E9">
        <f t="shared" ca="1" si="1"/>
        <v>1.0418228665870159</v>
      </c>
      <c r="G9">
        <f t="shared" ca="1" si="2"/>
        <v>5.3999999999999986</v>
      </c>
      <c r="H9">
        <f t="shared" ca="1" si="3"/>
        <v>1.3890114670786569</v>
      </c>
    </row>
    <row r="10" spans="1:8" x14ac:dyDescent="0.25">
      <c r="A10">
        <v>5</v>
      </c>
      <c r="B10">
        <f ca="1">IF(H9&gt;E9,$D$1,0)</f>
        <v>0.1</v>
      </c>
      <c r="D10">
        <f t="shared" ca="1" si="0"/>
        <v>9.5000000000000018</v>
      </c>
      <c r="E10">
        <f t="shared" ca="1" si="1"/>
        <v>1.052843784192478</v>
      </c>
      <c r="G10">
        <f t="shared" ca="1" si="2"/>
        <v>5.4999999999999982</v>
      </c>
      <c r="H10">
        <f t="shared" ca="1" si="3"/>
        <v>1.3638707818398916</v>
      </c>
    </row>
    <row r="11" spans="1:8" x14ac:dyDescent="0.25">
      <c r="A11">
        <v>6</v>
      </c>
      <c r="B11">
        <f ca="1">IF(H10&gt;E10,$D$1,0)</f>
        <v>0.1</v>
      </c>
      <c r="D11">
        <f t="shared" ca="1" si="0"/>
        <v>9.4000000000000021</v>
      </c>
      <c r="E11">
        <f t="shared" ca="1" si="1"/>
        <v>1.0641360334914391</v>
      </c>
      <c r="G11">
        <f t="shared" ca="1" si="2"/>
        <v>5.5999999999999979</v>
      </c>
      <c r="H11">
        <f t="shared" ca="1" si="3"/>
        <v>1.3395593251381819</v>
      </c>
    </row>
    <row r="12" spans="1:8" x14ac:dyDescent="0.25">
      <c r="A12">
        <v>7</v>
      </c>
      <c r="B12">
        <f ca="1">IF(H11&gt;E11,$D$1,0)</f>
        <v>0.1</v>
      </c>
      <c r="D12">
        <f t="shared" ca="1" si="0"/>
        <v>9.3000000000000025</v>
      </c>
      <c r="E12">
        <f t="shared" ca="1" si="1"/>
        <v>1.0756329807636986</v>
      </c>
      <c r="G12">
        <f t="shared" ca="1" si="2"/>
        <v>5.6999999999999975</v>
      </c>
      <c r="H12">
        <f t="shared" ca="1" si="3"/>
        <v>1.3161299690755224</v>
      </c>
    </row>
    <row r="13" spans="1:8" x14ac:dyDescent="0.25">
      <c r="A13">
        <v>8</v>
      </c>
      <c r="B13">
        <f ca="1">IF(H12&gt;E12,$D$1,0)</f>
        <v>0.1</v>
      </c>
      <c r="D13">
        <f t="shared" ca="1" si="0"/>
        <v>9.2000000000000028</v>
      </c>
      <c r="E13">
        <f t="shared" ca="1" si="1"/>
        <v>1.0874007066287088</v>
      </c>
      <c r="G13">
        <f t="shared" ca="1" si="2"/>
        <v>5.7999999999999972</v>
      </c>
      <c r="H13">
        <f t="shared" ca="1" si="3"/>
        <v>1.2935474546723915</v>
      </c>
    </row>
    <row r="14" spans="1:8" x14ac:dyDescent="0.25">
      <c r="A14">
        <v>9</v>
      </c>
      <c r="B14">
        <f ca="1">IF(H13&gt;E13,$D$1,0)</f>
        <v>0.1</v>
      </c>
      <c r="D14">
        <f t="shared" ca="1" si="0"/>
        <v>9.1000000000000032</v>
      </c>
      <c r="E14">
        <f t="shared" ca="1" si="1"/>
        <v>1.0993927446422294</v>
      </c>
      <c r="G14">
        <f t="shared" ca="1" si="2"/>
        <v>5.8999999999999968</v>
      </c>
      <c r="H14">
        <f t="shared" ca="1" si="3"/>
        <v>1.2716796999711848</v>
      </c>
    </row>
    <row r="15" spans="1:8" x14ac:dyDescent="0.25">
      <c r="A15">
        <v>10</v>
      </c>
      <c r="B15">
        <f ca="1">IF(H14&gt;E14,$D$1,0)</f>
        <v>0.1</v>
      </c>
      <c r="D15">
        <f t="shared" ca="1" si="0"/>
        <v>9.0000000000000036</v>
      </c>
      <c r="E15">
        <f t="shared" ca="1" si="1"/>
        <v>1.1116411713576608</v>
      </c>
      <c r="G15">
        <f t="shared" ca="1" si="2"/>
        <v>5.9999999999999964</v>
      </c>
      <c r="H15">
        <f t="shared" ca="1" si="3"/>
        <v>1.2505002892246202</v>
      </c>
    </row>
    <row r="16" spans="1:8" x14ac:dyDescent="0.25">
      <c r="A16">
        <v>11</v>
      </c>
      <c r="B16">
        <f ca="1">IF(H15&gt;E15,$D$1,0)</f>
        <v>0.1</v>
      </c>
      <c r="D16">
        <f t="shared" ca="1" si="0"/>
        <v>8.9000000000000039</v>
      </c>
      <c r="E16">
        <f t="shared" ca="1" si="1"/>
        <v>1.1241400767135614</v>
      </c>
      <c r="G16">
        <f t="shared" ca="1" si="2"/>
        <v>6.0999999999999961</v>
      </c>
      <c r="H16">
        <f t="shared" ca="1" si="3"/>
        <v>1.23006777521886</v>
      </c>
    </row>
    <row r="17" spans="1:8" x14ac:dyDescent="0.25">
      <c r="A17">
        <v>12</v>
      </c>
      <c r="B17">
        <f ca="1">IF(H16&gt;E16,$D$1,0)</f>
        <v>0.1</v>
      </c>
      <c r="D17">
        <f t="shared" ca="1" si="0"/>
        <v>8.8000000000000043</v>
      </c>
      <c r="E17">
        <f t="shared" ca="1" si="1"/>
        <v>1.1370277421828856</v>
      </c>
      <c r="G17">
        <f t="shared" ca="1" si="2"/>
        <v>6.1999999999999957</v>
      </c>
      <c r="H17">
        <f t="shared" ca="1" si="3"/>
        <v>1.2103386270975203</v>
      </c>
    </row>
    <row r="18" spans="1:8" x14ac:dyDescent="0.25">
      <c r="A18">
        <v>13</v>
      </c>
      <c r="B18">
        <f ca="1">IF(H17&gt;E17,$D$1,0)</f>
        <v>0.1</v>
      </c>
      <c r="D18">
        <f t="shared" ca="1" si="0"/>
        <v>8.7000000000000046</v>
      </c>
      <c r="E18">
        <f t="shared" ca="1" si="1"/>
        <v>1.1501280838293833</v>
      </c>
      <c r="G18">
        <f t="shared" ca="1" si="2"/>
        <v>6.2999999999999954</v>
      </c>
      <c r="H18">
        <f t="shared" ca="1" si="3"/>
        <v>1.1911390479434385</v>
      </c>
    </row>
    <row r="19" spans="1:8" x14ac:dyDescent="0.25">
      <c r="A19">
        <v>14</v>
      </c>
      <c r="B19">
        <f ca="1">IF(H18&gt;E18,$D$1,0)</f>
        <v>0.1</v>
      </c>
      <c r="D19">
        <f t="shared" ca="1" si="0"/>
        <v>8.600000000000005</v>
      </c>
      <c r="E19">
        <f t="shared" ca="1" si="1"/>
        <v>1.1635681706662842</v>
      </c>
      <c r="G19">
        <f t="shared" ca="1" si="2"/>
        <v>6.399999999999995</v>
      </c>
      <c r="H19">
        <f t="shared" ca="1" si="3"/>
        <v>1.1725493783222876</v>
      </c>
    </row>
    <row r="20" spans="1:8" x14ac:dyDescent="0.25">
      <c r="A20">
        <v>15</v>
      </c>
      <c r="B20">
        <f ca="1">IF(H19&gt;E19,$D$1,0)</f>
        <v>0.1</v>
      </c>
      <c r="D20">
        <f t="shared" ca="1" si="0"/>
        <v>8.5000000000000053</v>
      </c>
      <c r="E20">
        <f t="shared" ca="1" si="1"/>
        <v>1.1773162702298032</v>
      </c>
      <c r="G20">
        <f t="shared" ca="1" si="2"/>
        <v>6.4999999999999947</v>
      </c>
      <c r="H20">
        <f t="shared" ca="1" si="3"/>
        <v>1.1545479820280049</v>
      </c>
    </row>
    <row r="21" spans="1:8" x14ac:dyDescent="0.25">
      <c r="A21">
        <v>16</v>
      </c>
      <c r="B21">
        <f ca="1">IF(H20&gt;E20,$D$1,0)</f>
        <v>0</v>
      </c>
      <c r="D21">
        <f t="shared" ca="1" si="0"/>
        <v>8.5000000000000053</v>
      </c>
      <c r="E21">
        <f t="shared" ca="1" si="1"/>
        <v>1.177319229966673</v>
      </c>
      <c r="F21">
        <v>2</v>
      </c>
      <c r="G21">
        <f t="shared" ca="1" si="2"/>
        <v>4.4999999999999947</v>
      </c>
      <c r="H21">
        <f t="shared" ca="1" si="3"/>
        <v>1.6676925347716911</v>
      </c>
    </row>
    <row r="22" spans="1:8" x14ac:dyDescent="0.25">
      <c r="A22">
        <v>17</v>
      </c>
      <c r="B22">
        <f ca="1">IF(H21&gt;E21,$D$1,0)</f>
        <v>0.1</v>
      </c>
      <c r="D22">
        <f t="shared" ca="1" si="0"/>
        <v>8.4000000000000057</v>
      </c>
      <c r="E22">
        <f t="shared" ca="1" si="1"/>
        <v>1.1914095218722667</v>
      </c>
      <c r="G22">
        <f t="shared" ca="1" si="2"/>
        <v>4.5999999999999943</v>
      </c>
      <c r="H22">
        <f t="shared" ca="1" si="3"/>
        <v>1.6314799714539521</v>
      </c>
    </row>
    <row r="23" spans="1:8" x14ac:dyDescent="0.25">
      <c r="A23">
        <v>18</v>
      </c>
      <c r="B23">
        <f ca="1">IF(H22&gt;E22,$D$1,0)</f>
        <v>0.1</v>
      </c>
      <c r="D23">
        <f t="shared" ca="1" si="0"/>
        <v>8.300000000000006</v>
      </c>
      <c r="E23">
        <f t="shared" ca="1" si="1"/>
        <v>1.2057890053630043</v>
      </c>
      <c r="G23">
        <f t="shared" ca="1" si="2"/>
        <v>4.699999999999994</v>
      </c>
      <c r="H23">
        <f t="shared" ca="1" si="3"/>
        <v>1.5968092017183726</v>
      </c>
    </row>
    <row r="24" spans="1:8" x14ac:dyDescent="0.25">
      <c r="A24">
        <v>19</v>
      </c>
      <c r="B24">
        <f ca="1">IF(H23&gt;E23,$D$1,0)</f>
        <v>0.1</v>
      </c>
      <c r="D24">
        <f t="shared" ca="1" si="0"/>
        <v>8.2000000000000064</v>
      </c>
      <c r="E24">
        <f t="shared" ca="1" si="1"/>
        <v>1.2205613839870402</v>
      </c>
      <c r="G24">
        <f t="shared" ca="1" si="2"/>
        <v>4.7999999999999936</v>
      </c>
      <c r="H24">
        <f t="shared" ca="1" si="3"/>
        <v>1.5636234642886151</v>
      </c>
    </row>
    <row r="25" spans="1:8" x14ac:dyDescent="0.25">
      <c r="A25">
        <v>20</v>
      </c>
      <c r="B25">
        <f ca="1">IF(H24&gt;E24,$D$1,0)</f>
        <v>0.1</v>
      </c>
      <c r="D25">
        <f t="shared" ca="1" si="0"/>
        <v>8.1000000000000068</v>
      </c>
      <c r="E25">
        <f t="shared" ca="1" si="1"/>
        <v>1.2357272102438479</v>
      </c>
      <c r="G25">
        <f t="shared" ca="1" si="2"/>
        <v>4.8999999999999932</v>
      </c>
      <c r="H25">
        <f t="shared" ca="1" si="3"/>
        <v>1.5318300149176292</v>
      </c>
    </row>
    <row r="26" spans="1:8" x14ac:dyDescent="0.25">
      <c r="A26">
        <v>21</v>
      </c>
      <c r="B26">
        <f t="shared" ref="B26:B89" ca="1" si="4">IF(H25&gt;E25,$D$1,0)</f>
        <v>0.1</v>
      </c>
      <c r="D26">
        <f t="shared" ca="1" si="0"/>
        <v>8.0000000000000071</v>
      </c>
      <c r="E26">
        <f t="shared" ca="1" si="1"/>
        <v>1.2511745517937982</v>
      </c>
      <c r="G26">
        <f t="shared" ca="1" si="2"/>
        <v>4.9999999999999929</v>
      </c>
      <c r="H26">
        <f t="shared" ca="1" si="3"/>
        <v>1.5012967311011951</v>
      </c>
    </row>
    <row r="27" spans="1:8" x14ac:dyDescent="0.25">
      <c r="A27">
        <v>22</v>
      </c>
      <c r="B27">
        <f t="shared" ca="1" si="4"/>
        <v>0.1</v>
      </c>
      <c r="D27">
        <f t="shared" ref="D27:D90" ca="1" si="5">D26-B27*(A27-A26)+C27</f>
        <v>7.9000000000000075</v>
      </c>
      <c r="E27">
        <f t="shared" ca="1" si="1"/>
        <v>1.2671351320855617</v>
      </c>
      <c r="G27">
        <f t="shared" ref="G27:G90" ca="1" si="6">G26+B27*(A27-A26)-F27</f>
        <v>5.0999999999999925</v>
      </c>
      <c r="H27">
        <f t="shared" ca="1" si="3"/>
        <v>1.4719838951118298</v>
      </c>
    </row>
    <row r="28" spans="1:8" x14ac:dyDescent="0.25">
      <c r="A28">
        <v>23</v>
      </c>
      <c r="B28">
        <f t="shared" ca="1" si="4"/>
        <v>0.1</v>
      </c>
      <c r="D28">
        <f t="shared" ca="1" si="5"/>
        <v>7.8000000000000078</v>
      </c>
      <c r="E28">
        <f t="shared" ca="1" si="1"/>
        <v>1.2834608820606992</v>
      </c>
      <c r="G28">
        <f t="shared" ca="1" si="6"/>
        <v>5.1999999999999922</v>
      </c>
      <c r="H28">
        <f t="shared" ca="1" si="3"/>
        <v>1.4437185099826377</v>
      </c>
    </row>
    <row r="29" spans="1:8" x14ac:dyDescent="0.25">
      <c r="A29">
        <v>24</v>
      </c>
      <c r="B29">
        <f t="shared" ca="1" si="4"/>
        <v>0.1</v>
      </c>
      <c r="D29">
        <f t="shared" ca="1" si="5"/>
        <v>7.7000000000000082</v>
      </c>
      <c r="E29">
        <f t="shared" ca="1" si="1"/>
        <v>1.3001802045472373</v>
      </c>
      <c r="G29">
        <f t="shared" ca="1" si="6"/>
        <v>5.2999999999999918</v>
      </c>
      <c r="H29">
        <f t="shared" ca="1" si="3"/>
        <v>1.4165074958446084</v>
      </c>
    </row>
    <row r="30" spans="1:8" x14ac:dyDescent="0.25">
      <c r="A30">
        <v>25</v>
      </c>
      <c r="B30">
        <f t="shared" ca="1" si="4"/>
        <v>0.1</v>
      </c>
      <c r="D30">
        <f t="shared" ca="1" si="5"/>
        <v>7.6000000000000085</v>
      </c>
      <c r="E30">
        <f t="shared" ca="1" si="1"/>
        <v>1.3173927564036898</v>
      </c>
      <c r="G30">
        <f t="shared" ca="1" si="6"/>
        <v>5.3999999999999915</v>
      </c>
      <c r="H30">
        <f t="shared" ca="1" si="3"/>
        <v>1.3903646983325144</v>
      </c>
    </row>
    <row r="31" spans="1:8" x14ac:dyDescent="0.25">
      <c r="A31">
        <v>26</v>
      </c>
      <c r="B31">
        <f t="shared" ca="1" si="4"/>
        <v>0.1</v>
      </c>
      <c r="D31">
        <f t="shared" ca="1" si="5"/>
        <v>7.5000000000000089</v>
      </c>
      <c r="E31">
        <f t="shared" ca="1" si="1"/>
        <v>1.3350677751327917</v>
      </c>
      <c r="G31">
        <f t="shared" ca="1" si="6"/>
        <v>5.4999999999999911</v>
      </c>
      <c r="H31">
        <f t="shared" ca="1" si="3"/>
        <v>1.3651135404595458</v>
      </c>
    </row>
    <row r="32" spans="1:8" x14ac:dyDescent="0.25">
      <c r="A32">
        <v>27</v>
      </c>
      <c r="B32">
        <f t="shared" ca="1" si="4"/>
        <v>0.1</v>
      </c>
      <c r="D32">
        <f t="shared" ca="1" si="5"/>
        <v>7.4000000000000092</v>
      </c>
      <c r="E32">
        <f t="shared" ca="1" si="1"/>
        <v>1.3531805443362901</v>
      </c>
      <c r="G32">
        <f t="shared" ca="1" si="6"/>
        <v>5.5999999999999908</v>
      </c>
      <c r="H32">
        <f t="shared" ca="1" si="3"/>
        <v>1.3408168259616564</v>
      </c>
    </row>
    <row r="33" spans="1:8" x14ac:dyDescent="0.25">
      <c r="A33">
        <v>28</v>
      </c>
      <c r="B33">
        <f t="shared" ca="1" si="4"/>
        <v>0</v>
      </c>
      <c r="D33">
        <f t="shared" ca="1" si="5"/>
        <v>7.4000000000000092</v>
      </c>
      <c r="E33">
        <f t="shared" ca="1" si="1"/>
        <v>1.3531925405321286</v>
      </c>
      <c r="G33">
        <f t="shared" ca="1" si="6"/>
        <v>5.5999999999999908</v>
      </c>
      <c r="H33">
        <f t="shared" ca="1" si="3"/>
        <v>1.3408544955283908</v>
      </c>
    </row>
    <row r="34" spans="1:8" x14ac:dyDescent="0.25">
      <c r="A34">
        <v>29</v>
      </c>
      <c r="B34">
        <f t="shared" ca="1" si="4"/>
        <v>0</v>
      </c>
      <c r="D34">
        <f t="shared" ca="1" si="5"/>
        <v>7.4000000000000092</v>
      </c>
      <c r="E34">
        <f t="shared" ca="1" si="1"/>
        <v>1.3532899637036084</v>
      </c>
      <c r="G34">
        <f t="shared" ca="1" si="6"/>
        <v>5.5999999999999908</v>
      </c>
      <c r="H34">
        <f t="shared" ca="1" si="3"/>
        <v>1.3409000386674568</v>
      </c>
    </row>
    <row r="35" spans="1:8" x14ac:dyDescent="0.25">
      <c r="A35">
        <v>30</v>
      </c>
      <c r="B35">
        <f t="shared" ca="1" si="4"/>
        <v>0</v>
      </c>
      <c r="D35">
        <f t="shared" ca="1" si="5"/>
        <v>7.4000000000000092</v>
      </c>
      <c r="E35">
        <f t="shared" ca="1" si="1"/>
        <v>1.3533185581559057</v>
      </c>
      <c r="G35">
        <f t="shared" ca="1" si="6"/>
        <v>5.5999999999999908</v>
      </c>
      <c r="H35">
        <f t="shared" ca="1" si="3"/>
        <v>1.34102940102983</v>
      </c>
    </row>
    <row r="36" spans="1:8" x14ac:dyDescent="0.25">
      <c r="A36">
        <v>31</v>
      </c>
      <c r="B36">
        <f t="shared" ca="1" si="4"/>
        <v>0</v>
      </c>
      <c r="D36">
        <f t="shared" ca="1" si="5"/>
        <v>7.4000000000000092</v>
      </c>
      <c r="E36">
        <f t="shared" ca="1" si="1"/>
        <v>1.3533444341948775</v>
      </c>
      <c r="G36">
        <f t="shared" ca="1" si="6"/>
        <v>5.5999999999999908</v>
      </c>
      <c r="H36">
        <f t="shared" ca="1" si="3"/>
        <v>1.3411532957525825</v>
      </c>
    </row>
    <row r="37" spans="1:8" x14ac:dyDescent="0.25">
      <c r="A37">
        <v>32</v>
      </c>
      <c r="B37">
        <f t="shared" ca="1" si="4"/>
        <v>0</v>
      </c>
      <c r="D37">
        <f t="shared" ca="1" si="5"/>
        <v>7.4000000000000092</v>
      </c>
      <c r="E37">
        <f t="shared" ca="1" si="1"/>
        <v>1.3533829596297553</v>
      </c>
      <c r="G37">
        <f t="shared" ca="1" si="6"/>
        <v>5.5999999999999908</v>
      </c>
      <c r="H37">
        <f t="shared" ca="1" si="3"/>
        <v>1.3412535578451381</v>
      </c>
    </row>
    <row r="38" spans="1:8" x14ac:dyDescent="0.25">
      <c r="A38">
        <v>33</v>
      </c>
      <c r="B38">
        <f t="shared" ca="1" si="4"/>
        <v>0</v>
      </c>
      <c r="D38">
        <f t="shared" ca="1" si="5"/>
        <v>7.4000000000000092</v>
      </c>
      <c r="E38">
        <f t="shared" ca="1" si="1"/>
        <v>1.3534042510559341</v>
      </c>
      <c r="G38">
        <f t="shared" ca="1" si="6"/>
        <v>5.5999999999999908</v>
      </c>
      <c r="H38">
        <f t="shared" ca="1" si="3"/>
        <v>1.3413873081977881</v>
      </c>
    </row>
    <row r="39" spans="1:8" x14ac:dyDescent="0.25">
      <c r="A39">
        <v>34</v>
      </c>
      <c r="B39">
        <f t="shared" ca="1" si="4"/>
        <v>0</v>
      </c>
      <c r="D39">
        <f t="shared" ca="1" si="5"/>
        <v>7.4000000000000092</v>
      </c>
      <c r="E39">
        <f t="shared" ca="1" si="1"/>
        <v>1.3534841310296031</v>
      </c>
      <c r="G39">
        <f t="shared" ca="1" si="6"/>
        <v>5.5999999999999908</v>
      </c>
      <c r="H39">
        <f t="shared" ca="1" si="3"/>
        <v>1.3413997444548378</v>
      </c>
    </row>
    <row r="40" spans="1:8" x14ac:dyDescent="0.25">
      <c r="A40">
        <v>35</v>
      </c>
      <c r="B40">
        <f t="shared" ca="1" si="4"/>
        <v>0</v>
      </c>
      <c r="D40">
        <f t="shared" ca="1" si="5"/>
        <v>7.4000000000000092</v>
      </c>
      <c r="E40">
        <f t="shared" ca="1" si="1"/>
        <v>1.3535042687184222</v>
      </c>
      <c r="G40">
        <f t="shared" ca="1" si="6"/>
        <v>5.5999999999999908</v>
      </c>
      <c r="H40">
        <f t="shared" ca="1" si="3"/>
        <v>1.3415169729773684</v>
      </c>
    </row>
    <row r="41" spans="1:8" x14ac:dyDescent="0.25">
      <c r="A41">
        <v>36</v>
      </c>
      <c r="B41">
        <f t="shared" ca="1" si="4"/>
        <v>0</v>
      </c>
      <c r="D41">
        <f t="shared" ca="1" si="5"/>
        <v>7.4000000000000092</v>
      </c>
      <c r="E41">
        <f t="shared" ca="1" si="1"/>
        <v>1.3535567735079603</v>
      </c>
      <c r="F41">
        <v>2</v>
      </c>
      <c r="G41">
        <f t="shared" ca="1" si="6"/>
        <v>3.5999999999999908</v>
      </c>
      <c r="H41">
        <f t="shared" ca="1" si="3"/>
        <v>2.0869407534878532</v>
      </c>
    </row>
    <row r="42" spans="1:8" x14ac:dyDescent="0.25">
      <c r="A42">
        <v>37</v>
      </c>
      <c r="B42">
        <f t="shared" ca="1" si="4"/>
        <v>0.1</v>
      </c>
      <c r="D42">
        <f t="shared" ca="1" si="5"/>
        <v>7.3000000000000096</v>
      </c>
      <c r="E42">
        <f t="shared" ca="1" si="1"/>
        <v>1.3722254825905804</v>
      </c>
      <c r="G42">
        <f t="shared" ca="1" si="6"/>
        <v>3.6999999999999909</v>
      </c>
      <c r="H42">
        <f t="shared" ca="1" si="3"/>
        <v>2.0306423450881876</v>
      </c>
    </row>
    <row r="43" spans="1:8" x14ac:dyDescent="0.25">
      <c r="A43">
        <v>38</v>
      </c>
      <c r="B43">
        <f t="shared" ca="1" si="4"/>
        <v>0.1</v>
      </c>
      <c r="D43">
        <f t="shared" ca="1" si="5"/>
        <v>7.2000000000000099</v>
      </c>
      <c r="E43">
        <f t="shared" ca="1" si="1"/>
        <v>1.3913099807290819</v>
      </c>
      <c r="G43">
        <f t="shared" ca="1" si="6"/>
        <v>3.7999999999999909</v>
      </c>
      <c r="H43">
        <f t="shared" ca="1" si="3"/>
        <v>1.9772868099869445</v>
      </c>
    </row>
    <row r="44" spans="1:8" x14ac:dyDescent="0.25">
      <c r="A44">
        <v>39</v>
      </c>
      <c r="B44">
        <f t="shared" ca="1" si="4"/>
        <v>0.1</v>
      </c>
      <c r="D44">
        <f t="shared" ca="1" si="5"/>
        <v>7.1000000000000103</v>
      </c>
      <c r="E44">
        <f t="shared" ca="1" si="1"/>
        <v>1.4109851733170762</v>
      </c>
      <c r="G44">
        <f t="shared" ca="1" si="6"/>
        <v>3.899999999999991</v>
      </c>
      <c r="H44">
        <f t="shared" ca="1" si="3"/>
        <v>1.926675854746928</v>
      </c>
    </row>
    <row r="45" spans="1:8" x14ac:dyDescent="0.25">
      <c r="A45">
        <v>40</v>
      </c>
      <c r="B45">
        <f t="shared" ca="1" si="4"/>
        <v>0.1</v>
      </c>
      <c r="D45">
        <f t="shared" ca="1" si="5"/>
        <v>7.0000000000000107</v>
      </c>
      <c r="E45">
        <f t="shared" ca="1" si="1"/>
        <v>1.4312619580853214</v>
      </c>
      <c r="G45">
        <f t="shared" ca="1" si="6"/>
        <v>3.9999999999999911</v>
      </c>
      <c r="H45">
        <f t="shared" ca="1" si="3"/>
        <v>1.8786034486282517</v>
      </c>
    </row>
    <row r="46" spans="1:8" x14ac:dyDescent="0.25">
      <c r="A46">
        <v>41</v>
      </c>
      <c r="B46">
        <f t="shared" ca="1" si="4"/>
        <v>0.1</v>
      </c>
      <c r="D46">
        <f t="shared" ca="1" si="5"/>
        <v>6.900000000000011</v>
      </c>
      <c r="E46">
        <f t="shared" ca="1" si="1"/>
        <v>1.4520820842179898</v>
      </c>
      <c r="G46">
        <f t="shared" ca="1" si="6"/>
        <v>4.0999999999999908</v>
      </c>
      <c r="H46">
        <f t="shared" ca="1" si="3"/>
        <v>1.8328451982267722</v>
      </c>
    </row>
    <row r="47" spans="1:8" x14ac:dyDescent="0.25">
      <c r="A47">
        <v>42</v>
      </c>
      <c r="B47">
        <f t="shared" ca="1" si="4"/>
        <v>0.1</v>
      </c>
      <c r="D47">
        <f t="shared" ca="1" si="5"/>
        <v>6.8000000000000114</v>
      </c>
      <c r="E47">
        <f t="shared" ca="1" si="1"/>
        <v>1.4734469875303926</v>
      </c>
      <c r="G47">
        <f t="shared" ca="1" si="6"/>
        <v>4.1999999999999904</v>
      </c>
      <c r="H47">
        <f t="shared" ca="1" si="3"/>
        <v>1.7893482860091423</v>
      </c>
    </row>
    <row r="48" spans="1:8" x14ac:dyDescent="0.25">
      <c r="A48">
        <v>43</v>
      </c>
      <c r="B48">
        <f t="shared" ca="1" si="4"/>
        <v>0.1</v>
      </c>
      <c r="D48">
        <f t="shared" ca="1" si="5"/>
        <v>6.7000000000000117</v>
      </c>
      <c r="E48">
        <f t="shared" ca="1" si="1"/>
        <v>1.4955489733652256</v>
      </c>
      <c r="G48">
        <f t="shared" ca="1" si="6"/>
        <v>4.2999999999999901</v>
      </c>
      <c r="H48">
        <f t="shared" ca="1" si="3"/>
        <v>1.7478615196882155</v>
      </c>
    </row>
    <row r="49" spans="1:8" x14ac:dyDescent="0.25">
      <c r="A49">
        <v>44</v>
      </c>
      <c r="B49">
        <f t="shared" ca="1" si="4"/>
        <v>0.1</v>
      </c>
      <c r="D49">
        <f t="shared" ca="1" si="5"/>
        <v>6.6000000000000121</v>
      </c>
      <c r="E49">
        <f t="shared" ca="1" si="1"/>
        <v>1.5183590739041346</v>
      </c>
      <c r="G49">
        <f t="shared" ca="1" si="6"/>
        <v>4.3999999999999897</v>
      </c>
      <c r="H49">
        <f t="shared" ca="1" si="3"/>
        <v>1.708272472343062</v>
      </c>
    </row>
    <row r="50" spans="1:8" x14ac:dyDescent="0.25">
      <c r="A50">
        <v>45</v>
      </c>
      <c r="B50">
        <f t="shared" ca="1" si="4"/>
        <v>0.1</v>
      </c>
      <c r="D50">
        <f t="shared" ca="1" si="5"/>
        <v>6.5000000000000124</v>
      </c>
      <c r="E50">
        <f t="shared" ca="1" si="1"/>
        <v>1.5418713588884811</v>
      </c>
      <c r="G50">
        <f t="shared" ca="1" si="6"/>
        <v>4.4999999999999893</v>
      </c>
      <c r="H50">
        <f t="shared" ca="1" si="3"/>
        <v>1.6704686600229808</v>
      </c>
    </row>
    <row r="51" spans="1:8" x14ac:dyDescent="0.25">
      <c r="A51">
        <v>46</v>
      </c>
      <c r="B51">
        <f t="shared" ca="1" si="4"/>
        <v>0.1</v>
      </c>
      <c r="D51">
        <f t="shared" ca="1" si="5"/>
        <v>6.4000000000000128</v>
      </c>
      <c r="E51">
        <f t="shared" ca="1" si="1"/>
        <v>1.5659757412853179</v>
      </c>
      <c r="G51">
        <f t="shared" ca="1" si="6"/>
        <v>4.599999999999989</v>
      </c>
      <c r="H51">
        <f t="shared" ca="1" si="3"/>
        <v>1.6342419523900849</v>
      </c>
    </row>
    <row r="52" spans="1:8" x14ac:dyDescent="0.25">
      <c r="A52">
        <v>47</v>
      </c>
      <c r="B52">
        <f t="shared" ca="1" si="4"/>
        <v>0.1</v>
      </c>
      <c r="D52">
        <f t="shared" ca="1" si="5"/>
        <v>6.3000000000000131</v>
      </c>
      <c r="E52">
        <f t="shared" ca="1" si="1"/>
        <v>1.5909863577927661</v>
      </c>
      <c r="G52">
        <f t="shared" ca="1" si="6"/>
        <v>4.6999999999999886</v>
      </c>
      <c r="H52">
        <f t="shared" ca="1" si="3"/>
        <v>1.5994775565926262</v>
      </c>
    </row>
    <row r="53" spans="1:8" x14ac:dyDescent="0.25">
      <c r="A53">
        <v>48</v>
      </c>
      <c r="B53">
        <f t="shared" ca="1" si="4"/>
        <v>0.1</v>
      </c>
      <c r="D53">
        <f t="shared" ca="1" si="5"/>
        <v>6.2000000000000135</v>
      </c>
      <c r="E53">
        <f t="shared" ca="1" si="1"/>
        <v>1.6166591455180153</v>
      </c>
      <c r="G53">
        <f t="shared" ca="1" si="6"/>
        <v>4.7999999999999883</v>
      </c>
      <c r="H53">
        <f t="shared" ca="1" si="3"/>
        <v>1.5662019655438246</v>
      </c>
    </row>
    <row r="54" spans="1:8" x14ac:dyDescent="0.25">
      <c r="A54">
        <v>49</v>
      </c>
      <c r="B54">
        <f t="shared" ca="1" si="4"/>
        <v>0</v>
      </c>
      <c r="D54">
        <f t="shared" ca="1" si="5"/>
        <v>6.2000000000000135</v>
      </c>
      <c r="E54">
        <f t="shared" ca="1" si="1"/>
        <v>1.616789279552006</v>
      </c>
      <c r="G54">
        <f t="shared" ca="1" si="6"/>
        <v>4.7999999999999883</v>
      </c>
      <c r="H54">
        <f t="shared" ca="1" si="3"/>
        <v>1.566260858930228</v>
      </c>
    </row>
    <row r="55" spans="1:8" x14ac:dyDescent="0.25">
      <c r="A55">
        <v>50</v>
      </c>
      <c r="B55">
        <f t="shared" ca="1" si="4"/>
        <v>0</v>
      </c>
      <c r="D55">
        <f t="shared" ca="1" si="5"/>
        <v>6.2000000000000135</v>
      </c>
      <c r="E55">
        <f t="shared" ca="1" si="1"/>
        <v>1.6169295137322199</v>
      </c>
      <c r="G55">
        <f t="shared" ca="1" si="6"/>
        <v>4.7999999999999883</v>
      </c>
      <c r="H55">
        <f t="shared" ca="1" si="3"/>
        <v>1.566272775910716</v>
      </c>
    </row>
    <row r="56" spans="1:8" x14ac:dyDescent="0.25">
      <c r="A56">
        <v>51</v>
      </c>
      <c r="B56">
        <f t="shared" ca="1" si="4"/>
        <v>0</v>
      </c>
      <c r="C56">
        <v>4</v>
      </c>
      <c r="D56">
        <f t="shared" ca="1" si="5"/>
        <v>10.200000000000014</v>
      </c>
      <c r="E56">
        <f t="shared" ca="1" si="1"/>
        <v>0.98285779049474031</v>
      </c>
      <c r="G56">
        <f t="shared" ca="1" si="6"/>
        <v>4.7999999999999883</v>
      </c>
      <c r="H56">
        <f t="shared" ca="1" si="3"/>
        <v>1.5664116286193104</v>
      </c>
    </row>
    <row r="57" spans="1:8" x14ac:dyDescent="0.25">
      <c r="A57">
        <v>52</v>
      </c>
      <c r="B57">
        <f t="shared" ca="1" si="4"/>
        <v>0.1</v>
      </c>
      <c r="D57">
        <f t="shared" ca="1" si="5"/>
        <v>10.100000000000014</v>
      </c>
      <c r="E57">
        <f t="shared" ca="1" si="1"/>
        <v>0.99259019590791731</v>
      </c>
      <c r="G57">
        <f t="shared" ca="1" si="6"/>
        <v>4.8999999999999879</v>
      </c>
      <c r="H57">
        <f t="shared" ca="1" si="3"/>
        <v>1.534533115917134</v>
      </c>
    </row>
    <row r="58" spans="1:8" x14ac:dyDescent="0.25">
      <c r="A58">
        <v>53</v>
      </c>
      <c r="B58">
        <f t="shared" ca="1" si="4"/>
        <v>0.1</v>
      </c>
      <c r="D58">
        <f t="shared" ca="1" si="5"/>
        <v>10.000000000000014</v>
      </c>
      <c r="E58">
        <f t="shared" ca="1" si="1"/>
        <v>1.0025929329650163</v>
      </c>
      <c r="G58">
        <f t="shared" ca="1" si="6"/>
        <v>4.9999999999999876</v>
      </c>
      <c r="H58">
        <f t="shared" ca="1" si="3"/>
        <v>1.5039219744995349</v>
      </c>
    </row>
    <row r="59" spans="1:8" x14ac:dyDescent="0.25">
      <c r="A59">
        <v>54</v>
      </c>
      <c r="B59">
        <f t="shared" ca="1" si="4"/>
        <v>0.1</v>
      </c>
      <c r="D59">
        <f t="shared" ca="1" si="5"/>
        <v>9.9000000000000146</v>
      </c>
      <c r="E59">
        <f t="shared" ca="1" si="1"/>
        <v>1.0127769784048015</v>
      </c>
      <c r="G59">
        <f t="shared" ca="1" si="6"/>
        <v>5.0999999999999872</v>
      </c>
      <c r="H59">
        <f t="shared" ca="1" si="3"/>
        <v>1.474467374085584</v>
      </c>
    </row>
    <row r="60" spans="1:8" x14ac:dyDescent="0.25">
      <c r="A60">
        <v>55</v>
      </c>
      <c r="B60">
        <f t="shared" ca="1" si="4"/>
        <v>0.1</v>
      </c>
      <c r="D60">
        <f t="shared" ca="1" si="5"/>
        <v>9.8000000000000149</v>
      </c>
      <c r="E60">
        <f t="shared" ca="1" si="1"/>
        <v>1.0231998668217768</v>
      </c>
      <c r="G60">
        <f t="shared" ca="1" si="6"/>
        <v>5.1999999999999869</v>
      </c>
      <c r="H60">
        <f t="shared" ca="1" si="3"/>
        <v>1.4462431235460433</v>
      </c>
    </row>
    <row r="61" spans="1:8" x14ac:dyDescent="0.25">
      <c r="A61">
        <v>56</v>
      </c>
      <c r="B61">
        <f t="shared" ca="1" si="4"/>
        <v>0.1</v>
      </c>
      <c r="D61">
        <f t="shared" ca="1" si="5"/>
        <v>9.7000000000000153</v>
      </c>
      <c r="E61">
        <f t="shared" ca="1" si="1"/>
        <v>1.0338097597472538</v>
      </c>
      <c r="F61">
        <v>2</v>
      </c>
      <c r="G61">
        <f t="shared" ca="1" si="6"/>
        <v>3.2999999999999865</v>
      </c>
      <c r="H61">
        <f t="shared" ca="1" si="3"/>
        <v>2.2789366130353246</v>
      </c>
    </row>
    <row r="62" spans="1:8" x14ac:dyDescent="0.25">
      <c r="A62">
        <v>57</v>
      </c>
      <c r="B62">
        <f t="shared" ca="1" si="4"/>
        <v>0.1</v>
      </c>
      <c r="D62">
        <f t="shared" ca="1" si="5"/>
        <v>9.6000000000000156</v>
      </c>
      <c r="E62">
        <f t="shared" ca="1" si="1"/>
        <v>1.044605228296787</v>
      </c>
      <c r="G62">
        <f t="shared" ca="1" si="6"/>
        <v>3.3999999999999866</v>
      </c>
      <c r="H62">
        <f t="shared" ca="1" si="3"/>
        <v>2.2120984492360458</v>
      </c>
    </row>
    <row r="63" spans="1:8" x14ac:dyDescent="0.25">
      <c r="A63">
        <v>58</v>
      </c>
      <c r="B63">
        <f t="shared" ca="1" si="4"/>
        <v>0.1</v>
      </c>
      <c r="D63">
        <f t="shared" ca="1" si="5"/>
        <v>9.500000000000016</v>
      </c>
      <c r="E63">
        <f t="shared" ca="1" si="1"/>
        <v>1.0556800820621275</v>
      </c>
      <c r="G63">
        <f t="shared" ca="1" si="6"/>
        <v>3.4999999999999867</v>
      </c>
      <c r="H63">
        <f t="shared" ca="1" si="3"/>
        <v>2.1489252830765135</v>
      </c>
    </row>
    <row r="64" spans="1:8" x14ac:dyDescent="0.25">
      <c r="A64">
        <v>59</v>
      </c>
      <c r="B64">
        <f t="shared" ca="1" si="4"/>
        <v>0.1</v>
      </c>
      <c r="D64">
        <f t="shared" ca="1" si="5"/>
        <v>9.4000000000000163</v>
      </c>
      <c r="E64">
        <f t="shared" ca="1" si="1"/>
        <v>1.0669980933948542</v>
      </c>
      <c r="G64">
        <f t="shared" ca="1" si="6"/>
        <v>3.5999999999999868</v>
      </c>
      <c r="H64">
        <f t="shared" ca="1" si="3"/>
        <v>2.0894098596376836</v>
      </c>
    </row>
    <row r="65" spans="1:8" x14ac:dyDescent="0.25">
      <c r="A65">
        <v>60</v>
      </c>
      <c r="B65">
        <f t="shared" ca="1" si="4"/>
        <v>0.1</v>
      </c>
      <c r="D65">
        <f t="shared" ca="1" si="5"/>
        <v>9.3000000000000167</v>
      </c>
      <c r="E65">
        <f t="shared" ca="1" si="1"/>
        <v>1.0784957200542868</v>
      </c>
      <c r="G65">
        <f t="shared" ca="1" si="6"/>
        <v>3.6999999999999869</v>
      </c>
      <c r="H65">
        <f t="shared" ca="1" si="3"/>
        <v>2.0329900435695887</v>
      </c>
    </row>
    <row r="66" spans="1:8" x14ac:dyDescent="0.25">
      <c r="A66">
        <v>61</v>
      </c>
      <c r="B66">
        <f t="shared" ca="1" si="4"/>
        <v>0.1</v>
      </c>
      <c r="D66">
        <f t="shared" ca="1" si="5"/>
        <v>9.2000000000000171</v>
      </c>
      <c r="E66">
        <f t="shared" ca="1" si="1"/>
        <v>1.0902654467589517</v>
      </c>
      <c r="G66">
        <f t="shared" ca="1" si="6"/>
        <v>3.7999999999999869</v>
      </c>
      <c r="H66">
        <f t="shared" ca="1" si="3"/>
        <v>1.9794973591886866</v>
      </c>
    </row>
    <row r="67" spans="1:8" x14ac:dyDescent="0.25">
      <c r="A67">
        <v>62</v>
      </c>
      <c r="B67">
        <f t="shared" ca="1" si="4"/>
        <v>0.1</v>
      </c>
      <c r="D67">
        <f t="shared" ca="1" si="5"/>
        <v>9.1000000000000174</v>
      </c>
      <c r="E67">
        <f t="shared" ca="1" si="1"/>
        <v>1.1022600362744215</v>
      </c>
      <c r="G67">
        <f t="shared" ca="1" si="6"/>
        <v>3.899999999999987</v>
      </c>
      <c r="H67">
        <f t="shared" ca="1" si="3"/>
        <v>1.9287496514999964</v>
      </c>
    </row>
    <row r="68" spans="1:8" x14ac:dyDescent="0.25">
      <c r="A68">
        <v>63</v>
      </c>
      <c r="B68">
        <f t="shared" ca="1" si="4"/>
        <v>0.1</v>
      </c>
      <c r="D68">
        <f t="shared" ca="1" si="5"/>
        <v>9.0000000000000178</v>
      </c>
      <c r="E68">
        <f t="shared" ca="1" si="1"/>
        <v>1.114511671919687</v>
      </c>
      <c r="G68">
        <f t="shared" ca="1" si="6"/>
        <v>3.9999999999999871</v>
      </c>
      <c r="H68">
        <f t="shared" ca="1" si="3"/>
        <v>1.8807160878514166</v>
      </c>
    </row>
    <row r="69" spans="1:8" x14ac:dyDescent="0.25">
      <c r="A69">
        <v>64</v>
      </c>
      <c r="B69">
        <f t="shared" ca="1" si="4"/>
        <v>0.1</v>
      </c>
      <c r="D69">
        <f t="shared" ca="1" si="5"/>
        <v>8.9000000000000181</v>
      </c>
      <c r="E69">
        <f t="shared" ca="1" si="1"/>
        <v>1.1271290153370488</v>
      </c>
      <c r="G69">
        <f t="shared" ca="1" si="6"/>
        <v>4.0999999999999872</v>
      </c>
      <c r="H69">
        <f t="shared" ca="1" si="3"/>
        <v>1.8348664129072167</v>
      </c>
    </row>
    <row r="70" spans="1:8" x14ac:dyDescent="0.25">
      <c r="A70">
        <v>65</v>
      </c>
      <c r="B70">
        <f t="shared" ca="1" si="4"/>
        <v>0.1</v>
      </c>
      <c r="D70">
        <f t="shared" ca="1" si="5"/>
        <v>8.8000000000000185</v>
      </c>
      <c r="E70">
        <f t="shared" ca="1" si="1"/>
        <v>1.1399901848901717</v>
      </c>
      <c r="G70">
        <f t="shared" ca="1" si="6"/>
        <v>4.1999999999999869</v>
      </c>
      <c r="H70">
        <f t="shared" ca="1" si="3"/>
        <v>1.7913494913752199</v>
      </c>
    </row>
    <row r="71" spans="1:8" x14ac:dyDescent="0.25">
      <c r="A71">
        <v>66</v>
      </c>
      <c r="B71">
        <f t="shared" ca="1" si="4"/>
        <v>0.1</v>
      </c>
      <c r="D71">
        <f t="shared" ca="1" si="5"/>
        <v>8.7000000000000188</v>
      </c>
      <c r="E71">
        <f t="shared" ref="E71:E134" ca="1" si="7">E70*D70/D71*(1 + RAND()/10000)</f>
        <v>1.1531797443811205</v>
      </c>
      <c r="G71">
        <f t="shared" ca="1" si="6"/>
        <v>4.2999999999999865</v>
      </c>
      <c r="H71">
        <f t="shared" ref="H71:H134" ca="1" si="8">H70*G70/G71*(1 + RAND()/10000)</f>
        <v>1.7497064372426625</v>
      </c>
    </row>
    <row r="72" spans="1:8" x14ac:dyDescent="0.25">
      <c r="A72">
        <v>67</v>
      </c>
      <c r="B72">
        <f t="shared" ca="1" si="4"/>
        <v>0.1</v>
      </c>
      <c r="D72">
        <f t="shared" ca="1" si="5"/>
        <v>8.6000000000000192</v>
      </c>
      <c r="E72">
        <f t="shared" ca="1" si="7"/>
        <v>1.1666044143672005</v>
      </c>
      <c r="G72">
        <f t="shared" ca="1" si="6"/>
        <v>4.3999999999999861</v>
      </c>
      <c r="H72">
        <f t="shared" ca="1" si="8"/>
        <v>1.7100074694959382</v>
      </c>
    </row>
    <row r="73" spans="1:8" x14ac:dyDescent="0.25">
      <c r="A73">
        <v>68</v>
      </c>
      <c r="B73">
        <f t="shared" ca="1" si="4"/>
        <v>0.1</v>
      </c>
      <c r="D73">
        <f t="shared" ca="1" si="5"/>
        <v>8.5000000000000195</v>
      </c>
      <c r="E73">
        <f t="shared" ca="1" si="7"/>
        <v>1.1804252738105265</v>
      </c>
      <c r="G73">
        <f t="shared" ca="1" si="6"/>
        <v>4.4999999999999858</v>
      </c>
      <c r="H73">
        <f t="shared" ca="1" si="8"/>
        <v>1.6720109859400838</v>
      </c>
    </row>
    <row r="74" spans="1:8" x14ac:dyDescent="0.25">
      <c r="A74">
        <v>69</v>
      </c>
      <c r="B74">
        <f t="shared" ca="1" si="4"/>
        <v>0.1</v>
      </c>
      <c r="D74">
        <f t="shared" ca="1" si="5"/>
        <v>8.4000000000000199</v>
      </c>
      <c r="E74">
        <f t="shared" ca="1" si="7"/>
        <v>1.1945299479732987</v>
      </c>
      <c r="G74">
        <f t="shared" ca="1" si="6"/>
        <v>4.5999999999999854</v>
      </c>
      <c r="H74">
        <f t="shared" ca="1" si="8"/>
        <v>1.6357575650670155</v>
      </c>
    </row>
    <row r="75" spans="1:8" x14ac:dyDescent="0.25">
      <c r="A75">
        <v>70</v>
      </c>
      <c r="B75">
        <f t="shared" ca="1" si="4"/>
        <v>0.1</v>
      </c>
      <c r="D75">
        <f t="shared" ca="1" si="5"/>
        <v>8.3000000000000203</v>
      </c>
      <c r="E75">
        <f t="shared" ca="1" si="7"/>
        <v>1.2089536373004233</v>
      </c>
      <c r="G75">
        <f t="shared" ca="1" si="6"/>
        <v>4.6999999999999851</v>
      </c>
      <c r="H75">
        <f t="shared" ca="1" si="8"/>
        <v>1.6010512900073568</v>
      </c>
    </row>
    <row r="76" spans="1:8" x14ac:dyDescent="0.25">
      <c r="A76">
        <v>71</v>
      </c>
      <c r="B76">
        <f t="shared" ca="1" si="4"/>
        <v>0.1</v>
      </c>
      <c r="D76">
        <f t="shared" ca="1" si="5"/>
        <v>8.2000000000000206</v>
      </c>
      <c r="E76">
        <f t="shared" ca="1" si="7"/>
        <v>1.2238093675363553</v>
      </c>
      <c r="G76">
        <f t="shared" ca="1" si="6"/>
        <v>4.7999999999999847</v>
      </c>
      <c r="H76">
        <f t="shared" ca="1" si="8"/>
        <v>1.567783182069912</v>
      </c>
    </row>
    <row r="77" spans="1:8" x14ac:dyDescent="0.25">
      <c r="A77">
        <v>72</v>
      </c>
      <c r="B77">
        <f t="shared" ca="1" si="4"/>
        <v>0.1</v>
      </c>
      <c r="D77">
        <f t="shared" ca="1" si="5"/>
        <v>8.100000000000021</v>
      </c>
      <c r="E77">
        <f t="shared" ca="1" si="7"/>
        <v>1.238953416282889</v>
      </c>
      <c r="G77">
        <f t="shared" ca="1" si="6"/>
        <v>4.8999999999999844</v>
      </c>
      <c r="H77">
        <f t="shared" ca="1" si="8"/>
        <v>1.5359314477705541</v>
      </c>
    </row>
    <row r="78" spans="1:8" x14ac:dyDescent="0.25">
      <c r="A78">
        <v>73</v>
      </c>
      <c r="B78">
        <f t="shared" ca="1" si="4"/>
        <v>0.1</v>
      </c>
      <c r="D78">
        <f t="shared" ca="1" si="5"/>
        <v>8.0000000000000213</v>
      </c>
      <c r="E78">
        <f t="shared" ca="1" si="7"/>
        <v>1.2544885569102378</v>
      </c>
      <c r="G78">
        <f t="shared" ca="1" si="6"/>
        <v>4.999999999999984</v>
      </c>
      <c r="H78">
        <f t="shared" ca="1" si="8"/>
        <v>1.5053001796236376</v>
      </c>
    </row>
    <row r="79" spans="1:8" x14ac:dyDescent="0.25">
      <c r="A79">
        <v>74</v>
      </c>
      <c r="B79">
        <f t="shared" ca="1" si="4"/>
        <v>0.1</v>
      </c>
      <c r="D79">
        <f t="shared" ca="1" si="5"/>
        <v>7.9000000000000217</v>
      </c>
      <c r="E79">
        <f t="shared" ca="1" si="7"/>
        <v>1.2703804593759374</v>
      </c>
      <c r="G79">
        <f t="shared" ca="1" si="6"/>
        <v>5.0999999999999837</v>
      </c>
      <c r="H79">
        <f t="shared" ca="1" si="8"/>
        <v>1.4757975203014837</v>
      </c>
    </row>
    <row r="80" spans="1:8" x14ac:dyDescent="0.25">
      <c r="A80">
        <v>75</v>
      </c>
      <c r="B80">
        <f t="shared" ca="1" si="4"/>
        <v>0.1</v>
      </c>
      <c r="D80">
        <f t="shared" ca="1" si="5"/>
        <v>7.800000000000022</v>
      </c>
      <c r="E80">
        <f t="shared" ca="1" si="7"/>
        <v>1.2866912139288171</v>
      </c>
      <c r="G80">
        <f t="shared" ca="1" si="6"/>
        <v>5.1999999999999833</v>
      </c>
      <c r="H80">
        <f t="shared" ca="1" si="8"/>
        <v>1.4474489518153686</v>
      </c>
    </row>
    <row r="81" spans="1:8" x14ac:dyDescent="0.25">
      <c r="A81">
        <v>76</v>
      </c>
      <c r="B81">
        <f t="shared" ca="1" si="4"/>
        <v>0.1</v>
      </c>
      <c r="D81">
        <f t="shared" ca="1" si="5"/>
        <v>7.7000000000000224</v>
      </c>
      <c r="E81">
        <f t="shared" ca="1" si="7"/>
        <v>1.3035172208893036</v>
      </c>
      <c r="F81">
        <v>2</v>
      </c>
      <c r="G81">
        <f t="shared" ca="1" si="6"/>
        <v>3.2999999999999829</v>
      </c>
      <c r="H81">
        <f t="shared" ca="1" si="8"/>
        <v>2.2808726112231574</v>
      </c>
    </row>
    <row r="82" spans="1:8" x14ac:dyDescent="0.25">
      <c r="A82">
        <v>77</v>
      </c>
      <c r="B82">
        <f t="shared" ca="1" si="4"/>
        <v>0.1</v>
      </c>
      <c r="D82">
        <f t="shared" ca="1" si="5"/>
        <v>7.6000000000000227</v>
      </c>
      <c r="E82">
        <f t="shared" ca="1" si="7"/>
        <v>1.3206826079887526</v>
      </c>
      <c r="G82">
        <f t="shared" ca="1" si="6"/>
        <v>3.399999999999983</v>
      </c>
      <c r="H82">
        <f t="shared" ca="1" si="8"/>
        <v>2.2138242140160576</v>
      </c>
    </row>
    <row r="83" spans="1:8" x14ac:dyDescent="0.25">
      <c r="A83">
        <v>78</v>
      </c>
      <c r="B83">
        <f t="shared" ca="1" si="4"/>
        <v>0.1</v>
      </c>
      <c r="D83">
        <f t="shared" ca="1" si="5"/>
        <v>7.5000000000000231</v>
      </c>
      <c r="E83">
        <f t="shared" ca="1" si="7"/>
        <v>1.3383142104913481</v>
      </c>
      <c r="G83">
        <f t="shared" ca="1" si="6"/>
        <v>3.4999999999999831</v>
      </c>
      <c r="H83">
        <f t="shared" ca="1" si="8"/>
        <v>2.1507547670147473</v>
      </c>
    </row>
    <row r="84" spans="1:8" x14ac:dyDescent="0.25">
      <c r="A84">
        <v>79</v>
      </c>
      <c r="B84">
        <f t="shared" ca="1" si="4"/>
        <v>0.1</v>
      </c>
      <c r="D84">
        <f t="shared" ca="1" si="5"/>
        <v>7.4000000000000234</v>
      </c>
      <c r="E84">
        <f t="shared" ca="1" si="7"/>
        <v>1.3564766614675778</v>
      </c>
      <c r="G84">
        <f t="shared" ca="1" si="6"/>
        <v>3.5999999999999832</v>
      </c>
      <c r="H84">
        <f t="shared" ca="1" si="8"/>
        <v>2.0911913629466836</v>
      </c>
    </row>
    <row r="85" spans="1:8" x14ac:dyDescent="0.25">
      <c r="A85">
        <v>80</v>
      </c>
      <c r="B85">
        <f t="shared" ca="1" si="4"/>
        <v>0.1</v>
      </c>
      <c r="C85">
        <v>4</v>
      </c>
      <c r="D85">
        <f t="shared" ca="1" si="5"/>
        <v>11.300000000000024</v>
      </c>
      <c r="E85">
        <f t="shared" ca="1" si="7"/>
        <v>0.88835036297615189</v>
      </c>
      <c r="G85">
        <f t="shared" ca="1" si="6"/>
        <v>3.6999999999999833</v>
      </c>
      <c r="H85">
        <f t="shared" ca="1" si="8"/>
        <v>2.0347870171517446</v>
      </c>
    </row>
    <row r="86" spans="1:8" x14ac:dyDescent="0.25">
      <c r="A86">
        <v>81</v>
      </c>
      <c r="B86">
        <f t="shared" ca="1" si="4"/>
        <v>0.1</v>
      </c>
      <c r="D86">
        <f t="shared" ca="1" si="5"/>
        <v>11.200000000000024</v>
      </c>
      <c r="E86">
        <f t="shared" ca="1" si="7"/>
        <v>0.89631562805123277</v>
      </c>
      <c r="G86">
        <f t="shared" ca="1" si="6"/>
        <v>3.7999999999999834</v>
      </c>
      <c r="H86">
        <f t="shared" ca="1" si="8"/>
        <v>1.9813360823533512</v>
      </c>
    </row>
    <row r="87" spans="1:8" x14ac:dyDescent="0.25">
      <c r="A87">
        <v>82</v>
      </c>
      <c r="B87">
        <f t="shared" ca="1" si="4"/>
        <v>0.1</v>
      </c>
      <c r="D87">
        <f t="shared" ca="1" si="5"/>
        <v>11.100000000000025</v>
      </c>
      <c r="E87">
        <f t="shared" ca="1" si="7"/>
        <v>0.90447357068332102</v>
      </c>
      <c r="G87">
        <f t="shared" ca="1" si="6"/>
        <v>3.8999999999999835</v>
      </c>
      <c r="H87">
        <f t="shared" ca="1" si="8"/>
        <v>1.9305791467244597</v>
      </c>
    </row>
    <row r="88" spans="1:8" x14ac:dyDescent="0.25">
      <c r="A88">
        <v>83</v>
      </c>
      <c r="B88">
        <f t="shared" ca="1" si="4"/>
        <v>0.1</v>
      </c>
      <c r="D88">
        <f t="shared" ca="1" si="5"/>
        <v>11.000000000000025</v>
      </c>
      <c r="E88">
        <f t="shared" ca="1" si="7"/>
        <v>0.91270753340586097</v>
      </c>
      <c r="G88">
        <f t="shared" ca="1" si="6"/>
        <v>3.9999999999999836</v>
      </c>
      <c r="H88">
        <f t="shared" ca="1" si="8"/>
        <v>1.882316541986617</v>
      </c>
    </row>
    <row r="89" spans="1:8" x14ac:dyDescent="0.25">
      <c r="A89">
        <v>84</v>
      </c>
      <c r="B89">
        <f t="shared" ca="1" si="4"/>
        <v>0.1</v>
      </c>
      <c r="D89">
        <f t="shared" ca="1" si="5"/>
        <v>10.900000000000025</v>
      </c>
      <c r="E89">
        <f t="shared" ca="1" si="7"/>
        <v>0.92115906731182529</v>
      </c>
      <c r="G89">
        <f t="shared" ca="1" si="6"/>
        <v>4.0999999999999837</v>
      </c>
      <c r="H89">
        <f t="shared" ca="1" si="8"/>
        <v>1.8365012428168079</v>
      </c>
    </row>
    <row r="90" spans="1:8" x14ac:dyDescent="0.25">
      <c r="A90">
        <v>85</v>
      </c>
      <c r="B90">
        <f t="shared" ref="B90:B153" ca="1" si="9">IF(H89&gt;E89,$D$1,0)</f>
        <v>0.1</v>
      </c>
      <c r="D90">
        <f t="shared" ca="1" si="5"/>
        <v>10.800000000000026</v>
      </c>
      <c r="E90">
        <f t="shared" ca="1" si="7"/>
        <v>0.92974412199046952</v>
      </c>
      <c r="G90">
        <f t="shared" ca="1" si="6"/>
        <v>4.1999999999999833</v>
      </c>
      <c r="H90">
        <f t="shared" ca="1" si="8"/>
        <v>1.7927839230347669</v>
      </c>
    </row>
    <row r="91" spans="1:8" x14ac:dyDescent="0.25">
      <c r="A91">
        <v>86</v>
      </c>
      <c r="B91">
        <f t="shared" ca="1" si="9"/>
        <v>0.1</v>
      </c>
      <c r="D91">
        <f t="shared" ref="D91:D154" ca="1" si="10">D90-B91*(A91-A90)+C91</f>
        <v>10.700000000000026</v>
      </c>
      <c r="E91">
        <f t="shared" ca="1" si="7"/>
        <v>0.93846185279803662</v>
      </c>
      <c r="G91">
        <f t="shared" ref="G91:G154" ca="1" si="11">G90+B91*(A91-A90)-F91</f>
        <v>4.2999999999999829</v>
      </c>
      <c r="H91">
        <f t="shared" ca="1" si="8"/>
        <v>1.7511812234403339</v>
      </c>
    </row>
    <row r="92" spans="1:8" x14ac:dyDescent="0.25">
      <c r="A92">
        <v>87</v>
      </c>
      <c r="B92">
        <f t="shared" ca="1" si="9"/>
        <v>0.1</v>
      </c>
      <c r="D92">
        <f t="shared" ca="1" si="10"/>
        <v>10.600000000000026</v>
      </c>
      <c r="E92">
        <f t="shared" ca="1" si="7"/>
        <v>0.9473537656909351</v>
      </c>
      <c r="G92">
        <f t="shared" ca="1" si="11"/>
        <v>4.3999999999999826</v>
      </c>
      <c r="H92">
        <f t="shared" ca="1" si="8"/>
        <v>1.7114972941124877</v>
      </c>
    </row>
    <row r="93" spans="1:8" x14ac:dyDescent="0.25">
      <c r="A93">
        <v>88</v>
      </c>
      <c r="B93">
        <f t="shared" ca="1" si="9"/>
        <v>0.1</v>
      </c>
      <c r="D93">
        <f t="shared" ca="1" si="10"/>
        <v>10.500000000000027</v>
      </c>
      <c r="E93">
        <f t="shared" ca="1" si="7"/>
        <v>0.95638062658258016</v>
      </c>
      <c r="G93">
        <f t="shared" ca="1" si="11"/>
        <v>4.4999999999999822</v>
      </c>
      <c r="H93">
        <f t="shared" ca="1" si="8"/>
        <v>1.6735398876544405</v>
      </c>
    </row>
    <row r="94" spans="1:8" x14ac:dyDescent="0.25">
      <c r="A94">
        <v>89</v>
      </c>
      <c r="B94">
        <f t="shared" ca="1" si="9"/>
        <v>0.1</v>
      </c>
      <c r="D94">
        <f t="shared" ca="1" si="10"/>
        <v>10.400000000000027</v>
      </c>
      <c r="E94">
        <f t="shared" ca="1" si="7"/>
        <v>0.96566820940710907</v>
      </c>
      <c r="G94">
        <f t="shared" ca="1" si="11"/>
        <v>4.5999999999999819</v>
      </c>
      <c r="H94">
        <f t="shared" ca="1" si="8"/>
        <v>1.637254523887651</v>
      </c>
    </row>
    <row r="95" spans="1:8" x14ac:dyDescent="0.25">
      <c r="A95">
        <v>90</v>
      </c>
      <c r="B95">
        <f t="shared" ca="1" si="9"/>
        <v>0.1</v>
      </c>
      <c r="D95">
        <f t="shared" ca="1" si="10"/>
        <v>10.300000000000027</v>
      </c>
      <c r="E95">
        <f t="shared" ca="1" si="7"/>
        <v>0.97508927199737727</v>
      </c>
      <c r="G95">
        <f t="shared" ca="1" si="11"/>
        <v>4.6999999999999815</v>
      </c>
      <c r="H95">
        <f t="shared" ca="1" si="8"/>
        <v>1.6024745760365904</v>
      </c>
    </row>
    <row r="96" spans="1:8" x14ac:dyDescent="0.25">
      <c r="A96">
        <v>91</v>
      </c>
      <c r="B96">
        <f t="shared" ca="1" si="9"/>
        <v>0.1</v>
      </c>
      <c r="D96">
        <f t="shared" ca="1" si="10"/>
        <v>10.200000000000028</v>
      </c>
      <c r="E96">
        <f t="shared" ca="1" si="7"/>
        <v>0.98469380183589017</v>
      </c>
      <c r="G96">
        <f t="shared" ca="1" si="11"/>
        <v>4.7999999999999812</v>
      </c>
      <c r="H96">
        <f t="shared" ca="1" si="8"/>
        <v>1.5691929220839089</v>
      </c>
    </row>
    <row r="97" spans="1:8" x14ac:dyDescent="0.25">
      <c r="A97">
        <v>92</v>
      </c>
      <c r="B97">
        <f t="shared" ca="1" si="9"/>
        <v>0.1</v>
      </c>
      <c r="D97">
        <f t="shared" ca="1" si="10"/>
        <v>10.100000000000028</v>
      </c>
      <c r="E97">
        <f t="shared" ca="1" si="7"/>
        <v>0.99446860287493766</v>
      </c>
      <c r="G97">
        <f t="shared" ca="1" si="11"/>
        <v>4.8999999999999808</v>
      </c>
      <c r="H97">
        <f t="shared" ca="1" si="8"/>
        <v>1.5372652165037093</v>
      </c>
    </row>
    <row r="98" spans="1:8" x14ac:dyDescent="0.25">
      <c r="A98">
        <v>93</v>
      </c>
      <c r="B98">
        <f t="shared" ca="1" si="9"/>
        <v>0.1</v>
      </c>
      <c r="D98">
        <f t="shared" ca="1" si="10"/>
        <v>10.000000000000028</v>
      </c>
      <c r="E98">
        <f t="shared" ca="1" si="7"/>
        <v>1.0044387879205714</v>
      </c>
      <c r="G98">
        <f t="shared" ca="1" si="11"/>
        <v>4.9999999999999805</v>
      </c>
      <c r="H98">
        <f t="shared" ca="1" si="8"/>
        <v>1.5065938739256852</v>
      </c>
    </row>
    <row r="99" spans="1:8" x14ac:dyDescent="0.25">
      <c r="A99">
        <v>94</v>
      </c>
      <c r="B99">
        <f t="shared" ca="1" si="9"/>
        <v>0.1</v>
      </c>
      <c r="D99">
        <f t="shared" ca="1" si="10"/>
        <v>9.9000000000000288</v>
      </c>
      <c r="E99">
        <f t="shared" ca="1" si="7"/>
        <v>1.0146157901565123</v>
      </c>
      <c r="G99">
        <f t="shared" ca="1" si="11"/>
        <v>5.0999999999999801</v>
      </c>
      <c r="H99">
        <f t="shared" ca="1" si="8"/>
        <v>1.4770826787605913</v>
      </c>
    </row>
    <row r="100" spans="1:8" x14ac:dyDescent="0.25">
      <c r="A100">
        <v>95</v>
      </c>
      <c r="B100">
        <f t="shared" ca="1" si="9"/>
        <v>0.1</v>
      </c>
      <c r="D100">
        <f t="shared" ca="1" si="10"/>
        <v>9.8000000000000291</v>
      </c>
      <c r="E100">
        <f t="shared" ca="1" si="7"/>
        <v>1.0250018538608763</v>
      </c>
      <c r="G100">
        <f t="shared" ca="1" si="11"/>
        <v>5.1999999999999797</v>
      </c>
      <c r="H100">
        <f t="shared" ca="1" si="8"/>
        <v>1.4487052369082702</v>
      </c>
    </row>
    <row r="101" spans="1:8" x14ac:dyDescent="0.25">
      <c r="A101">
        <v>96</v>
      </c>
      <c r="B101">
        <f t="shared" ca="1" si="9"/>
        <v>0.1</v>
      </c>
      <c r="D101">
        <f t="shared" ca="1" si="10"/>
        <v>9.7000000000000295</v>
      </c>
      <c r="E101">
        <f t="shared" ca="1" si="7"/>
        <v>1.0356643354292423</v>
      </c>
      <c r="F101">
        <v>2</v>
      </c>
      <c r="G101">
        <f t="shared" ca="1" si="11"/>
        <v>3.2999999999999794</v>
      </c>
      <c r="H101">
        <f t="shared" ca="1" si="8"/>
        <v>2.2829394836742298</v>
      </c>
    </row>
    <row r="102" spans="1:8" x14ac:dyDescent="0.25">
      <c r="A102">
        <v>97</v>
      </c>
      <c r="B102">
        <f t="shared" ca="1" si="9"/>
        <v>0.1</v>
      </c>
      <c r="D102">
        <f t="shared" ca="1" si="10"/>
        <v>9.6000000000000298</v>
      </c>
      <c r="E102">
        <f t="shared" ca="1" si="7"/>
        <v>1.0464591029994039</v>
      </c>
      <c r="G102">
        <f t="shared" ca="1" si="11"/>
        <v>3.3999999999999795</v>
      </c>
      <c r="H102">
        <f t="shared" ca="1" si="8"/>
        <v>2.21592964114476</v>
      </c>
    </row>
    <row r="103" spans="1:8" x14ac:dyDescent="0.25">
      <c r="A103">
        <v>98</v>
      </c>
      <c r="B103">
        <f t="shared" ca="1" si="9"/>
        <v>0.1</v>
      </c>
      <c r="D103">
        <f t="shared" ca="1" si="10"/>
        <v>9.5000000000000302</v>
      </c>
      <c r="E103">
        <f t="shared" ca="1" si="7"/>
        <v>1.0575361098887563</v>
      </c>
      <c r="G103">
        <f t="shared" ca="1" si="11"/>
        <v>3.4999999999999796</v>
      </c>
      <c r="H103">
        <f t="shared" ca="1" si="8"/>
        <v>2.1528220758408465</v>
      </c>
    </row>
    <row r="104" spans="1:8" x14ac:dyDescent="0.25">
      <c r="A104">
        <v>99</v>
      </c>
      <c r="B104">
        <f t="shared" ca="1" si="9"/>
        <v>0.1</v>
      </c>
      <c r="D104">
        <f t="shared" ca="1" si="10"/>
        <v>9.4000000000000306</v>
      </c>
      <c r="E104">
        <f t="shared" ca="1" si="7"/>
        <v>1.0688434746088258</v>
      </c>
      <c r="G104">
        <f t="shared" ca="1" si="11"/>
        <v>3.5999999999999797</v>
      </c>
      <c r="H104">
        <f t="shared" ca="1" si="8"/>
        <v>2.0931357330238454</v>
      </c>
    </row>
    <row r="105" spans="1:8" x14ac:dyDescent="0.25">
      <c r="A105">
        <v>100</v>
      </c>
      <c r="B105">
        <f t="shared" ca="1" si="9"/>
        <v>0.1</v>
      </c>
      <c r="D105">
        <f t="shared" ca="1" si="10"/>
        <v>9.3000000000000309</v>
      </c>
      <c r="E105">
        <f t="shared" ca="1" si="7"/>
        <v>1.0803864502530396</v>
      </c>
      <c r="G105">
        <f t="shared" ca="1" si="11"/>
        <v>3.6999999999999797</v>
      </c>
      <c r="H105">
        <f t="shared" ca="1" si="8"/>
        <v>2.0366300461022151</v>
      </c>
    </row>
    <row r="106" spans="1:8" x14ac:dyDescent="0.25">
      <c r="A106">
        <v>101</v>
      </c>
      <c r="B106">
        <f t="shared" ca="1" si="9"/>
        <v>0.1</v>
      </c>
      <c r="D106">
        <f t="shared" ca="1" si="10"/>
        <v>9.2000000000000313</v>
      </c>
      <c r="E106">
        <f t="shared" ca="1" si="7"/>
        <v>1.0921791871617603</v>
      </c>
      <c r="G106">
        <f t="shared" ca="1" si="11"/>
        <v>3.7999999999999798</v>
      </c>
      <c r="H106">
        <f t="shared" ca="1" si="8"/>
        <v>1.9832250349306488</v>
      </c>
    </row>
    <row r="107" spans="1:8" x14ac:dyDescent="0.25">
      <c r="A107">
        <v>102</v>
      </c>
      <c r="B107">
        <f t="shared" ca="1" si="9"/>
        <v>0.1</v>
      </c>
      <c r="D107">
        <f t="shared" ca="1" si="10"/>
        <v>9.1000000000000316</v>
      </c>
      <c r="E107">
        <f t="shared" ca="1" si="7"/>
        <v>1.1042166035108119</v>
      </c>
      <c r="G107">
        <f t="shared" ca="1" si="11"/>
        <v>3.8999999999999799</v>
      </c>
      <c r="H107">
        <f t="shared" ca="1" si="8"/>
        <v>1.932389795487462</v>
      </c>
    </row>
    <row r="108" spans="1:8" x14ac:dyDescent="0.25">
      <c r="A108">
        <v>103</v>
      </c>
      <c r="B108">
        <f t="shared" ca="1" si="9"/>
        <v>0.1</v>
      </c>
      <c r="D108">
        <f t="shared" ca="1" si="10"/>
        <v>9.000000000000032</v>
      </c>
      <c r="E108">
        <f t="shared" ca="1" si="7"/>
        <v>1.1165100907033494</v>
      </c>
      <c r="G108">
        <f t="shared" ca="1" si="11"/>
        <v>3.99999999999998</v>
      </c>
      <c r="H108">
        <f t="shared" ca="1" si="8"/>
        <v>1.884106948587742</v>
      </c>
    </row>
    <row r="109" spans="1:8" x14ac:dyDescent="0.25">
      <c r="A109">
        <v>104</v>
      </c>
      <c r="B109">
        <f t="shared" ca="1" si="9"/>
        <v>0.1</v>
      </c>
      <c r="D109">
        <f t="shared" ca="1" si="10"/>
        <v>8.9000000000000323</v>
      </c>
      <c r="E109">
        <f t="shared" ca="1" si="7"/>
        <v>1.129145923613512</v>
      </c>
      <c r="G109">
        <f t="shared" ca="1" si="11"/>
        <v>4.0999999999999801</v>
      </c>
      <c r="H109">
        <f t="shared" ca="1" si="8"/>
        <v>1.8381599898401686</v>
      </c>
    </row>
    <row r="110" spans="1:8" x14ac:dyDescent="0.25">
      <c r="A110">
        <v>105</v>
      </c>
      <c r="B110">
        <f t="shared" ca="1" si="9"/>
        <v>0.1</v>
      </c>
      <c r="D110">
        <f t="shared" ca="1" si="10"/>
        <v>8.8000000000000327</v>
      </c>
      <c r="E110">
        <f t="shared" ca="1" si="7"/>
        <v>1.1420637356128629</v>
      </c>
      <c r="G110">
        <f t="shared" ca="1" si="11"/>
        <v>4.1999999999999797</v>
      </c>
      <c r="H110">
        <f t="shared" ca="1" si="8"/>
        <v>1.7945302348167165</v>
      </c>
    </row>
    <row r="111" spans="1:8" x14ac:dyDescent="0.25">
      <c r="A111">
        <v>106</v>
      </c>
      <c r="B111">
        <f t="shared" ca="1" si="9"/>
        <v>0.1</v>
      </c>
      <c r="D111">
        <f t="shared" ca="1" si="10"/>
        <v>8.700000000000033</v>
      </c>
      <c r="E111">
        <f t="shared" ca="1" si="7"/>
        <v>1.1552270807129066</v>
      </c>
      <c r="G111">
        <f t="shared" ca="1" si="11"/>
        <v>4.2999999999999794</v>
      </c>
      <c r="H111">
        <f t="shared" ca="1" si="8"/>
        <v>1.7528304520439213</v>
      </c>
    </row>
    <row r="112" spans="1:8" x14ac:dyDescent="0.25">
      <c r="A112">
        <v>107</v>
      </c>
      <c r="B112">
        <f t="shared" ca="1" si="9"/>
        <v>0.1</v>
      </c>
      <c r="D112">
        <f t="shared" ca="1" si="10"/>
        <v>8.6000000000000334</v>
      </c>
      <c r="E112">
        <f t="shared" ca="1" si="7"/>
        <v>1.1686677547285831</v>
      </c>
      <c r="G112">
        <f t="shared" ca="1" si="11"/>
        <v>4.399999999999979</v>
      </c>
      <c r="H112">
        <f t="shared" ca="1" si="8"/>
        <v>1.7131599696798672</v>
      </c>
    </row>
    <row r="113" spans="1:8" x14ac:dyDescent="0.25">
      <c r="A113">
        <v>108</v>
      </c>
      <c r="B113">
        <f t="shared" ca="1" si="9"/>
        <v>0.1</v>
      </c>
      <c r="D113">
        <f t="shared" ca="1" si="10"/>
        <v>8.5000000000000338</v>
      </c>
      <c r="E113">
        <f t="shared" ca="1" si="7"/>
        <v>1.182475427335524</v>
      </c>
      <c r="G113">
        <f t="shared" ca="1" si="11"/>
        <v>4.4999999999999787</v>
      </c>
      <c r="H113">
        <f t="shared" ca="1" si="8"/>
        <v>1.6752559769022228</v>
      </c>
    </row>
    <row r="114" spans="1:8" x14ac:dyDescent="0.25">
      <c r="A114">
        <v>109</v>
      </c>
      <c r="B114">
        <f t="shared" ca="1" si="9"/>
        <v>0.1</v>
      </c>
      <c r="D114">
        <f t="shared" ca="1" si="10"/>
        <v>8.4000000000000341</v>
      </c>
      <c r="E114">
        <f t="shared" ca="1" si="7"/>
        <v>1.1965835017105877</v>
      </c>
      <c r="G114">
        <f t="shared" ca="1" si="11"/>
        <v>4.5999999999999783</v>
      </c>
      <c r="H114">
        <f t="shared" ca="1" si="8"/>
        <v>1.6388869433062827</v>
      </c>
    </row>
    <row r="115" spans="1:8" x14ac:dyDescent="0.25">
      <c r="A115">
        <v>110</v>
      </c>
      <c r="B115">
        <f t="shared" ca="1" si="9"/>
        <v>0.1</v>
      </c>
      <c r="D115">
        <f t="shared" ca="1" si="10"/>
        <v>8.3000000000000345</v>
      </c>
      <c r="E115">
        <f t="shared" ca="1" si="7"/>
        <v>1.2110443780180111</v>
      </c>
      <c r="G115">
        <f t="shared" ca="1" si="11"/>
        <v>4.699999999999978</v>
      </c>
      <c r="H115">
        <f t="shared" ca="1" si="8"/>
        <v>1.6041674378351407</v>
      </c>
    </row>
    <row r="116" spans="1:8" x14ac:dyDescent="0.25">
      <c r="A116">
        <v>111</v>
      </c>
      <c r="B116">
        <f t="shared" ca="1" si="9"/>
        <v>0.1</v>
      </c>
      <c r="D116">
        <f t="shared" ca="1" si="10"/>
        <v>8.2000000000000348</v>
      </c>
      <c r="E116">
        <f t="shared" ca="1" si="7"/>
        <v>1.2258385715356293</v>
      </c>
      <c r="G116">
        <f t="shared" ca="1" si="11"/>
        <v>4.7999999999999776</v>
      </c>
      <c r="H116">
        <f t="shared" ca="1" si="8"/>
        <v>1.5707917734981436</v>
      </c>
    </row>
    <row r="117" spans="1:8" x14ac:dyDescent="0.25">
      <c r="A117">
        <v>112</v>
      </c>
      <c r="B117">
        <f t="shared" ca="1" si="9"/>
        <v>0.1</v>
      </c>
      <c r="D117">
        <f t="shared" ca="1" si="10"/>
        <v>8.1000000000000352</v>
      </c>
      <c r="E117">
        <f t="shared" ca="1" si="7"/>
        <v>1.2409829069941203</v>
      </c>
      <c r="G117">
        <f t="shared" ca="1" si="11"/>
        <v>4.8999999999999773</v>
      </c>
      <c r="H117">
        <f t="shared" ca="1" si="8"/>
        <v>1.538782186060939</v>
      </c>
    </row>
    <row r="118" spans="1:8" x14ac:dyDescent="0.25">
      <c r="A118">
        <v>113</v>
      </c>
      <c r="B118">
        <f t="shared" ca="1" si="9"/>
        <v>0.1</v>
      </c>
      <c r="D118">
        <f t="shared" ca="1" si="10"/>
        <v>8.0000000000000355</v>
      </c>
      <c r="E118">
        <f t="shared" ca="1" si="7"/>
        <v>1.2566178005439212</v>
      </c>
      <c r="G118">
        <f t="shared" ca="1" si="11"/>
        <v>4.9999999999999769</v>
      </c>
      <c r="H118">
        <f t="shared" ca="1" si="8"/>
        <v>1.5080281605968511</v>
      </c>
    </row>
    <row r="119" spans="1:8" x14ac:dyDescent="0.25">
      <c r="A119">
        <v>114</v>
      </c>
      <c r="B119">
        <f t="shared" ca="1" si="9"/>
        <v>0.1</v>
      </c>
      <c r="D119">
        <f t="shared" ca="1" si="10"/>
        <v>7.9000000000000359</v>
      </c>
      <c r="E119">
        <f t="shared" ca="1" si="7"/>
        <v>1.2725307634360457</v>
      </c>
      <c r="G119">
        <f t="shared" ca="1" si="11"/>
        <v>5.0999999999999766</v>
      </c>
      <c r="H119">
        <f t="shared" ca="1" si="8"/>
        <v>1.4785096341179145</v>
      </c>
    </row>
    <row r="120" spans="1:8" x14ac:dyDescent="0.25">
      <c r="A120">
        <v>115</v>
      </c>
      <c r="B120">
        <f t="shared" ca="1" si="9"/>
        <v>0.1</v>
      </c>
      <c r="D120">
        <f t="shared" ca="1" si="10"/>
        <v>7.8000000000000362</v>
      </c>
      <c r="E120">
        <f t="shared" ca="1" si="7"/>
        <v>1.2889478895680482</v>
      </c>
      <c r="G120">
        <f t="shared" ca="1" si="11"/>
        <v>5.1999999999999762</v>
      </c>
      <c r="H120">
        <f t="shared" ca="1" si="8"/>
        <v>1.4502077785972145</v>
      </c>
    </row>
    <row r="121" spans="1:8" x14ac:dyDescent="0.25">
      <c r="A121">
        <v>116</v>
      </c>
      <c r="B121">
        <f t="shared" ca="1" si="9"/>
        <v>0.1</v>
      </c>
      <c r="D121">
        <f t="shared" ca="1" si="10"/>
        <v>7.7000000000000366</v>
      </c>
      <c r="E121">
        <f t="shared" ca="1" si="7"/>
        <v>1.3057479486492407</v>
      </c>
      <c r="F121">
        <v>2</v>
      </c>
      <c r="G121">
        <f t="shared" ca="1" si="11"/>
        <v>3.2999999999999758</v>
      </c>
      <c r="H121">
        <f t="shared" ca="1" si="8"/>
        <v>2.2853357220436794</v>
      </c>
    </row>
    <row r="122" spans="1:8" x14ac:dyDescent="0.25">
      <c r="A122">
        <v>117</v>
      </c>
      <c r="B122">
        <f t="shared" ca="1" si="9"/>
        <v>0.1</v>
      </c>
      <c r="D122">
        <f t="shared" ca="1" si="10"/>
        <v>7.6000000000000369</v>
      </c>
      <c r="E122">
        <f t="shared" ca="1" si="7"/>
        <v>1.3230270310601542</v>
      </c>
      <c r="G122">
        <f t="shared" ca="1" si="11"/>
        <v>3.3999999999999759</v>
      </c>
      <c r="H122">
        <f t="shared" ca="1" si="8"/>
        <v>2.2181378253327453</v>
      </c>
    </row>
    <row r="123" spans="1:8" x14ac:dyDescent="0.25">
      <c r="A123">
        <v>118</v>
      </c>
      <c r="B123">
        <f t="shared" ca="1" si="9"/>
        <v>0.1</v>
      </c>
      <c r="D123">
        <f t="shared" ca="1" si="10"/>
        <v>7.5000000000000373</v>
      </c>
      <c r="E123">
        <f t="shared" ca="1" si="7"/>
        <v>1.3407909761902643</v>
      </c>
      <c r="G123">
        <f t="shared" ca="1" si="11"/>
        <v>3.499999999999976</v>
      </c>
      <c r="H123">
        <f t="shared" ca="1" si="8"/>
        <v>2.1549411518798616</v>
      </c>
    </row>
    <row r="124" spans="1:8" x14ac:dyDescent="0.25">
      <c r="A124">
        <v>119</v>
      </c>
      <c r="B124">
        <f t="shared" ca="1" si="9"/>
        <v>0.1</v>
      </c>
      <c r="D124">
        <f t="shared" ca="1" si="10"/>
        <v>7.4000000000000377</v>
      </c>
      <c r="E124">
        <f t="shared" ca="1" si="7"/>
        <v>1.3589533979375039</v>
      </c>
      <c r="G124">
        <f t="shared" ca="1" si="11"/>
        <v>3.5999999999999761</v>
      </c>
      <c r="H124">
        <f t="shared" ca="1" si="8"/>
        <v>2.0952230395162839</v>
      </c>
    </row>
    <row r="125" spans="1:8" x14ac:dyDescent="0.25">
      <c r="A125">
        <v>120</v>
      </c>
      <c r="B125">
        <f t="shared" ca="1" si="9"/>
        <v>0.1</v>
      </c>
      <c r="D125">
        <f t="shared" ca="1" si="10"/>
        <v>7.300000000000038</v>
      </c>
      <c r="E125">
        <f t="shared" ca="1" si="7"/>
        <v>1.3776926546611501</v>
      </c>
      <c r="G125">
        <f t="shared" ca="1" si="11"/>
        <v>3.6999999999999762</v>
      </c>
      <c r="H125">
        <f t="shared" ca="1" si="8"/>
        <v>2.0387986603582027</v>
      </c>
    </row>
    <row r="126" spans="1:8" x14ac:dyDescent="0.25">
      <c r="A126">
        <v>121</v>
      </c>
      <c r="B126">
        <f t="shared" ca="1" si="9"/>
        <v>0.1</v>
      </c>
      <c r="D126">
        <f t="shared" ca="1" si="10"/>
        <v>7.2000000000000384</v>
      </c>
      <c r="E126">
        <f t="shared" ca="1" si="7"/>
        <v>1.3968878300022183</v>
      </c>
      <c r="G126">
        <f t="shared" ca="1" si="11"/>
        <v>3.7999999999999763</v>
      </c>
      <c r="H126">
        <f t="shared" ca="1" si="8"/>
        <v>1.9852526808538584</v>
      </c>
    </row>
    <row r="127" spans="1:8" x14ac:dyDescent="0.25">
      <c r="A127">
        <v>122</v>
      </c>
      <c r="B127">
        <f t="shared" ca="1" si="9"/>
        <v>0.1</v>
      </c>
      <c r="D127">
        <f t="shared" ca="1" si="10"/>
        <v>7.1000000000000387</v>
      </c>
      <c r="E127">
        <f t="shared" ca="1" si="7"/>
        <v>1.4165861665769188</v>
      </c>
      <c r="G127">
        <f t="shared" ca="1" si="11"/>
        <v>3.8999999999999764</v>
      </c>
      <c r="H127">
        <f t="shared" ca="1" si="8"/>
        <v>1.9344160663022869</v>
      </c>
    </row>
    <row r="128" spans="1:8" x14ac:dyDescent="0.25">
      <c r="A128">
        <v>123</v>
      </c>
      <c r="B128">
        <f t="shared" ca="1" si="9"/>
        <v>0.1</v>
      </c>
      <c r="D128">
        <f t="shared" ca="1" si="10"/>
        <v>7.0000000000000391</v>
      </c>
      <c r="E128">
        <f t="shared" ca="1" si="7"/>
        <v>1.4368897599021668</v>
      </c>
      <c r="G128">
        <f t="shared" ca="1" si="11"/>
        <v>3.9999999999999765</v>
      </c>
      <c r="H128">
        <f t="shared" ca="1" si="8"/>
        <v>1.8862031615566119</v>
      </c>
    </row>
    <row r="129" spans="1:8" x14ac:dyDescent="0.25">
      <c r="A129">
        <v>124</v>
      </c>
      <c r="B129">
        <f t="shared" ca="1" si="9"/>
        <v>0.1</v>
      </c>
      <c r="D129">
        <f t="shared" ca="1" si="10"/>
        <v>6.9000000000000394</v>
      </c>
      <c r="E129">
        <f t="shared" ca="1" si="7"/>
        <v>1.4577894730834322</v>
      </c>
      <c r="G129">
        <f t="shared" ca="1" si="11"/>
        <v>4.0999999999999766</v>
      </c>
      <c r="H129">
        <f t="shared" ca="1" si="8"/>
        <v>1.840222401019888</v>
      </c>
    </row>
    <row r="130" spans="1:8" x14ac:dyDescent="0.25">
      <c r="A130">
        <v>125</v>
      </c>
      <c r="B130">
        <f t="shared" ca="1" si="9"/>
        <v>0.1</v>
      </c>
      <c r="D130">
        <f t="shared" ca="1" si="10"/>
        <v>6.8000000000000398</v>
      </c>
      <c r="E130">
        <f t="shared" ca="1" si="7"/>
        <v>1.4792642798939393</v>
      </c>
      <c r="G130">
        <f t="shared" ca="1" si="11"/>
        <v>4.1999999999999762</v>
      </c>
      <c r="H130">
        <f t="shared" ca="1" si="8"/>
        <v>1.796510349587813</v>
      </c>
    </row>
    <row r="131" spans="1:8" x14ac:dyDescent="0.25">
      <c r="A131">
        <v>126</v>
      </c>
      <c r="B131">
        <f t="shared" ca="1" si="9"/>
        <v>0.1</v>
      </c>
      <c r="D131">
        <f t="shared" ca="1" si="10"/>
        <v>6.7000000000000401</v>
      </c>
      <c r="E131">
        <f t="shared" ca="1" si="7"/>
        <v>1.5014238214973521</v>
      </c>
      <c r="G131">
        <f t="shared" ca="1" si="11"/>
        <v>4.2999999999999758</v>
      </c>
      <c r="H131">
        <f t="shared" ca="1" si="8"/>
        <v>1.7548826489158897</v>
      </c>
    </row>
    <row r="132" spans="1:8" x14ac:dyDescent="0.25">
      <c r="A132">
        <v>127</v>
      </c>
      <c r="B132">
        <f t="shared" ca="1" si="9"/>
        <v>0.1</v>
      </c>
      <c r="D132">
        <f t="shared" ca="1" si="10"/>
        <v>6.6000000000000405</v>
      </c>
      <c r="E132">
        <f t="shared" ca="1" si="7"/>
        <v>1.5242748220846791</v>
      </c>
      <c r="G132">
        <f t="shared" ca="1" si="11"/>
        <v>4.3999999999999755</v>
      </c>
      <c r="H132">
        <f t="shared" ca="1" si="8"/>
        <v>1.715090921817666</v>
      </c>
    </row>
    <row r="133" spans="1:8" x14ac:dyDescent="0.25">
      <c r="A133">
        <v>128</v>
      </c>
      <c r="B133">
        <f t="shared" ca="1" si="9"/>
        <v>0.1</v>
      </c>
      <c r="D133">
        <f t="shared" ca="1" si="10"/>
        <v>6.5000000000000409</v>
      </c>
      <c r="E133">
        <f t="shared" ca="1" si="7"/>
        <v>1.5478181862825795</v>
      </c>
      <c r="G133">
        <f t="shared" ca="1" si="11"/>
        <v>4.4999999999999751</v>
      </c>
      <c r="H133">
        <f t="shared" ca="1" si="8"/>
        <v>1.6770771422209987</v>
      </c>
    </row>
    <row r="134" spans="1:8" x14ac:dyDescent="0.25">
      <c r="A134">
        <v>129</v>
      </c>
      <c r="B134">
        <f t="shared" ca="1" si="9"/>
        <v>0.1</v>
      </c>
      <c r="D134">
        <f t="shared" ca="1" si="10"/>
        <v>6.4000000000000412</v>
      </c>
      <c r="E134">
        <f t="shared" ca="1" si="7"/>
        <v>1.5720034336199158</v>
      </c>
      <c r="G134">
        <f t="shared" ca="1" si="11"/>
        <v>4.5999999999999748</v>
      </c>
      <c r="H134">
        <f t="shared" ca="1" si="8"/>
        <v>1.640753089785765</v>
      </c>
    </row>
    <row r="135" spans="1:8" x14ac:dyDescent="0.25">
      <c r="A135">
        <v>130</v>
      </c>
      <c r="B135">
        <f t="shared" ca="1" si="9"/>
        <v>0.1</v>
      </c>
      <c r="D135">
        <f t="shared" ca="1" si="10"/>
        <v>6.3000000000000416</v>
      </c>
      <c r="E135">
        <f t="shared" ref="E135:E198" ca="1" si="12">E134*D134/D135*(1 + RAND()/10000)</f>
        <v>1.5970673383589302</v>
      </c>
      <c r="G135">
        <f t="shared" ca="1" si="11"/>
        <v>4.6999999999999744</v>
      </c>
      <c r="H135">
        <f t="shared" ref="H135:H198" ca="1" si="13">H134*G134/G135*(1 + RAND()/10000)</f>
        <v>1.6059239405918391</v>
      </c>
    </row>
    <row r="136" spans="1:8" x14ac:dyDescent="0.25">
      <c r="A136">
        <v>131</v>
      </c>
      <c r="B136">
        <f t="shared" ca="1" si="9"/>
        <v>0.1</v>
      </c>
      <c r="C136">
        <v>4</v>
      </c>
      <c r="D136">
        <f t="shared" ca="1" si="10"/>
        <v>10.200000000000042</v>
      </c>
      <c r="E136">
        <f t="shared" ca="1" si="12"/>
        <v>0.98649412831227357</v>
      </c>
      <c r="G136">
        <f t="shared" ca="1" si="11"/>
        <v>4.7999999999999741</v>
      </c>
      <c r="H136">
        <f t="shared" ca="1" si="13"/>
        <v>1.5725598445652962</v>
      </c>
    </row>
    <row r="137" spans="1:8" x14ac:dyDescent="0.25">
      <c r="A137">
        <v>132</v>
      </c>
      <c r="B137">
        <f t="shared" ca="1" si="9"/>
        <v>0.1</v>
      </c>
      <c r="D137">
        <f t="shared" ca="1" si="10"/>
        <v>10.100000000000042</v>
      </c>
      <c r="E137">
        <f t="shared" ca="1" si="12"/>
        <v>0.99635967597764086</v>
      </c>
      <c r="G137">
        <f t="shared" ca="1" si="11"/>
        <v>4.8999999999999737</v>
      </c>
      <c r="H137">
        <f t="shared" ca="1" si="13"/>
        <v>1.5405503298637535</v>
      </c>
    </row>
    <row r="138" spans="1:8" x14ac:dyDescent="0.25">
      <c r="A138">
        <v>133</v>
      </c>
      <c r="B138">
        <f t="shared" ca="1" si="9"/>
        <v>0.1</v>
      </c>
      <c r="D138">
        <f t="shared" ca="1" si="10"/>
        <v>10.000000000000043</v>
      </c>
      <c r="E138">
        <f t="shared" ca="1" si="12"/>
        <v>1.0064200575072204</v>
      </c>
      <c r="G138">
        <f t="shared" ca="1" si="11"/>
        <v>4.9999999999999734</v>
      </c>
      <c r="H138">
        <f t="shared" ca="1" si="13"/>
        <v>1.5098686464236497</v>
      </c>
    </row>
    <row r="139" spans="1:8" x14ac:dyDescent="0.25">
      <c r="A139">
        <v>134</v>
      </c>
      <c r="B139">
        <f t="shared" ca="1" si="9"/>
        <v>0.1</v>
      </c>
      <c r="D139">
        <f t="shared" ca="1" si="10"/>
        <v>9.900000000000043</v>
      </c>
      <c r="E139">
        <f t="shared" ca="1" si="12"/>
        <v>1.0166639669232116</v>
      </c>
      <c r="G139">
        <f t="shared" ca="1" si="11"/>
        <v>5.099999999999973</v>
      </c>
      <c r="H139">
        <f t="shared" ca="1" si="13"/>
        <v>1.4803211824490261</v>
      </c>
    </row>
    <row r="140" spans="1:8" x14ac:dyDescent="0.25">
      <c r="A140">
        <v>135</v>
      </c>
      <c r="B140">
        <f t="shared" ca="1" si="9"/>
        <v>0.1</v>
      </c>
      <c r="D140">
        <f t="shared" ca="1" si="10"/>
        <v>9.8000000000000433</v>
      </c>
      <c r="E140">
        <f t="shared" ca="1" si="12"/>
        <v>1.0271071279228436</v>
      </c>
      <c r="G140">
        <f t="shared" ca="1" si="11"/>
        <v>5.1999999999999726</v>
      </c>
      <c r="H140">
        <f t="shared" ca="1" si="13"/>
        <v>1.4519885189935104</v>
      </c>
    </row>
    <row r="141" spans="1:8" x14ac:dyDescent="0.25">
      <c r="A141">
        <v>136</v>
      </c>
      <c r="B141">
        <f t="shared" ca="1" si="9"/>
        <v>0.1</v>
      </c>
      <c r="D141">
        <f t="shared" ca="1" si="10"/>
        <v>9.7000000000000437</v>
      </c>
      <c r="E141">
        <f t="shared" ca="1" si="12"/>
        <v>1.0376995040753285</v>
      </c>
      <c r="F141">
        <v>2</v>
      </c>
      <c r="G141">
        <f t="shared" ca="1" si="11"/>
        <v>3.2999999999999723</v>
      </c>
      <c r="H141">
        <f t="shared" ca="1" si="13"/>
        <v>2.2881413797749515</v>
      </c>
    </row>
    <row r="142" spans="1:8" x14ac:dyDescent="0.25">
      <c r="A142">
        <v>137</v>
      </c>
      <c r="B142">
        <f t="shared" ca="1" si="9"/>
        <v>0.1</v>
      </c>
      <c r="D142">
        <f t="shared" ca="1" si="10"/>
        <v>9.6000000000000441</v>
      </c>
      <c r="E142">
        <f t="shared" ca="1" si="12"/>
        <v>1.0485338588957884</v>
      </c>
      <c r="G142">
        <f t="shared" ca="1" si="11"/>
        <v>3.3999999999999724</v>
      </c>
      <c r="H142">
        <f t="shared" ca="1" si="13"/>
        <v>2.2208880394052177</v>
      </c>
    </row>
    <row r="143" spans="1:8" x14ac:dyDescent="0.25">
      <c r="A143">
        <v>138</v>
      </c>
      <c r="B143">
        <f t="shared" ca="1" si="9"/>
        <v>0.1</v>
      </c>
      <c r="D143">
        <f t="shared" ca="1" si="10"/>
        <v>9.5000000000000444</v>
      </c>
      <c r="E143">
        <f t="shared" ca="1" si="12"/>
        <v>1.0596204007877206</v>
      </c>
      <c r="G143">
        <f t="shared" ca="1" si="11"/>
        <v>3.4999999999999725</v>
      </c>
      <c r="H143">
        <f t="shared" ca="1" si="13"/>
        <v>2.1574932054547689</v>
      </c>
    </row>
    <row r="144" spans="1:8" x14ac:dyDescent="0.25">
      <c r="A144">
        <v>139</v>
      </c>
      <c r="B144">
        <f t="shared" ca="1" si="9"/>
        <v>0.1</v>
      </c>
      <c r="D144">
        <f t="shared" ca="1" si="10"/>
        <v>9.4000000000000448</v>
      </c>
      <c r="E144">
        <f t="shared" ca="1" si="12"/>
        <v>1.0708947732674561</v>
      </c>
      <c r="G144">
        <f t="shared" ca="1" si="11"/>
        <v>3.5999999999999726</v>
      </c>
      <c r="H144">
        <f t="shared" ca="1" si="13"/>
        <v>2.0975652179350219</v>
      </c>
    </row>
    <row r="145" spans="1:8" x14ac:dyDescent="0.25">
      <c r="A145">
        <v>140</v>
      </c>
      <c r="B145">
        <f t="shared" ca="1" si="9"/>
        <v>0.1</v>
      </c>
      <c r="D145">
        <f t="shared" ca="1" si="10"/>
        <v>9.3000000000000451</v>
      </c>
      <c r="E145">
        <f t="shared" ca="1" si="12"/>
        <v>1.082469283917791</v>
      </c>
      <c r="G145">
        <f t="shared" ca="1" si="11"/>
        <v>3.6999999999999726</v>
      </c>
      <c r="H145">
        <f t="shared" ca="1" si="13"/>
        <v>2.0409938889617654</v>
      </c>
    </row>
    <row r="146" spans="1:8" x14ac:dyDescent="0.25">
      <c r="A146">
        <v>141</v>
      </c>
      <c r="B146">
        <f t="shared" ca="1" si="9"/>
        <v>0.1</v>
      </c>
      <c r="D146">
        <f t="shared" ca="1" si="10"/>
        <v>9.2000000000000455</v>
      </c>
      <c r="E146">
        <f t="shared" ca="1" si="12"/>
        <v>1.0943132848475441</v>
      </c>
      <c r="G146">
        <f t="shared" ca="1" si="11"/>
        <v>3.7999999999999727</v>
      </c>
      <c r="H146">
        <f t="shared" ca="1" si="13"/>
        <v>1.9874511883898813</v>
      </c>
    </row>
    <row r="147" spans="1:8" x14ac:dyDescent="0.25">
      <c r="A147">
        <v>142</v>
      </c>
      <c r="B147">
        <f t="shared" ca="1" si="9"/>
        <v>0.1</v>
      </c>
      <c r="D147">
        <f t="shared" ca="1" si="10"/>
        <v>9.1000000000000458</v>
      </c>
      <c r="E147">
        <f t="shared" ca="1" si="12"/>
        <v>1.1063871480164373</v>
      </c>
      <c r="G147">
        <f t="shared" ca="1" si="11"/>
        <v>3.8999999999999728</v>
      </c>
      <c r="H147">
        <f t="shared" ca="1" si="13"/>
        <v>1.93649357730862</v>
      </c>
    </row>
    <row r="148" spans="1:8" x14ac:dyDescent="0.25">
      <c r="A148">
        <v>143</v>
      </c>
      <c r="B148">
        <f t="shared" ca="1" si="9"/>
        <v>0.1</v>
      </c>
      <c r="D148">
        <f t="shared" ca="1" si="10"/>
        <v>9.0000000000000462</v>
      </c>
      <c r="E148">
        <f t="shared" ca="1" si="12"/>
        <v>1.1187794217591875</v>
      </c>
      <c r="G148">
        <f t="shared" ca="1" si="11"/>
        <v>3.9999999999999729</v>
      </c>
      <c r="H148">
        <f t="shared" ca="1" si="13"/>
        <v>1.8881662558368493</v>
      </c>
    </row>
    <row r="149" spans="1:8" x14ac:dyDescent="0.25">
      <c r="A149">
        <v>144</v>
      </c>
      <c r="B149">
        <f t="shared" ca="1" si="9"/>
        <v>0.1</v>
      </c>
      <c r="D149">
        <f t="shared" ca="1" si="10"/>
        <v>8.9000000000000465</v>
      </c>
      <c r="E149">
        <f t="shared" ca="1" si="12"/>
        <v>1.1314369686433456</v>
      </c>
      <c r="G149">
        <f t="shared" ca="1" si="11"/>
        <v>4.099999999999973</v>
      </c>
      <c r="H149">
        <f t="shared" ca="1" si="13"/>
        <v>1.8422788397845351</v>
      </c>
    </row>
    <row r="150" spans="1:8" x14ac:dyDescent="0.25">
      <c r="A150">
        <v>145</v>
      </c>
      <c r="B150">
        <f t="shared" ca="1" si="9"/>
        <v>0.1</v>
      </c>
      <c r="D150">
        <f t="shared" ca="1" si="10"/>
        <v>8.8000000000000469</v>
      </c>
      <c r="E150">
        <f t="shared" ca="1" si="12"/>
        <v>1.1443324249862576</v>
      </c>
      <c r="G150">
        <f t="shared" ca="1" si="11"/>
        <v>4.1999999999999726</v>
      </c>
      <c r="H150">
        <f t="shared" ca="1" si="13"/>
        <v>1.7985326379553583</v>
      </c>
    </row>
    <row r="151" spans="1:8" x14ac:dyDescent="0.25">
      <c r="A151">
        <v>146</v>
      </c>
      <c r="B151">
        <f t="shared" ca="1" si="9"/>
        <v>0.1</v>
      </c>
      <c r="D151">
        <f t="shared" ca="1" si="10"/>
        <v>8.7000000000000473</v>
      </c>
      <c r="E151">
        <f t="shared" ca="1" si="12"/>
        <v>1.1575380737998773</v>
      </c>
      <c r="G151">
        <f t="shared" ca="1" si="11"/>
        <v>4.2999999999999723</v>
      </c>
      <c r="H151">
        <f t="shared" ca="1" si="13"/>
        <v>1.7567153435097218</v>
      </c>
    </row>
    <row r="152" spans="1:8" x14ac:dyDescent="0.25">
      <c r="A152">
        <v>147</v>
      </c>
      <c r="B152">
        <f t="shared" ca="1" si="9"/>
        <v>0.1</v>
      </c>
      <c r="D152">
        <f t="shared" ca="1" si="10"/>
        <v>8.6000000000000476</v>
      </c>
      <c r="E152">
        <f t="shared" ca="1" si="12"/>
        <v>1.1710322960808097</v>
      </c>
      <c r="G152">
        <f t="shared" ca="1" si="11"/>
        <v>4.3999999999999719</v>
      </c>
      <c r="H152">
        <f t="shared" ca="1" si="13"/>
        <v>1.7168707235047964</v>
      </c>
    </row>
    <row r="153" spans="1:8" x14ac:dyDescent="0.25">
      <c r="A153">
        <v>148</v>
      </c>
      <c r="B153">
        <f t="shared" ca="1" si="9"/>
        <v>0.1</v>
      </c>
      <c r="D153">
        <f t="shared" ca="1" si="10"/>
        <v>8.500000000000048</v>
      </c>
      <c r="E153">
        <f t="shared" ca="1" si="12"/>
        <v>1.1848628398240644</v>
      </c>
      <c r="G153">
        <f t="shared" ca="1" si="11"/>
        <v>4.4999999999999716</v>
      </c>
      <c r="H153">
        <f t="shared" ca="1" si="13"/>
        <v>1.6788835361351333</v>
      </c>
    </row>
    <row r="154" spans="1:8" x14ac:dyDescent="0.25">
      <c r="A154">
        <v>149</v>
      </c>
      <c r="B154">
        <f t="shared" ref="B154:B205" ca="1" si="14">IF(H153&gt;E153,$D$1,0)</f>
        <v>0.1</v>
      </c>
      <c r="D154">
        <f t="shared" ca="1" si="10"/>
        <v>8.4000000000000483</v>
      </c>
      <c r="E154">
        <f t="shared" ca="1" si="12"/>
        <v>1.1990623530242022</v>
      </c>
      <c r="G154">
        <f t="shared" ca="1" si="11"/>
        <v>4.5999999999999712</v>
      </c>
      <c r="H154">
        <f t="shared" ca="1" si="13"/>
        <v>1.6424079540568677</v>
      </c>
    </row>
    <row r="155" spans="1:8" x14ac:dyDescent="0.25">
      <c r="A155">
        <v>150</v>
      </c>
      <c r="B155">
        <f t="shared" ca="1" si="14"/>
        <v>0.1</v>
      </c>
      <c r="D155">
        <f t="shared" ref="D155:D205" ca="1" si="15">D154-B155*(A155-A154)+C155</f>
        <v>8.3000000000000487</v>
      </c>
      <c r="E155">
        <f t="shared" ca="1" si="12"/>
        <v>1.2135290719765359</v>
      </c>
      <c r="G155">
        <f t="shared" ref="G155:G205" ca="1" si="16">G154+B155*(A155-A154)-F155</f>
        <v>4.6999999999999709</v>
      </c>
      <c r="H155">
        <f t="shared" ca="1" si="13"/>
        <v>1.6075620450489085</v>
      </c>
    </row>
    <row r="156" spans="1:8" x14ac:dyDescent="0.25">
      <c r="A156">
        <v>151</v>
      </c>
      <c r="B156">
        <f t="shared" ca="1" si="14"/>
        <v>0.1</v>
      </c>
      <c r="D156">
        <f t="shared" ca="1" si="15"/>
        <v>8.200000000000049</v>
      </c>
      <c r="E156">
        <f t="shared" ca="1" si="12"/>
        <v>1.2283633445723769</v>
      </c>
      <c r="G156">
        <f t="shared" ca="1" si="16"/>
        <v>4.7999999999999705</v>
      </c>
      <c r="H156">
        <f t="shared" ca="1" si="13"/>
        <v>1.5740735019987275</v>
      </c>
    </row>
    <row r="157" spans="1:8" x14ac:dyDescent="0.25">
      <c r="A157">
        <v>152</v>
      </c>
      <c r="B157">
        <f t="shared" ca="1" si="14"/>
        <v>0.1</v>
      </c>
      <c r="D157">
        <f t="shared" ca="1" si="15"/>
        <v>8.1000000000000494</v>
      </c>
      <c r="E157">
        <f t="shared" ca="1" si="12"/>
        <v>1.2435535086436988</v>
      </c>
      <c r="G157">
        <f t="shared" ca="1" si="16"/>
        <v>4.8999999999999702</v>
      </c>
      <c r="H157">
        <f t="shared" ca="1" si="13"/>
        <v>1.5420850236803452</v>
      </c>
    </row>
    <row r="158" spans="1:8" x14ac:dyDescent="0.25">
      <c r="A158">
        <v>153</v>
      </c>
      <c r="B158">
        <f t="shared" ca="1" si="14"/>
        <v>0.1</v>
      </c>
      <c r="D158">
        <f t="shared" ca="1" si="15"/>
        <v>8.0000000000000497</v>
      </c>
      <c r="E158">
        <f t="shared" ca="1" si="12"/>
        <v>1.2592075188715932</v>
      </c>
      <c r="G158">
        <f t="shared" ca="1" si="16"/>
        <v>4.9999999999999698</v>
      </c>
      <c r="H158">
        <f t="shared" ca="1" si="13"/>
        <v>1.5113049396626157</v>
      </c>
    </row>
    <row r="159" spans="1:8" x14ac:dyDescent="0.25">
      <c r="A159">
        <v>154</v>
      </c>
      <c r="B159">
        <f t="shared" ca="1" si="14"/>
        <v>0.1</v>
      </c>
      <c r="D159">
        <f t="shared" ca="1" si="15"/>
        <v>7.9000000000000501</v>
      </c>
      <c r="E159">
        <f t="shared" ca="1" si="12"/>
        <v>1.2751728369368998</v>
      </c>
      <c r="G159">
        <f t="shared" ca="1" si="16"/>
        <v>5.0999999999999694</v>
      </c>
      <c r="H159">
        <f t="shared" ca="1" si="13"/>
        <v>1.4816751246576412</v>
      </c>
    </row>
    <row r="160" spans="1:8" x14ac:dyDescent="0.25">
      <c r="A160">
        <v>155</v>
      </c>
      <c r="B160">
        <f t="shared" ca="1" si="14"/>
        <v>0.1</v>
      </c>
      <c r="D160">
        <f t="shared" ca="1" si="15"/>
        <v>7.8000000000000504</v>
      </c>
      <c r="E160">
        <f t="shared" ca="1" si="12"/>
        <v>1.2916400144687037</v>
      </c>
      <c r="G160">
        <f t="shared" ca="1" si="16"/>
        <v>5.1999999999999691</v>
      </c>
      <c r="H160">
        <f t="shared" ca="1" si="13"/>
        <v>1.4532063759003222</v>
      </c>
    </row>
    <row r="161" spans="1:8" x14ac:dyDescent="0.25">
      <c r="A161">
        <v>156</v>
      </c>
      <c r="B161">
        <f t="shared" ca="1" si="14"/>
        <v>0.1</v>
      </c>
      <c r="D161">
        <f t="shared" ca="1" si="15"/>
        <v>7.7000000000000508</v>
      </c>
      <c r="E161">
        <f t="shared" ca="1" si="12"/>
        <v>1.3085156401738931</v>
      </c>
      <c r="F161">
        <v>2</v>
      </c>
      <c r="G161">
        <f t="shared" ca="1" si="16"/>
        <v>3.2999999999999687</v>
      </c>
      <c r="H161">
        <f t="shared" ca="1" si="13"/>
        <v>2.2900764290625992</v>
      </c>
    </row>
    <row r="162" spans="1:8" x14ac:dyDescent="0.25">
      <c r="A162">
        <v>157</v>
      </c>
      <c r="B162">
        <f t="shared" ca="1" si="14"/>
        <v>0.1</v>
      </c>
      <c r="D162">
        <f t="shared" ca="1" si="15"/>
        <v>7.6000000000000512</v>
      </c>
      <c r="E162">
        <f t="shared" ca="1" si="12"/>
        <v>1.3257977617980647</v>
      </c>
      <c r="G162">
        <f t="shared" ca="1" si="16"/>
        <v>3.3999999999999688</v>
      </c>
      <c r="H162">
        <f t="shared" ca="1" si="13"/>
        <v>2.2227230743692488</v>
      </c>
    </row>
    <row r="163" spans="1:8" x14ac:dyDescent="0.25">
      <c r="A163">
        <v>158</v>
      </c>
      <c r="B163">
        <f t="shared" ca="1" si="14"/>
        <v>0.1</v>
      </c>
      <c r="D163">
        <f t="shared" ca="1" si="15"/>
        <v>7.5000000000000515</v>
      </c>
      <c r="E163">
        <f t="shared" ca="1" si="12"/>
        <v>1.3435472304835334</v>
      </c>
      <c r="G163">
        <f t="shared" ca="1" si="16"/>
        <v>3.4999999999999689</v>
      </c>
      <c r="H163">
        <f t="shared" ca="1" si="13"/>
        <v>2.1594074186983034</v>
      </c>
    </row>
    <row r="164" spans="1:8" x14ac:dyDescent="0.25">
      <c r="A164">
        <v>159</v>
      </c>
      <c r="B164">
        <f t="shared" ca="1" si="14"/>
        <v>0.1</v>
      </c>
      <c r="D164">
        <f t="shared" ca="1" si="15"/>
        <v>7.4000000000000519</v>
      </c>
      <c r="E164">
        <f t="shared" ca="1" si="12"/>
        <v>1.3617592553043556</v>
      </c>
      <c r="G164">
        <f t="shared" ca="1" si="16"/>
        <v>3.599999999999969</v>
      </c>
      <c r="H164">
        <f t="shared" ca="1" si="13"/>
        <v>2.0994554623708259</v>
      </c>
    </row>
    <row r="165" spans="1:8" x14ac:dyDescent="0.25">
      <c r="A165">
        <v>160</v>
      </c>
      <c r="B165">
        <f t="shared" ca="1" si="14"/>
        <v>0.1</v>
      </c>
      <c r="D165">
        <f t="shared" ca="1" si="15"/>
        <v>7.3000000000000522</v>
      </c>
      <c r="E165">
        <f t="shared" ca="1" si="12"/>
        <v>1.3804517707243149</v>
      </c>
      <c r="G165">
        <f t="shared" ca="1" si="16"/>
        <v>3.6999999999999691</v>
      </c>
      <c r="H165">
        <f t="shared" ca="1" si="13"/>
        <v>2.0428067810519814</v>
      </c>
    </row>
    <row r="166" spans="1:8" x14ac:dyDescent="0.25">
      <c r="A166">
        <v>161</v>
      </c>
      <c r="B166">
        <f t="shared" ca="1" si="14"/>
        <v>0.1</v>
      </c>
      <c r="D166">
        <f t="shared" ca="1" si="15"/>
        <v>7.2000000000000526</v>
      </c>
      <c r="E166">
        <f t="shared" ca="1" si="12"/>
        <v>1.399732139359313</v>
      </c>
      <c r="G166">
        <f t="shared" ca="1" si="16"/>
        <v>3.7999999999999692</v>
      </c>
      <c r="H166">
        <f t="shared" ca="1" si="13"/>
        <v>1.9892100957219065</v>
      </c>
    </row>
    <row r="167" spans="1:8" x14ac:dyDescent="0.25">
      <c r="A167">
        <v>162</v>
      </c>
      <c r="B167">
        <f t="shared" ca="1" si="14"/>
        <v>0.1</v>
      </c>
      <c r="D167">
        <f t="shared" ca="1" si="15"/>
        <v>7.1000000000000529</v>
      </c>
      <c r="E167">
        <f t="shared" ca="1" si="12"/>
        <v>1.4195372596981908</v>
      </c>
      <c r="G167">
        <f t="shared" ca="1" si="16"/>
        <v>3.8999999999999693</v>
      </c>
      <c r="H167">
        <f t="shared" ca="1" si="13"/>
        <v>1.9382760914270185</v>
      </c>
    </row>
    <row r="168" spans="1:8" x14ac:dyDescent="0.25">
      <c r="A168">
        <v>163</v>
      </c>
      <c r="B168">
        <f t="shared" ca="1" si="14"/>
        <v>0.1</v>
      </c>
      <c r="D168">
        <f t="shared" ca="1" si="15"/>
        <v>7.0000000000000533</v>
      </c>
      <c r="E168">
        <f t="shared" ca="1" si="12"/>
        <v>1.4398252799715914</v>
      </c>
      <c r="G168">
        <f t="shared" ca="1" si="16"/>
        <v>3.9999999999999694</v>
      </c>
      <c r="H168">
        <f t="shared" ca="1" si="13"/>
        <v>1.8899634476894833</v>
      </c>
    </row>
    <row r="169" spans="1:8" x14ac:dyDescent="0.25">
      <c r="A169">
        <v>164</v>
      </c>
      <c r="B169">
        <f t="shared" ca="1" si="14"/>
        <v>0.1</v>
      </c>
      <c r="D169">
        <f t="shared" ca="1" si="15"/>
        <v>6.9000000000000536</v>
      </c>
      <c r="E169">
        <f t="shared" ca="1" si="12"/>
        <v>1.4607184675499902</v>
      </c>
      <c r="G169">
        <f t="shared" ca="1" si="16"/>
        <v>4.0999999999999694</v>
      </c>
      <c r="H169">
        <f t="shared" ca="1" si="13"/>
        <v>1.8440015362193813</v>
      </c>
    </row>
    <row r="170" spans="1:8" x14ac:dyDescent="0.25">
      <c r="A170">
        <v>165</v>
      </c>
      <c r="B170">
        <f t="shared" ca="1" si="14"/>
        <v>0.1</v>
      </c>
      <c r="D170">
        <f t="shared" ca="1" si="15"/>
        <v>6.800000000000054</v>
      </c>
      <c r="E170">
        <f t="shared" ca="1" si="12"/>
        <v>1.4823279700815961</v>
      </c>
      <c r="G170">
        <f t="shared" ca="1" si="16"/>
        <v>4.1999999999999691</v>
      </c>
      <c r="H170">
        <f t="shared" ca="1" si="13"/>
        <v>1.8001800331192814</v>
      </c>
    </row>
    <row r="171" spans="1:8" x14ac:dyDescent="0.25">
      <c r="A171">
        <v>166</v>
      </c>
      <c r="B171">
        <f t="shared" ca="1" si="14"/>
        <v>0.1</v>
      </c>
      <c r="D171">
        <f t="shared" ca="1" si="15"/>
        <v>6.7000000000000544</v>
      </c>
      <c r="E171">
        <f t="shared" ca="1" si="12"/>
        <v>1.5044785153798825</v>
      </c>
      <c r="G171">
        <f t="shared" ca="1" si="16"/>
        <v>4.2999999999999687</v>
      </c>
      <c r="H171">
        <f t="shared" ca="1" si="13"/>
        <v>1.7583798726404238</v>
      </c>
    </row>
    <row r="172" spans="1:8" x14ac:dyDescent="0.25">
      <c r="A172">
        <v>167</v>
      </c>
      <c r="B172">
        <f t="shared" ca="1" si="14"/>
        <v>0.1</v>
      </c>
      <c r="D172">
        <f t="shared" ca="1" si="15"/>
        <v>6.6000000000000547</v>
      </c>
      <c r="E172">
        <f t="shared" ca="1" si="12"/>
        <v>1.5273573468505524</v>
      </c>
      <c r="G172">
        <f t="shared" ca="1" si="16"/>
        <v>4.3999999999999684</v>
      </c>
      <c r="H172">
        <f t="shared" ca="1" si="13"/>
        <v>1.71854722268036</v>
      </c>
    </row>
    <row r="173" spans="1:8" x14ac:dyDescent="0.25">
      <c r="A173">
        <v>168</v>
      </c>
      <c r="B173">
        <f t="shared" ca="1" si="14"/>
        <v>0.1</v>
      </c>
      <c r="D173">
        <f t="shared" ca="1" si="15"/>
        <v>6.5000000000000551</v>
      </c>
      <c r="E173">
        <f t="shared" ca="1" si="12"/>
        <v>1.5508860787659673</v>
      </c>
      <c r="G173">
        <f t="shared" ca="1" si="16"/>
        <v>4.499999999999968</v>
      </c>
      <c r="H173">
        <f t="shared" ca="1" si="13"/>
        <v>1.6804485089215755</v>
      </c>
    </row>
    <row r="174" spans="1:8" x14ac:dyDescent="0.25">
      <c r="A174">
        <v>169</v>
      </c>
      <c r="B174">
        <f t="shared" ca="1" si="14"/>
        <v>0.1</v>
      </c>
      <c r="D174">
        <f t="shared" ca="1" si="15"/>
        <v>6.4000000000000554</v>
      </c>
      <c r="E174">
        <f t="shared" ca="1" si="12"/>
        <v>1.5752081645089875</v>
      </c>
      <c r="G174">
        <f t="shared" ca="1" si="16"/>
        <v>4.5999999999999677</v>
      </c>
      <c r="H174">
        <f t="shared" ca="1" si="13"/>
        <v>1.6439933589583278</v>
      </c>
    </row>
    <row r="175" spans="1:8" x14ac:dyDescent="0.25">
      <c r="A175">
        <v>170</v>
      </c>
      <c r="B175">
        <f t="shared" ca="1" si="14"/>
        <v>0.1</v>
      </c>
      <c r="D175">
        <f t="shared" ca="1" si="15"/>
        <v>6.3000000000000558</v>
      </c>
      <c r="E175">
        <f t="shared" ca="1" si="12"/>
        <v>1.600366378152366</v>
      </c>
      <c r="G175">
        <f t="shared" ca="1" si="16"/>
        <v>4.6999999999999673</v>
      </c>
      <c r="H175">
        <f t="shared" ca="1" si="13"/>
        <v>1.6091647125019808</v>
      </c>
    </row>
    <row r="176" spans="1:8" x14ac:dyDescent="0.25">
      <c r="A176">
        <v>171</v>
      </c>
      <c r="B176">
        <f t="shared" ca="1" si="14"/>
        <v>0.1</v>
      </c>
      <c r="C176">
        <v>4</v>
      </c>
      <c r="D176">
        <f t="shared" ca="1" si="15"/>
        <v>10.200000000000056</v>
      </c>
      <c r="E176">
        <f t="shared" ca="1" si="12"/>
        <v>0.98846896213030155</v>
      </c>
      <c r="G176">
        <f t="shared" ca="1" si="16"/>
        <v>4.799999999999967</v>
      </c>
      <c r="H176">
        <f t="shared" ca="1" si="13"/>
        <v>1.5757065015338607</v>
      </c>
    </row>
    <row r="177" spans="1:8" x14ac:dyDescent="0.25">
      <c r="A177">
        <v>172</v>
      </c>
      <c r="B177">
        <f t="shared" ca="1" si="14"/>
        <v>0.1</v>
      </c>
      <c r="D177">
        <f t="shared" ca="1" si="15"/>
        <v>10.100000000000056</v>
      </c>
      <c r="E177">
        <f t="shared" ca="1" si="12"/>
        <v>0.99831785597133504</v>
      </c>
      <c r="G177">
        <f t="shared" ca="1" si="16"/>
        <v>4.8999999999999666</v>
      </c>
      <c r="H177">
        <f t="shared" ca="1" si="13"/>
        <v>1.5435493016874358</v>
      </c>
    </row>
    <row r="178" spans="1:8" x14ac:dyDescent="0.25">
      <c r="A178">
        <v>173</v>
      </c>
      <c r="B178">
        <f t="shared" ca="1" si="14"/>
        <v>0.1</v>
      </c>
      <c r="D178">
        <f t="shared" ca="1" si="15"/>
        <v>10.000000000000057</v>
      </c>
      <c r="E178">
        <f t="shared" ca="1" si="12"/>
        <v>1.0083590595431156</v>
      </c>
      <c r="G178">
        <f t="shared" ca="1" si="16"/>
        <v>4.9999999999999662</v>
      </c>
      <c r="H178">
        <f t="shared" ca="1" si="13"/>
        <v>1.512827064010497</v>
      </c>
    </row>
    <row r="179" spans="1:8" x14ac:dyDescent="0.25">
      <c r="A179">
        <v>174</v>
      </c>
      <c r="B179">
        <f t="shared" ca="1" si="14"/>
        <v>0.1</v>
      </c>
      <c r="D179">
        <f t="shared" ca="1" si="15"/>
        <v>9.9000000000000572</v>
      </c>
      <c r="E179">
        <f t="shared" ca="1" si="12"/>
        <v>1.0185621701637797</v>
      </c>
      <c r="G179">
        <f t="shared" ca="1" si="16"/>
        <v>5.0999999999999659</v>
      </c>
      <c r="H179">
        <f t="shared" ca="1" si="13"/>
        <v>1.4832304324946137</v>
      </c>
    </row>
    <row r="180" spans="1:8" x14ac:dyDescent="0.25">
      <c r="A180">
        <v>175</v>
      </c>
      <c r="B180">
        <f t="shared" ca="1" si="14"/>
        <v>0.1</v>
      </c>
      <c r="D180">
        <f t="shared" ca="1" si="15"/>
        <v>9.8000000000000576</v>
      </c>
      <c r="E180">
        <f t="shared" ca="1" si="12"/>
        <v>1.0290463207556597</v>
      </c>
      <c r="G180">
        <f t="shared" ca="1" si="16"/>
        <v>5.1999999999999655</v>
      </c>
      <c r="H180">
        <f t="shared" ca="1" si="13"/>
        <v>1.4547119160873221</v>
      </c>
    </row>
    <row r="181" spans="1:8" x14ac:dyDescent="0.25">
      <c r="A181">
        <v>176</v>
      </c>
      <c r="B181">
        <f t="shared" ca="1" si="14"/>
        <v>0.1</v>
      </c>
      <c r="D181">
        <f t="shared" ca="1" si="15"/>
        <v>9.7000000000000579</v>
      </c>
      <c r="E181">
        <f t="shared" ca="1" si="12"/>
        <v>1.0397498080793972</v>
      </c>
      <c r="F181">
        <v>2</v>
      </c>
      <c r="G181">
        <f t="shared" ca="1" si="16"/>
        <v>3.2999999999999652</v>
      </c>
      <c r="H181">
        <f t="shared" ca="1" si="13"/>
        <v>2.2923625729975003</v>
      </c>
    </row>
    <row r="182" spans="1:8" x14ac:dyDescent="0.25">
      <c r="A182">
        <v>177</v>
      </c>
      <c r="B182">
        <f t="shared" ca="1" si="14"/>
        <v>0.1</v>
      </c>
      <c r="D182">
        <f t="shared" ca="1" si="15"/>
        <v>9.6000000000000583</v>
      </c>
      <c r="E182">
        <f t="shared" ca="1" si="12"/>
        <v>1.0505948059862698</v>
      </c>
      <c r="G182">
        <f t="shared" ca="1" si="16"/>
        <v>3.3999999999999653</v>
      </c>
      <c r="H182">
        <f t="shared" ca="1" si="13"/>
        <v>2.2250962352999992</v>
      </c>
    </row>
    <row r="183" spans="1:8" x14ac:dyDescent="0.25">
      <c r="A183">
        <v>178</v>
      </c>
      <c r="B183">
        <f t="shared" ca="1" si="14"/>
        <v>0.1</v>
      </c>
      <c r="D183">
        <f t="shared" ca="1" si="15"/>
        <v>9.5000000000000586</v>
      </c>
      <c r="E183">
        <f t="shared" ca="1" si="12"/>
        <v>1.0617493524797719</v>
      </c>
      <c r="G183">
        <f t="shared" ca="1" si="16"/>
        <v>3.4999999999999654</v>
      </c>
      <c r="H183">
        <f t="shared" ca="1" si="13"/>
        <v>2.1616062359117962</v>
      </c>
    </row>
    <row r="184" spans="1:8" x14ac:dyDescent="0.25">
      <c r="A184">
        <v>179</v>
      </c>
      <c r="B184">
        <f t="shared" ca="1" si="14"/>
        <v>0.1</v>
      </c>
      <c r="D184">
        <f t="shared" ca="1" si="15"/>
        <v>9.400000000000059</v>
      </c>
      <c r="E184">
        <f t="shared" ca="1" si="12"/>
        <v>1.0731455638672169</v>
      </c>
      <c r="G184">
        <f t="shared" ca="1" si="16"/>
        <v>3.5999999999999654</v>
      </c>
      <c r="H184">
        <f t="shared" ca="1" si="13"/>
        <v>2.1017605681924247</v>
      </c>
    </row>
    <row r="185" spans="1:8" x14ac:dyDescent="0.25">
      <c r="A185">
        <v>180</v>
      </c>
      <c r="B185">
        <f t="shared" ca="1" si="14"/>
        <v>0.1</v>
      </c>
      <c r="D185">
        <f t="shared" ca="1" si="15"/>
        <v>9.3000000000000593</v>
      </c>
      <c r="E185">
        <f t="shared" ca="1" si="12"/>
        <v>1.0847553214585679</v>
      </c>
      <c r="G185">
        <f t="shared" ca="1" si="16"/>
        <v>3.6999999999999655</v>
      </c>
      <c r="H185">
        <f t="shared" ca="1" si="13"/>
        <v>2.0451435264002447</v>
      </c>
    </row>
    <row r="186" spans="1:8" x14ac:dyDescent="0.25">
      <c r="A186">
        <v>181</v>
      </c>
      <c r="B186">
        <f t="shared" ca="1" si="14"/>
        <v>0.1</v>
      </c>
      <c r="D186">
        <f t="shared" ca="1" si="15"/>
        <v>9.2000000000000597</v>
      </c>
      <c r="E186">
        <f t="shared" ca="1" si="12"/>
        <v>1.0966384840644707</v>
      </c>
      <c r="G186">
        <f t="shared" ca="1" si="16"/>
        <v>3.7999999999999656</v>
      </c>
      <c r="H186">
        <f t="shared" ca="1" si="13"/>
        <v>1.9913645326231455</v>
      </c>
    </row>
    <row r="187" spans="1:8" x14ac:dyDescent="0.25">
      <c r="A187">
        <v>182</v>
      </c>
      <c r="B187">
        <f t="shared" ca="1" si="14"/>
        <v>0.1</v>
      </c>
      <c r="D187">
        <f t="shared" ca="1" si="15"/>
        <v>9.10000000000006</v>
      </c>
      <c r="E187">
        <f t="shared" ca="1" si="12"/>
        <v>1.108738123684792</v>
      </c>
      <c r="G187">
        <f t="shared" ca="1" si="16"/>
        <v>3.8999999999999657</v>
      </c>
      <c r="H187">
        <f t="shared" ca="1" si="13"/>
        <v>1.9403370113138385</v>
      </c>
    </row>
    <row r="188" spans="1:8" x14ac:dyDescent="0.25">
      <c r="A188">
        <v>183</v>
      </c>
      <c r="B188">
        <f t="shared" ca="1" si="14"/>
        <v>0.1</v>
      </c>
      <c r="D188">
        <f t="shared" ca="1" si="15"/>
        <v>9.0000000000000604</v>
      </c>
      <c r="E188">
        <f t="shared" ca="1" si="12"/>
        <v>1.1211309770139872</v>
      </c>
      <c r="G188">
        <f t="shared" ca="1" si="16"/>
        <v>3.9999999999999658</v>
      </c>
      <c r="H188">
        <f t="shared" ca="1" si="13"/>
        <v>1.8918467857657462</v>
      </c>
    </row>
    <row r="189" spans="1:8" x14ac:dyDescent="0.25">
      <c r="A189">
        <v>184</v>
      </c>
      <c r="B189">
        <f t="shared" ca="1" si="14"/>
        <v>0.1</v>
      </c>
      <c r="D189">
        <f t="shared" ca="1" si="15"/>
        <v>8.9000000000000608</v>
      </c>
      <c r="E189">
        <f t="shared" ca="1" si="12"/>
        <v>1.1338175095198113</v>
      </c>
      <c r="G189">
        <f t="shared" ca="1" si="16"/>
        <v>4.0999999999999659</v>
      </c>
      <c r="H189">
        <f t="shared" ca="1" si="13"/>
        <v>1.8457480439271889</v>
      </c>
    </row>
    <row r="190" spans="1:8" x14ac:dyDescent="0.25">
      <c r="A190">
        <v>185</v>
      </c>
      <c r="B190">
        <f t="shared" ca="1" si="14"/>
        <v>0.1</v>
      </c>
      <c r="D190">
        <f t="shared" ca="1" si="15"/>
        <v>8.8000000000000611</v>
      </c>
      <c r="E190">
        <f t="shared" ca="1" si="12"/>
        <v>1.1467126150900002</v>
      </c>
      <c r="G190">
        <f t="shared" ca="1" si="16"/>
        <v>4.1999999999999655</v>
      </c>
      <c r="H190">
        <f t="shared" ca="1" si="13"/>
        <v>1.8019226277471043</v>
      </c>
    </row>
    <row r="191" spans="1:8" x14ac:dyDescent="0.25">
      <c r="A191">
        <v>186</v>
      </c>
      <c r="B191">
        <f t="shared" ca="1" si="14"/>
        <v>0.1</v>
      </c>
      <c r="D191">
        <f t="shared" ca="1" si="15"/>
        <v>8.7000000000000615</v>
      </c>
      <c r="E191">
        <f t="shared" ca="1" si="12"/>
        <v>1.1599172316929063</v>
      </c>
      <c r="G191">
        <f t="shared" ca="1" si="16"/>
        <v>4.2999999999999652</v>
      </c>
      <c r="H191">
        <f t="shared" ca="1" si="13"/>
        <v>1.7601519389601195</v>
      </c>
    </row>
    <row r="192" spans="1:8" x14ac:dyDescent="0.25">
      <c r="A192">
        <v>187</v>
      </c>
      <c r="B192">
        <f t="shared" ca="1" si="14"/>
        <v>0.1</v>
      </c>
      <c r="D192">
        <f t="shared" ca="1" si="15"/>
        <v>8.6000000000000618</v>
      </c>
      <c r="E192">
        <f t="shared" ca="1" si="12"/>
        <v>1.1734294952161093</v>
      </c>
      <c r="G192">
        <f t="shared" ca="1" si="16"/>
        <v>4.3999999999999648</v>
      </c>
      <c r="H192">
        <f t="shared" ca="1" si="13"/>
        <v>1.7202399312630208</v>
      </c>
    </row>
    <row r="193" spans="1:8" x14ac:dyDescent="0.25">
      <c r="A193">
        <v>188</v>
      </c>
      <c r="B193">
        <f t="shared" ca="1" si="14"/>
        <v>0.1</v>
      </c>
      <c r="D193">
        <f t="shared" ca="1" si="15"/>
        <v>8.5000000000000622</v>
      </c>
      <c r="E193">
        <f t="shared" ca="1" si="12"/>
        <v>1.1873490827667503</v>
      </c>
      <c r="G193">
        <f t="shared" ca="1" si="16"/>
        <v>4.4999999999999645</v>
      </c>
      <c r="H193">
        <f t="shared" ca="1" si="13"/>
        <v>1.682140504715488</v>
      </c>
    </row>
    <row r="194" spans="1:8" x14ac:dyDescent="0.25">
      <c r="A194">
        <v>189</v>
      </c>
      <c r="B194">
        <f t="shared" ca="1" si="14"/>
        <v>0.1</v>
      </c>
      <c r="D194">
        <f t="shared" ca="1" si="15"/>
        <v>8.4000000000000625</v>
      </c>
      <c r="E194">
        <f t="shared" ca="1" si="12"/>
        <v>1.2015556540423526</v>
      </c>
      <c r="G194">
        <f t="shared" ca="1" si="16"/>
        <v>4.5999999999999641</v>
      </c>
      <c r="H194">
        <f t="shared" ca="1" si="13"/>
        <v>1.6457086453298442</v>
      </c>
    </row>
    <row r="195" spans="1:8" x14ac:dyDescent="0.25">
      <c r="A195">
        <v>190</v>
      </c>
      <c r="B195">
        <f t="shared" ca="1" si="14"/>
        <v>0.1</v>
      </c>
      <c r="D195">
        <f t="shared" ca="1" si="15"/>
        <v>8.3000000000000629</v>
      </c>
      <c r="E195">
        <f t="shared" ca="1" si="12"/>
        <v>1.2161237660424475</v>
      </c>
      <c r="G195">
        <f t="shared" ca="1" si="16"/>
        <v>4.6999999999999638</v>
      </c>
      <c r="H195">
        <f t="shared" ca="1" si="13"/>
        <v>1.6107370403995589</v>
      </c>
    </row>
    <row r="196" spans="1:8" x14ac:dyDescent="0.25">
      <c r="A196">
        <v>191</v>
      </c>
      <c r="B196">
        <f t="shared" ca="1" si="14"/>
        <v>0.1</v>
      </c>
      <c r="D196">
        <f t="shared" ca="1" si="15"/>
        <v>8.2000000000000632</v>
      </c>
      <c r="E196">
        <f t="shared" ca="1" si="12"/>
        <v>1.2310702198631138</v>
      </c>
      <c r="G196">
        <f t="shared" ca="1" si="16"/>
        <v>4.7999999999999634</v>
      </c>
      <c r="H196">
        <f t="shared" ca="1" si="13"/>
        <v>1.5772881660645666</v>
      </c>
    </row>
    <row r="197" spans="1:8" x14ac:dyDescent="0.25">
      <c r="A197">
        <v>192</v>
      </c>
      <c r="B197">
        <f t="shared" ca="1" si="14"/>
        <v>0.1</v>
      </c>
      <c r="D197">
        <f t="shared" ca="1" si="15"/>
        <v>8.1000000000000636</v>
      </c>
      <c r="E197">
        <f t="shared" ca="1" si="12"/>
        <v>1.2463169716362184</v>
      </c>
      <c r="G197">
        <f t="shared" ca="1" si="16"/>
        <v>4.8999999999999631</v>
      </c>
      <c r="H197">
        <f t="shared" ca="1" si="13"/>
        <v>1.5451878565070398</v>
      </c>
    </row>
    <row r="198" spans="1:8" x14ac:dyDescent="0.25">
      <c r="A198">
        <v>193</v>
      </c>
      <c r="B198">
        <f t="shared" ca="1" si="14"/>
        <v>0.1</v>
      </c>
      <c r="D198">
        <f t="shared" ca="1" si="15"/>
        <v>8.0000000000000639</v>
      </c>
      <c r="E198">
        <f t="shared" ca="1" si="12"/>
        <v>1.2619201527973214</v>
      </c>
      <c r="G198">
        <f t="shared" ca="1" si="16"/>
        <v>4.9999999999999627</v>
      </c>
      <c r="H198">
        <f t="shared" ca="1" si="13"/>
        <v>1.5143400082429199</v>
      </c>
    </row>
    <row r="199" spans="1:8" x14ac:dyDescent="0.25">
      <c r="A199">
        <v>194</v>
      </c>
      <c r="B199">
        <f t="shared" ca="1" si="14"/>
        <v>0.1</v>
      </c>
      <c r="D199">
        <f t="shared" ca="1" si="15"/>
        <v>7.9000000000000643</v>
      </c>
      <c r="E199">
        <f t="shared" ref="E199:E205" ca="1" si="17">E198*D198/D199*(1 + RAND()/10000)</f>
        <v>1.2779579560664713</v>
      </c>
      <c r="G199">
        <f t="shared" ca="1" si="16"/>
        <v>5.0999999999999623</v>
      </c>
      <c r="H199">
        <f t="shared" ref="H199:H205" ca="1" si="18">H198*G198/G199*(1 + RAND()/10000)</f>
        <v>1.4847405932476903</v>
      </c>
    </row>
    <row r="200" spans="1:8" x14ac:dyDescent="0.25">
      <c r="A200">
        <v>195</v>
      </c>
      <c r="B200">
        <f t="shared" ca="1" si="14"/>
        <v>0.1</v>
      </c>
      <c r="D200">
        <f t="shared" ca="1" si="15"/>
        <v>7.8000000000000647</v>
      </c>
      <c r="E200">
        <f t="shared" ca="1" si="17"/>
        <v>1.2944652397290763</v>
      </c>
      <c r="G200">
        <f t="shared" ca="1" si="16"/>
        <v>5.199999999999962</v>
      </c>
      <c r="H200">
        <f t="shared" ca="1" si="18"/>
        <v>1.4562605070533496</v>
      </c>
    </row>
    <row r="201" spans="1:8" x14ac:dyDescent="0.25">
      <c r="A201">
        <v>196</v>
      </c>
      <c r="B201">
        <f t="shared" ca="1" si="14"/>
        <v>0.1</v>
      </c>
      <c r="D201">
        <f t="shared" ca="1" si="15"/>
        <v>7.700000000000065</v>
      </c>
      <c r="E201">
        <f t="shared" ca="1" si="17"/>
        <v>1.3113325140399557</v>
      </c>
      <c r="F201">
        <v>2</v>
      </c>
      <c r="G201">
        <f t="shared" ca="1" si="16"/>
        <v>3.2999999999999616</v>
      </c>
      <c r="H201">
        <f t="shared" ca="1" si="18"/>
        <v>2.2948271847942703</v>
      </c>
    </row>
    <row r="202" spans="1:8" x14ac:dyDescent="0.25">
      <c r="A202">
        <v>197</v>
      </c>
      <c r="B202">
        <f t="shared" ca="1" si="14"/>
        <v>0.1</v>
      </c>
      <c r="D202">
        <f t="shared" ca="1" si="15"/>
        <v>7.6000000000000654</v>
      </c>
      <c r="E202">
        <f t="shared" ca="1" si="17"/>
        <v>1.3286793498089233</v>
      </c>
      <c r="G202">
        <f t="shared" ca="1" si="16"/>
        <v>3.3999999999999617</v>
      </c>
      <c r="H202">
        <f t="shared" ca="1" si="18"/>
        <v>2.2273840303877095</v>
      </c>
    </row>
    <row r="203" spans="1:8" x14ac:dyDescent="0.25">
      <c r="A203">
        <v>198</v>
      </c>
      <c r="B203">
        <f t="shared" ca="1" si="14"/>
        <v>0.1</v>
      </c>
      <c r="D203">
        <f t="shared" ca="1" si="15"/>
        <v>7.5000000000000657</v>
      </c>
      <c r="E203">
        <f t="shared" ca="1" si="17"/>
        <v>1.3464190879748525</v>
      </c>
      <c r="G203">
        <f t="shared" ca="1" si="16"/>
        <v>3.4999999999999618</v>
      </c>
      <c r="H203">
        <f t="shared" ca="1" si="18"/>
        <v>2.1638624830351572</v>
      </c>
    </row>
    <row r="204" spans="1:8" x14ac:dyDescent="0.25">
      <c r="A204">
        <v>199</v>
      </c>
      <c r="B204">
        <f t="shared" ca="1" si="14"/>
        <v>0.1</v>
      </c>
      <c r="D204">
        <f t="shared" ca="1" si="15"/>
        <v>7.4000000000000661</v>
      </c>
      <c r="E204">
        <f t="shared" ca="1" si="17"/>
        <v>1.3646598944731396</v>
      </c>
      <c r="G204">
        <f t="shared" ca="1" si="16"/>
        <v>3.5999999999999619</v>
      </c>
      <c r="H204">
        <f t="shared" ca="1" si="18"/>
        <v>2.1037852481769366</v>
      </c>
    </row>
    <row r="205" spans="1:8" x14ac:dyDescent="0.25">
      <c r="A205">
        <v>200</v>
      </c>
      <c r="B205">
        <f t="shared" ca="1" si="14"/>
        <v>0.1</v>
      </c>
      <c r="D205">
        <f t="shared" ca="1" si="15"/>
        <v>7.3000000000000664</v>
      </c>
      <c r="E205">
        <f t="shared" ca="1" si="17"/>
        <v>1.3834179673176181</v>
      </c>
      <c r="G205">
        <f t="shared" ca="1" si="16"/>
        <v>3.699999999999962</v>
      </c>
      <c r="H205">
        <f t="shared" ca="1" si="18"/>
        <v>2.0469482130762224</v>
      </c>
    </row>
  </sheetData>
  <pageMargins left="0.7" right="0.7" top="0.75" bottom="0.75" header="0.3" footer="0.3"/>
  <customProperties>
    <customPr name="DVSECTION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8"/>
  <sheetViews>
    <sheetView workbookViewId="0">
      <selection activeCell="BP8" sqref="BP8"/>
    </sheetView>
  </sheetViews>
  <sheetFormatPr defaultRowHeight="15" x14ac:dyDescent="0.25"/>
  <sheetData>
    <row r="1" spans="1:256" x14ac:dyDescent="0.25">
      <c r="A1">
        <f>IF(Sheet1!1:1,"AAAAAHv3JwA=",0)</f>
        <v>0</v>
      </c>
      <c r="B1" t="e">
        <f>AND(Sheet1!A1,"AAAAAHv3JwE=")</f>
        <v>#VALUE!</v>
      </c>
      <c r="C1" t="e">
        <f>AND(Sheet1!B1,"AAAAAHv3JwI=")</f>
        <v>#VALUE!</v>
      </c>
      <c r="D1" t="e">
        <f>AND(Sheet1!C1,"AAAAAHv3JwM=")</f>
        <v>#VALUE!</v>
      </c>
      <c r="E1" t="e">
        <f>AND(Sheet1!D1,"AAAAAHv3JwQ=")</f>
        <v>#VALUE!</v>
      </c>
      <c r="F1" t="e">
        <f>AND(Sheet1!E1,"AAAAAHv3JwU=")</f>
        <v>#VALUE!</v>
      </c>
      <c r="G1" t="e">
        <f>AND(Sheet1!F1,"AAAAAHv3JwY=")</f>
        <v>#VALUE!</v>
      </c>
      <c r="H1" t="e">
        <f>AND(Sheet1!G1,"AAAAAHv3Jwc=")</f>
        <v>#VALUE!</v>
      </c>
      <c r="I1" t="e">
        <f>AND(Sheet1!H1,"AAAAAHv3Jwg=")</f>
        <v>#VALUE!</v>
      </c>
      <c r="J1">
        <f>IF(Sheet1!2:2,"AAAAAHv3Jwk=",0)</f>
        <v>0</v>
      </c>
      <c r="K1" t="e">
        <f>AND(Sheet1!A2,"AAAAAHv3Jwo=")</f>
        <v>#VALUE!</v>
      </c>
      <c r="L1" t="e">
        <f>AND(Sheet1!B2,"AAAAAHv3Jws=")</f>
        <v>#VALUE!</v>
      </c>
      <c r="M1" t="e">
        <f>AND(Sheet1!C2,"AAAAAHv3Jww=")</f>
        <v>#VALUE!</v>
      </c>
      <c r="N1" t="e">
        <f>AND(Sheet1!D2,"AAAAAHv3Jw0=")</f>
        <v>#VALUE!</v>
      </c>
      <c r="O1" t="e">
        <f>AND(Sheet1!E2,"AAAAAHv3Jw4=")</f>
        <v>#VALUE!</v>
      </c>
      <c r="P1" t="e">
        <f>AND(Sheet1!F2,"AAAAAHv3Jw8=")</f>
        <v>#VALUE!</v>
      </c>
      <c r="Q1" t="e">
        <f>AND(Sheet1!G2,"AAAAAHv3JxA=")</f>
        <v>#VALUE!</v>
      </c>
      <c r="R1" t="e">
        <f>AND(Sheet1!H2,"AAAAAHv3JxE=")</f>
        <v>#VALUE!</v>
      </c>
      <c r="S1">
        <f>IF(Sheet1!3:3,"AAAAAHv3JxI=",0)</f>
        <v>0</v>
      </c>
      <c r="T1" t="e">
        <f>AND(Sheet1!A3,"AAAAAHv3JxM=")</f>
        <v>#VALUE!</v>
      </c>
      <c r="U1" t="e">
        <f>AND(Sheet1!B3,"AAAAAHv3JxQ=")</f>
        <v>#VALUE!</v>
      </c>
      <c r="V1" t="e">
        <f>AND(Sheet1!C3,"AAAAAHv3JxU=")</f>
        <v>#VALUE!</v>
      </c>
      <c r="W1" t="e">
        <f>AND(Sheet1!D3,"AAAAAHv3JxY=")</f>
        <v>#VALUE!</v>
      </c>
      <c r="X1" t="e">
        <f>AND(Sheet1!E3,"AAAAAHv3Jxc=")</f>
        <v>#VALUE!</v>
      </c>
      <c r="Y1" t="e">
        <f>AND(Sheet1!F3,"AAAAAHv3Jxg=")</f>
        <v>#VALUE!</v>
      </c>
      <c r="Z1" t="e">
        <f>AND(Sheet1!G3,"AAAAAHv3Jxk=")</f>
        <v>#VALUE!</v>
      </c>
      <c r="AA1" t="e">
        <f>AND(Sheet1!H3,"AAAAAHv3Jxo=")</f>
        <v>#VALUE!</v>
      </c>
      <c r="AB1">
        <f>IF(Sheet1!4:4,"AAAAAHv3Jxs=",0)</f>
        <v>0</v>
      </c>
      <c r="AC1" t="e">
        <f>AND(Sheet1!A4,"AAAAAHv3Jxw=")</f>
        <v>#VALUE!</v>
      </c>
      <c r="AD1" t="e">
        <f>AND(Sheet1!B4,"AAAAAHv3Jx0=")</f>
        <v>#VALUE!</v>
      </c>
      <c r="AE1" t="e">
        <f>AND(Sheet1!C4,"AAAAAHv3Jx4=")</f>
        <v>#VALUE!</v>
      </c>
      <c r="AF1" t="e">
        <f>AND(Sheet1!D4,"AAAAAHv3Jx8=")</f>
        <v>#VALUE!</v>
      </c>
      <c r="AG1" t="e">
        <f>AND(Sheet1!E4,"AAAAAHv3JyA=")</f>
        <v>#VALUE!</v>
      </c>
      <c r="AH1" t="e">
        <f>AND(Sheet1!F4,"AAAAAHv3JyE=")</f>
        <v>#VALUE!</v>
      </c>
      <c r="AI1" t="e">
        <f>AND(Sheet1!G4,"AAAAAHv3JyI=")</f>
        <v>#VALUE!</v>
      </c>
      <c r="AJ1" t="e">
        <f>AND(Sheet1!H4,"AAAAAHv3JyM=")</f>
        <v>#VALUE!</v>
      </c>
      <c r="AK1">
        <f>IF(Sheet1!5:5,"AAAAAHv3JyQ=",0)</f>
        <v>0</v>
      </c>
      <c r="AL1" t="e">
        <f>AND(Sheet1!A5,"AAAAAHv3JyU=")</f>
        <v>#VALUE!</v>
      </c>
      <c r="AM1" t="e">
        <f>AND(Sheet1!B5,"AAAAAHv3JyY=")</f>
        <v>#VALUE!</v>
      </c>
      <c r="AN1" t="e">
        <f>AND(Sheet1!C5,"AAAAAHv3Jyc=")</f>
        <v>#VALUE!</v>
      </c>
      <c r="AO1" t="e">
        <f>AND(Sheet1!D5,"AAAAAHv3Jyg=")</f>
        <v>#VALUE!</v>
      </c>
      <c r="AP1" t="e">
        <f>AND(Sheet1!E5,"AAAAAHv3Jyk=")</f>
        <v>#VALUE!</v>
      </c>
      <c r="AQ1" t="e">
        <f>AND(Sheet1!F5,"AAAAAHv3Jyo=")</f>
        <v>#VALUE!</v>
      </c>
      <c r="AR1" t="e">
        <f>AND(Sheet1!G5,"AAAAAHv3Jys=")</f>
        <v>#VALUE!</v>
      </c>
      <c r="AS1" t="e">
        <f>AND(Sheet1!H5,"AAAAAHv3Jyw=")</f>
        <v>#VALUE!</v>
      </c>
      <c r="AT1">
        <f>IF(Sheet1!6:6,"AAAAAHv3Jy0=",0)</f>
        <v>0</v>
      </c>
      <c r="AU1" t="e">
        <f>AND(Sheet1!A6,"AAAAAHv3Jy4=")</f>
        <v>#VALUE!</v>
      </c>
      <c r="AV1" t="e">
        <f>AND(Sheet1!B6,"AAAAAHv3Jy8=")</f>
        <v>#VALUE!</v>
      </c>
      <c r="AW1" t="e">
        <f>AND(Sheet1!C6,"AAAAAHv3JzA=")</f>
        <v>#VALUE!</v>
      </c>
      <c r="AX1" t="e">
        <f>AND(Sheet1!D6,"AAAAAHv3JzE=")</f>
        <v>#VALUE!</v>
      </c>
      <c r="AY1" t="e">
        <f>AND(Sheet1!E6,"AAAAAHv3JzI=")</f>
        <v>#VALUE!</v>
      </c>
      <c r="AZ1" t="e">
        <f>AND(Sheet1!F6,"AAAAAHv3JzM=")</f>
        <v>#VALUE!</v>
      </c>
      <c r="BA1" t="e">
        <f>AND(Sheet1!G6,"AAAAAHv3JzQ=")</f>
        <v>#VALUE!</v>
      </c>
      <c r="BB1" t="e">
        <f>AND(Sheet1!H6,"AAAAAHv3JzU=")</f>
        <v>#VALUE!</v>
      </c>
      <c r="BC1">
        <f>IF(Sheet1!7:7,"AAAAAHv3JzY=",0)</f>
        <v>0</v>
      </c>
      <c r="BD1" t="e">
        <f>AND(Sheet1!A7,"AAAAAHv3Jzc=")</f>
        <v>#VALUE!</v>
      </c>
      <c r="BE1" t="e">
        <f>AND(Sheet1!B7,"AAAAAHv3Jzg=")</f>
        <v>#VALUE!</v>
      </c>
      <c r="BF1" t="e">
        <f>AND(Sheet1!C7,"AAAAAHv3Jzk=")</f>
        <v>#VALUE!</v>
      </c>
      <c r="BG1" t="e">
        <f>AND(Sheet1!D7,"AAAAAHv3Jzo=")</f>
        <v>#VALUE!</v>
      </c>
      <c r="BH1" t="e">
        <f>AND(Sheet1!E7,"AAAAAHv3Jzs=")</f>
        <v>#VALUE!</v>
      </c>
      <c r="BI1" t="e">
        <f>AND(Sheet1!F7,"AAAAAHv3Jzw=")</f>
        <v>#VALUE!</v>
      </c>
      <c r="BJ1" t="e">
        <f>AND(Sheet1!G7,"AAAAAHv3Jz0=")</f>
        <v>#VALUE!</v>
      </c>
      <c r="BK1" t="e">
        <f>AND(Sheet1!H7,"AAAAAHv3Jz4=")</f>
        <v>#VALUE!</v>
      </c>
      <c r="BL1">
        <f>IF(Sheet1!8:8,"AAAAAHv3Jz8=",0)</f>
        <v>0</v>
      </c>
      <c r="BM1" t="e">
        <f>AND(Sheet1!A8,"AAAAAHv3J0A=")</f>
        <v>#VALUE!</v>
      </c>
      <c r="BN1" t="e">
        <f>AND(Sheet1!B8,"AAAAAHv3J0E=")</f>
        <v>#VALUE!</v>
      </c>
      <c r="BO1" t="e">
        <f>AND(Sheet1!C8,"AAAAAHv3J0I=")</f>
        <v>#VALUE!</v>
      </c>
      <c r="BP1" t="e">
        <f>AND(Sheet1!D8,"AAAAAHv3J0M=")</f>
        <v>#VALUE!</v>
      </c>
      <c r="BQ1" t="e">
        <f>AND(Sheet1!E8,"AAAAAHv3J0Q=")</f>
        <v>#VALUE!</v>
      </c>
      <c r="BR1" t="e">
        <f>AND(Sheet1!F8,"AAAAAHv3J0U=")</f>
        <v>#VALUE!</v>
      </c>
      <c r="BS1" t="e">
        <f>AND(Sheet1!G8,"AAAAAHv3J0Y=")</f>
        <v>#VALUE!</v>
      </c>
      <c r="BT1" t="e">
        <f>AND(Sheet1!H8,"AAAAAHv3J0c=")</f>
        <v>#VALUE!</v>
      </c>
      <c r="BU1">
        <f>IF(Sheet1!9:9,"AAAAAHv3J0g=",0)</f>
        <v>0</v>
      </c>
      <c r="BV1" t="e">
        <f>AND(Sheet1!A9,"AAAAAHv3J0k=")</f>
        <v>#VALUE!</v>
      </c>
      <c r="BW1" t="e">
        <f>AND(Sheet1!B9,"AAAAAHv3J0o=")</f>
        <v>#VALUE!</v>
      </c>
      <c r="BX1" t="e">
        <f>AND(Sheet1!C9,"AAAAAHv3J0s=")</f>
        <v>#VALUE!</v>
      </c>
      <c r="BY1" t="e">
        <f>AND(Sheet1!D9,"AAAAAHv3J0w=")</f>
        <v>#VALUE!</v>
      </c>
      <c r="BZ1" t="e">
        <f>AND(Sheet1!E9,"AAAAAHv3J00=")</f>
        <v>#VALUE!</v>
      </c>
      <c r="CA1" t="e">
        <f>AND(Sheet1!F9,"AAAAAHv3J04=")</f>
        <v>#VALUE!</v>
      </c>
      <c r="CB1" t="e">
        <f>AND(Sheet1!G9,"AAAAAHv3J08=")</f>
        <v>#VALUE!</v>
      </c>
      <c r="CC1" t="e">
        <f>AND(Sheet1!H9,"AAAAAHv3J1A=")</f>
        <v>#VALUE!</v>
      </c>
      <c r="CD1">
        <f>IF(Sheet1!10:10,"AAAAAHv3J1E=",0)</f>
        <v>0</v>
      </c>
      <c r="CE1" t="e">
        <f>AND(Sheet1!A10,"AAAAAHv3J1I=")</f>
        <v>#VALUE!</v>
      </c>
      <c r="CF1" t="e">
        <f>AND(Sheet1!B10,"AAAAAHv3J1M=")</f>
        <v>#VALUE!</v>
      </c>
      <c r="CG1" t="e">
        <f>AND(Sheet1!C10,"AAAAAHv3J1Q=")</f>
        <v>#VALUE!</v>
      </c>
      <c r="CH1" t="e">
        <f>AND(Sheet1!D10,"AAAAAHv3J1U=")</f>
        <v>#VALUE!</v>
      </c>
      <c r="CI1" t="e">
        <f>AND(Sheet1!E10,"AAAAAHv3J1Y=")</f>
        <v>#VALUE!</v>
      </c>
      <c r="CJ1" t="e">
        <f>AND(Sheet1!F10,"AAAAAHv3J1c=")</f>
        <v>#VALUE!</v>
      </c>
      <c r="CK1" t="e">
        <f>AND(Sheet1!G10,"AAAAAHv3J1g=")</f>
        <v>#VALUE!</v>
      </c>
      <c r="CL1" t="e">
        <f>AND(Sheet1!H10,"AAAAAHv3J1k=")</f>
        <v>#VALUE!</v>
      </c>
      <c r="CM1">
        <f>IF(Sheet1!11:11,"AAAAAHv3J1o=",0)</f>
        <v>0</v>
      </c>
      <c r="CN1" t="e">
        <f>AND(Sheet1!A11,"AAAAAHv3J1s=")</f>
        <v>#VALUE!</v>
      </c>
      <c r="CO1" t="e">
        <f>AND(Sheet1!B11,"AAAAAHv3J1w=")</f>
        <v>#VALUE!</v>
      </c>
      <c r="CP1" t="e">
        <f>AND(Sheet1!C11,"AAAAAHv3J10=")</f>
        <v>#VALUE!</v>
      </c>
      <c r="CQ1" t="e">
        <f>AND(Sheet1!D11,"AAAAAHv3J14=")</f>
        <v>#VALUE!</v>
      </c>
      <c r="CR1" t="e">
        <f>AND(Sheet1!E11,"AAAAAHv3J18=")</f>
        <v>#VALUE!</v>
      </c>
      <c r="CS1" t="e">
        <f>AND(Sheet1!F11,"AAAAAHv3J2A=")</f>
        <v>#VALUE!</v>
      </c>
      <c r="CT1" t="e">
        <f>AND(Sheet1!G11,"AAAAAHv3J2E=")</f>
        <v>#VALUE!</v>
      </c>
      <c r="CU1" t="e">
        <f>AND(Sheet1!H11,"AAAAAHv3J2I=")</f>
        <v>#VALUE!</v>
      </c>
      <c r="CV1">
        <f>IF(Sheet1!12:12,"AAAAAHv3J2M=",0)</f>
        <v>0</v>
      </c>
      <c r="CW1" t="e">
        <f>AND(Sheet1!A12,"AAAAAHv3J2Q=")</f>
        <v>#VALUE!</v>
      </c>
      <c r="CX1" t="e">
        <f>AND(Sheet1!B12,"AAAAAHv3J2U=")</f>
        <v>#VALUE!</v>
      </c>
      <c r="CY1" t="e">
        <f>AND(Sheet1!C12,"AAAAAHv3J2Y=")</f>
        <v>#VALUE!</v>
      </c>
      <c r="CZ1" t="e">
        <f>AND(Sheet1!D12,"AAAAAHv3J2c=")</f>
        <v>#VALUE!</v>
      </c>
      <c r="DA1" t="e">
        <f>AND(Sheet1!E12,"AAAAAHv3J2g=")</f>
        <v>#VALUE!</v>
      </c>
      <c r="DB1" t="e">
        <f>AND(Sheet1!F12,"AAAAAHv3J2k=")</f>
        <v>#VALUE!</v>
      </c>
      <c r="DC1" t="e">
        <f>AND(Sheet1!G12,"AAAAAHv3J2o=")</f>
        <v>#VALUE!</v>
      </c>
      <c r="DD1" t="e">
        <f>AND(Sheet1!H12,"AAAAAHv3J2s=")</f>
        <v>#VALUE!</v>
      </c>
      <c r="DE1">
        <f>IF(Sheet1!13:13,"AAAAAHv3J2w=",0)</f>
        <v>0</v>
      </c>
      <c r="DF1" t="e">
        <f>AND(Sheet1!A13,"AAAAAHv3J20=")</f>
        <v>#VALUE!</v>
      </c>
      <c r="DG1" t="e">
        <f>AND(Sheet1!B13,"AAAAAHv3J24=")</f>
        <v>#VALUE!</v>
      </c>
      <c r="DH1" t="e">
        <f>AND(Sheet1!C13,"AAAAAHv3J28=")</f>
        <v>#VALUE!</v>
      </c>
      <c r="DI1" t="e">
        <f>AND(Sheet1!D13,"AAAAAHv3J3A=")</f>
        <v>#VALUE!</v>
      </c>
      <c r="DJ1" t="e">
        <f>AND(Sheet1!E13,"AAAAAHv3J3E=")</f>
        <v>#VALUE!</v>
      </c>
      <c r="DK1" t="e">
        <f>AND(Sheet1!F13,"AAAAAHv3J3I=")</f>
        <v>#VALUE!</v>
      </c>
      <c r="DL1" t="e">
        <f>AND(Sheet1!G13,"AAAAAHv3J3M=")</f>
        <v>#VALUE!</v>
      </c>
      <c r="DM1" t="e">
        <f>AND(Sheet1!H13,"AAAAAHv3J3Q=")</f>
        <v>#VALUE!</v>
      </c>
      <c r="DN1">
        <f>IF(Sheet1!14:14,"AAAAAHv3J3U=",0)</f>
        <v>0</v>
      </c>
      <c r="DO1" t="e">
        <f>AND(Sheet1!A14,"AAAAAHv3J3Y=")</f>
        <v>#VALUE!</v>
      </c>
      <c r="DP1" t="e">
        <f>AND(Sheet1!B14,"AAAAAHv3J3c=")</f>
        <v>#VALUE!</v>
      </c>
      <c r="DQ1" t="e">
        <f>AND(Sheet1!C14,"AAAAAHv3J3g=")</f>
        <v>#VALUE!</v>
      </c>
      <c r="DR1" t="e">
        <f>AND(Sheet1!D14,"AAAAAHv3J3k=")</f>
        <v>#VALUE!</v>
      </c>
      <c r="DS1" t="e">
        <f>AND(Sheet1!E14,"AAAAAHv3J3o=")</f>
        <v>#VALUE!</v>
      </c>
      <c r="DT1" t="e">
        <f>AND(Sheet1!F14,"AAAAAHv3J3s=")</f>
        <v>#VALUE!</v>
      </c>
      <c r="DU1" t="e">
        <f>AND(Sheet1!G14,"AAAAAHv3J3w=")</f>
        <v>#VALUE!</v>
      </c>
      <c r="DV1" t="e">
        <f>AND(Sheet1!H14,"AAAAAHv3J30=")</f>
        <v>#VALUE!</v>
      </c>
      <c r="DW1">
        <f>IF(Sheet1!15:15,"AAAAAHv3J34=",0)</f>
        <v>0</v>
      </c>
      <c r="DX1" t="e">
        <f>AND(Sheet1!A15,"AAAAAHv3J38=")</f>
        <v>#VALUE!</v>
      </c>
      <c r="DY1" t="e">
        <f>AND(Sheet1!B15,"AAAAAHv3J4A=")</f>
        <v>#VALUE!</v>
      </c>
      <c r="DZ1" t="e">
        <f>AND(Sheet1!C15,"AAAAAHv3J4E=")</f>
        <v>#VALUE!</v>
      </c>
      <c r="EA1" t="e">
        <f>AND(Sheet1!D15,"AAAAAHv3J4I=")</f>
        <v>#VALUE!</v>
      </c>
      <c r="EB1" t="e">
        <f>AND(Sheet1!E15,"AAAAAHv3J4M=")</f>
        <v>#VALUE!</v>
      </c>
      <c r="EC1" t="e">
        <f>AND(Sheet1!F15,"AAAAAHv3J4Q=")</f>
        <v>#VALUE!</v>
      </c>
      <c r="ED1" t="e">
        <f>AND(Sheet1!G15,"AAAAAHv3J4U=")</f>
        <v>#VALUE!</v>
      </c>
      <c r="EE1" t="e">
        <f>AND(Sheet1!H15,"AAAAAHv3J4Y=")</f>
        <v>#VALUE!</v>
      </c>
      <c r="EF1">
        <f>IF(Sheet1!16:16,"AAAAAHv3J4c=",0)</f>
        <v>0</v>
      </c>
      <c r="EG1" t="e">
        <f>AND(Sheet1!A16,"AAAAAHv3J4g=")</f>
        <v>#VALUE!</v>
      </c>
      <c r="EH1" t="e">
        <f>AND(Sheet1!B16,"AAAAAHv3J4k=")</f>
        <v>#VALUE!</v>
      </c>
      <c r="EI1" t="e">
        <f>AND(Sheet1!C16,"AAAAAHv3J4o=")</f>
        <v>#VALUE!</v>
      </c>
      <c r="EJ1" t="e">
        <f>AND(Sheet1!D16,"AAAAAHv3J4s=")</f>
        <v>#VALUE!</v>
      </c>
      <c r="EK1" t="e">
        <f>AND(Sheet1!E16,"AAAAAHv3J4w=")</f>
        <v>#VALUE!</v>
      </c>
      <c r="EL1" t="e">
        <f>AND(Sheet1!F16,"AAAAAHv3J40=")</f>
        <v>#VALUE!</v>
      </c>
      <c r="EM1" t="e">
        <f>AND(Sheet1!G16,"AAAAAHv3J44=")</f>
        <v>#VALUE!</v>
      </c>
      <c r="EN1" t="e">
        <f>AND(Sheet1!H16,"AAAAAHv3J48=")</f>
        <v>#VALUE!</v>
      </c>
      <c r="EO1">
        <f>IF(Sheet1!17:17,"AAAAAHv3J5A=",0)</f>
        <v>0</v>
      </c>
      <c r="EP1" t="e">
        <f>AND(Sheet1!A17,"AAAAAHv3J5E=")</f>
        <v>#VALUE!</v>
      </c>
      <c r="EQ1" t="e">
        <f>AND(Sheet1!B17,"AAAAAHv3J5I=")</f>
        <v>#VALUE!</v>
      </c>
      <c r="ER1" t="e">
        <f>AND(Sheet1!C17,"AAAAAHv3J5M=")</f>
        <v>#VALUE!</v>
      </c>
      <c r="ES1" t="e">
        <f>AND(Sheet1!D17,"AAAAAHv3J5Q=")</f>
        <v>#VALUE!</v>
      </c>
      <c r="ET1" t="e">
        <f>AND(Sheet1!E17,"AAAAAHv3J5U=")</f>
        <v>#VALUE!</v>
      </c>
      <c r="EU1" t="e">
        <f>AND(Sheet1!F17,"AAAAAHv3J5Y=")</f>
        <v>#VALUE!</v>
      </c>
      <c r="EV1" t="e">
        <f>AND(Sheet1!G17,"AAAAAHv3J5c=")</f>
        <v>#VALUE!</v>
      </c>
      <c r="EW1" t="e">
        <f>AND(Sheet1!H17,"AAAAAHv3J5g=")</f>
        <v>#VALUE!</v>
      </c>
      <c r="EX1">
        <f>IF(Sheet1!18:18,"AAAAAHv3J5k=",0)</f>
        <v>0</v>
      </c>
      <c r="EY1" t="e">
        <f>AND(Sheet1!A18,"AAAAAHv3J5o=")</f>
        <v>#VALUE!</v>
      </c>
      <c r="EZ1" t="e">
        <f>AND(Sheet1!B18,"AAAAAHv3J5s=")</f>
        <v>#VALUE!</v>
      </c>
      <c r="FA1" t="e">
        <f>AND(Sheet1!C18,"AAAAAHv3J5w=")</f>
        <v>#VALUE!</v>
      </c>
      <c r="FB1" t="e">
        <f>AND(Sheet1!D18,"AAAAAHv3J50=")</f>
        <v>#VALUE!</v>
      </c>
      <c r="FC1" t="e">
        <f>AND(Sheet1!E18,"AAAAAHv3J54=")</f>
        <v>#VALUE!</v>
      </c>
      <c r="FD1" t="e">
        <f>AND(Sheet1!F18,"AAAAAHv3J58=")</f>
        <v>#VALUE!</v>
      </c>
      <c r="FE1" t="e">
        <f>AND(Sheet1!G18,"AAAAAHv3J6A=")</f>
        <v>#VALUE!</v>
      </c>
      <c r="FF1" t="e">
        <f>AND(Sheet1!H18,"AAAAAHv3J6E=")</f>
        <v>#VALUE!</v>
      </c>
      <c r="FG1">
        <f>IF(Sheet1!19:19,"AAAAAHv3J6I=",0)</f>
        <v>0</v>
      </c>
      <c r="FH1" t="e">
        <f>AND(Sheet1!A19,"AAAAAHv3J6M=")</f>
        <v>#VALUE!</v>
      </c>
      <c r="FI1" t="e">
        <f>AND(Sheet1!B19,"AAAAAHv3J6Q=")</f>
        <v>#VALUE!</v>
      </c>
      <c r="FJ1" t="e">
        <f>AND(Sheet1!C19,"AAAAAHv3J6U=")</f>
        <v>#VALUE!</v>
      </c>
      <c r="FK1" t="e">
        <f>AND(Sheet1!D19,"AAAAAHv3J6Y=")</f>
        <v>#VALUE!</v>
      </c>
      <c r="FL1" t="e">
        <f>AND(Sheet1!E19,"AAAAAHv3J6c=")</f>
        <v>#VALUE!</v>
      </c>
      <c r="FM1" t="e">
        <f>AND(Sheet1!F19,"AAAAAHv3J6g=")</f>
        <v>#VALUE!</v>
      </c>
      <c r="FN1" t="e">
        <f>AND(Sheet1!G19,"AAAAAHv3J6k=")</f>
        <v>#VALUE!</v>
      </c>
      <c r="FO1" t="e">
        <f>AND(Sheet1!H19,"AAAAAHv3J6o=")</f>
        <v>#VALUE!</v>
      </c>
      <c r="FP1">
        <f>IF(Sheet1!20:20,"AAAAAHv3J6s=",0)</f>
        <v>0</v>
      </c>
      <c r="FQ1" t="e">
        <f>AND(Sheet1!A20,"AAAAAHv3J6w=")</f>
        <v>#VALUE!</v>
      </c>
      <c r="FR1" t="e">
        <f>AND(Sheet1!B20,"AAAAAHv3J60=")</f>
        <v>#VALUE!</v>
      </c>
      <c r="FS1" t="e">
        <f>AND(Sheet1!C20,"AAAAAHv3J64=")</f>
        <v>#VALUE!</v>
      </c>
      <c r="FT1" t="e">
        <f>AND(Sheet1!D20,"AAAAAHv3J68=")</f>
        <v>#VALUE!</v>
      </c>
      <c r="FU1" t="e">
        <f>AND(Sheet1!E20,"AAAAAHv3J7A=")</f>
        <v>#VALUE!</v>
      </c>
      <c r="FV1" t="e">
        <f>AND(Sheet1!F20,"AAAAAHv3J7E=")</f>
        <v>#VALUE!</v>
      </c>
      <c r="FW1" t="e">
        <f>AND(Sheet1!G20,"AAAAAHv3J7I=")</f>
        <v>#VALUE!</v>
      </c>
      <c r="FX1" t="e">
        <f>AND(Sheet1!H20,"AAAAAHv3J7M=")</f>
        <v>#VALUE!</v>
      </c>
      <c r="FY1">
        <f>IF(Sheet1!21:21,"AAAAAHv3J7Q=",0)</f>
        <v>0</v>
      </c>
      <c r="FZ1" t="e">
        <f>AND(Sheet1!A21,"AAAAAHv3J7U=")</f>
        <v>#VALUE!</v>
      </c>
      <c r="GA1" t="e">
        <f>AND(Sheet1!B21,"AAAAAHv3J7Y=")</f>
        <v>#VALUE!</v>
      </c>
      <c r="GB1" t="e">
        <f>AND(Sheet1!C21,"AAAAAHv3J7c=")</f>
        <v>#VALUE!</v>
      </c>
      <c r="GC1" t="e">
        <f>AND(Sheet1!D21,"AAAAAHv3J7g=")</f>
        <v>#VALUE!</v>
      </c>
      <c r="GD1" t="e">
        <f>AND(Sheet1!E21,"AAAAAHv3J7k=")</f>
        <v>#VALUE!</v>
      </c>
      <c r="GE1" t="e">
        <f>AND(Sheet1!F21,"AAAAAHv3J7o=")</f>
        <v>#VALUE!</v>
      </c>
      <c r="GF1" t="e">
        <f>AND(Sheet1!G21,"AAAAAHv3J7s=")</f>
        <v>#VALUE!</v>
      </c>
      <c r="GG1" t="e">
        <f>AND(Sheet1!H21,"AAAAAHv3J7w=")</f>
        <v>#VALUE!</v>
      </c>
      <c r="GH1">
        <f>IF(Sheet1!22:22,"AAAAAHv3J70=",0)</f>
        <v>0</v>
      </c>
      <c r="GI1" t="e">
        <f>AND(Sheet1!A22,"AAAAAHv3J74=")</f>
        <v>#VALUE!</v>
      </c>
      <c r="GJ1" t="e">
        <f>AND(Sheet1!B22,"AAAAAHv3J78=")</f>
        <v>#VALUE!</v>
      </c>
      <c r="GK1" t="e">
        <f>AND(Sheet1!C22,"AAAAAHv3J8A=")</f>
        <v>#VALUE!</v>
      </c>
      <c r="GL1" t="e">
        <f>AND(Sheet1!D22,"AAAAAHv3J8E=")</f>
        <v>#VALUE!</v>
      </c>
      <c r="GM1" t="e">
        <f>AND(Sheet1!E22,"AAAAAHv3J8I=")</f>
        <v>#VALUE!</v>
      </c>
      <c r="GN1" t="e">
        <f>AND(Sheet1!F22,"AAAAAHv3J8M=")</f>
        <v>#VALUE!</v>
      </c>
      <c r="GO1" t="e">
        <f>AND(Sheet1!G22,"AAAAAHv3J8Q=")</f>
        <v>#VALUE!</v>
      </c>
      <c r="GP1" t="e">
        <f>AND(Sheet1!H22,"AAAAAHv3J8U=")</f>
        <v>#VALUE!</v>
      </c>
      <c r="GQ1">
        <f>IF(Sheet1!23:23,"AAAAAHv3J8Y=",0)</f>
        <v>0</v>
      </c>
      <c r="GR1" t="e">
        <f>AND(Sheet1!A23,"AAAAAHv3J8c=")</f>
        <v>#VALUE!</v>
      </c>
      <c r="GS1" t="e">
        <f>AND(Sheet1!B23,"AAAAAHv3J8g=")</f>
        <v>#VALUE!</v>
      </c>
      <c r="GT1" t="e">
        <f>AND(Sheet1!C23,"AAAAAHv3J8k=")</f>
        <v>#VALUE!</v>
      </c>
      <c r="GU1" t="e">
        <f>AND(Sheet1!D23,"AAAAAHv3J8o=")</f>
        <v>#VALUE!</v>
      </c>
      <c r="GV1" t="e">
        <f>AND(Sheet1!E23,"AAAAAHv3J8s=")</f>
        <v>#VALUE!</v>
      </c>
      <c r="GW1" t="e">
        <f>AND(Sheet1!F23,"AAAAAHv3J8w=")</f>
        <v>#VALUE!</v>
      </c>
      <c r="GX1" t="e">
        <f>AND(Sheet1!G23,"AAAAAHv3J80=")</f>
        <v>#VALUE!</v>
      </c>
      <c r="GY1" t="e">
        <f>AND(Sheet1!H23,"AAAAAHv3J84=")</f>
        <v>#VALUE!</v>
      </c>
      <c r="GZ1">
        <f>IF(Sheet1!24:24,"AAAAAHv3J88=",0)</f>
        <v>0</v>
      </c>
      <c r="HA1" t="e">
        <f>AND(Sheet1!A24,"AAAAAHv3J9A=")</f>
        <v>#VALUE!</v>
      </c>
      <c r="HB1" t="e">
        <f>AND(Sheet1!B24,"AAAAAHv3J9E=")</f>
        <v>#VALUE!</v>
      </c>
      <c r="HC1" t="e">
        <f>AND(Sheet1!C24,"AAAAAHv3J9I=")</f>
        <v>#VALUE!</v>
      </c>
      <c r="HD1" t="e">
        <f>AND(Sheet1!D24,"AAAAAHv3J9M=")</f>
        <v>#VALUE!</v>
      </c>
      <c r="HE1" t="e">
        <f>AND(Sheet1!E24,"AAAAAHv3J9Q=")</f>
        <v>#VALUE!</v>
      </c>
      <c r="HF1" t="e">
        <f>AND(Sheet1!F24,"AAAAAHv3J9U=")</f>
        <v>#VALUE!</v>
      </c>
      <c r="HG1" t="e">
        <f>AND(Sheet1!G24,"AAAAAHv3J9Y=")</f>
        <v>#VALUE!</v>
      </c>
      <c r="HH1" t="e">
        <f>AND(Sheet1!H24,"AAAAAHv3J9c=")</f>
        <v>#VALUE!</v>
      </c>
      <c r="HI1">
        <f>IF(Sheet1!25:25,"AAAAAHv3J9g=",0)</f>
        <v>0</v>
      </c>
      <c r="HJ1" t="e">
        <f>AND(Sheet1!A25,"AAAAAHv3J9k=")</f>
        <v>#VALUE!</v>
      </c>
      <c r="HK1" t="e">
        <f>AND(Sheet1!B25,"AAAAAHv3J9o=")</f>
        <v>#VALUE!</v>
      </c>
      <c r="HL1" t="e">
        <f>AND(Sheet1!C25,"AAAAAHv3J9s=")</f>
        <v>#VALUE!</v>
      </c>
      <c r="HM1" t="e">
        <f>AND(Sheet1!D25,"AAAAAHv3J9w=")</f>
        <v>#VALUE!</v>
      </c>
      <c r="HN1" t="e">
        <f>AND(Sheet1!E25,"AAAAAHv3J90=")</f>
        <v>#VALUE!</v>
      </c>
      <c r="HO1" t="e">
        <f>AND(Sheet1!F25,"AAAAAHv3J94=")</f>
        <v>#VALUE!</v>
      </c>
      <c r="HP1" t="e">
        <f>AND(Sheet1!G25,"AAAAAHv3J98=")</f>
        <v>#VALUE!</v>
      </c>
      <c r="HQ1" t="e">
        <f>AND(Sheet1!H25,"AAAAAHv3J+A=")</f>
        <v>#VALUE!</v>
      </c>
      <c r="HR1">
        <f>IF(Sheet1!26:26,"AAAAAHv3J+E=",0)</f>
        <v>0</v>
      </c>
      <c r="HS1" t="e">
        <f>AND(Sheet1!A26,"AAAAAHv3J+I=")</f>
        <v>#VALUE!</v>
      </c>
      <c r="HT1" t="e">
        <f>AND(Sheet1!B26,"AAAAAHv3J+M=")</f>
        <v>#VALUE!</v>
      </c>
      <c r="HU1" t="e">
        <f>AND(Sheet1!C26,"AAAAAHv3J+Q=")</f>
        <v>#VALUE!</v>
      </c>
      <c r="HV1" t="e">
        <f>AND(Sheet1!D26,"AAAAAHv3J+U=")</f>
        <v>#VALUE!</v>
      </c>
      <c r="HW1" t="e">
        <f>AND(Sheet1!E26,"AAAAAHv3J+Y=")</f>
        <v>#VALUE!</v>
      </c>
      <c r="HX1" t="e">
        <f>AND(Sheet1!F26,"AAAAAHv3J+c=")</f>
        <v>#VALUE!</v>
      </c>
      <c r="HY1" t="e">
        <f>AND(Sheet1!G26,"AAAAAHv3J+g=")</f>
        <v>#VALUE!</v>
      </c>
      <c r="HZ1" t="e">
        <f>AND(Sheet1!H26,"AAAAAHv3J+k=")</f>
        <v>#VALUE!</v>
      </c>
      <c r="IA1">
        <f>IF(Sheet1!27:27,"AAAAAHv3J+o=",0)</f>
        <v>0</v>
      </c>
      <c r="IB1" t="e">
        <f>AND(Sheet1!A27,"AAAAAHv3J+s=")</f>
        <v>#VALUE!</v>
      </c>
      <c r="IC1" t="e">
        <f>AND(Sheet1!B27,"AAAAAHv3J+w=")</f>
        <v>#VALUE!</v>
      </c>
      <c r="ID1" t="e">
        <f>AND(Sheet1!C27,"AAAAAHv3J+0=")</f>
        <v>#VALUE!</v>
      </c>
      <c r="IE1" t="e">
        <f>AND(Sheet1!D27,"AAAAAHv3J+4=")</f>
        <v>#VALUE!</v>
      </c>
      <c r="IF1" t="e">
        <f>AND(Sheet1!E27,"AAAAAHv3J+8=")</f>
        <v>#VALUE!</v>
      </c>
      <c r="IG1" t="e">
        <f>AND(Sheet1!F27,"AAAAAHv3J/A=")</f>
        <v>#VALUE!</v>
      </c>
      <c r="IH1" t="e">
        <f>AND(Sheet1!G27,"AAAAAHv3J/E=")</f>
        <v>#VALUE!</v>
      </c>
      <c r="II1" t="e">
        <f>AND(Sheet1!H27,"AAAAAHv3J/I=")</f>
        <v>#VALUE!</v>
      </c>
      <c r="IJ1">
        <f>IF(Sheet1!28:28,"AAAAAHv3J/M=",0)</f>
        <v>0</v>
      </c>
      <c r="IK1" t="e">
        <f>AND(Sheet1!A28,"AAAAAHv3J/Q=")</f>
        <v>#VALUE!</v>
      </c>
      <c r="IL1" t="e">
        <f>AND(Sheet1!B28,"AAAAAHv3J/U=")</f>
        <v>#VALUE!</v>
      </c>
      <c r="IM1" t="e">
        <f>AND(Sheet1!C28,"AAAAAHv3J/Y=")</f>
        <v>#VALUE!</v>
      </c>
      <c r="IN1" t="e">
        <f>AND(Sheet1!D28,"AAAAAHv3J/c=")</f>
        <v>#VALUE!</v>
      </c>
      <c r="IO1" t="e">
        <f>AND(Sheet1!E28,"AAAAAHv3J/g=")</f>
        <v>#VALUE!</v>
      </c>
      <c r="IP1" t="e">
        <f>AND(Sheet1!F28,"AAAAAHv3J/k=")</f>
        <v>#VALUE!</v>
      </c>
      <c r="IQ1" t="e">
        <f>AND(Sheet1!G28,"AAAAAHv3J/o=")</f>
        <v>#VALUE!</v>
      </c>
      <c r="IR1" t="e">
        <f>AND(Sheet1!H28,"AAAAAHv3J/s=")</f>
        <v>#VALUE!</v>
      </c>
      <c r="IS1">
        <f>IF(Sheet1!29:29,"AAAAAHv3J/w=",0)</f>
        <v>0</v>
      </c>
      <c r="IT1" t="e">
        <f>AND(Sheet1!A29,"AAAAAHv3J/0=")</f>
        <v>#VALUE!</v>
      </c>
      <c r="IU1" t="e">
        <f>AND(Sheet1!B29,"AAAAAHv3J/4=")</f>
        <v>#VALUE!</v>
      </c>
      <c r="IV1" t="e">
        <f>AND(Sheet1!C29,"AAAAAHv3J/8=")</f>
        <v>#VALUE!</v>
      </c>
    </row>
    <row r="2" spans="1:256" x14ac:dyDescent="0.25">
      <c r="A2" t="e">
        <f>AND(Sheet1!D29,"AAAAAHztvQA=")</f>
        <v>#VALUE!</v>
      </c>
      <c r="B2" t="e">
        <f>AND(Sheet1!E29,"AAAAAHztvQE=")</f>
        <v>#VALUE!</v>
      </c>
      <c r="C2" t="e">
        <f>AND(Sheet1!F29,"AAAAAHztvQI=")</f>
        <v>#VALUE!</v>
      </c>
      <c r="D2" t="e">
        <f>AND(Sheet1!G29,"AAAAAHztvQM=")</f>
        <v>#VALUE!</v>
      </c>
      <c r="E2" t="e">
        <f>AND(Sheet1!H29,"AAAAAHztvQQ=")</f>
        <v>#VALUE!</v>
      </c>
      <c r="F2">
        <f>IF(Sheet1!30:30,"AAAAAHztvQU=",0)</f>
        <v>0</v>
      </c>
      <c r="G2" t="e">
        <f>AND(Sheet1!A30,"AAAAAHztvQY=")</f>
        <v>#VALUE!</v>
      </c>
      <c r="H2" t="e">
        <f>AND(Sheet1!B30,"AAAAAHztvQc=")</f>
        <v>#VALUE!</v>
      </c>
      <c r="I2" t="e">
        <f>AND(Sheet1!C30,"AAAAAHztvQg=")</f>
        <v>#VALUE!</v>
      </c>
      <c r="J2" t="e">
        <f>AND(Sheet1!D30,"AAAAAHztvQk=")</f>
        <v>#VALUE!</v>
      </c>
      <c r="K2" t="e">
        <f>AND(Sheet1!E30,"AAAAAHztvQo=")</f>
        <v>#VALUE!</v>
      </c>
      <c r="L2" t="e">
        <f>AND(Sheet1!F30,"AAAAAHztvQs=")</f>
        <v>#VALUE!</v>
      </c>
      <c r="M2" t="e">
        <f>AND(Sheet1!G30,"AAAAAHztvQw=")</f>
        <v>#VALUE!</v>
      </c>
      <c r="N2" t="e">
        <f>AND(Sheet1!H30,"AAAAAHztvQ0=")</f>
        <v>#VALUE!</v>
      </c>
      <c r="O2">
        <f>IF(Sheet1!31:31,"AAAAAHztvQ4=",0)</f>
        <v>0</v>
      </c>
      <c r="P2" t="e">
        <f>AND(Sheet1!A31,"AAAAAHztvQ8=")</f>
        <v>#VALUE!</v>
      </c>
      <c r="Q2" t="e">
        <f>AND(Sheet1!B31,"AAAAAHztvRA=")</f>
        <v>#VALUE!</v>
      </c>
      <c r="R2" t="e">
        <f>AND(Sheet1!C31,"AAAAAHztvRE=")</f>
        <v>#VALUE!</v>
      </c>
      <c r="S2" t="e">
        <f>AND(Sheet1!D31,"AAAAAHztvRI=")</f>
        <v>#VALUE!</v>
      </c>
      <c r="T2" t="e">
        <f>AND(Sheet1!E31,"AAAAAHztvRM=")</f>
        <v>#VALUE!</v>
      </c>
      <c r="U2" t="e">
        <f>AND(Sheet1!F31,"AAAAAHztvRQ=")</f>
        <v>#VALUE!</v>
      </c>
      <c r="V2" t="e">
        <f>AND(Sheet1!G31,"AAAAAHztvRU=")</f>
        <v>#VALUE!</v>
      </c>
      <c r="W2" t="e">
        <f>AND(Sheet1!H31,"AAAAAHztvRY=")</f>
        <v>#VALUE!</v>
      </c>
      <c r="X2">
        <f>IF(Sheet1!32:32,"AAAAAHztvRc=",0)</f>
        <v>0</v>
      </c>
      <c r="Y2" t="e">
        <f>AND(Sheet1!A32,"AAAAAHztvRg=")</f>
        <v>#VALUE!</v>
      </c>
      <c r="Z2" t="e">
        <f>AND(Sheet1!B32,"AAAAAHztvRk=")</f>
        <v>#VALUE!</v>
      </c>
      <c r="AA2" t="e">
        <f>AND(Sheet1!C32,"AAAAAHztvRo=")</f>
        <v>#VALUE!</v>
      </c>
      <c r="AB2" t="e">
        <f>AND(Sheet1!D32,"AAAAAHztvRs=")</f>
        <v>#VALUE!</v>
      </c>
      <c r="AC2" t="e">
        <f>AND(Sheet1!E32,"AAAAAHztvRw=")</f>
        <v>#VALUE!</v>
      </c>
      <c r="AD2" t="e">
        <f>AND(Sheet1!F32,"AAAAAHztvR0=")</f>
        <v>#VALUE!</v>
      </c>
      <c r="AE2" t="e">
        <f>AND(Sheet1!G32,"AAAAAHztvR4=")</f>
        <v>#VALUE!</v>
      </c>
      <c r="AF2" t="e">
        <f>AND(Sheet1!H32,"AAAAAHztvR8=")</f>
        <v>#VALUE!</v>
      </c>
      <c r="AG2">
        <f>IF(Sheet1!33:33,"AAAAAHztvSA=",0)</f>
        <v>0</v>
      </c>
      <c r="AH2" t="e">
        <f>AND(Sheet1!A33,"AAAAAHztvSE=")</f>
        <v>#VALUE!</v>
      </c>
      <c r="AI2" t="e">
        <f>AND(Sheet1!B33,"AAAAAHztvSI=")</f>
        <v>#VALUE!</v>
      </c>
      <c r="AJ2" t="e">
        <f>AND(Sheet1!C33,"AAAAAHztvSM=")</f>
        <v>#VALUE!</v>
      </c>
      <c r="AK2" t="e">
        <f>AND(Sheet1!D33,"AAAAAHztvSQ=")</f>
        <v>#VALUE!</v>
      </c>
      <c r="AL2" t="e">
        <f>AND(Sheet1!E33,"AAAAAHztvSU=")</f>
        <v>#VALUE!</v>
      </c>
      <c r="AM2" t="e">
        <f>AND(Sheet1!F33,"AAAAAHztvSY=")</f>
        <v>#VALUE!</v>
      </c>
      <c r="AN2" t="e">
        <f>AND(Sheet1!G33,"AAAAAHztvSc=")</f>
        <v>#VALUE!</v>
      </c>
      <c r="AO2" t="e">
        <f>AND(Sheet1!H33,"AAAAAHztvSg=")</f>
        <v>#VALUE!</v>
      </c>
      <c r="AP2">
        <f>IF(Sheet1!34:34,"AAAAAHztvSk=",0)</f>
        <v>0</v>
      </c>
      <c r="AQ2" t="e">
        <f>AND(Sheet1!A34,"AAAAAHztvSo=")</f>
        <v>#VALUE!</v>
      </c>
      <c r="AR2" t="e">
        <f>AND(Sheet1!B34,"AAAAAHztvSs=")</f>
        <v>#VALUE!</v>
      </c>
      <c r="AS2" t="e">
        <f>AND(Sheet1!C34,"AAAAAHztvSw=")</f>
        <v>#VALUE!</v>
      </c>
      <c r="AT2" t="e">
        <f>AND(Sheet1!D34,"AAAAAHztvS0=")</f>
        <v>#VALUE!</v>
      </c>
      <c r="AU2" t="e">
        <f>AND(Sheet1!E34,"AAAAAHztvS4=")</f>
        <v>#VALUE!</v>
      </c>
      <c r="AV2" t="e">
        <f>AND(Sheet1!F34,"AAAAAHztvS8=")</f>
        <v>#VALUE!</v>
      </c>
      <c r="AW2" t="e">
        <f>AND(Sheet1!G34,"AAAAAHztvTA=")</f>
        <v>#VALUE!</v>
      </c>
      <c r="AX2" t="e">
        <f>AND(Sheet1!H34,"AAAAAHztvTE=")</f>
        <v>#VALUE!</v>
      </c>
      <c r="AY2">
        <f>IF(Sheet1!35:35,"AAAAAHztvTI=",0)</f>
        <v>0</v>
      </c>
      <c r="AZ2" t="e">
        <f>AND(Sheet1!A35,"AAAAAHztvTM=")</f>
        <v>#VALUE!</v>
      </c>
      <c r="BA2" t="e">
        <f>AND(Sheet1!B35,"AAAAAHztvTQ=")</f>
        <v>#VALUE!</v>
      </c>
      <c r="BB2" t="e">
        <f>AND(Sheet1!C35,"AAAAAHztvTU=")</f>
        <v>#VALUE!</v>
      </c>
      <c r="BC2" t="e">
        <f>AND(Sheet1!D35,"AAAAAHztvTY=")</f>
        <v>#VALUE!</v>
      </c>
      <c r="BD2" t="e">
        <f>AND(Sheet1!E35,"AAAAAHztvTc=")</f>
        <v>#VALUE!</v>
      </c>
      <c r="BE2" t="e">
        <f>AND(Sheet1!F35,"AAAAAHztvTg=")</f>
        <v>#VALUE!</v>
      </c>
      <c r="BF2" t="e">
        <f>AND(Sheet1!G35,"AAAAAHztvTk=")</f>
        <v>#VALUE!</v>
      </c>
      <c r="BG2" t="e">
        <f>AND(Sheet1!H35,"AAAAAHztvTo=")</f>
        <v>#VALUE!</v>
      </c>
      <c r="BH2">
        <f>IF(Sheet1!36:36,"AAAAAHztvTs=",0)</f>
        <v>0</v>
      </c>
      <c r="BI2" t="e">
        <f>AND(Sheet1!A36,"AAAAAHztvTw=")</f>
        <v>#VALUE!</v>
      </c>
      <c r="BJ2" t="e">
        <f>AND(Sheet1!B36,"AAAAAHztvT0=")</f>
        <v>#VALUE!</v>
      </c>
      <c r="BK2" t="e">
        <f>AND(Sheet1!C36,"AAAAAHztvT4=")</f>
        <v>#VALUE!</v>
      </c>
      <c r="BL2" t="e">
        <f>AND(Sheet1!D36,"AAAAAHztvT8=")</f>
        <v>#VALUE!</v>
      </c>
      <c r="BM2" t="e">
        <f>AND(Sheet1!E36,"AAAAAHztvUA=")</f>
        <v>#VALUE!</v>
      </c>
      <c r="BN2" t="e">
        <f>AND(Sheet1!F36,"AAAAAHztvUE=")</f>
        <v>#VALUE!</v>
      </c>
      <c r="BO2" t="e">
        <f>AND(Sheet1!G36,"AAAAAHztvUI=")</f>
        <v>#VALUE!</v>
      </c>
      <c r="BP2" t="e">
        <f>AND(Sheet1!H36,"AAAAAHztvUM=")</f>
        <v>#VALUE!</v>
      </c>
      <c r="BQ2">
        <f>IF(Sheet1!37:37,"AAAAAHztvUQ=",0)</f>
        <v>0</v>
      </c>
      <c r="BR2" t="e">
        <f>AND(Sheet1!A37,"AAAAAHztvUU=")</f>
        <v>#VALUE!</v>
      </c>
      <c r="BS2" t="e">
        <f>AND(Sheet1!B37,"AAAAAHztvUY=")</f>
        <v>#VALUE!</v>
      </c>
      <c r="BT2" t="e">
        <f>AND(Sheet1!C37,"AAAAAHztvUc=")</f>
        <v>#VALUE!</v>
      </c>
      <c r="BU2" t="e">
        <f>AND(Sheet1!D37,"AAAAAHztvUg=")</f>
        <v>#VALUE!</v>
      </c>
      <c r="BV2" t="e">
        <f>AND(Sheet1!E37,"AAAAAHztvUk=")</f>
        <v>#VALUE!</v>
      </c>
      <c r="BW2" t="e">
        <f>AND(Sheet1!F37,"AAAAAHztvUo=")</f>
        <v>#VALUE!</v>
      </c>
      <c r="BX2" t="e">
        <f>AND(Sheet1!G37,"AAAAAHztvUs=")</f>
        <v>#VALUE!</v>
      </c>
      <c r="BY2" t="e">
        <f>AND(Sheet1!H37,"AAAAAHztvUw=")</f>
        <v>#VALUE!</v>
      </c>
      <c r="BZ2">
        <f>IF(Sheet1!38:38,"AAAAAHztvU0=",0)</f>
        <v>0</v>
      </c>
      <c r="CA2" t="e">
        <f>AND(Sheet1!A38,"AAAAAHztvU4=")</f>
        <v>#VALUE!</v>
      </c>
      <c r="CB2" t="e">
        <f>AND(Sheet1!B38,"AAAAAHztvU8=")</f>
        <v>#VALUE!</v>
      </c>
      <c r="CC2" t="e">
        <f>AND(Sheet1!C38,"AAAAAHztvVA=")</f>
        <v>#VALUE!</v>
      </c>
      <c r="CD2" t="e">
        <f>AND(Sheet1!D38,"AAAAAHztvVE=")</f>
        <v>#VALUE!</v>
      </c>
      <c r="CE2" t="e">
        <f>AND(Sheet1!E38,"AAAAAHztvVI=")</f>
        <v>#VALUE!</v>
      </c>
      <c r="CF2" t="e">
        <f>AND(Sheet1!F38,"AAAAAHztvVM=")</f>
        <v>#VALUE!</v>
      </c>
      <c r="CG2" t="e">
        <f>AND(Sheet1!G38,"AAAAAHztvVQ=")</f>
        <v>#VALUE!</v>
      </c>
      <c r="CH2" t="e">
        <f>AND(Sheet1!H38,"AAAAAHztvVU=")</f>
        <v>#VALUE!</v>
      </c>
      <c r="CI2">
        <f>IF(Sheet1!39:39,"AAAAAHztvVY=",0)</f>
        <v>0</v>
      </c>
      <c r="CJ2" t="e">
        <f>AND(Sheet1!A39,"AAAAAHztvVc=")</f>
        <v>#VALUE!</v>
      </c>
      <c r="CK2" t="e">
        <f>AND(Sheet1!B39,"AAAAAHztvVg=")</f>
        <v>#VALUE!</v>
      </c>
      <c r="CL2" t="e">
        <f>AND(Sheet1!C39,"AAAAAHztvVk=")</f>
        <v>#VALUE!</v>
      </c>
      <c r="CM2" t="e">
        <f>AND(Sheet1!D39,"AAAAAHztvVo=")</f>
        <v>#VALUE!</v>
      </c>
      <c r="CN2" t="e">
        <f>AND(Sheet1!E39,"AAAAAHztvVs=")</f>
        <v>#VALUE!</v>
      </c>
      <c r="CO2" t="e">
        <f>AND(Sheet1!F39,"AAAAAHztvVw=")</f>
        <v>#VALUE!</v>
      </c>
      <c r="CP2" t="e">
        <f>AND(Sheet1!G39,"AAAAAHztvV0=")</f>
        <v>#VALUE!</v>
      </c>
      <c r="CQ2" t="e">
        <f>AND(Sheet1!H39,"AAAAAHztvV4=")</f>
        <v>#VALUE!</v>
      </c>
      <c r="CR2">
        <f>IF(Sheet1!40:40,"AAAAAHztvV8=",0)</f>
        <v>0</v>
      </c>
      <c r="CS2" t="e">
        <f>AND(Sheet1!A40,"AAAAAHztvWA=")</f>
        <v>#VALUE!</v>
      </c>
      <c r="CT2" t="e">
        <f>AND(Sheet1!B40,"AAAAAHztvWE=")</f>
        <v>#VALUE!</v>
      </c>
      <c r="CU2" t="e">
        <f>AND(Sheet1!C40,"AAAAAHztvWI=")</f>
        <v>#VALUE!</v>
      </c>
      <c r="CV2" t="e">
        <f>AND(Sheet1!D40,"AAAAAHztvWM=")</f>
        <v>#VALUE!</v>
      </c>
      <c r="CW2" t="e">
        <f>AND(Sheet1!E40,"AAAAAHztvWQ=")</f>
        <v>#VALUE!</v>
      </c>
      <c r="CX2" t="e">
        <f>AND(Sheet1!F40,"AAAAAHztvWU=")</f>
        <v>#VALUE!</v>
      </c>
      <c r="CY2" t="e">
        <f>AND(Sheet1!G40,"AAAAAHztvWY=")</f>
        <v>#VALUE!</v>
      </c>
      <c r="CZ2" t="e">
        <f>AND(Sheet1!H40,"AAAAAHztvWc=")</f>
        <v>#VALUE!</v>
      </c>
      <c r="DA2">
        <f>IF(Sheet1!41:41,"AAAAAHztvWg=",0)</f>
        <v>0</v>
      </c>
      <c r="DB2" t="e">
        <f>AND(Sheet1!A41,"AAAAAHztvWk=")</f>
        <v>#VALUE!</v>
      </c>
      <c r="DC2" t="e">
        <f>AND(Sheet1!B41,"AAAAAHztvWo=")</f>
        <v>#VALUE!</v>
      </c>
      <c r="DD2" t="e">
        <f>AND(Sheet1!C41,"AAAAAHztvWs=")</f>
        <v>#VALUE!</v>
      </c>
      <c r="DE2" t="e">
        <f>AND(Sheet1!D41,"AAAAAHztvWw=")</f>
        <v>#VALUE!</v>
      </c>
      <c r="DF2" t="e">
        <f>AND(Sheet1!E41,"AAAAAHztvW0=")</f>
        <v>#VALUE!</v>
      </c>
      <c r="DG2" t="e">
        <f>AND(Sheet1!F41,"AAAAAHztvW4=")</f>
        <v>#VALUE!</v>
      </c>
      <c r="DH2" t="e">
        <f>AND(Sheet1!G41,"AAAAAHztvW8=")</f>
        <v>#VALUE!</v>
      </c>
      <c r="DI2" t="e">
        <f>AND(Sheet1!H41,"AAAAAHztvXA=")</f>
        <v>#VALUE!</v>
      </c>
      <c r="DJ2">
        <f>IF(Sheet1!42:42,"AAAAAHztvXE=",0)</f>
        <v>0</v>
      </c>
      <c r="DK2" t="e">
        <f>AND(Sheet1!A42,"AAAAAHztvXI=")</f>
        <v>#VALUE!</v>
      </c>
      <c r="DL2" t="e">
        <f>AND(Sheet1!B42,"AAAAAHztvXM=")</f>
        <v>#VALUE!</v>
      </c>
      <c r="DM2" t="e">
        <f>AND(Sheet1!C42,"AAAAAHztvXQ=")</f>
        <v>#VALUE!</v>
      </c>
      <c r="DN2" t="e">
        <f>AND(Sheet1!D42,"AAAAAHztvXU=")</f>
        <v>#VALUE!</v>
      </c>
      <c r="DO2" t="e">
        <f>AND(Sheet1!E42,"AAAAAHztvXY=")</f>
        <v>#VALUE!</v>
      </c>
      <c r="DP2" t="e">
        <f>AND(Sheet1!F42,"AAAAAHztvXc=")</f>
        <v>#VALUE!</v>
      </c>
      <c r="DQ2" t="e">
        <f>AND(Sheet1!G42,"AAAAAHztvXg=")</f>
        <v>#VALUE!</v>
      </c>
      <c r="DR2" t="e">
        <f>AND(Sheet1!H42,"AAAAAHztvXk=")</f>
        <v>#VALUE!</v>
      </c>
      <c r="DS2">
        <f>IF(Sheet1!43:43,"AAAAAHztvXo=",0)</f>
        <v>0</v>
      </c>
      <c r="DT2" t="e">
        <f>AND(Sheet1!A43,"AAAAAHztvXs=")</f>
        <v>#VALUE!</v>
      </c>
      <c r="DU2" t="e">
        <f>AND(Sheet1!B43,"AAAAAHztvXw=")</f>
        <v>#VALUE!</v>
      </c>
      <c r="DV2" t="e">
        <f>AND(Sheet1!C43,"AAAAAHztvX0=")</f>
        <v>#VALUE!</v>
      </c>
      <c r="DW2" t="e">
        <f>AND(Sheet1!D43,"AAAAAHztvX4=")</f>
        <v>#VALUE!</v>
      </c>
      <c r="DX2" t="e">
        <f>AND(Sheet1!E43,"AAAAAHztvX8=")</f>
        <v>#VALUE!</v>
      </c>
      <c r="DY2" t="e">
        <f>AND(Sheet1!F43,"AAAAAHztvYA=")</f>
        <v>#VALUE!</v>
      </c>
      <c r="DZ2" t="e">
        <f>AND(Sheet1!G43,"AAAAAHztvYE=")</f>
        <v>#VALUE!</v>
      </c>
      <c r="EA2" t="e">
        <f>AND(Sheet1!H43,"AAAAAHztvYI=")</f>
        <v>#VALUE!</v>
      </c>
      <c r="EB2">
        <f>IF(Sheet1!44:44,"AAAAAHztvYM=",0)</f>
        <v>0</v>
      </c>
      <c r="EC2" t="e">
        <f>AND(Sheet1!A44,"AAAAAHztvYQ=")</f>
        <v>#VALUE!</v>
      </c>
      <c r="ED2" t="e">
        <f>AND(Sheet1!B44,"AAAAAHztvYU=")</f>
        <v>#VALUE!</v>
      </c>
      <c r="EE2" t="e">
        <f>AND(Sheet1!C44,"AAAAAHztvYY=")</f>
        <v>#VALUE!</v>
      </c>
      <c r="EF2" t="e">
        <f>AND(Sheet1!D44,"AAAAAHztvYc=")</f>
        <v>#VALUE!</v>
      </c>
      <c r="EG2" t="e">
        <f>AND(Sheet1!E44,"AAAAAHztvYg=")</f>
        <v>#VALUE!</v>
      </c>
      <c r="EH2" t="e">
        <f>AND(Sheet1!F44,"AAAAAHztvYk=")</f>
        <v>#VALUE!</v>
      </c>
      <c r="EI2" t="e">
        <f>AND(Sheet1!G44,"AAAAAHztvYo=")</f>
        <v>#VALUE!</v>
      </c>
      <c r="EJ2" t="e">
        <f>AND(Sheet1!H44,"AAAAAHztvYs=")</f>
        <v>#VALUE!</v>
      </c>
      <c r="EK2">
        <f>IF(Sheet1!45:45,"AAAAAHztvYw=",0)</f>
        <v>0</v>
      </c>
      <c r="EL2" t="e">
        <f>AND(Sheet1!A45,"AAAAAHztvY0=")</f>
        <v>#VALUE!</v>
      </c>
      <c r="EM2" t="e">
        <f>AND(Sheet1!B45,"AAAAAHztvY4=")</f>
        <v>#VALUE!</v>
      </c>
      <c r="EN2" t="e">
        <f>AND(Sheet1!C45,"AAAAAHztvY8=")</f>
        <v>#VALUE!</v>
      </c>
      <c r="EO2" t="e">
        <f>AND(Sheet1!D45,"AAAAAHztvZA=")</f>
        <v>#VALUE!</v>
      </c>
      <c r="EP2" t="e">
        <f>AND(Sheet1!E45,"AAAAAHztvZE=")</f>
        <v>#VALUE!</v>
      </c>
      <c r="EQ2" t="e">
        <f>AND(Sheet1!F45,"AAAAAHztvZI=")</f>
        <v>#VALUE!</v>
      </c>
      <c r="ER2" t="e">
        <f>AND(Sheet1!G45,"AAAAAHztvZM=")</f>
        <v>#VALUE!</v>
      </c>
      <c r="ES2" t="e">
        <f>AND(Sheet1!H45,"AAAAAHztvZQ=")</f>
        <v>#VALUE!</v>
      </c>
      <c r="ET2">
        <f>IF(Sheet1!46:46,"AAAAAHztvZU=",0)</f>
        <v>0</v>
      </c>
      <c r="EU2" t="e">
        <f>AND(Sheet1!A46,"AAAAAHztvZY=")</f>
        <v>#VALUE!</v>
      </c>
      <c r="EV2" t="e">
        <f>AND(Sheet1!B46,"AAAAAHztvZc=")</f>
        <v>#VALUE!</v>
      </c>
      <c r="EW2" t="e">
        <f>AND(Sheet1!C46,"AAAAAHztvZg=")</f>
        <v>#VALUE!</v>
      </c>
      <c r="EX2" t="e">
        <f>AND(Sheet1!D46,"AAAAAHztvZk=")</f>
        <v>#VALUE!</v>
      </c>
      <c r="EY2" t="e">
        <f>AND(Sheet1!E46,"AAAAAHztvZo=")</f>
        <v>#VALUE!</v>
      </c>
      <c r="EZ2" t="e">
        <f>AND(Sheet1!F46,"AAAAAHztvZs=")</f>
        <v>#VALUE!</v>
      </c>
      <c r="FA2" t="e">
        <f>AND(Sheet1!G46,"AAAAAHztvZw=")</f>
        <v>#VALUE!</v>
      </c>
      <c r="FB2" t="e">
        <f>AND(Sheet1!H46,"AAAAAHztvZ0=")</f>
        <v>#VALUE!</v>
      </c>
      <c r="FC2">
        <f>IF(Sheet1!47:47,"AAAAAHztvZ4=",0)</f>
        <v>0</v>
      </c>
      <c r="FD2" t="e">
        <f>AND(Sheet1!A47,"AAAAAHztvZ8=")</f>
        <v>#VALUE!</v>
      </c>
      <c r="FE2" t="e">
        <f>AND(Sheet1!B47,"AAAAAHztvaA=")</f>
        <v>#VALUE!</v>
      </c>
      <c r="FF2" t="e">
        <f>AND(Sheet1!C47,"AAAAAHztvaE=")</f>
        <v>#VALUE!</v>
      </c>
      <c r="FG2" t="e">
        <f>AND(Sheet1!D47,"AAAAAHztvaI=")</f>
        <v>#VALUE!</v>
      </c>
      <c r="FH2" t="e">
        <f>AND(Sheet1!E47,"AAAAAHztvaM=")</f>
        <v>#VALUE!</v>
      </c>
      <c r="FI2" t="e">
        <f>AND(Sheet1!F47,"AAAAAHztvaQ=")</f>
        <v>#VALUE!</v>
      </c>
      <c r="FJ2" t="e">
        <f>AND(Sheet1!G47,"AAAAAHztvaU=")</f>
        <v>#VALUE!</v>
      </c>
      <c r="FK2" t="e">
        <f>AND(Sheet1!H47,"AAAAAHztvaY=")</f>
        <v>#VALUE!</v>
      </c>
      <c r="FL2">
        <f>IF(Sheet1!48:48,"AAAAAHztvac=",0)</f>
        <v>0</v>
      </c>
      <c r="FM2" t="e">
        <f>AND(Sheet1!A48,"AAAAAHztvag=")</f>
        <v>#VALUE!</v>
      </c>
      <c r="FN2" t="e">
        <f>AND(Sheet1!B48,"AAAAAHztvak=")</f>
        <v>#VALUE!</v>
      </c>
      <c r="FO2" t="e">
        <f>AND(Sheet1!C48,"AAAAAHztvao=")</f>
        <v>#VALUE!</v>
      </c>
      <c r="FP2" t="e">
        <f>AND(Sheet1!D48,"AAAAAHztvas=")</f>
        <v>#VALUE!</v>
      </c>
      <c r="FQ2" t="e">
        <f>AND(Sheet1!E48,"AAAAAHztvaw=")</f>
        <v>#VALUE!</v>
      </c>
      <c r="FR2" t="e">
        <f>AND(Sheet1!F48,"AAAAAHztva0=")</f>
        <v>#VALUE!</v>
      </c>
      <c r="FS2" t="e">
        <f>AND(Sheet1!G48,"AAAAAHztva4=")</f>
        <v>#VALUE!</v>
      </c>
      <c r="FT2" t="e">
        <f>AND(Sheet1!H48,"AAAAAHztva8=")</f>
        <v>#VALUE!</v>
      </c>
      <c r="FU2">
        <f>IF(Sheet1!49:49,"AAAAAHztvbA=",0)</f>
        <v>0</v>
      </c>
      <c r="FV2" t="e">
        <f>AND(Sheet1!A49,"AAAAAHztvbE=")</f>
        <v>#VALUE!</v>
      </c>
      <c r="FW2" t="e">
        <f>AND(Sheet1!B49,"AAAAAHztvbI=")</f>
        <v>#VALUE!</v>
      </c>
      <c r="FX2" t="e">
        <f>AND(Sheet1!C49,"AAAAAHztvbM=")</f>
        <v>#VALUE!</v>
      </c>
      <c r="FY2" t="e">
        <f>AND(Sheet1!D49,"AAAAAHztvbQ=")</f>
        <v>#VALUE!</v>
      </c>
      <c r="FZ2" t="e">
        <f>AND(Sheet1!E49,"AAAAAHztvbU=")</f>
        <v>#VALUE!</v>
      </c>
      <c r="GA2" t="e">
        <f>AND(Sheet1!F49,"AAAAAHztvbY=")</f>
        <v>#VALUE!</v>
      </c>
      <c r="GB2" t="e">
        <f>AND(Sheet1!G49,"AAAAAHztvbc=")</f>
        <v>#VALUE!</v>
      </c>
      <c r="GC2" t="e">
        <f>AND(Sheet1!H49,"AAAAAHztvbg=")</f>
        <v>#VALUE!</v>
      </c>
      <c r="GD2">
        <f>IF(Sheet1!50:50,"AAAAAHztvbk=",0)</f>
        <v>0</v>
      </c>
      <c r="GE2" t="e">
        <f>AND(Sheet1!A50,"AAAAAHztvbo=")</f>
        <v>#VALUE!</v>
      </c>
      <c r="GF2" t="e">
        <f>AND(Sheet1!B50,"AAAAAHztvbs=")</f>
        <v>#VALUE!</v>
      </c>
      <c r="GG2" t="e">
        <f>AND(Sheet1!C50,"AAAAAHztvbw=")</f>
        <v>#VALUE!</v>
      </c>
      <c r="GH2" t="e">
        <f>AND(Sheet1!D50,"AAAAAHztvb0=")</f>
        <v>#VALUE!</v>
      </c>
      <c r="GI2" t="e">
        <f>AND(Sheet1!E50,"AAAAAHztvb4=")</f>
        <v>#VALUE!</v>
      </c>
      <c r="GJ2" t="e">
        <f>AND(Sheet1!F50,"AAAAAHztvb8=")</f>
        <v>#VALUE!</v>
      </c>
      <c r="GK2" t="e">
        <f>AND(Sheet1!G50,"AAAAAHztvcA=")</f>
        <v>#VALUE!</v>
      </c>
      <c r="GL2" t="e">
        <f>AND(Sheet1!H50,"AAAAAHztvcE=")</f>
        <v>#VALUE!</v>
      </c>
      <c r="GM2">
        <f>IF(Sheet1!51:51,"AAAAAHztvcI=",0)</f>
        <v>0</v>
      </c>
      <c r="GN2" t="e">
        <f>AND(Sheet1!A51,"AAAAAHztvcM=")</f>
        <v>#VALUE!</v>
      </c>
      <c r="GO2" t="e">
        <f>AND(Sheet1!B51,"AAAAAHztvcQ=")</f>
        <v>#VALUE!</v>
      </c>
      <c r="GP2" t="e">
        <f>AND(Sheet1!C51,"AAAAAHztvcU=")</f>
        <v>#VALUE!</v>
      </c>
      <c r="GQ2" t="e">
        <f>AND(Sheet1!D51,"AAAAAHztvcY=")</f>
        <v>#VALUE!</v>
      </c>
      <c r="GR2" t="e">
        <f>AND(Sheet1!E51,"AAAAAHztvcc=")</f>
        <v>#VALUE!</v>
      </c>
      <c r="GS2" t="e">
        <f>AND(Sheet1!F51,"AAAAAHztvcg=")</f>
        <v>#VALUE!</v>
      </c>
      <c r="GT2" t="e">
        <f>AND(Sheet1!G51,"AAAAAHztvck=")</f>
        <v>#VALUE!</v>
      </c>
      <c r="GU2" t="e">
        <f>AND(Sheet1!H51,"AAAAAHztvco=")</f>
        <v>#VALUE!</v>
      </c>
      <c r="GV2">
        <f>IF(Sheet1!52:52,"AAAAAHztvcs=",0)</f>
        <v>0</v>
      </c>
      <c r="GW2" t="e">
        <f>AND(Sheet1!A52,"AAAAAHztvcw=")</f>
        <v>#VALUE!</v>
      </c>
      <c r="GX2" t="e">
        <f>AND(Sheet1!B52,"AAAAAHztvc0=")</f>
        <v>#VALUE!</v>
      </c>
      <c r="GY2" t="e">
        <f>AND(Sheet1!C52,"AAAAAHztvc4=")</f>
        <v>#VALUE!</v>
      </c>
      <c r="GZ2" t="e">
        <f>AND(Sheet1!D52,"AAAAAHztvc8=")</f>
        <v>#VALUE!</v>
      </c>
      <c r="HA2" t="e">
        <f>AND(Sheet1!E52,"AAAAAHztvdA=")</f>
        <v>#VALUE!</v>
      </c>
      <c r="HB2" t="e">
        <f>AND(Sheet1!F52,"AAAAAHztvdE=")</f>
        <v>#VALUE!</v>
      </c>
      <c r="HC2" t="e">
        <f>AND(Sheet1!G52,"AAAAAHztvdI=")</f>
        <v>#VALUE!</v>
      </c>
      <c r="HD2" t="e">
        <f>AND(Sheet1!H52,"AAAAAHztvdM=")</f>
        <v>#VALUE!</v>
      </c>
      <c r="HE2">
        <f>IF(Sheet1!53:53,"AAAAAHztvdQ=",0)</f>
        <v>0</v>
      </c>
      <c r="HF2" t="e">
        <f>AND(Sheet1!A53,"AAAAAHztvdU=")</f>
        <v>#VALUE!</v>
      </c>
      <c r="HG2" t="e">
        <f>AND(Sheet1!B53,"AAAAAHztvdY=")</f>
        <v>#VALUE!</v>
      </c>
      <c r="HH2" t="e">
        <f>AND(Sheet1!C53,"AAAAAHztvdc=")</f>
        <v>#VALUE!</v>
      </c>
      <c r="HI2" t="e">
        <f>AND(Sheet1!D53,"AAAAAHztvdg=")</f>
        <v>#VALUE!</v>
      </c>
      <c r="HJ2" t="e">
        <f>AND(Sheet1!E53,"AAAAAHztvdk=")</f>
        <v>#VALUE!</v>
      </c>
      <c r="HK2" t="e">
        <f>AND(Sheet1!F53,"AAAAAHztvdo=")</f>
        <v>#VALUE!</v>
      </c>
      <c r="HL2" t="e">
        <f>AND(Sheet1!G53,"AAAAAHztvds=")</f>
        <v>#VALUE!</v>
      </c>
      <c r="HM2" t="e">
        <f>AND(Sheet1!H53,"AAAAAHztvdw=")</f>
        <v>#VALUE!</v>
      </c>
      <c r="HN2">
        <f>IF(Sheet1!54:54,"AAAAAHztvd0=",0)</f>
        <v>0</v>
      </c>
      <c r="HO2" t="e">
        <f>AND(Sheet1!A54,"AAAAAHztvd4=")</f>
        <v>#VALUE!</v>
      </c>
      <c r="HP2" t="e">
        <f>AND(Sheet1!B54,"AAAAAHztvd8=")</f>
        <v>#VALUE!</v>
      </c>
      <c r="HQ2" t="e">
        <f>AND(Sheet1!C54,"AAAAAHztveA=")</f>
        <v>#VALUE!</v>
      </c>
      <c r="HR2" t="e">
        <f>AND(Sheet1!D54,"AAAAAHztveE=")</f>
        <v>#VALUE!</v>
      </c>
      <c r="HS2" t="e">
        <f>AND(Sheet1!E54,"AAAAAHztveI=")</f>
        <v>#VALUE!</v>
      </c>
      <c r="HT2" t="e">
        <f>AND(Sheet1!F54,"AAAAAHztveM=")</f>
        <v>#VALUE!</v>
      </c>
      <c r="HU2" t="e">
        <f>AND(Sheet1!G54,"AAAAAHztveQ=")</f>
        <v>#VALUE!</v>
      </c>
      <c r="HV2" t="e">
        <f>AND(Sheet1!H54,"AAAAAHztveU=")</f>
        <v>#VALUE!</v>
      </c>
      <c r="HW2">
        <f>IF(Sheet1!55:55,"AAAAAHztveY=",0)</f>
        <v>0</v>
      </c>
      <c r="HX2" t="e">
        <f>AND(Sheet1!A55,"AAAAAHztvec=")</f>
        <v>#VALUE!</v>
      </c>
      <c r="HY2" t="e">
        <f>AND(Sheet1!B55,"AAAAAHztveg=")</f>
        <v>#VALUE!</v>
      </c>
      <c r="HZ2" t="e">
        <f>AND(Sheet1!C55,"AAAAAHztvek=")</f>
        <v>#VALUE!</v>
      </c>
      <c r="IA2" t="e">
        <f>AND(Sheet1!D55,"AAAAAHztveo=")</f>
        <v>#VALUE!</v>
      </c>
      <c r="IB2" t="e">
        <f>AND(Sheet1!E55,"AAAAAHztves=")</f>
        <v>#VALUE!</v>
      </c>
      <c r="IC2" t="e">
        <f>AND(Sheet1!F55,"AAAAAHztvew=")</f>
        <v>#VALUE!</v>
      </c>
      <c r="ID2" t="e">
        <f>AND(Sheet1!G55,"AAAAAHztve0=")</f>
        <v>#VALUE!</v>
      </c>
      <c r="IE2" t="e">
        <f>AND(Sheet1!H55,"AAAAAHztve4=")</f>
        <v>#VALUE!</v>
      </c>
      <c r="IF2">
        <f>IF(Sheet1!56:56,"AAAAAHztve8=",0)</f>
        <v>0</v>
      </c>
      <c r="IG2" t="e">
        <f>AND(Sheet1!A56,"AAAAAHztvfA=")</f>
        <v>#VALUE!</v>
      </c>
      <c r="IH2" t="e">
        <f>AND(Sheet1!B56,"AAAAAHztvfE=")</f>
        <v>#VALUE!</v>
      </c>
      <c r="II2" t="e">
        <f>AND(Sheet1!C56,"AAAAAHztvfI=")</f>
        <v>#VALUE!</v>
      </c>
      <c r="IJ2" t="e">
        <f>AND(Sheet1!D56,"AAAAAHztvfM=")</f>
        <v>#VALUE!</v>
      </c>
      <c r="IK2" t="e">
        <f>AND(Sheet1!E56,"AAAAAHztvfQ=")</f>
        <v>#VALUE!</v>
      </c>
      <c r="IL2" t="e">
        <f>AND(Sheet1!F56,"AAAAAHztvfU=")</f>
        <v>#VALUE!</v>
      </c>
      <c r="IM2" t="e">
        <f>AND(Sheet1!G56,"AAAAAHztvfY=")</f>
        <v>#VALUE!</v>
      </c>
      <c r="IN2" t="e">
        <f>AND(Sheet1!H56,"AAAAAHztvfc=")</f>
        <v>#VALUE!</v>
      </c>
      <c r="IO2">
        <f>IF(Sheet1!57:57,"AAAAAHztvfg=",0)</f>
        <v>0</v>
      </c>
      <c r="IP2" t="e">
        <f>AND(Sheet1!A57,"AAAAAHztvfk=")</f>
        <v>#VALUE!</v>
      </c>
      <c r="IQ2" t="e">
        <f>AND(Sheet1!B57,"AAAAAHztvfo=")</f>
        <v>#VALUE!</v>
      </c>
      <c r="IR2" t="e">
        <f>AND(Sheet1!C57,"AAAAAHztvfs=")</f>
        <v>#VALUE!</v>
      </c>
      <c r="IS2" t="e">
        <f>AND(Sheet1!D57,"AAAAAHztvfw=")</f>
        <v>#VALUE!</v>
      </c>
      <c r="IT2" t="e">
        <f>AND(Sheet1!E57,"AAAAAHztvf0=")</f>
        <v>#VALUE!</v>
      </c>
      <c r="IU2" t="e">
        <f>AND(Sheet1!F57,"AAAAAHztvf4=")</f>
        <v>#VALUE!</v>
      </c>
      <c r="IV2" t="e">
        <f>AND(Sheet1!G57,"AAAAAHztvf8=")</f>
        <v>#VALUE!</v>
      </c>
    </row>
    <row r="3" spans="1:256" x14ac:dyDescent="0.25">
      <c r="A3" t="e">
        <f>AND(Sheet1!H57,"AAAAAG+//wA=")</f>
        <v>#VALUE!</v>
      </c>
      <c r="B3" t="str">
        <f ca="1">IF(Sheet1!58:58,"AAAAAG+//wE=",0)</f>
        <v>AAAAAG+//wE=</v>
      </c>
      <c r="C3" t="e">
        <f>AND(Sheet1!A58,"AAAAAG+//wI=")</f>
        <v>#VALUE!</v>
      </c>
      <c r="D3" t="e">
        <f>AND(Sheet1!B58,"AAAAAG+//wM=")</f>
        <v>#VALUE!</v>
      </c>
      <c r="E3" t="e">
        <f>AND(Sheet1!C58,"AAAAAG+//wQ=")</f>
        <v>#VALUE!</v>
      </c>
      <c r="F3" t="e">
        <f>AND(Sheet1!D58,"AAAAAG+//wU=")</f>
        <v>#VALUE!</v>
      </c>
      <c r="G3" t="e">
        <f>AND(Sheet1!E58,"AAAAAG+//wY=")</f>
        <v>#VALUE!</v>
      </c>
      <c r="H3" t="e">
        <f>AND(Sheet1!F58,"AAAAAG+//wc=")</f>
        <v>#VALUE!</v>
      </c>
      <c r="I3" t="e">
        <f>AND(Sheet1!G58,"AAAAAG+//wg=")</f>
        <v>#VALUE!</v>
      </c>
      <c r="J3" t="e">
        <f>AND(Sheet1!H58,"AAAAAG+//wk=")</f>
        <v>#VALUE!</v>
      </c>
      <c r="K3">
        <f>IF(Sheet1!59:59,"AAAAAG+//wo=",0)</f>
        <v>0</v>
      </c>
      <c r="L3" t="e">
        <f>AND(Sheet1!A59,"AAAAAG+//ws=")</f>
        <v>#VALUE!</v>
      </c>
      <c r="M3" t="e">
        <f>AND(Sheet1!B59,"AAAAAG+//ww=")</f>
        <v>#VALUE!</v>
      </c>
      <c r="N3" t="e">
        <f>AND(Sheet1!C59,"AAAAAG+//w0=")</f>
        <v>#VALUE!</v>
      </c>
      <c r="O3" t="e">
        <f>AND(Sheet1!D59,"AAAAAG+//w4=")</f>
        <v>#VALUE!</v>
      </c>
      <c r="P3" t="e">
        <f>AND(Sheet1!E59,"AAAAAG+//w8=")</f>
        <v>#VALUE!</v>
      </c>
      <c r="Q3" t="e">
        <f>AND(Sheet1!F59,"AAAAAG+//xA=")</f>
        <v>#VALUE!</v>
      </c>
      <c r="R3" t="e">
        <f>AND(Sheet1!G59,"AAAAAG+//xE=")</f>
        <v>#VALUE!</v>
      </c>
      <c r="S3" t="e">
        <f>AND(Sheet1!H59,"AAAAAG+//xI=")</f>
        <v>#VALUE!</v>
      </c>
      <c r="T3">
        <f>IF(Sheet1!60:60,"AAAAAG+//xM=",0)</f>
        <v>0</v>
      </c>
      <c r="U3" t="e">
        <f>AND(Sheet1!A60,"AAAAAG+//xQ=")</f>
        <v>#VALUE!</v>
      </c>
      <c r="V3" t="e">
        <f>AND(Sheet1!B60,"AAAAAG+//xU=")</f>
        <v>#VALUE!</v>
      </c>
      <c r="W3" t="e">
        <f>AND(Sheet1!C60,"AAAAAG+//xY=")</f>
        <v>#VALUE!</v>
      </c>
      <c r="X3" t="e">
        <f>AND(Sheet1!D60,"AAAAAG+//xc=")</f>
        <v>#VALUE!</v>
      </c>
      <c r="Y3" t="e">
        <f>AND(Sheet1!E60,"AAAAAG+//xg=")</f>
        <v>#VALUE!</v>
      </c>
      <c r="Z3" t="e">
        <f>AND(Sheet1!F60,"AAAAAG+//xk=")</f>
        <v>#VALUE!</v>
      </c>
      <c r="AA3" t="e">
        <f>AND(Sheet1!G60,"AAAAAG+//xo=")</f>
        <v>#VALUE!</v>
      </c>
      <c r="AB3" t="e">
        <f>AND(Sheet1!H60,"AAAAAG+//xs=")</f>
        <v>#VALUE!</v>
      </c>
      <c r="AC3">
        <f>IF(Sheet1!61:61,"AAAAAG+//xw=",0)</f>
        <v>0</v>
      </c>
      <c r="AD3" t="e">
        <f>AND(Sheet1!A61,"AAAAAG+//x0=")</f>
        <v>#VALUE!</v>
      </c>
      <c r="AE3" t="e">
        <f>AND(Sheet1!B61,"AAAAAG+//x4=")</f>
        <v>#VALUE!</v>
      </c>
      <c r="AF3" t="e">
        <f>AND(Sheet1!C61,"AAAAAG+//x8=")</f>
        <v>#VALUE!</v>
      </c>
      <c r="AG3" t="e">
        <f>AND(Sheet1!D61,"AAAAAG+//yA=")</f>
        <v>#VALUE!</v>
      </c>
      <c r="AH3" t="e">
        <f>AND(Sheet1!E61,"AAAAAG+//yE=")</f>
        <v>#VALUE!</v>
      </c>
      <c r="AI3" t="e">
        <f>AND(Sheet1!F61,"AAAAAG+//yI=")</f>
        <v>#VALUE!</v>
      </c>
      <c r="AJ3" t="e">
        <f>AND(Sheet1!G61,"AAAAAG+//yM=")</f>
        <v>#VALUE!</v>
      </c>
      <c r="AK3" t="e">
        <f>AND(Sheet1!H61,"AAAAAG+//yQ=")</f>
        <v>#VALUE!</v>
      </c>
      <c r="AL3">
        <f>IF(Sheet1!62:62,"AAAAAG+//yU=",0)</f>
        <v>0</v>
      </c>
      <c r="AM3" t="e">
        <f>AND(Sheet1!A62,"AAAAAG+//yY=")</f>
        <v>#VALUE!</v>
      </c>
      <c r="AN3" t="e">
        <f>AND(Sheet1!B62,"AAAAAG+//yc=")</f>
        <v>#VALUE!</v>
      </c>
      <c r="AO3" t="e">
        <f>AND(Sheet1!C62,"AAAAAG+//yg=")</f>
        <v>#VALUE!</v>
      </c>
      <c r="AP3" t="e">
        <f>AND(Sheet1!D62,"AAAAAG+//yk=")</f>
        <v>#VALUE!</v>
      </c>
      <c r="AQ3" t="e">
        <f>AND(Sheet1!E62,"AAAAAG+//yo=")</f>
        <v>#VALUE!</v>
      </c>
      <c r="AR3" t="e">
        <f>AND(Sheet1!F62,"AAAAAG+//ys=")</f>
        <v>#VALUE!</v>
      </c>
      <c r="AS3" t="e">
        <f>AND(Sheet1!G62,"AAAAAG+//yw=")</f>
        <v>#VALUE!</v>
      </c>
      <c r="AT3" t="e">
        <f>AND(Sheet1!H62,"AAAAAG+//y0=")</f>
        <v>#VALUE!</v>
      </c>
      <c r="AU3">
        <f>IF(Sheet1!63:63,"AAAAAG+//y4=",0)</f>
        <v>0</v>
      </c>
      <c r="AV3" t="e">
        <f>AND(Sheet1!A63,"AAAAAG+//y8=")</f>
        <v>#VALUE!</v>
      </c>
      <c r="AW3" t="e">
        <f>AND(Sheet1!B63,"AAAAAG+//zA=")</f>
        <v>#VALUE!</v>
      </c>
      <c r="AX3" t="e">
        <f>AND(Sheet1!C63,"AAAAAG+//zE=")</f>
        <v>#VALUE!</v>
      </c>
      <c r="AY3" t="e">
        <f>AND(Sheet1!D63,"AAAAAG+//zI=")</f>
        <v>#VALUE!</v>
      </c>
      <c r="AZ3" t="e">
        <f>AND(Sheet1!E63,"AAAAAG+//zM=")</f>
        <v>#VALUE!</v>
      </c>
      <c r="BA3" t="e">
        <f>AND(Sheet1!F63,"AAAAAG+//zQ=")</f>
        <v>#VALUE!</v>
      </c>
      <c r="BB3" t="e">
        <f>AND(Sheet1!G63,"AAAAAG+//zU=")</f>
        <v>#VALUE!</v>
      </c>
      <c r="BC3" t="e">
        <f>AND(Sheet1!H63,"AAAAAG+//zY=")</f>
        <v>#VALUE!</v>
      </c>
      <c r="BD3">
        <f>IF(Sheet1!64:64,"AAAAAG+//zc=",0)</f>
        <v>0</v>
      </c>
      <c r="BE3" t="e">
        <f>AND(Sheet1!A64,"AAAAAG+//zg=")</f>
        <v>#VALUE!</v>
      </c>
      <c r="BF3" t="e">
        <f>AND(Sheet1!B64,"AAAAAG+//zk=")</f>
        <v>#VALUE!</v>
      </c>
      <c r="BG3" t="e">
        <f>AND(Sheet1!C64,"AAAAAG+//zo=")</f>
        <v>#VALUE!</v>
      </c>
      <c r="BH3" t="e">
        <f>AND(Sheet1!D64,"AAAAAG+//zs=")</f>
        <v>#VALUE!</v>
      </c>
      <c r="BI3" t="e">
        <f>AND(Sheet1!E64,"AAAAAG+//zw=")</f>
        <v>#VALUE!</v>
      </c>
      <c r="BJ3" t="e">
        <f>AND(Sheet1!F64,"AAAAAG+//z0=")</f>
        <v>#VALUE!</v>
      </c>
      <c r="BK3" t="e">
        <f>AND(Sheet1!G64,"AAAAAG+//z4=")</f>
        <v>#VALUE!</v>
      </c>
      <c r="BL3" t="e">
        <f>AND(Sheet1!H64,"AAAAAG+//z8=")</f>
        <v>#VALUE!</v>
      </c>
      <c r="BM3">
        <f>IF(Sheet1!65:65,"AAAAAG+//0A=",0)</f>
        <v>0</v>
      </c>
      <c r="BN3" t="e">
        <f>AND(Sheet1!A65,"AAAAAG+//0E=")</f>
        <v>#VALUE!</v>
      </c>
      <c r="BO3" t="e">
        <f>AND(Sheet1!B65,"AAAAAG+//0I=")</f>
        <v>#VALUE!</v>
      </c>
      <c r="BP3" t="e">
        <f>AND(Sheet1!C65,"AAAAAG+//0M=")</f>
        <v>#VALUE!</v>
      </c>
      <c r="BQ3" t="e">
        <f>AND(Sheet1!D65,"AAAAAG+//0Q=")</f>
        <v>#VALUE!</v>
      </c>
      <c r="BR3" t="e">
        <f>AND(Sheet1!E65,"AAAAAG+//0U=")</f>
        <v>#VALUE!</v>
      </c>
      <c r="BS3" t="e">
        <f>AND(Sheet1!F65,"AAAAAG+//0Y=")</f>
        <v>#VALUE!</v>
      </c>
      <c r="BT3" t="e">
        <f>AND(Sheet1!G65,"AAAAAG+//0c=")</f>
        <v>#VALUE!</v>
      </c>
      <c r="BU3" t="e">
        <f>AND(Sheet1!H65,"AAAAAG+//0g=")</f>
        <v>#VALUE!</v>
      </c>
      <c r="BV3">
        <f>IF(Sheet1!66:66,"AAAAAG+//0k=",0)</f>
        <v>0</v>
      </c>
      <c r="BW3" t="e">
        <f>AND(Sheet1!A66,"AAAAAG+//0o=")</f>
        <v>#VALUE!</v>
      </c>
      <c r="BX3" t="e">
        <f>AND(Sheet1!B66,"AAAAAG+//0s=")</f>
        <v>#VALUE!</v>
      </c>
      <c r="BY3" t="e">
        <f>AND(Sheet1!C66,"AAAAAG+//0w=")</f>
        <v>#VALUE!</v>
      </c>
      <c r="BZ3" t="e">
        <f>AND(Sheet1!D66,"AAAAAG+//00=")</f>
        <v>#VALUE!</v>
      </c>
      <c r="CA3" t="e">
        <f>AND(Sheet1!E66,"AAAAAG+//04=")</f>
        <v>#VALUE!</v>
      </c>
      <c r="CB3" t="e">
        <f>AND(Sheet1!F66,"AAAAAG+//08=")</f>
        <v>#VALUE!</v>
      </c>
      <c r="CC3" t="e">
        <f>AND(Sheet1!G66,"AAAAAG+//1A=")</f>
        <v>#VALUE!</v>
      </c>
      <c r="CD3" t="e">
        <f>AND(Sheet1!H66,"AAAAAG+//1E=")</f>
        <v>#VALUE!</v>
      </c>
      <c r="CE3">
        <f>IF(Sheet1!67:67,"AAAAAG+//1I=",0)</f>
        <v>0</v>
      </c>
      <c r="CF3" t="e">
        <f>AND(Sheet1!A67,"AAAAAG+//1M=")</f>
        <v>#VALUE!</v>
      </c>
      <c r="CG3" t="e">
        <f>AND(Sheet1!B67,"AAAAAG+//1Q=")</f>
        <v>#VALUE!</v>
      </c>
      <c r="CH3" t="e">
        <f>AND(Sheet1!C67,"AAAAAG+//1U=")</f>
        <v>#VALUE!</v>
      </c>
      <c r="CI3" t="e">
        <f>AND(Sheet1!D67,"AAAAAG+//1Y=")</f>
        <v>#VALUE!</v>
      </c>
      <c r="CJ3" t="e">
        <f>AND(Sheet1!E67,"AAAAAG+//1c=")</f>
        <v>#VALUE!</v>
      </c>
      <c r="CK3" t="e">
        <f>AND(Sheet1!F67,"AAAAAG+//1g=")</f>
        <v>#VALUE!</v>
      </c>
      <c r="CL3" t="e">
        <f>AND(Sheet1!G67,"AAAAAG+//1k=")</f>
        <v>#VALUE!</v>
      </c>
      <c r="CM3" t="e">
        <f>AND(Sheet1!H67,"AAAAAG+//1o=")</f>
        <v>#VALUE!</v>
      </c>
      <c r="CN3">
        <f>IF(Sheet1!68:68,"AAAAAG+//1s=",0)</f>
        <v>0</v>
      </c>
      <c r="CO3" t="e">
        <f>AND(Sheet1!A68,"AAAAAG+//1w=")</f>
        <v>#VALUE!</v>
      </c>
      <c r="CP3" t="e">
        <f>AND(Sheet1!B68,"AAAAAG+//10=")</f>
        <v>#VALUE!</v>
      </c>
      <c r="CQ3" t="e">
        <f>AND(Sheet1!C68,"AAAAAG+//14=")</f>
        <v>#VALUE!</v>
      </c>
      <c r="CR3" t="e">
        <f>AND(Sheet1!D68,"AAAAAG+//18=")</f>
        <v>#VALUE!</v>
      </c>
      <c r="CS3" t="e">
        <f>AND(Sheet1!E68,"AAAAAG+//2A=")</f>
        <v>#VALUE!</v>
      </c>
      <c r="CT3" t="e">
        <f>AND(Sheet1!F68,"AAAAAG+//2E=")</f>
        <v>#VALUE!</v>
      </c>
      <c r="CU3" t="e">
        <f>AND(Sheet1!G68,"AAAAAG+//2I=")</f>
        <v>#VALUE!</v>
      </c>
      <c r="CV3" t="e">
        <f>AND(Sheet1!H68,"AAAAAG+//2M=")</f>
        <v>#VALUE!</v>
      </c>
      <c r="CW3">
        <f>IF(Sheet1!69:69,"AAAAAG+//2Q=",0)</f>
        <v>0</v>
      </c>
      <c r="CX3" t="e">
        <f>AND(Sheet1!A69,"AAAAAG+//2U=")</f>
        <v>#VALUE!</v>
      </c>
      <c r="CY3" t="e">
        <f>AND(Sheet1!B69,"AAAAAG+//2Y=")</f>
        <v>#VALUE!</v>
      </c>
      <c r="CZ3" t="e">
        <f>AND(Sheet1!C69,"AAAAAG+//2c=")</f>
        <v>#VALUE!</v>
      </c>
      <c r="DA3" t="e">
        <f>AND(Sheet1!D69,"AAAAAG+//2g=")</f>
        <v>#VALUE!</v>
      </c>
      <c r="DB3" t="e">
        <f>AND(Sheet1!E69,"AAAAAG+//2k=")</f>
        <v>#VALUE!</v>
      </c>
      <c r="DC3" t="e">
        <f>AND(Sheet1!F69,"AAAAAG+//2o=")</f>
        <v>#VALUE!</v>
      </c>
      <c r="DD3" t="e">
        <f>AND(Sheet1!G69,"AAAAAG+//2s=")</f>
        <v>#VALUE!</v>
      </c>
      <c r="DE3" t="e">
        <f>AND(Sheet1!H69,"AAAAAG+//2w=")</f>
        <v>#VALUE!</v>
      </c>
      <c r="DF3">
        <f>IF(Sheet1!70:70,"AAAAAG+//20=",0)</f>
        <v>0</v>
      </c>
      <c r="DG3" t="e">
        <f>AND(Sheet1!A70,"AAAAAG+//24=")</f>
        <v>#VALUE!</v>
      </c>
      <c r="DH3" t="e">
        <f>AND(Sheet1!B70,"AAAAAG+//28=")</f>
        <v>#VALUE!</v>
      </c>
      <c r="DI3" t="e">
        <f>AND(Sheet1!C70,"AAAAAG+//3A=")</f>
        <v>#VALUE!</v>
      </c>
      <c r="DJ3" t="e">
        <f>AND(Sheet1!D70,"AAAAAG+//3E=")</f>
        <v>#VALUE!</v>
      </c>
      <c r="DK3" t="e">
        <f>AND(Sheet1!E70,"AAAAAG+//3I=")</f>
        <v>#VALUE!</v>
      </c>
      <c r="DL3" t="e">
        <f>AND(Sheet1!F70,"AAAAAG+//3M=")</f>
        <v>#VALUE!</v>
      </c>
      <c r="DM3" t="e">
        <f>AND(Sheet1!G70,"AAAAAG+//3Q=")</f>
        <v>#VALUE!</v>
      </c>
      <c r="DN3" t="e">
        <f>AND(Sheet1!H70,"AAAAAG+//3U=")</f>
        <v>#VALUE!</v>
      </c>
      <c r="DO3">
        <f>IF(Sheet1!71:71,"AAAAAG+//3Y=",0)</f>
        <v>0</v>
      </c>
      <c r="DP3" t="e">
        <f>AND(Sheet1!A71,"AAAAAG+//3c=")</f>
        <v>#VALUE!</v>
      </c>
      <c r="DQ3" t="e">
        <f>AND(Sheet1!B71,"AAAAAG+//3g=")</f>
        <v>#VALUE!</v>
      </c>
      <c r="DR3" t="e">
        <f>AND(Sheet1!C71,"AAAAAG+//3k=")</f>
        <v>#VALUE!</v>
      </c>
      <c r="DS3" t="e">
        <f>AND(Sheet1!D71,"AAAAAG+//3o=")</f>
        <v>#VALUE!</v>
      </c>
      <c r="DT3" t="e">
        <f>AND(Sheet1!E71,"AAAAAG+//3s=")</f>
        <v>#VALUE!</v>
      </c>
      <c r="DU3" t="e">
        <f>AND(Sheet1!F71,"AAAAAG+//3w=")</f>
        <v>#VALUE!</v>
      </c>
      <c r="DV3" t="e">
        <f>AND(Sheet1!G71,"AAAAAG+//30=")</f>
        <v>#VALUE!</v>
      </c>
      <c r="DW3" t="e">
        <f>AND(Sheet1!H71,"AAAAAG+//34=")</f>
        <v>#VALUE!</v>
      </c>
      <c r="DX3">
        <f>IF(Sheet1!72:72,"AAAAAG+//38=",0)</f>
        <v>0</v>
      </c>
      <c r="DY3" t="e">
        <f>AND(Sheet1!A72,"AAAAAG+//4A=")</f>
        <v>#VALUE!</v>
      </c>
      <c r="DZ3" t="e">
        <f>AND(Sheet1!B72,"AAAAAG+//4E=")</f>
        <v>#VALUE!</v>
      </c>
      <c r="EA3" t="e">
        <f>AND(Sheet1!C72,"AAAAAG+//4I=")</f>
        <v>#VALUE!</v>
      </c>
      <c r="EB3" t="e">
        <f>AND(Sheet1!D72,"AAAAAG+//4M=")</f>
        <v>#VALUE!</v>
      </c>
      <c r="EC3" t="e">
        <f>AND(Sheet1!E72,"AAAAAG+//4Q=")</f>
        <v>#VALUE!</v>
      </c>
      <c r="ED3" t="e">
        <f>AND(Sheet1!F72,"AAAAAG+//4U=")</f>
        <v>#VALUE!</v>
      </c>
      <c r="EE3" t="e">
        <f>AND(Sheet1!G72,"AAAAAG+//4Y=")</f>
        <v>#VALUE!</v>
      </c>
      <c r="EF3" t="e">
        <f>AND(Sheet1!H72,"AAAAAG+//4c=")</f>
        <v>#VALUE!</v>
      </c>
      <c r="EG3">
        <f>IF(Sheet1!73:73,"AAAAAG+//4g=",0)</f>
        <v>0</v>
      </c>
      <c r="EH3" t="e">
        <f>AND(Sheet1!A73,"AAAAAG+//4k=")</f>
        <v>#VALUE!</v>
      </c>
      <c r="EI3" t="e">
        <f>AND(Sheet1!B73,"AAAAAG+//4o=")</f>
        <v>#VALUE!</v>
      </c>
      <c r="EJ3" t="e">
        <f>AND(Sheet1!C73,"AAAAAG+//4s=")</f>
        <v>#VALUE!</v>
      </c>
      <c r="EK3" t="e">
        <f>AND(Sheet1!D73,"AAAAAG+//4w=")</f>
        <v>#VALUE!</v>
      </c>
      <c r="EL3" t="e">
        <f>AND(Sheet1!E73,"AAAAAG+//40=")</f>
        <v>#VALUE!</v>
      </c>
      <c r="EM3" t="e">
        <f>AND(Sheet1!F73,"AAAAAG+//44=")</f>
        <v>#VALUE!</v>
      </c>
      <c r="EN3" t="e">
        <f>AND(Sheet1!G73,"AAAAAG+//48=")</f>
        <v>#VALUE!</v>
      </c>
      <c r="EO3" t="e">
        <f>AND(Sheet1!H73,"AAAAAG+//5A=")</f>
        <v>#VALUE!</v>
      </c>
      <c r="EP3">
        <f>IF(Sheet1!74:74,"AAAAAG+//5E=",0)</f>
        <v>0</v>
      </c>
      <c r="EQ3" t="e">
        <f>AND(Sheet1!A74,"AAAAAG+//5I=")</f>
        <v>#VALUE!</v>
      </c>
      <c r="ER3" t="e">
        <f>AND(Sheet1!B74,"AAAAAG+//5M=")</f>
        <v>#VALUE!</v>
      </c>
      <c r="ES3" t="e">
        <f>AND(Sheet1!C74,"AAAAAG+//5Q=")</f>
        <v>#VALUE!</v>
      </c>
      <c r="ET3" t="e">
        <f>AND(Sheet1!D74,"AAAAAG+//5U=")</f>
        <v>#VALUE!</v>
      </c>
      <c r="EU3" t="e">
        <f>AND(Sheet1!E74,"AAAAAG+//5Y=")</f>
        <v>#VALUE!</v>
      </c>
      <c r="EV3" t="e">
        <f>AND(Sheet1!F74,"AAAAAG+//5c=")</f>
        <v>#VALUE!</v>
      </c>
      <c r="EW3" t="e">
        <f>AND(Sheet1!G74,"AAAAAG+//5g=")</f>
        <v>#VALUE!</v>
      </c>
      <c r="EX3" t="e">
        <f>AND(Sheet1!H74,"AAAAAG+//5k=")</f>
        <v>#VALUE!</v>
      </c>
      <c r="EY3">
        <f>IF(Sheet1!75:75,"AAAAAG+//5o=",0)</f>
        <v>0</v>
      </c>
      <c r="EZ3" t="e">
        <f>AND(Sheet1!A75,"AAAAAG+//5s=")</f>
        <v>#VALUE!</v>
      </c>
      <c r="FA3" t="e">
        <f>AND(Sheet1!B75,"AAAAAG+//5w=")</f>
        <v>#VALUE!</v>
      </c>
      <c r="FB3" t="e">
        <f>AND(Sheet1!C75,"AAAAAG+//50=")</f>
        <v>#VALUE!</v>
      </c>
      <c r="FC3" t="e">
        <f>AND(Sheet1!D75,"AAAAAG+//54=")</f>
        <v>#VALUE!</v>
      </c>
      <c r="FD3" t="e">
        <f>AND(Sheet1!E75,"AAAAAG+//58=")</f>
        <v>#VALUE!</v>
      </c>
      <c r="FE3" t="e">
        <f>AND(Sheet1!F75,"AAAAAG+//6A=")</f>
        <v>#VALUE!</v>
      </c>
      <c r="FF3" t="e">
        <f>AND(Sheet1!G75,"AAAAAG+//6E=")</f>
        <v>#VALUE!</v>
      </c>
      <c r="FG3" t="e">
        <f>AND(Sheet1!H75,"AAAAAG+//6I=")</f>
        <v>#VALUE!</v>
      </c>
      <c r="FH3">
        <f>IF(Sheet1!76:76,"AAAAAG+//6M=",0)</f>
        <v>0</v>
      </c>
      <c r="FI3" t="e">
        <f>AND(Sheet1!A76,"AAAAAG+//6Q=")</f>
        <v>#VALUE!</v>
      </c>
      <c r="FJ3" t="e">
        <f>AND(Sheet1!B76,"AAAAAG+//6U=")</f>
        <v>#VALUE!</v>
      </c>
      <c r="FK3" t="e">
        <f>AND(Sheet1!C76,"AAAAAG+//6Y=")</f>
        <v>#VALUE!</v>
      </c>
      <c r="FL3" t="e">
        <f>AND(Sheet1!D76,"AAAAAG+//6c=")</f>
        <v>#VALUE!</v>
      </c>
      <c r="FM3" t="e">
        <f>AND(Sheet1!E76,"AAAAAG+//6g=")</f>
        <v>#VALUE!</v>
      </c>
      <c r="FN3" t="e">
        <f>AND(Sheet1!F76,"AAAAAG+//6k=")</f>
        <v>#VALUE!</v>
      </c>
      <c r="FO3" t="e">
        <f>AND(Sheet1!G76,"AAAAAG+//6o=")</f>
        <v>#VALUE!</v>
      </c>
      <c r="FP3" t="e">
        <f>AND(Sheet1!H76,"AAAAAG+//6s=")</f>
        <v>#VALUE!</v>
      </c>
      <c r="FQ3">
        <f>IF(Sheet1!77:77,"AAAAAG+//6w=",0)</f>
        <v>0</v>
      </c>
      <c r="FR3" t="e">
        <f>AND(Sheet1!A77,"AAAAAG+//60=")</f>
        <v>#VALUE!</v>
      </c>
      <c r="FS3" t="e">
        <f>AND(Sheet1!B77,"AAAAAG+//64=")</f>
        <v>#VALUE!</v>
      </c>
      <c r="FT3" t="e">
        <f>AND(Sheet1!C77,"AAAAAG+//68=")</f>
        <v>#VALUE!</v>
      </c>
      <c r="FU3" t="e">
        <f>AND(Sheet1!D77,"AAAAAG+//7A=")</f>
        <v>#VALUE!</v>
      </c>
      <c r="FV3" t="e">
        <f>AND(Sheet1!E77,"AAAAAG+//7E=")</f>
        <v>#VALUE!</v>
      </c>
      <c r="FW3" t="e">
        <f>AND(Sheet1!F77,"AAAAAG+//7I=")</f>
        <v>#VALUE!</v>
      </c>
      <c r="FX3" t="e">
        <f>AND(Sheet1!G77,"AAAAAG+//7M=")</f>
        <v>#VALUE!</v>
      </c>
      <c r="FY3" t="e">
        <f>AND(Sheet1!H77,"AAAAAG+//7Q=")</f>
        <v>#VALUE!</v>
      </c>
      <c r="FZ3">
        <f>IF(Sheet1!78:78,"AAAAAG+//7U=",0)</f>
        <v>0</v>
      </c>
      <c r="GA3" t="e">
        <f>AND(Sheet1!A78,"AAAAAG+//7Y=")</f>
        <v>#VALUE!</v>
      </c>
      <c r="GB3" t="e">
        <f>AND(Sheet1!B78,"AAAAAG+//7c=")</f>
        <v>#VALUE!</v>
      </c>
      <c r="GC3" t="e">
        <f>AND(Sheet1!C78,"AAAAAG+//7g=")</f>
        <v>#VALUE!</v>
      </c>
      <c r="GD3" t="e">
        <f>AND(Sheet1!D78,"AAAAAG+//7k=")</f>
        <v>#VALUE!</v>
      </c>
      <c r="GE3" t="e">
        <f>AND(Sheet1!E78,"AAAAAG+//7o=")</f>
        <v>#VALUE!</v>
      </c>
      <c r="GF3" t="e">
        <f>AND(Sheet1!F78,"AAAAAG+//7s=")</f>
        <v>#VALUE!</v>
      </c>
      <c r="GG3" t="e">
        <f>AND(Sheet1!G78,"AAAAAG+//7w=")</f>
        <v>#VALUE!</v>
      </c>
      <c r="GH3" t="e">
        <f>AND(Sheet1!H78,"AAAAAG+//70=")</f>
        <v>#VALUE!</v>
      </c>
      <c r="GI3">
        <f>IF(Sheet1!79:79,"AAAAAG+//74=",0)</f>
        <v>0</v>
      </c>
      <c r="GJ3" t="e">
        <f>AND(Sheet1!A79,"AAAAAG+//78=")</f>
        <v>#VALUE!</v>
      </c>
      <c r="GK3" t="e">
        <f>AND(Sheet1!B79,"AAAAAG+//8A=")</f>
        <v>#VALUE!</v>
      </c>
      <c r="GL3" t="e">
        <f>AND(Sheet1!C79,"AAAAAG+//8E=")</f>
        <v>#VALUE!</v>
      </c>
      <c r="GM3" t="e">
        <f>AND(Sheet1!D79,"AAAAAG+//8I=")</f>
        <v>#VALUE!</v>
      </c>
      <c r="GN3" t="e">
        <f>AND(Sheet1!E79,"AAAAAG+//8M=")</f>
        <v>#VALUE!</v>
      </c>
      <c r="GO3" t="e">
        <f>AND(Sheet1!F79,"AAAAAG+//8Q=")</f>
        <v>#VALUE!</v>
      </c>
      <c r="GP3" t="e">
        <f>AND(Sheet1!G79,"AAAAAG+//8U=")</f>
        <v>#VALUE!</v>
      </c>
      <c r="GQ3" t="e">
        <f>AND(Sheet1!H79,"AAAAAG+//8Y=")</f>
        <v>#VALUE!</v>
      </c>
      <c r="GR3">
        <f>IF(Sheet1!80:80,"AAAAAG+//8c=",0)</f>
        <v>0</v>
      </c>
      <c r="GS3" t="e">
        <f>AND(Sheet1!A80,"AAAAAG+//8g=")</f>
        <v>#VALUE!</v>
      </c>
      <c r="GT3" t="e">
        <f>AND(Sheet1!B80,"AAAAAG+//8k=")</f>
        <v>#VALUE!</v>
      </c>
      <c r="GU3" t="e">
        <f>AND(Sheet1!C80,"AAAAAG+//8o=")</f>
        <v>#VALUE!</v>
      </c>
      <c r="GV3" t="e">
        <f>AND(Sheet1!D80,"AAAAAG+//8s=")</f>
        <v>#VALUE!</v>
      </c>
      <c r="GW3" t="e">
        <f>AND(Sheet1!E80,"AAAAAG+//8w=")</f>
        <v>#VALUE!</v>
      </c>
      <c r="GX3" t="e">
        <f>AND(Sheet1!F80,"AAAAAG+//80=")</f>
        <v>#VALUE!</v>
      </c>
      <c r="GY3" t="e">
        <f>AND(Sheet1!G80,"AAAAAG+//84=")</f>
        <v>#VALUE!</v>
      </c>
      <c r="GZ3" t="e">
        <f>AND(Sheet1!H80,"AAAAAG+//88=")</f>
        <v>#VALUE!</v>
      </c>
      <c r="HA3">
        <f>IF(Sheet1!81:81,"AAAAAG+//9A=",0)</f>
        <v>0</v>
      </c>
      <c r="HB3" t="e">
        <f>AND(Sheet1!A81,"AAAAAG+//9E=")</f>
        <v>#VALUE!</v>
      </c>
      <c r="HC3" t="e">
        <f>AND(Sheet1!B81,"AAAAAG+//9I=")</f>
        <v>#VALUE!</v>
      </c>
      <c r="HD3" t="e">
        <f>AND(Sheet1!C81,"AAAAAG+//9M=")</f>
        <v>#VALUE!</v>
      </c>
      <c r="HE3" t="e">
        <f>AND(Sheet1!D81,"AAAAAG+//9Q=")</f>
        <v>#VALUE!</v>
      </c>
      <c r="HF3" t="e">
        <f>AND(Sheet1!E81,"AAAAAG+//9U=")</f>
        <v>#VALUE!</v>
      </c>
      <c r="HG3" t="e">
        <f>AND(Sheet1!F81,"AAAAAG+//9Y=")</f>
        <v>#VALUE!</v>
      </c>
      <c r="HH3" t="e">
        <f>AND(Sheet1!G81,"AAAAAG+//9c=")</f>
        <v>#VALUE!</v>
      </c>
      <c r="HI3" t="e">
        <f>AND(Sheet1!H81,"AAAAAG+//9g=")</f>
        <v>#VALUE!</v>
      </c>
      <c r="HJ3">
        <f>IF(Sheet1!82:82,"AAAAAG+//9k=",0)</f>
        <v>0</v>
      </c>
      <c r="HK3" t="e">
        <f>AND(Sheet1!A82,"AAAAAG+//9o=")</f>
        <v>#VALUE!</v>
      </c>
      <c r="HL3" t="e">
        <f>AND(Sheet1!B82,"AAAAAG+//9s=")</f>
        <v>#VALUE!</v>
      </c>
      <c r="HM3" t="e">
        <f>AND(Sheet1!C82,"AAAAAG+//9w=")</f>
        <v>#VALUE!</v>
      </c>
      <c r="HN3" t="e">
        <f>AND(Sheet1!D82,"AAAAAG+//90=")</f>
        <v>#VALUE!</v>
      </c>
      <c r="HO3" t="e">
        <f>AND(Sheet1!E82,"AAAAAG+//94=")</f>
        <v>#VALUE!</v>
      </c>
      <c r="HP3" t="e">
        <f>AND(Sheet1!F82,"AAAAAG+//98=")</f>
        <v>#VALUE!</v>
      </c>
      <c r="HQ3" t="e">
        <f>AND(Sheet1!G82,"AAAAAG+//+A=")</f>
        <v>#VALUE!</v>
      </c>
      <c r="HR3" t="e">
        <f>AND(Sheet1!H82,"AAAAAG+//+E=")</f>
        <v>#VALUE!</v>
      </c>
      <c r="HS3">
        <f>IF(Sheet1!83:83,"AAAAAG+//+I=",0)</f>
        <v>0</v>
      </c>
      <c r="HT3" t="e">
        <f>AND(Sheet1!A83,"AAAAAG+//+M=")</f>
        <v>#VALUE!</v>
      </c>
      <c r="HU3" t="e">
        <f>AND(Sheet1!B83,"AAAAAG+//+Q=")</f>
        <v>#VALUE!</v>
      </c>
      <c r="HV3" t="e">
        <f>AND(Sheet1!C83,"AAAAAG+//+U=")</f>
        <v>#VALUE!</v>
      </c>
      <c r="HW3" t="e">
        <f>AND(Sheet1!D83,"AAAAAG+//+Y=")</f>
        <v>#VALUE!</v>
      </c>
      <c r="HX3" t="e">
        <f>AND(Sheet1!E83,"AAAAAG+//+c=")</f>
        <v>#VALUE!</v>
      </c>
      <c r="HY3" t="e">
        <f>AND(Sheet1!F83,"AAAAAG+//+g=")</f>
        <v>#VALUE!</v>
      </c>
      <c r="HZ3" t="e">
        <f>AND(Sheet1!G83,"AAAAAG+//+k=")</f>
        <v>#VALUE!</v>
      </c>
      <c r="IA3" t="e">
        <f>AND(Sheet1!H83,"AAAAAG+//+o=")</f>
        <v>#VALUE!</v>
      </c>
      <c r="IB3">
        <f>IF(Sheet1!84:84,"AAAAAG+//+s=",0)</f>
        <v>0</v>
      </c>
      <c r="IC3" t="e">
        <f>AND(Sheet1!A84,"AAAAAG+//+w=")</f>
        <v>#VALUE!</v>
      </c>
      <c r="ID3" t="e">
        <f>AND(Sheet1!B84,"AAAAAG+//+0=")</f>
        <v>#VALUE!</v>
      </c>
      <c r="IE3" t="e">
        <f>AND(Sheet1!C84,"AAAAAG+//+4=")</f>
        <v>#VALUE!</v>
      </c>
      <c r="IF3" t="e">
        <f>AND(Sheet1!D84,"AAAAAG+//+8=")</f>
        <v>#VALUE!</v>
      </c>
      <c r="IG3" t="e">
        <f>AND(Sheet1!E84,"AAAAAG+///A=")</f>
        <v>#VALUE!</v>
      </c>
      <c r="IH3" t="e">
        <f>AND(Sheet1!F84,"AAAAAG+///E=")</f>
        <v>#VALUE!</v>
      </c>
      <c r="II3" t="e">
        <f>AND(Sheet1!G84,"AAAAAG+///I=")</f>
        <v>#VALUE!</v>
      </c>
      <c r="IJ3" t="e">
        <f>AND(Sheet1!H84,"AAAAAG+///M=")</f>
        <v>#VALUE!</v>
      </c>
      <c r="IK3">
        <f>IF(Sheet1!85:85,"AAAAAG+///Q=",0)</f>
        <v>0</v>
      </c>
      <c r="IL3" t="e">
        <f>AND(Sheet1!A85,"AAAAAG+///U=")</f>
        <v>#VALUE!</v>
      </c>
      <c r="IM3" t="e">
        <f>AND(Sheet1!B85,"AAAAAG+///Y=")</f>
        <v>#VALUE!</v>
      </c>
      <c r="IN3" t="e">
        <f>AND(Sheet1!C85,"AAAAAG+///c=")</f>
        <v>#VALUE!</v>
      </c>
      <c r="IO3" t="e">
        <f>AND(Sheet1!D85,"AAAAAG+///g=")</f>
        <v>#VALUE!</v>
      </c>
      <c r="IP3" t="e">
        <f>AND(Sheet1!E85,"AAAAAG+///k=")</f>
        <v>#VALUE!</v>
      </c>
      <c r="IQ3" t="e">
        <f>AND(Sheet1!F85,"AAAAAG+///o=")</f>
        <v>#VALUE!</v>
      </c>
      <c r="IR3" t="e">
        <f>AND(Sheet1!G85,"AAAAAG+///s=")</f>
        <v>#VALUE!</v>
      </c>
      <c r="IS3" t="e">
        <f>AND(Sheet1!H85,"AAAAAG+///w=")</f>
        <v>#VALUE!</v>
      </c>
      <c r="IT3">
        <f>IF(Sheet1!86:86,"AAAAAG+///0=",0)</f>
        <v>0</v>
      </c>
      <c r="IU3" t="e">
        <f>AND(Sheet1!A86,"AAAAAG+///4=")</f>
        <v>#VALUE!</v>
      </c>
      <c r="IV3" t="e">
        <f>AND(Sheet1!B86,"AAAAAG+///8=")</f>
        <v>#VALUE!</v>
      </c>
    </row>
    <row r="4" spans="1:256" x14ac:dyDescent="0.25">
      <c r="A4" t="e">
        <f>AND(Sheet1!C86,"AAAAAH/z5wA=")</f>
        <v>#VALUE!</v>
      </c>
      <c r="B4" t="e">
        <f>AND(Sheet1!D86,"AAAAAH/z5wE=")</f>
        <v>#VALUE!</v>
      </c>
      <c r="C4" t="e">
        <f>AND(Sheet1!E86,"AAAAAH/z5wI=")</f>
        <v>#VALUE!</v>
      </c>
      <c r="D4" t="e">
        <f>AND(Sheet1!F86,"AAAAAH/z5wM=")</f>
        <v>#VALUE!</v>
      </c>
      <c r="E4" t="e">
        <f>AND(Sheet1!G86,"AAAAAH/z5wQ=")</f>
        <v>#VALUE!</v>
      </c>
      <c r="F4" t="e">
        <f>AND(Sheet1!H86,"AAAAAH/z5wU=")</f>
        <v>#VALUE!</v>
      </c>
      <c r="G4" t="str">
        <f ca="1">IF(Sheet1!87:87,"AAAAAH/z5wY=",0)</f>
        <v>AAAAAH/z5wY=</v>
      </c>
      <c r="H4" t="e">
        <f>AND(Sheet1!A87,"AAAAAH/z5wc=")</f>
        <v>#VALUE!</v>
      </c>
      <c r="I4" t="e">
        <f>AND(Sheet1!B87,"AAAAAH/z5wg=")</f>
        <v>#VALUE!</v>
      </c>
      <c r="J4" t="e">
        <f>AND(Sheet1!C87,"AAAAAH/z5wk=")</f>
        <v>#VALUE!</v>
      </c>
      <c r="K4" t="e">
        <f>AND(Sheet1!D87,"AAAAAH/z5wo=")</f>
        <v>#VALUE!</v>
      </c>
      <c r="L4" t="e">
        <f>AND(Sheet1!E87,"AAAAAH/z5ws=")</f>
        <v>#VALUE!</v>
      </c>
      <c r="M4" t="e">
        <f>AND(Sheet1!F87,"AAAAAH/z5ww=")</f>
        <v>#VALUE!</v>
      </c>
      <c r="N4" t="e">
        <f>AND(Sheet1!G87,"AAAAAH/z5w0=")</f>
        <v>#VALUE!</v>
      </c>
      <c r="O4" t="e">
        <f>AND(Sheet1!H87,"AAAAAH/z5w4=")</f>
        <v>#VALUE!</v>
      </c>
      <c r="P4">
        <f>IF(Sheet1!88:88,"AAAAAH/z5w8=",0)</f>
        <v>0</v>
      </c>
      <c r="Q4" t="e">
        <f>AND(Sheet1!A88,"AAAAAH/z5xA=")</f>
        <v>#VALUE!</v>
      </c>
      <c r="R4" t="e">
        <f>AND(Sheet1!B88,"AAAAAH/z5xE=")</f>
        <v>#VALUE!</v>
      </c>
      <c r="S4" t="e">
        <f>AND(Sheet1!C88,"AAAAAH/z5xI=")</f>
        <v>#VALUE!</v>
      </c>
      <c r="T4" t="e">
        <f>AND(Sheet1!D88,"AAAAAH/z5xM=")</f>
        <v>#VALUE!</v>
      </c>
      <c r="U4" t="e">
        <f>AND(Sheet1!E88,"AAAAAH/z5xQ=")</f>
        <v>#VALUE!</v>
      </c>
      <c r="V4" t="e">
        <f>AND(Sheet1!F88,"AAAAAH/z5xU=")</f>
        <v>#VALUE!</v>
      </c>
      <c r="W4" t="e">
        <f>AND(Sheet1!G88,"AAAAAH/z5xY=")</f>
        <v>#VALUE!</v>
      </c>
      <c r="X4" t="e">
        <f>AND(Sheet1!H88,"AAAAAH/z5xc=")</f>
        <v>#VALUE!</v>
      </c>
      <c r="Y4">
        <f>IF(Sheet1!89:89,"AAAAAH/z5xg=",0)</f>
        <v>0</v>
      </c>
      <c r="Z4" t="e">
        <f>AND(Sheet1!A89,"AAAAAH/z5xk=")</f>
        <v>#VALUE!</v>
      </c>
      <c r="AA4" t="e">
        <f>AND(Sheet1!B89,"AAAAAH/z5xo=")</f>
        <v>#VALUE!</v>
      </c>
      <c r="AB4" t="e">
        <f>AND(Sheet1!C89,"AAAAAH/z5xs=")</f>
        <v>#VALUE!</v>
      </c>
      <c r="AC4" t="e">
        <f>AND(Sheet1!D89,"AAAAAH/z5xw=")</f>
        <v>#VALUE!</v>
      </c>
      <c r="AD4" t="e">
        <f>AND(Sheet1!E89,"AAAAAH/z5x0=")</f>
        <v>#VALUE!</v>
      </c>
      <c r="AE4" t="e">
        <f>AND(Sheet1!F89,"AAAAAH/z5x4=")</f>
        <v>#VALUE!</v>
      </c>
      <c r="AF4" t="e">
        <f>AND(Sheet1!G89,"AAAAAH/z5x8=")</f>
        <v>#VALUE!</v>
      </c>
      <c r="AG4" t="e">
        <f>AND(Sheet1!H89,"AAAAAH/z5yA=")</f>
        <v>#VALUE!</v>
      </c>
      <c r="AH4">
        <f>IF(Sheet1!90:90,"AAAAAH/z5yE=",0)</f>
        <v>0</v>
      </c>
      <c r="AI4" t="e">
        <f>AND(Sheet1!A90,"AAAAAH/z5yI=")</f>
        <v>#VALUE!</v>
      </c>
      <c r="AJ4" t="e">
        <f>AND(Sheet1!B90,"AAAAAH/z5yM=")</f>
        <v>#VALUE!</v>
      </c>
      <c r="AK4" t="e">
        <f>AND(Sheet1!C90,"AAAAAH/z5yQ=")</f>
        <v>#VALUE!</v>
      </c>
      <c r="AL4" t="e">
        <f>AND(Sheet1!D90,"AAAAAH/z5yU=")</f>
        <v>#VALUE!</v>
      </c>
      <c r="AM4" t="e">
        <f>AND(Sheet1!E90,"AAAAAH/z5yY=")</f>
        <v>#VALUE!</v>
      </c>
      <c r="AN4" t="e">
        <f>AND(Sheet1!F90,"AAAAAH/z5yc=")</f>
        <v>#VALUE!</v>
      </c>
      <c r="AO4" t="e">
        <f>AND(Sheet1!G90,"AAAAAH/z5yg=")</f>
        <v>#VALUE!</v>
      </c>
      <c r="AP4" t="e">
        <f>AND(Sheet1!H90,"AAAAAH/z5yk=")</f>
        <v>#VALUE!</v>
      </c>
      <c r="AQ4">
        <f>IF(Sheet1!91:91,"AAAAAH/z5yo=",0)</f>
        <v>0</v>
      </c>
      <c r="AR4" t="e">
        <f>AND(Sheet1!A91,"AAAAAH/z5ys=")</f>
        <v>#VALUE!</v>
      </c>
      <c r="AS4" t="e">
        <f>AND(Sheet1!B91,"AAAAAH/z5yw=")</f>
        <v>#VALUE!</v>
      </c>
      <c r="AT4" t="e">
        <f>AND(Sheet1!C91,"AAAAAH/z5y0=")</f>
        <v>#VALUE!</v>
      </c>
      <c r="AU4" t="e">
        <f>AND(Sheet1!D91,"AAAAAH/z5y4=")</f>
        <v>#VALUE!</v>
      </c>
      <c r="AV4" t="e">
        <f>AND(Sheet1!E91,"AAAAAH/z5y8=")</f>
        <v>#VALUE!</v>
      </c>
      <c r="AW4" t="e">
        <f>AND(Sheet1!F91,"AAAAAH/z5zA=")</f>
        <v>#VALUE!</v>
      </c>
      <c r="AX4" t="e">
        <f>AND(Sheet1!G91,"AAAAAH/z5zE=")</f>
        <v>#VALUE!</v>
      </c>
      <c r="AY4" t="e">
        <f>AND(Sheet1!H91,"AAAAAH/z5zI=")</f>
        <v>#VALUE!</v>
      </c>
      <c r="AZ4">
        <f>IF(Sheet1!92:92,"AAAAAH/z5zM=",0)</f>
        <v>0</v>
      </c>
      <c r="BA4" t="e">
        <f>AND(Sheet1!A92,"AAAAAH/z5zQ=")</f>
        <v>#VALUE!</v>
      </c>
      <c r="BB4" t="e">
        <f>AND(Sheet1!B92,"AAAAAH/z5zU=")</f>
        <v>#VALUE!</v>
      </c>
      <c r="BC4" t="e">
        <f>AND(Sheet1!C92,"AAAAAH/z5zY=")</f>
        <v>#VALUE!</v>
      </c>
      <c r="BD4" t="e">
        <f>AND(Sheet1!D92,"AAAAAH/z5zc=")</f>
        <v>#VALUE!</v>
      </c>
      <c r="BE4" t="e">
        <f>AND(Sheet1!E92,"AAAAAH/z5zg=")</f>
        <v>#VALUE!</v>
      </c>
      <c r="BF4" t="e">
        <f>AND(Sheet1!F92,"AAAAAH/z5zk=")</f>
        <v>#VALUE!</v>
      </c>
      <c r="BG4" t="e">
        <f>AND(Sheet1!G92,"AAAAAH/z5zo=")</f>
        <v>#VALUE!</v>
      </c>
      <c r="BH4" t="e">
        <f>AND(Sheet1!H92,"AAAAAH/z5zs=")</f>
        <v>#VALUE!</v>
      </c>
      <c r="BI4">
        <f>IF(Sheet1!93:93,"AAAAAH/z5zw=",0)</f>
        <v>0</v>
      </c>
      <c r="BJ4" t="e">
        <f>AND(Sheet1!A93,"AAAAAH/z5z0=")</f>
        <v>#VALUE!</v>
      </c>
      <c r="BK4" t="e">
        <f>AND(Sheet1!B93,"AAAAAH/z5z4=")</f>
        <v>#VALUE!</v>
      </c>
      <c r="BL4" t="e">
        <f>AND(Sheet1!C93,"AAAAAH/z5z8=")</f>
        <v>#VALUE!</v>
      </c>
      <c r="BM4" t="e">
        <f>AND(Sheet1!D93,"AAAAAH/z50A=")</f>
        <v>#VALUE!</v>
      </c>
      <c r="BN4" t="e">
        <f>AND(Sheet1!E93,"AAAAAH/z50E=")</f>
        <v>#VALUE!</v>
      </c>
      <c r="BO4" t="e">
        <f>AND(Sheet1!F93,"AAAAAH/z50I=")</f>
        <v>#VALUE!</v>
      </c>
      <c r="BP4" t="e">
        <f>AND(Sheet1!G93,"AAAAAH/z50M=")</f>
        <v>#VALUE!</v>
      </c>
      <c r="BQ4" t="e">
        <f>AND(Sheet1!H93,"AAAAAH/z50Q=")</f>
        <v>#VALUE!</v>
      </c>
      <c r="BR4">
        <f>IF(Sheet1!94:94,"AAAAAH/z50U=",0)</f>
        <v>0</v>
      </c>
      <c r="BS4" t="e">
        <f>AND(Sheet1!A94,"AAAAAH/z50Y=")</f>
        <v>#VALUE!</v>
      </c>
      <c r="BT4" t="e">
        <f>AND(Sheet1!B94,"AAAAAH/z50c=")</f>
        <v>#VALUE!</v>
      </c>
      <c r="BU4" t="e">
        <f>AND(Sheet1!C94,"AAAAAH/z50g=")</f>
        <v>#VALUE!</v>
      </c>
      <c r="BV4" t="e">
        <f>AND(Sheet1!D94,"AAAAAH/z50k=")</f>
        <v>#VALUE!</v>
      </c>
      <c r="BW4" t="e">
        <f>AND(Sheet1!E94,"AAAAAH/z50o=")</f>
        <v>#VALUE!</v>
      </c>
      <c r="BX4" t="e">
        <f>AND(Sheet1!F94,"AAAAAH/z50s=")</f>
        <v>#VALUE!</v>
      </c>
      <c r="BY4" t="e">
        <f>AND(Sheet1!G94,"AAAAAH/z50w=")</f>
        <v>#VALUE!</v>
      </c>
      <c r="BZ4" t="e">
        <f>AND(Sheet1!H94,"AAAAAH/z500=")</f>
        <v>#VALUE!</v>
      </c>
      <c r="CA4">
        <f>IF(Sheet1!95:95,"AAAAAH/z504=",0)</f>
        <v>0</v>
      </c>
      <c r="CB4" t="e">
        <f>AND(Sheet1!A95,"AAAAAH/z508=")</f>
        <v>#VALUE!</v>
      </c>
      <c r="CC4" t="e">
        <f>AND(Sheet1!B95,"AAAAAH/z51A=")</f>
        <v>#VALUE!</v>
      </c>
      <c r="CD4" t="e">
        <f>AND(Sheet1!C95,"AAAAAH/z51E=")</f>
        <v>#VALUE!</v>
      </c>
      <c r="CE4" t="e">
        <f>AND(Sheet1!D95,"AAAAAH/z51I=")</f>
        <v>#VALUE!</v>
      </c>
      <c r="CF4" t="e">
        <f>AND(Sheet1!E95,"AAAAAH/z51M=")</f>
        <v>#VALUE!</v>
      </c>
      <c r="CG4" t="e">
        <f>AND(Sheet1!F95,"AAAAAH/z51Q=")</f>
        <v>#VALUE!</v>
      </c>
      <c r="CH4" t="e">
        <f>AND(Sheet1!G95,"AAAAAH/z51U=")</f>
        <v>#VALUE!</v>
      </c>
      <c r="CI4" t="e">
        <f>AND(Sheet1!H95,"AAAAAH/z51Y=")</f>
        <v>#VALUE!</v>
      </c>
      <c r="CJ4">
        <f>IF(Sheet1!96:96,"AAAAAH/z51c=",0)</f>
        <v>0</v>
      </c>
      <c r="CK4" t="e">
        <f>AND(Sheet1!A96,"AAAAAH/z51g=")</f>
        <v>#VALUE!</v>
      </c>
      <c r="CL4" t="e">
        <f>AND(Sheet1!B96,"AAAAAH/z51k=")</f>
        <v>#VALUE!</v>
      </c>
      <c r="CM4" t="e">
        <f>AND(Sheet1!C96,"AAAAAH/z51o=")</f>
        <v>#VALUE!</v>
      </c>
      <c r="CN4" t="e">
        <f>AND(Sheet1!D96,"AAAAAH/z51s=")</f>
        <v>#VALUE!</v>
      </c>
      <c r="CO4" t="e">
        <f>AND(Sheet1!E96,"AAAAAH/z51w=")</f>
        <v>#VALUE!</v>
      </c>
      <c r="CP4" t="e">
        <f>AND(Sheet1!F96,"AAAAAH/z510=")</f>
        <v>#VALUE!</v>
      </c>
      <c r="CQ4" t="e">
        <f>AND(Sheet1!G96,"AAAAAH/z514=")</f>
        <v>#VALUE!</v>
      </c>
      <c r="CR4" t="e">
        <f>AND(Sheet1!H96,"AAAAAH/z518=")</f>
        <v>#VALUE!</v>
      </c>
      <c r="CS4">
        <f>IF(Sheet1!97:97,"AAAAAH/z52A=",0)</f>
        <v>0</v>
      </c>
      <c r="CT4" t="e">
        <f>AND(Sheet1!A97,"AAAAAH/z52E=")</f>
        <v>#VALUE!</v>
      </c>
      <c r="CU4" t="e">
        <f>AND(Sheet1!B97,"AAAAAH/z52I=")</f>
        <v>#VALUE!</v>
      </c>
      <c r="CV4" t="e">
        <f>AND(Sheet1!C97,"AAAAAH/z52M=")</f>
        <v>#VALUE!</v>
      </c>
      <c r="CW4" t="e">
        <f>AND(Sheet1!D97,"AAAAAH/z52Q=")</f>
        <v>#VALUE!</v>
      </c>
      <c r="CX4" t="e">
        <f>AND(Sheet1!E97,"AAAAAH/z52U=")</f>
        <v>#VALUE!</v>
      </c>
      <c r="CY4" t="e">
        <f>AND(Sheet1!F97,"AAAAAH/z52Y=")</f>
        <v>#VALUE!</v>
      </c>
      <c r="CZ4" t="e">
        <f>AND(Sheet1!G97,"AAAAAH/z52c=")</f>
        <v>#VALUE!</v>
      </c>
      <c r="DA4" t="e">
        <f>AND(Sheet1!H97,"AAAAAH/z52g=")</f>
        <v>#VALUE!</v>
      </c>
      <c r="DB4">
        <f>IF(Sheet1!98:98,"AAAAAH/z52k=",0)</f>
        <v>0</v>
      </c>
      <c r="DC4" t="e">
        <f>AND(Sheet1!A98,"AAAAAH/z52o=")</f>
        <v>#VALUE!</v>
      </c>
      <c r="DD4" t="e">
        <f>AND(Sheet1!B98,"AAAAAH/z52s=")</f>
        <v>#VALUE!</v>
      </c>
      <c r="DE4" t="e">
        <f>AND(Sheet1!C98,"AAAAAH/z52w=")</f>
        <v>#VALUE!</v>
      </c>
      <c r="DF4" t="e">
        <f>AND(Sheet1!D98,"AAAAAH/z520=")</f>
        <v>#VALUE!</v>
      </c>
      <c r="DG4" t="e">
        <f>AND(Sheet1!E98,"AAAAAH/z524=")</f>
        <v>#VALUE!</v>
      </c>
      <c r="DH4" t="e">
        <f>AND(Sheet1!F98,"AAAAAH/z528=")</f>
        <v>#VALUE!</v>
      </c>
      <c r="DI4" t="e">
        <f>AND(Sheet1!G98,"AAAAAH/z53A=")</f>
        <v>#VALUE!</v>
      </c>
      <c r="DJ4" t="e">
        <f>AND(Sheet1!H98,"AAAAAH/z53E=")</f>
        <v>#VALUE!</v>
      </c>
      <c r="DK4">
        <f>IF(Sheet1!99:99,"AAAAAH/z53I=",0)</f>
        <v>0</v>
      </c>
      <c r="DL4" t="e">
        <f>AND(Sheet1!A99,"AAAAAH/z53M=")</f>
        <v>#VALUE!</v>
      </c>
      <c r="DM4" t="e">
        <f>AND(Sheet1!B99,"AAAAAH/z53Q=")</f>
        <v>#VALUE!</v>
      </c>
      <c r="DN4" t="e">
        <f>AND(Sheet1!C99,"AAAAAH/z53U=")</f>
        <v>#VALUE!</v>
      </c>
      <c r="DO4" t="e">
        <f>AND(Sheet1!D99,"AAAAAH/z53Y=")</f>
        <v>#VALUE!</v>
      </c>
      <c r="DP4" t="e">
        <f>AND(Sheet1!E99,"AAAAAH/z53c=")</f>
        <v>#VALUE!</v>
      </c>
      <c r="DQ4" t="e">
        <f>AND(Sheet1!F99,"AAAAAH/z53g=")</f>
        <v>#VALUE!</v>
      </c>
      <c r="DR4" t="e">
        <f>AND(Sheet1!G99,"AAAAAH/z53k=")</f>
        <v>#VALUE!</v>
      </c>
      <c r="DS4" t="e">
        <f>AND(Sheet1!H99,"AAAAAH/z53o=")</f>
        <v>#VALUE!</v>
      </c>
      <c r="DT4">
        <f>IF(Sheet1!100:100,"AAAAAH/z53s=",0)</f>
        <v>0</v>
      </c>
      <c r="DU4" t="e">
        <f>AND(Sheet1!A100,"AAAAAH/z53w=")</f>
        <v>#VALUE!</v>
      </c>
      <c r="DV4" t="e">
        <f>AND(Sheet1!B100,"AAAAAH/z530=")</f>
        <v>#VALUE!</v>
      </c>
      <c r="DW4" t="e">
        <f>AND(Sheet1!C100,"AAAAAH/z534=")</f>
        <v>#VALUE!</v>
      </c>
      <c r="DX4" t="e">
        <f>AND(Sheet1!D100,"AAAAAH/z538=")</f>
        <v>#VALUE!</v>
      </c>
      <c r="DY4" t="e">
        <f>AND(Sheet1!E100,"AAAAAH/z54A=")</f>
        <v>#VALUE!</v>
      </c>
      <c r="DZ4" t="e">
        <f>AND(Sheet1!F100,"AAAAAH/z54E=")</f>
        <v>#VALUE!</v>
      </c>
      <c r="EA4" t="e">
        <f>AND(Sheet1!G100,"AAAAAH/z54I=")</f>
        <v>#VALUE!</v>
      </c>
      <c r="EB4" t="e">
        <f>AND(Sheet1!H100,"AAAAAH/z54M=")</f>
        <v>#VALUE!</v>
      </c>
      <c r="EC4">
        <f>IF(Sheet1!101:101,"AAAAAH/z54Q=",0)</f>
        <v>0</v>
      </c>
      <c r="ED4" t="e">
        <f>AND(Sheet1!A101,"AAAAAH/z54U=")</f>
        <v>#VALUE!</v>
      </c>
      <c r="EE4" t="e">
        <f>AND(Sheet1!B101,"AAAAAH/z54Y=")</f>
        <v>#VALUE!</v>
      </c>
      <c r="EF4" t="e">
        <f>AND(Sheet1!C101,"AAAAAH/z54c=")</f>
        <v>#VALUE!</v>
      </c>
      <c r="EG4" t="e">
        <f>AND(Sheet1!D101,"AAAAAH/z54g=")</f>
        <v>#VALUE!</v>
      </c>
      <c r="EH4" t="e">
        <f>AND(Sheet1!E101,"AAAAAH/z54k=")</f>
        <v>#VALUE!</v>
      </c>
      <c r="EI4" t="e">
        <f>AND(Sheet1!F101,"AAAAAH/z54o=")</f>
        <v>#VALUE!</v>
      </c>
      <c r="EJ4" t="e">
        <f>AND(Sheet1!G101,"AAAAAH/z54s=")</f>
        <v>#VALUE!</v>
      </c>
      <c r="EK4" t="e">
        <f>AND(Sheet1!H101,"AAAAAH/z54w=")</f>
        <v>#VALUE!</v>
      </c>
      <c r="EL4">
        <f>IF(Sheet1!102:102,"AAAAAH/z540=",0)</f>
        <v>0</v>
      </c>
      <c r="EM4" t="e">
        <f>AND(Sheet1!A102,"AAAAAH/z544=")</f>
        <v>#VALUE!</v>
      </c>
      <c r="EN4" t="e">
        <f>AND(Sheet1!B102,"AAAAAH/z548=")</f>
        <v>#VALUE!</v>
      </c>
      <c r="EO4" t="e">
        <f>AND(Sheet1!C102,"AAAAAH/z55A=")</f>
        <v>#VALUE!</v>
      </c>
      <c r="EP4" t="e">
        <f>AND(Sheet1!D102,"AAAAAH/z55E=")</f>
        <v>#VALUE!</v>
      </c>
      <c r="EQ4" t="e">
        <f>AND(Sheet1!E102,"AAAAAH/z55I=")</f>
        <v>#VALUE!</v>
      </c>
      <c r="ER4" t="e">
        <f>AND(Sheet1!F102,"AAAAAH/z55M=")</f>
        <v>#VALUE!</v>
      </c>
      <c r="ES4" t="e">
        <f>AND(Sheet1!G102,"AAAAAH/z55Q=")</f>
        <v>#VALUE!</v>
      </c>
      <c r="ET4" t="e">
        <f>AND(Sheet1!H102,"AAAAAH/z55U=")</f>
        <v>#VALUE!</v>
      </c>
      <c r="EU4">
        <f>IF(Sheet1!103:103,"AAAAAH/z55Y=",0)</f>
        <v>0</v>
      </c>
      <c r="EV4" t="e">
        <f>AND(Sheet1!A103,"AAAAAH/z55c=")</f>
        <v>#VALUE!</v>
      </c>
      <c r="EW4" t="e">
        <f>AND(Sheet1!B103,"AAAAAH/z55g=")</f>
        <v>#VALUE!</v>
      </c>
      <c r="EX4" t="e">
        <f>AND(Sheet1!C103,"AAAAAH/z55k=")</f>
        <v>#VALUE!</v>
      </c>
      <c r="EY4" t="e">
        <f>AND(Sheet1!D103,"AAAAAH/z55o=")</f>
        <v>#VALUE!</v>
      </c>
      <c r="EZ4" t="e">
        <f>AND(Sheet1!E103,"AAAAAH/z55s=")</f>
        <v>#VALUE!</v>
      </c>
      <c r="FA4" t="e">
        <f>AND(Sheet1!F103,"AAAAAH/z55w=")</f>
        <v>#VALUE!</v>
      </c>
      <c r="FB4" t="e">
        <f>AND(Sheet1!G103,"AAAAAH/z550=")</f>
        <v>#VALUE!</v>
      </c>
      <c r="FC4" t="e">
        <f>AND(Sheet1!H103,"AAAAAH/z554=")</f>
        <v>#VALUE!</v>
      </c>
      <c r="FD4">
        <f>IF(Sheet1!104:104,"AAAAAH/z558=",0)</f>
        <v>0</v>
      </c>
      <c r="FE4" t="e">
        <f>AND(Sheet1!A104,"AAAAAH/z56A=")</f>
        <v>#VALUE!</v>
      </c>
      <c r="FF4" t="e">
        <f>AND(Sheet1!B104,"AAAAAH/z56E=")</f>
        <v>#VALUE!</v>
      </c>
      <c r="FG4" t="e">
        <f>AND(Sheet1!C104,"AAAAAH/z56I=")</f>
        <v>#VALUE!</v>
      </c>
      <c r="FH4" t="e">
        <f>AND(Sheet1!D104,"AAAAAH/z56M=")</f>
        <v>#VALUE!</v>
      </c>
      <c r="FI4" t="e">
        <f>AND(Sheet1!E104,"AAAAAH/z56Q=")</f>
        <v>#VALUE!</v>
      </c>
      <c r="FJ4" t="e">
        <f>AND(Sheet1!F104,"AAAAAH/z56U=")</f>
        <v>#VALUE!</v>
      </c>
      <c r="FK4" t="e">
        <f>AND(Sheet1!G104,"AAAAAH/z56Y=")</f>
        <v>#VALUE!</v>
      </c>
      <c r="FL4" t="e">
        <f>AND(Sheet1!H104,"AAAAAH/z56c=")</f>
        <v>#VALUE!</v>
      </c>
      <c r="FM4">
        <f>IF(Sheet1!105:105,"AAAAAH/z56g=",0)</f>
        <v>0</v>
      </c>
      <c r="FN4" t="e">
        <f>AND(Sheet1!A105,"AAAAAH/z56k=")</f>
        <v>#VALUE!</v>
      </c>
      <c r="FO4" t="e">
        <f>AND(Sheet1!B105,"AAAAAH/z56o=")</f>
        <v>#VALUE!</v>
      </c>
      <c r="FP4" t="e">
        <f>AND(Sheet1!C105,"AAAAAH/z56s=")</f>
        <v>#VALUE!</v>
      </c>
      <c r="FQ4" t="e">
        <f>AND(Sheet1!D105,"AAAAAH/z56w=")</f>
        <v>#VALUE!</v>
      </c>
      <c r="FR4" t="e">
        <f>AND(Sheet1!E105,"AAAAAH/z560=")</f>
        <v>#VALUE!</v>
      </c>
      <c r="FS4" t="e">
        <f>AND(Sheet1!F105,"AAAAAH/z564=")</f>
        <v>#VALUE!</v>
      </c>
      <c r="FT4" t="e">
        <f>AND(Sheet1!G105,"AAAAAH/z568=")</f>
        <v>#VALUE!</v>
      </c>
      <c r="FU4" t="e">
        <f>AND(Sheet1!H105,"AAAAAH/z57A=")</f>
        <v>#VALUE!</v>
      </c>
      <c r="FV4">
        <f>IF(Sheet1!106:106,"AAAAAH/z57E=",0)</f>
        <v>0</v>
      </c>
      <c r="FW4" t="e">
        <f>AND(Sheet1!A106,"AAAAAH/z57I=")</f>
        <v>#VALUE!</v>
      </c>
      <c r="FX4" t="e">
        <f>AND(Sheet1!B106,"AAAAAH/z57M=")</f>
        <v>#VALUE!</v>
      </c>
      <c r="FY4" t="e">
        <f>AND(Sheet1!C106,"AAAAAH/z57Q=")</f>
        <v>#VALUE!</v>
      </c>
      <c r="FZ4" t="e">
        <f>AND(Sheet1!D106,"AAAAAH/z57U=")</f>
        <v>#VALUE!</v>
      </c>
      <c r="GA4" t="e">
        <f>AND(Sheet1!E106,"AAAAAH/z57Y=")</f>
        <v>#VALUE!</v>
      </c>
      <c r="GB4" t="e">
        <f>AND(Sheet1!F106,"AAAAAH/z57c=")</f>
        <v>#VALUE!</v>
      </c>
      <c r="GC4" t="e">
        <f>AND(Sheet1!G106,"AAAAAH/z57g=")</f>
        <v>#VALUE!</v>
      </c>
      <c r="GD4" t="e">
        <f>AND(Sheet1!H106,"AAAAAH/z57k=")</f>
        <v>#VALUE!</v>
      </c>
      <c r="GE4">
        <f>IF(Sheet1!107:107,"AAAAAH/z57o=",0)</f>
        <v>0</v>
      </c>
      <c r="GF4" t="e">
        <f>AND(Sheet1!A107,"AAAAAH/z57s=")</f>
        <v>#VALUE!</v>
      </c>
      <c r="GG4" t="e">
        <f>AND(Sheet1!B107,"AAAAAH/z57w=")</f>
        <v>#VALUE!</v>
      </c>
      <c r="GH4" t="e">
        <f>AND(Sheet1!C107,"AAAAAH/z570=")</f>
        <v>#VALUE!</v>
      </c>
      <c r="GI4" t="e">
        <f>AND(Sheet1!D107,"AAAAAH/z574=")</f>
        <v>#VALUE!</v>
      </c>
      <c r="GJ4" t="e">
        <f>AND(Sheet1!E107,"AAAAAH/z578=")</f>
        <v>#VALUE!</v>
      </c>
      <c r="GK4" t="e">
        <f>AND(Sheet1!F107,"AAAAAH/z58A=")</f>
        <v>#VALUE!</v>
      </c>
      <c r="GL4" t="e">
        <f>AND(Sheet1!G107,"AAAAAH/z58E=")</f>
        <v>#VALUE!</v>
      </c>
      <c r="GM4" t="e">
        <f>AND(Sheet1!H107,"AAAAAH/z58I=")</f>
        <v>#VALUE!</v>
      </c>
      <c r="GN4">
        <f>IF(Sheet1!108:108,"AAAAAH/z58M=",0)</f>
        <v>0</v>
      </c>
      <c r="GO4" t="e">
        <f>AND(Sheet1!A108,"AAAAAH/z58Q=")</f>
        <v>#VALUE!</v>
      </c>
      <c r="GP4" t="e">
        <f>AND(Sheet1!B108,"AAAAAH/z58U=")</f>
        <v>#VALUE!</v>
      </c>
      <c r="GQ4" t="e">
        <f>AND(Sheet1!C108,"AAAAAH/z58Y=")</f>
        <v>#VALUE!</v>
      </c>
      <c r="GR4" t="e">
        <f>AND(Sheet1!D108,"AAAAAH/z58c=")</f>
        <v>#VALUE!</v>
      </c>
      <c r="GS4" t="e">
        <f>AND(Sheet1!E108,"AAAAAH/z58g=")</f>
        <v>#VALUE!</v>
      </c>
      <c r="GT4" t="e">
        <f>AND(Sheet1!F108,"AAAAAH/z58k=")</f>
        <v>#VALUE!</v>
      </c>
      <c r="GU4" t="e">
        <f>AND(Sheet1!G108,"AAAAAH/z58o=")</f>
        <v>#VALUE!</v>
      </c>
      <c r="GV4" t="e">
        <f>AND(Sheet1!H108,"AAAAAH/z58s=")</f>
        <v>#VALUE!</v>
      </c>
      <c r="GW4">
        <f>IF(Sheet1!109:109,"AAAAAH/z58w=",0)</f>
        <v>0</v>
      </c>
      <c r="GX4" t="e">
        <f>AND(Sheet1!A109,"AAAAAH/z580=")</f>
        <v>#VALUE!</v>
      </c>
      <c r="GY4" t="e">
        <f>AND(Sheet1!B109,"AAAAAH/z584=")</f>
        <v>#VALUE!</v>
      </c>
      <c r="GZ4" t="e">
        <f>AND(Sheet1!C109,"AAAAAH/z588=")</f>
        <v>#VALUE!</v>
      </c>
      <c r="HA4" t="e">
        <f>AND(Sheet1!D109,"AAAAAH/z59A=")</f>
        <v>#VALUE!</v>
      </c>
      <c r="HB4" t="e">
        <f>AND(Sheet1!E109,"AAAAAH/z59E=")</f>
        <v>#VALUE!</v>
      </c>
      <c r="HC4" t="e">
        <f>AND(Sheet1!F109,"AAAAAH/z59I=")</f>
        <v>#VALUE!</v>
      </c>
      <c r="HD4" t="e">
        <f>AND(Sheet1!G109,"AAAAAH/z59M=")</f>
        <v>#VALUE!</v>
      </c>
      <c r="HE4" t="e">
        <f>AND(Sheet1!H109,"AAAAAH/z59Q=")</f>
        <v>#VALUE!</v>
      </c>
      <c r="HF4">
        <f>IF(Sheet1!110:110,"AAAAAH/z59U=",0)</f>
        <v>0</v>
      </c>
      <c r="HG4" t="e">
        <f>AND(Sheet1!A110,"AAAAAH/z59Y=")</f>
        <v>#VALUE!</v>
      </c>
      <c r="HH4" t="e">
        <f>AND(Sheet1!B110,"AAAAAH/z59c=")</f>
        <v>#VALUE!</v>
      </c>
      <c r="HI4" t="e">
        <f>AND(Sheet1!C110,"AAAAAH/z59g=")</f>
        <v>#VALUE!</v>
      </c>
      <c r="HJ4" t="e">
        <f>AND(Sheet1!D110,"AAAAAH/z59k=")</f>
        <v>#VALUE!</v>
      </c>
      <c r="HK4" t="e">
        <f>AND(Sheet1!E110,"AAAAAH/z59o=")</f>
        <v>#VALUE!</v>
      </c>
      <c r="HL4" t="e">
        <f>AND(Sheet1!F110,"AAAAAH/z59s=")</f>
        <v>#VALUE!</v>
      </c>
      <c r="HM4" t="e">
        <f>AND(Sheet1!G110,"AAAAAH/z59w=")</f>
        <v>#VALUE!</v>
      </c>
      <c r="HN4" t="e">
        <f>AND(Sheet1!H110,"AAAAAH/z590=")</f>
        <v>#VALUE!</v>
      </c>
      <c r="HO4">
        <f>IF(Sheet1!111:111,"AAAAAH/z594=",0)</f>
        <v>0</v>
      </c>
      <c r="HP4" t="e">
        <f>AND(Sheet1!A111,"AAAAAH/z598=")</f>
        <v>#VALUE!</v>
      </c>
      <c r="HQ4" t="e">
        <f>AND(Sheet1!B111,"AAAAAH/z5+A=")</f>
        <v>#VALUE!</v>
      </c>
      <c r="HR4" t="e">
        <f>AND(Sheet1!C111,"AAAAAH/z5+E=")</f>
        <v>#VALUE!</v>
      </c>
      <c r="HS4" t="e">
        <f>AND(Sheet1!D111,"AAAAAH/z5+I=")</f>
        <v>#VALUE!</v>
      </c>
      <c r="HT4" t="e">
        <f>AND(Sheet1!E111,"AAAAAH/z5+M=")</f>
        <v>#VALUE!</v>
      </c>
      <c r="HU4" t="e">
        <f>AND(Sheet1!F111,"AAAAAH/z5+Q=")</f>
        <v>#VALUE!</v>
      </c>
      <c r="HV4" t="e">
        <f>AND(Sheet1!G111,"AAAAAH/z5+U=")</f>
        <v>#VALUE!</v>
      </c>
      <c r="HW4" t="e">
        <f>AND(Sheet1!H111,"AAAAAH/z5+Y=")</f>
        <v>#VALUE!</v>
      </c>
      <c r="HX4">
        <f>IF(Sheet1!112:112,"AAAAAH/z5+c=",0)</f>
        <v>0</v>
      </c>
      <c r="HY4" t="e">
        <f>AND(Sheet1!A112,"AAAAAH/z5+g=")</f>
        <v>#VALUE!</v>
      </c>
      <c r="HZ4" t="e">
        <f>AND(Sheet1!B112,"AAAAAH/z5+k=")</f>
        <v>#VALUE!</v>
      </c>
      <c r="IA4" t="e">
        <f>AND(Sheet1!C112,"AAAAAH/z5+o=")</f>
        <v>#VALUE!</v>
      </c>
      <c r="IB4" t="e">
        <f>AND(Sheet1!D112,"AAAAAH/z5+s=")</f>
        <v>#VALUE!</v>
      </c>
      <c r="IC4" t="e">
        <f>AND(Sheet1!E112,"AAAAAH/z5+w=")</f>
        <v>#VALUE!</v>
      </c>
      <c r="ID4" t="e">
        <f>AND(Sheet1!F112,"AAAAAH/z5+0=")</f>
        <v>#VALUE!</v>
      </c>
      <c r="IE4" t="e">
        <f>AND(Sheet1!G112,"AAAAAH/z5+4=")</f>
        <v>#VALUE!</v>
      </c>
      <c r="IF4" t="e">
        <f>AND(Sheet1!H112,"AAAAAH/z5+8=")</f>
        <v>#VALUE!</v>
      </c>
      <c r="IG4">
        <f>IF(Sheet1!113:113,"AAAAAH/z5/A=",0)</f>
        <v>0</v>
      </c>
      <c r="IH4" t="e">
        <f>AND(Sheet1!A113,"AAAAAH/z5/E=")</f>
        <v>#VALUE!</v>
      </c>
      <c r="II4" t="e">
        <f>AND(Sheet1!B113,"AAAAAH/z5/I=")</f>
        <v>#VALUE!</v>
      </c>
      <c r="IJ4" t="e">
        <f>AND(Sheet1!C113,"AAAAAH/z5/M=")</f>
        <v>#VALUE!</v>
      </c>
      <c r="IK4" t="e">
        <f>AND(Sheet1!D113,"AAAAAH/z5/Q=")</f>
        <v>#VALUE!</v>
      </c>
      <c r="IL4" t="e">
        <f>AND(Sheet1!E113,"AAAAAH/z5/U=")</f>
        <v>#VALUE!</v>
      </c>
      <c r="IM4" t="e">
        <f>AND(Sheet1!F113,"AAAAAH/z5/Y=")</f>
        <v>#VALUE!</v>
      </c>
      <c r="IN4" t="e">
        <f>AND(Sheet1!G113,"AAAAAH/z5/c=")</f>
        <v>#VALUE!</v>
      </c>
      <c r="IO4" t="e">
        <f>AND(Sheet1!H113,"AAAAAH/z5/g=")</f>
        <v>#VALUE!</v>
      </c>
      <c r="IP4">
        <f>IF(Sheet1!114:114,"AAAAAH/z5/k=",0)</f>
        <v>0</v>
      </c>
      <c r="IQ4" t="e">
        <f>AND(Sheet1!A114,"AAAAAH/z5/o=")</f>
        <v>#VALUE!</v>
      </c>
      <c r="IR4" t="e">
        <f>AND(Sheet1!B114,"AAAAAH/z5/s=")</f>
        <v>#VALUE!</v>
      </c>
      <c r="IS4" t="e">
        <f>AND(Sheet1!C114,"AAAAAH/z5/w=")</f>
        <v>#VALUE!</v>
      </c>
      <c r="IT4" t="e">
        <f>AND(Sheet1!D114,"AAAAAH/z5/0=")</f>
        <v>#VALUE!</v>
      </c>
      <c r="IU4" t="e">
        <f>AND(Sheet1!E114,"AAAAAH/z5/4=")</f>
        <v>#VALUE!</v>
      </c>
      <c r="IV4" t="e">
        <f>AND(Sheet1!F114,"AAAAAH/z5/8=")</f>
        <v>#VALUE!</v>
      </c>
    </row>
    <row r="5" spans="1:256" x14ac:dyDescent="0.25">
      <c r="A5" t="e">
        <f>AND(Sheet1!G114,"AAAAAH/nQQA=")</f>
        <v>#VALUE!</v>
      </c>
      <c r="B5" t="e">
        <f>AND(Sheet1!H114,"AAAAAH/nQQE=")</f>
        <v>#VALUE!</v>
      </c>
      <c r="C5">
        <f>IF(Sheet1!115:115,"AAAAAH/nQQI=",0)</f>
        <v>0</v>
      </c>
      <c r="D5" t="e">
        <f>AND(Sheet1!A115,"AAAAAH/nQQM=")</f>
        <v>#VALUE!</v>
      </c>
      <c r="E5" t="e">
        <f>AND(Sheet1!B115,"AAAAAH/nQQQ=")</f>
        <v>#VALUE!</v>
      </c>
      <c r="F5" t="e">
        <f>AND(Sheet1!C115,"AAAAAH/nQQU=")</f>
        <v>#VALUE!</v>
      </c>
      <c r="G5" t="e">
        <f>AND(Sheet1!D115,"AAAAAH/nQQY=")</f>
        <v>#VALUE!</v>
      </c>
      <c r="H5" t="e">
        <f>AND(Sheet1!E115,"AAAAAH/nQQc=")</f>
        <v>#VALUE!</v>
      </c>
      <c r="I5" t="e">
        <f>AND(Sheet1!F115,"AAAAAH/nQQg=")</f>
        <v>#VALUE!</v>
      </c>
      <c r="J5" t="e">
        <f>AND(Sheet1!G115,"AAAAAH/nQQk=")</f>
        <v>#VALUE!</v>
      </c>
      <c r="K5" t="e">
        <f>AND(Sheet1!H115,"AAAAAH/nQQo=")</f>
        <v>#VALUE!</v>
      </c>
      <c r="L5">
        <f>IF(Sheet1!116:116,"AAAAAH/nQQs=",0)</f>
        <v>0</v>
      </c>
      <c r="M5" t="e">
        <f>AND(Sheet1!A116,"AAAAAH/nQQw=")</f>
        <v>#VALUE!</v>
      </c>
      <c r="N5" t="e">
        <f>AND(Sheet1!B116,"AAAAAH/nQQ0=")</f>
        <v>#VALUE!</v>
      </c>
      <c r="O5" t="e">
        <f>AND(Sheet1!C116,"AAAAAH/nQQ4=")</f>
        <v>#VALUE!</v>
      </c>
      <c r="P5" t="e">
        <f>AND(Sheet1!D116,"AAAAAH/nQQ8=")</f>
        <v>#VALUE!</v>
      </c>
      <c r="Q5" t="e">
        <f>AND(Sheet1!E116,"AAAAAH/nQRA=")</f>
        <v>#VALUE!</v>
      </c>
      <c r="R5" t="e">
        <f>AND(Sheet1!F116,"AAAAAH/nQRE=")</f>
        <v>#VALUE!</v>
      </c>
      <c r="S5" t="e">
        <f>AND(Sheet1!G116,"AAAAAH/nQRI=")</f>
        <v>#VALUE!</v>
      </c>
      <c r="T5" t="e">
        <f>AND(Sheet1!H116,"AAAAAH/nQRM=")</f>
        <v>#VALUE!</v>
      </c>
      <c r="U5">
        <f>IF(Sheet1!117:117,"AAAAAH/nQRQ=",0)</f>
        <v>0</v>
      </c>
      <c r="V5" t="e">
        <f>AND(Sheet1!A117,"AAAAAH/nQRU=")</f>
        <v>#VALUE!</v>
      </c>
      <c r="W5" t="e">
        <f>AND(Sheet1!B117,"AAAAAH/nQRY=")</f>
        <v>#VALUE!</v>
      </c>
      <c r="X5" t="e">
        <f>AND(Sheet1!C117,"AAAAAH/nQRc=")</f>
        <v>#VALUE!</v>
      </c>
      <c r="Y5" t="e">
        <f>AND(Sheet1!D117,"AAAAAH/nQRg=")</f>
        <v>#VALUE!</v>
      </c>
      <c r="Z5" t="e">
        <f>AND(Sheet1!E117,"AAAAAH/nQRk=")</f>
        <v>#VALUE!</v>
      </c>
      <c r="AA5" t="e">
        <f>AND(Sheet1!F117,"AAAAAH/nQRo=")</f>
        <v>#VALUE!</v>
      </c>
      <c r="AB5" t="e">
        <f>AND(Sheet1!G117,"AAAAAH/nQRs=")</f>
        <v>#VALUE!</v>
      </c>
      <c r="AC5" t="e">
        <f>AND(Sheet1!H117,"AAAAAH/nQRw=")</f>
        <v>#VALUE!</v>
      </c>
      <c r="AD5">
        <f>IF(Sheet1!118:118,"AAAAAH/nQR0=",0)</f>
        <v>0</v>
      </c>
      <c r="AE5" t="e">
        <f>AND(Sheet1!A118,"AAAAAH/nQR4=")</f>
        <v>#VALUE!</v>
      </c>
      <c r="AF5" t="e">
        <f>AND(Sheet1!B118,"AAAAAH/nQR8=")</f>
        <v>#VALUE!</v>
      </c>
      <c r="AG5" t="e">
        <f>AND(Sheet1!C118,"AAAAAH/nQSA=")</f>
        <v>#VALUE!</v>
      </c>
      <c r="AH5" t="e">
        <f>AND(Sheet1!D118,"AAAAAH/nQSE=")</f>
        <v>#VALUE!</v>
      </c>
      <c r="AI5" t="e">
        <f>AND(Sheet1!E118,"AAAAAH/nQSI=")</f>
        <v>#VALUE!</v>
      </c>
      <c r="AJ5" t="e">
        <f>AND(Sheet1!F118,"AAAAAH/nQSM=")</f>
        <v>#VALUE!</v>
      </c>
      <c r="AK5" t="e">
        <f>AND(Sheet1!G118,"AAAAAH/nQSQ=")</f>
        <v>#VALUE!</v>
      </c>
      <c r="AL5" t="e">
        <f>AND(Sheet1!H118,"AAAAAH/nQSU=")</f>
        <v>#VALUE!</v>
      </c>
      <c r="AM5">
        <f>IF(Sheet1!119:119,"AAAAAH/nQSY=",0)</f>
        <v>0</v>
      </c>
      <c r="AN5" t="e">
        <f>AND(Sheet1!A119,"AAAAAH/nQSc=")</f>
        <v>#VALUE!</v>
      </c>
      <c r="AO5" t="e">
        <f>AND(Sheet1!B119,"AAAAAH/nQSg=")</f>
        <v>#VALUE!</v>
      </c>
      <c r="AP5" t="e">
        <f>AND(Sheet1!C119,"AAAAAH/nQSk=")</f>
        <v>#VALUE!</v>
      </c>
      <c r="AQ5" t="e">
        <f>AND(Sheet1!D119,"AAAAAH/nQSo=")</f>
        <v>#VALUE!</v>
      </c>
      <c r="AR5" t="e">
        <f>AND(Sheet1!E119,"AAAAAH/nQSs=")</f>
        <v>#VALUE!</v>
      </c>
      <c r="AS5" t="e">
        <f>AND(Sheet1!F119,"AAAAAH/nQSw=")</f>
        <v>#VALUE!</v>
      </c>
      <c r="AT5" t="e">
        <f>AND(Sheet1!G119,"AAAAAH/nQS0=")</f>
        <v>#VALUE!</v>
      </c>
      <c r="AU5" t="e">
        <f>AND(Sheet1!H119,"AAAAAH/nQS4=")</f>
        <v>#VALUE!</v>
      </c>
      <c r="AV5">
        <f>IF(Sheet1!120:120,"AAAAAH/nQS8=",0)</f>
        <v>0</v>
      </c>
      <c r="AW5" t="e">
        <f>AND(Sheet1!A120,"AAAAAH/nQTA=")</f>
        <v>#VALUE!</v>
      </c>
      <c r="AX5" t="e">
        <f>AND(Sheet1!B120,"AAAAAH/nQTE=")</f>
        <v>#VALUE!</v>
      </c>
      <c r="AY5" t="e">
        <f>AND(Sheet1!C120,"AAAAAH/nQTI=")</f>
        <v>#VALUE!</v>
      </c>
      <c r="AZ5" t="e">
        <f>AND(Sheet1!D120,"AAAAAH/nQTM=")</f>
        <v>#VALUE!</v>
      </c>
      <c r="BA5" t="e">
        <f>AND(Sheet1!E120,"AAAAAH/nQTQ=")</f>
        <v>#VALUE!</v>
      </c>
      <c r="BB5" t="e">
        <f>AND(Sheet1!F120,"AAAAAH/nQTU=")</f>
        <v>#VALUE!</v>
      </c>
      <c r="BC5" t="e">
        <f>AND(Sheet1!G120,"AAAAAH/nQTY=")</f>
        <v>#VALUE!</v>
      </c>
      <c r="BD5" t="e">
        <f>AND(Sheet1!H120,"AAAAAH/nQTc=")</f>
        <v>#VALUE!</v>
      </c>
      <c r="BE5">
        <f>IF(Sheet1!121:121,"AAAAAH/nQTg=",0)</f>
        <v>0</v>
      </c>
      <c r="BF5" t="e">
        <f>AND(Sheet1!A121,"AAAAAH/nQTk=")</f>
        <v>#VALUE!</v>
      </c>
      <c r="BG5" t="e">
        <f>AND(Sheet1!B121,"AAAAAH/nQTo=")</f>
        <v>#VALUE!</v>
      </c>
      <c r="BH5" t="e">
        <f>AND(Sheet1!C121,"AAAAAH/nQTs=")</f>
        <v>#VALUE!</v>
      </c>
      <c r="BI5" t="e">
        <f>AND(Sheet1!D121,"AAAAAH/nQTw=")</f>
        <v>#VALUE!</v>
      </c>
      <c r="BJ5" t="e">
        <f>AND(Sheet1!E121,"AAAAAH/nQT0=")</f>
        <v>#VALUE!</v>
      </c>
      <c r="BK5" t="e">
        <f>AND(Sheet1!F121,"AAAAAH/nQT4=")</f>
        <v>#VALUE!</v>
      </c>
      <c r="BL5" t="e">
        <f>AND(Sheet1!G121,"AAAAAH/nQT8=")</f>
        <v>#VALUE!</v>
      </c>
      <c r="BM5" t="e">
        <f>AND(Sheet1!H121,"AAAAAH/nQUA=")</f>
        <v>#VALUE!</v>
      </c>
      <c r="BN5">
        <f>IF(Sheet1!122:122,"AAAAAH/nQUE=",0)</f>
        <v>0</v>
      </c>
      <c r="BO5" t="e">
        <f>AND(Sheet1!A122,"AAAAAH/nQUI=")</f>
        <v>#VALUE!</v>
      </c>
      <c r="BP5" t="e">
        <f>AND(Sheet1!B122,"AAAAAH/nQUM=")</f>
        <v>#VALUE!</v>
      </c>
      <c r="BQ5" t="e">
        <f>AND(Sheet1!C122,"AAAAAH/nQUQ=")</f>
        <v>#VALUE!</v>
      </c>
      <c r="BR5" t="e">
        <f>AND(Sheet1!D122,"AAAAAH/nQUU=")</f>
        <v>#VALUE!</v>
      </c>
      <c r="BS5" t="e">
        <f>AND(Sheet1!E122,"AAAAAH/nQUY=")</f>
        <v>#VALUE!</v>
      </c>
      <c r="BT5" t="e">
        <f>AND(Sheet1!F122,"AAAAAH/nQUc=")</f>
        <v>#VALUE!</v>
      </c>
      <c r="BU5" t="e">
        <f>AND(Sheet1!G122,"AAAAAH/nQUg=")</f>
        <v>#VALUE!</v>
      </c>
      <c r="BV5" t="e">
        <f>AND(Sheet1!H122,"AAAAAH/nQUk=")</f>
        <v>#VALUE!</v>
      </c>
      <c r="BW5">
        <f>IF(Sheet1!123:123,"AAAAAH/nQUo=",0)</f>
        <v>0</v>
      </c>
      <c r="BX5" t="e">
        <f>AND(Sheet1!A123,"AAAAAH/nQUs=")</f>
        <v>#VALUE!</v>
      </c>
      <c r="BY5" t="e">
        <f>AND(Sheet1!B123,"AAAAAH/nQUw=")</f>
        <v>#VALUE!</v>
      </c>
      <c r="BZ5" t="e">
        <f>AND(Sheet1!C123,"AAAAAH/nQU0=")</f>
        <v>#VALUE!</v>
      </c>
      <c r="CA5" t="e">
        <f>AND(Sheet1!D123,"AAAAAH/nQU4=")</f>
        <v>#VALUE!</v>
      </c>
      <c r="CB5" t="e">
        <f>AND(Sheet1!E123,"AAAAAH/nQU8=")</f>
        <v>#VALUE!</v>
      </c>
      <c r="CC5" t="e">
        <f>AND(Sheet1!F123,"AAAAAH/nQVA=")</f>
        <v>#VALUE!</v>
      </c>
      <c r="CD5" t="e">
        <f>AND(Sheet1!G123,"AAAAAH/nQVE=")</f>
        <v>#VALUE!</v>
      </c>
      <c r="CE5" t="e">
        <f>AND(Sheet1!H123,"AAAAAH/nQVI=")</f>
        <v>#VALUE!</v>
      </c>
      <c r="CF5">
        <f>IF(Sheet1!124:124,"AAAAAH/nQVM=",0)</f>
        <v>0</v>
      </c>
      <c r="CG5" t="e">
        <f>AND(Sheet1!A124,"AAAAAH/nQVQ=")</f>
        <v>#VALUE!</v>
      </c>
      <c r="CH5" t="e">
        <f>AND(Sheet1!B124,"AAAAAH/nQVU=")</f>
        <v>#VALUE!</v>
      </c>
      <c r="CI5" t="e">
        <f>AND(Sheet1!C124,"AAAAAH/nQVY=")</f>
        <v>#VALUE!</v>
      </c>
      <c r="CJ5" t="e">
        <f>AND(Sheet1!D124,"AAAAAH/nQVc=")</f>
        <v>#VALUE!</v>
      </c>
      <c r="CK5" t="e">
        <f>AND(Sheet1!E124,"AAAAAH/nQVg=")</f>
        <v>#VALUE!</v>
      </c>
      <c r="CL5" t="e">
        <f>AND(Sheet1!F124,"AAAAAH/nQVk=")</f>
        <v>#VALUE!</v>
      </c>
      <c r="CM5" t="e">
        <f>AND(Sheet1!G124,"AAAAAH/nQVo=")</f>
        <v>#VALUE!</v>
      </c>
      <c r="CN5" t="e">
        <f>AND(Sheet1!H124,"AAAAAH/nQVs=")</f>
        <v>#VALUE!</v>
      </c>
      <c r="CO5">
        <f>IF(Sheet1!125:125,"AAAAAH/nQVw=",0)</f>
        <v>0</v>
      </c>
      <c r="CP5" t="e">
        <f>AND(Sheet1!A125,"AAAAAH/nQV0=")</f>
        <v>#VALUE!</v>
      </c>
      <c r="CQ5" t="e">
        <f>AND(Sheet1!B125,"AAAAAH/nQV4=")</f>
        <v>#VALUE!</v>
      </c>
      <c r="CR5" t="e">
        <f>AND(Sheet1!C125,"AAAAAH/nQV8=")</f>
        <v>#VALUE!</v>
      </c>
      <c r="CS5" t="e">
        <f>AND(Sheet1!D125,"AAAAAH/nQWA=")</f>
        <v>#VALUE!</v>
      </c>
      <c r="CT5" t="e">
        <f>AND(Sheet1!E125,"AAAAAH/nQWE=")</f>
        <v>#VALUE!</v>
      </c>
      <c r="CU5" t="e">
        <f>AND(Sheet1!F125,"AAAAAH/nQWI=")</f>
        <v>#VALUE!</v>
      </c>
      <c r="CV5" t="e">
        <f>AND(Sheet1!G125,"AAAAAH/nQWM=")</f>
        <v>#VALUE!</v>
      </c>
      <c r="CW5" t="e">
        <f>AND(Sheet1!H125,"AAAAAH/nQWQ=")</f>
        <v>#VALUE!</v>
      </c>
      <c r="CX5">
        <f>IF(Sheet1!126:126,"AAAAAH/nQWU=",0)</f>
        <v>0</v>
      </c>
      <c r="CY5" t="e">
        <f>AND(Sheet1!A126,"AAAAAH/nQWY=")</f>
        <v>#VALUE!</v>
      </c>
      <c r="CZ5" t="e">
        <f>AND(Sheet1!B126,"AAAAAH/nQWc=")</f>
        <v>#VALUE!</v>
      </c>
      <c r="DA5" t="e">
        <f>AND(Sheet1!C126,"AAAAAH/nQWg=")</f>
        <v>#VALUE!</v>
      </c>
      <c r="DB5" t="e">
        <f>AND(Sheet1!D126,"AAAAAH/nQWk=")</f>
        <v>#VALUE!</v>
      </c>
      <c r="DC5" t="e">
        <f>AND(Sheet1!E126,"AAAAAH/nQWo=")</f>
        <v>#VALUE!</v>
      </c>
      <c r="DD5" t="e">
        <f>AND(Sheet1!F126,"AAAAAH/nQWs=")</f>
        <v>#VALUE!</v>
      </c>
      <c r="DE5" t="e">
        <f>AND(Sheet1!G126,"AAAAAH/nQWw=")</f>
        <v>#VALUE!</v>
      </c>
      <c r="DF5" t="e">
        <f>AND(Sheet1!H126,"AAAAAH/nQW0=")</f>
        <v>#VALUE!</v>
      </c>
      <c r="DG5">
        <f>IF(Sheet1!127:127,"AAAAAH/nQW4=",0)</f>
        <v>0</v>
      </c>
      <c r="DH5" t="e">
        <f>AND(Sheet1!A127,"AAAAAH/nQW8=")</f>
        <v>#VALUE!</v>
      </c>
      <c r="DI5" t="e">
        <f>AND(Sheet1!B127,"AAAAAH/nQXA=")</f>
        <v>#VALUE!</v>
      </c>
      <c r="DJ5" t="e">
        <f>AND(Sheet1!C127,"AAAAAH/nQXE=")</f>
        <v>#VALUE!</v>
      </c>
      <c r="DK5" t="e">
        <f>AND(Sheet1!D127,"AAAAAH/nQXI=")</f>
        <v>#VALUE!</v>
      </c>
      <c r="DL5" t="e">
        <f>AND(Sheet1!E127,"AAAAAH/nQXM=")</f>
        <v>#VALUE!</v>
      </c>
      <c r="DM5" t="e">
        <f>AND(Sheet1!F127,"AAAAAH/nQXQ=")</f>
        <v>#VALUE!</v>
      </c>
      <c r="DN5" t="e">
        <f>AND(Sheet1!G127,"AAAAAH/nQXU=")</f>
        <v>#VALUE!</v>
      </c>
      <c r="DO5" t="e">
        <f>AND(Sheet1!H127,"AAAAAH/nQXY=")</f>
        <v>#VALUE!</v>
      </c>
      <c r="DP5">
        <f>IF(Sheet1!128:128,"AAAAAH/nQXc=",0)</f>
        <v>0</v>
      </c>
      <c r="DQ5" t="e">
        <f>AND(Sheet1!A128,"AAAAAH/nQXg=")</f>
        <v>#VALUE!</v>
      </c>
      <c r="DR5" t="e">
        <f>AND(Sheet1!B128,"AAAAAH/nQXk=")</f>
        <v>#VALUE!</v>
      </c>
      <c r="DS5" t="e">
        <f>AND(Sheet1!C128,"AAAAAH/nQXo=")</f>
        <v>#VALUE!</v>
      </c>
      <c r="DT5" t="e">
        <f>AND(Sheet1!D128,"AAAAAH/nQXs=")</f>
        <v>#VALUE!</v>
      </c>
      <c r="DU5" t="e">
        <f>AND(Sheet1!E128,"AAAAAH/nQXw=")</f>
        <v>#VALUE!</v>
      </c>
      <c r="DV5" t="e">
        <f>AND(Sheet1!F128,"AAAAAH/nQX0=")</f>
        <v>#VALUE!</v>
      </c>
      <c r="DW5" t="e">
        <f>AND(Sheet1!G128,"AAAAAH/nQX4=")</f>
        <v>#VALUE!</v>
      </c>
      <c r="DX5" t="e">
        <f>AND(Sheet1!H128,"AAAAAH/nQX8=")</f>
        <v>#VALUE!</v>
      </c>
      <c r="DY5">
        <f>IF(Sheet1!129:129,"AAAAAH/nQYA=",0)</f>
        <v>0</v>
      </c>
      <c r="DZ5" t="e">
        <f>AND(Sheet1!A129,"AAAAAH/nQYE=")</f>
        <v>#VALUE!</v>
      </c>
      <c r="EA5" t="e">
        <f>AND(Sheet1!B129,"AAAAAH/nQYI=")</f>
        <v>#VALUE!</v>
      </c>
      <c r="EB5" t="e">
        <f>AND(Sheet1!C129,"AAAAAH/nQYM=")</f>
        <v>#VALUE!</v>
      </c>
      <c r="EC5" t="e">
        <f>AND(Sheet1!D129,"AAAAAH/nQYQ=")</f>
        <v>#VALUE!</v>
      </c>
      <c r="ED5" t="e">
        <f>AND(Sheet1!E129,"AAAAAH/nQYU=")</f>
        <v>#VALUE!</v>
      </c>
      <c r="EE5" t="e">
        <f>AND(Sheet1!F129,"AAAAAH/nQYY=")</f>
        <v>#VALUE!</v>
      </c>
      <c r="EF5" t="e">
        <f>AND(Sheet1!G129,"AAAAAH/nQYc=")</f>
        <v>#VALUE!</v>
      </c>
      <c r="EG5" t="e">
        <f>AND(Sheet1!H129,"AAAAAH/nQYg=")</f>
        <v>#VALUE!</v>
      </c>
      <c r="EH5">
        <f>IF(Sheet1!130:130,"AAAAAH/nQYk=",0)</f>
        <v>0</v>
      </c>
      <c r="EI5" t="e">
        <f>AND(Sheet1!A130,"AAAAAH/nQYo=")</f>
        <v>#VALUE!</v>
      </c>
      <c r="EJ5" t="e">
        <f>AND(Sheet1!B130,"AAAAAH/nQYs=")</f>
        <v>#VALUE!</v>
      </c>
      <c r="EK5" t="e">
        <f>AND(Sheet1!C130,"AAAAAH/nQYw=")</f>
        <v>#VALUE!</v>
      </c>
      <c r="EL5" t="e">
        <f>AND(Sheet1!D130,"AAAAAH/nQY0=")</f>
        <v>#VALUE!</v>
      </c>
      <c r="EM5" t="e">
        <f>AND(Sheet1!E130,"AAAAAH/nQY4=")</f>
        <v>#VALUE!</v>
      </c>
      <c r="EN5" t="e">
        <f>AND(Sheet1!F130,"AAAAAH/nQY8=")</f>
        <v>#VALUE!</v>
      </c>
      <c r="EO5" t="e">
        <f>AND(Sheet1!G130,"AAAAAH/nQZA=")</f>
        <v>#VALUE!</v>
      </c>
      <c r="EP5" t="e">
        <f>AND(Sheet1!H130,"AAAAAH/nQZE=")</f>
        <v>#VALUE!</v>
      </c>
      <c r="EQ5">
        <f>IF(Sheet1!131:131,"AAAAAH/nQZI=",0)</f>
        <v>0</v>
      </c>
      <c r="ER5" t="e">
        <f>AND(Sheet1!A131,"AAAAAH/nQZM=")</f>
        <v>#VALUE!</v>
      </c>
      <c r="ES5" t="e">
        <f>AND(Sheet1!B131,"AAAAAH/nQZQ=")</f>
        <v>#VALUE!</v>
      </c>
      <c r="ET5" t="e">
        <f>AND(Sheet1!C131,"AAAAAH/nQZU=")</f>
        <v>#VALUE!</v>
      </c>
      <c r="EU5" t="e">
        <f>AND(Sheet1!D131,"AAAAAH/nQZY=")</f>
        <v>#VALUE!</v>
      </c>
      <c r="EV5" t="e">
        <f>AND(Sheet1!E131,"AAAAAH/nQZc=")</f>
        <v>#VALUE!</v>
      </c>
      <c r="EW5" t="e">
        <f>AND(Sheet1!F131,"AAAAAH/nQZg=")</f>
        <v>#VALUE!</v>
      </c>
      <c r="EX5" t="e">
        <f>AND(Sheet1!G131,"AAAAAH/nQZk=")</f>
        <v>#VALUE!</v>
      </c>
      <c r="EY5" t="e">
        <f>AND(Sheet1!H131,"AAAAAH/nQZo=")</f>
        <v>#VALUE!</v>
      </c>
      <c r="EZ5">
        <f>IF(Sheet1!132:132,"AAAAAH/nQZs=",0)</f>
        <v>0</v>
      </c>
      <c r="FA5" t="e">
        <f>AND(Sheet1!A132,"AAAAAH/nQZw=")</f>
        <v>#VALUE!</v>
      </c>
      <c r="FB5" t="e">
        <f>AND(Sheet1!B132,"AAAAAH/nQZ0=")</f>
        <v>#VALUE!</v>
      </c>
      <c r="FC5" t="e">
        <f>AND(Sheet1!C132,"AAAAAH/nQZ4=")</f>
        <v>#VALUE!</v>
      </c>
      <c r="FD5" t="e">
        <f>AND(Sheet1!D132,"AAAAAH/nQZ8=")</f>
        <v>#VALUE!</v>
      </c>
      <c r="FE5" t="e">
        <f>AND(Sheet1!E132,"AAAAAH/nQaA=")</f>
        <v>#VALUE!</v>
      </c>
      <c r="FF5" t="e">
        <f>AND(Sheet1!F132,"AAAAAH/nQaE=")</f>
        <v>#VALUE!</v>
      </c>
      <c r="FG5" t="e">
        <f>AND(Sheet1!G132,"AAAAAH/nQaI=")</f>
        <v>#VALUE!</v>
      </c>
      <c r="FH5" t="e">
        <f>AND(Sheet1!H132,"AAAAAH/nQaM=")</f>
        <v>#VALUE!</v>
      </c>
      <c r="FI5">
        <f>IF(Sheet1!133:133,"AAAAAH/nQaQ=",0)</f>
        <v>0</v>
      </c>
      <c r="FJ5" t="e">
        <f>AND(Sheet1!A133,"AAAAAH/nQaU=")</f>
        <v>#VALUE!</v>
      </c>
      <c r="FK5" t="e">
        <f>AND(Sheet1!B133,"AAAAAH/nQaY=")</f>
        <v>#VALUE!</v>
      </c>
      <c r="FL5" t="e">
        <f>AND(Sheet1!C133,"AAAAAH/nQac=")</f>
        <v>#VALUE!</v>
      </c>
      <c r="FM5" t="e">
        <f>AND(Sheet1!D133,"AAAAAH/nQag=")</f>
        <v>#VALUE!</v>
      </c>
      <c r="FN5" t="e">
        <f>AND(Sheet1!E133,"AAAAAH/nQak=")</f>
        <v>#VALUE!</v>
      </c>
      <c r="FO5" t="e">
        <f>AND(Sheet1!F133,"AAAAAH/nQao=")</f>
        <v>#VALUE!</v>
      </c>
      <c r="FP5" t="e">
        <f>AND(Sheet1!G133,"AAAAAH/nQas=")</f>
        <v>#VALUE!</v>
      </c>
      <c r="FQ5" t="e">
        <f>AND(Sheet1!H133,"AAAAAH/nQaw=")</f>
        <v>#VALUE!</v>
      </c>
      <c r="FR5">
        <f>IF(Sheet1!134:134,"AAAAAH/nQa0=",0)</f>
        <v>0</v>
      </c>
      <c r="FS5" t="e">
        <f>AND(Sheet1!A134,"AAAAAH/nQa4=")</f>
        <v>#VALUE!</v>
      </c>
      <c r="FT5" t="e">
        <f>AND(Sheet1!B134,"AAAAAH/nQa8=")</f>
        <v>#VALUE!</v>
      </c>
      <c r="FU5" t="e">
        <f>AND(Sheet1!C134,"AAAAAH/nQbA=")</f>
        <v>#VALUE!</v>
      </c>
      <c r="FV5" t="e">
        <f>AND(Sheet1!D134,"AAAAAH/nQbE=")</f>
        <v>#VALUE!</v>
      </c>
      <c r="FW5" t="e">
        <f>AND(Sheet1!E134,"AAAAAH/nQbI=")</f>
        <v>#VALUE!</v>
      </c>
      <c r="FX5" t="e">
        <f>AND(Sheet1!F134,"AAAAAH/nQbM=")</f>
        <v>#VALUE!</v>
      </c>
      <c r="FY5" t="e">
        <f>AND(Sheet1!G134,"AAAAAH/nQbQ=")</f>
        <v>#VALUE!</v>
      </c>
      <c r="FZ5" t="e">
        <f>AND(Sheet1!H134,"AAAAAH/nQbU=")</f>
        <v>#VALUE!</v>
      </c>
      <c r="GA5">
        <f>IF(Sheet1!135:135,"AAAAAH/nQbY=",0)</f>
        <v>0</v>
      </c>
      <c r="GB5" t="e">
        <f>AND(Sheet1!A135,"AAAAAH/nQbc=")</f>
        <v>#VALUE!</v>
      </c>
      <c r="GC5" t="e">
        <f>AND(Sheet1!B135,"AAAAAH/nQbg=")</f>
        <v>#VALUE!</v>
      </c>
      <c r="GD5" t="e">
        <f>AND(Sheet1!C135,"AAAAAH/nQbk=")</f>
        <v>#VALUE!</v>
      </c>
      <c r="GE5" t="e">
        <f>AND(Sheet1!D135,"AAAAAH/nQbo=")</f>
        <v>#VALUE!</v>
      </c>
      <c r="GF5" t="e">
        <f>AND(Sheet1!E135,"AAAAAH/nQbs=")</f>
        <v>#VALUE!</v>
      </c>
      <c r="GG5" t="e">
        <f>AND(Sheet1!F135,"AAAAAH/nQbw=")</f>
        <v>#VALUE!</v>
      </c>
      <c r="GH5" t="e">
        <f>AND(Sheet1!G135,"AAAAAH/nQb0=")</f>
        <v>#VALUE!</v>
      </c>
      <c r="GI5" t="e">
        <f>AND(Sheet1!H135,"AAAAAH/nQb4=")</f>
        <v>#VALUE!</v>
      </c>
      <c r="GJ5">
        <f>IF(Sheet1!136:136,"AAAAAH/nQb8=",0)</f>
        <v>0</v>
      </c>
      <c r="GK5" t="e">
        <f>AND(Sheet1!A136,"AAAAAH/nQcA=")</f>
        <v>#VALUE!</v>
      </c>
      <c r="GL5" t="e">
        <f>AND(Sheet1!B136,"AAAAAH/nQcE=")</f>
        <v>#VALUE!</v>
      </c>
      <c r="GM5" t="e">
        <f>AND(Sheet1!C136,"AAAAAH/nQcI=")</f>
        <v>#VALUE!</v>
      </c>
      <c r="GN5" t="e">
        <f>AND(Sheet1!D136,"AAAAAH/nQcM=")</f>
        <v>#VALUE!</v>
      </c>
      <c r="GO5" t="e">
        <f>AND(Sheet1!E136,"AAAAAH/nQcQ=")</f>
        <v>#VALUE!</v>
      </c>
      <c r="GP5" t="e">
        <f>AND(Sheet1!F136,"AAAAAH/nQcU=")</f>
        <v>#VALUE!</v>
      </c>
      <c r="GQ5" t="e">
        <f>AND(Sheet1!G136,"AAAAAH/nQcY=")</f>
        <v>#VALUE!</v>
      </c>
      <c r="GR5" t="e">
        <f>AND(Sheet1!H136,"AAAAAH/nQcc=")</f>
        <v>#VALUE!</v>
      </c>
      <c r="GS5">
        <f>IF(Sheet1!137:137,"AAAAAH/nQcg=",0)</f>
        <v>0</v>
      </c>
      <c r="GT5" t="e">
        <f>AND(Sheet1!A137,"AAAAAH/nQck=")</f>
        <v>#VALUE!</v>
      </c>
      <c r="GU5" t="e">
        <f>AND(Sheet1!B137,"AAAAAH/nQco=")</f>
        <v>#VALUE!</v>
      </c>
      <c r="GV5" t="e">
        <f>AND(Sheet1!C137,"AAAAAH/nQcs=")</f>
        <v>#VALUE!</v>
      </c>
      <c r="GW5" t="e">
        <f>AND(Sheet1!D137,"AAAAAH/nQcw=")</f>
        <v>#VALUE!</v>
      </c>
      <c r="GX5" t="e">
        <f>AND(Sheet1!E137,"AAAAAH/nQc0=")</f>
        <v>#VALUE!</v>
      </c>
      <c r="GY5" t="e">
        <f>AND(Sheet1!F137,"AAAAAH/nQc4=")</f>
        <v>#VALUE!</v>
      </c>
      <c r="GZ5" t="e">
        <f>AND(Sheet1!G137,"AAAAAH/nQc8=")</f>
        <v>#VALUE!</v>
      </c>
      <c r="HA5" t="e">
        <f>AND(Sheet1!H137,"AAAAAH/nQdA=")</f>
        <v>#VALUE!</v>
      </c>
      <c r="HB5">
        <f>IF(Sheet1!138:138,"AAAAAH/nQdE=",0)</f>
        <v>0</v>
      </c>
      <c r="HC5" t="e">
        <f>AND(Sheet1!A138,"AAAAAH/nQdI=")</f>
        <v>#VALUE!</v>
      </c>
      <c r="HD5" t="e">
        <f>AND(Sheet1!B138,"AAAAAH/nQdM=")</f>
        <v>#VALUE!</v>
      </c>
      <c r="HE5" t="e">
        <f>AND(Sheet1!C138,"AAAAAH/nQdQ=")</f>
        <v>#VALUE!</v>
      </c>
      <c r="HF5" t="e">
        <f>AND(Sheet1!D138,"AAAAAH/nQdU=")</f>
        <v>#VALUE!</v>
      </c>
      <c r="HG5" t="e">
        <f>AND(Sheet1!E138,"AAAAAH/nQdY=")</f>
        <v>#VALUE!</v>
      </c>
      <c r="HH5" t="e">
        <f>AND(Sheet1!F138,"AAAAAH/nQdc=")</f>
        <v>#VALUE!</v>
      </c>
      <c r="HI5" t="e">
        <f>AND(Sheet1!G138,"AAAAAH/nQdg=")</f>
        <v>#VALUE!</v>
      </c>
      <c r="HJ5" t="e">
        <f>AND(Sheet1!H138,"AAAAAH/nQdk=")</f>
        <v>#VALUE!</v>
      </c>
      <c r="HK5">
        <f>IF(Sheet1!139:139,"AAAAAH/nQdo=",0)</f>
        <v>0</v>
      </c>
      <c r="HL5" t="e">
        <f>AND(Sheet1!A139,"AAAAAH/nQds=")</f>
        <v>#VALUE!</v>
      </c>
      <c r="HM5" t="e">
        <f>AND(Sheet1!B139,"AAAAAH/nQdw=")</f>
        <v>#VALUE!</v>
      </c>
      <c r="HN5" t="e">
        <f>AND(Sheet1!C139,"AAAAAH/nQd0=")</f>
        <v>#VALUE!</v>
      </c>
      <c r="HO5" t="e">
        <f>AND(Sheet1!D139,"AAAAAH/nQd4=")</f>
        <v>#VALUE!</v>
      </c>
      <c r="HP5" t="e">
        <f>AND(Sheet1!E139,"AAAAAH/nQd8=")</f>
        <v>#VALUE!</v>
      </c>
      <c r="HQ5" t="e">
        <f>AND(Sheet1!F139,"AAAAAH/nQeA=")</f>
        <v>#VALUE!</v>
      </c>
      <c r="HR5" t="e">
        <f>AND(Sheet1!G139,"AAAAAH/nQeE=")</f>
        <v>#VALUE!</v>
      </c>
      <c r="HS5" t="e">
        <f>AND(Sheet1!H139,"AAAAAH/nQeI=")</f>
        <v>#VALUE!</v>
      </c>
      <c r="HT5">
        <f>IF(Sheet1!140:140,"AAAAAH/nQeM=",0)</f>
        <v>0</v>
      </c>
      <c r="HU5" t="e">
        <f>AND(Sheet1!A140,"AAAAAH/nQeQ=")</f>
        <v>#VALUE!</v>
      </c>
      <c r="HV5" t="e">
        <f>AND(Sheet1!B140,"AAAAAH/nQeU=")</f>
        <v>#VALUE!</v>
      </c>
      <c r="HW5" t="e">
        <f>AND(Sheet1!C140,"AAAAAH/nQeY=")</f>
        <v>#VALUE!</v>
      </c>
      <c r="HX5" t="e">
        <f>AND(Sheet1!D140,"AAAAAH/nQec=")</f>
        <v>#VALUE!</v>
      </c>
      <c r="HY5" t="e">
        <f>AND(Sheet1!E140,"AAAAAH/nQeg=")</f>
        <v>#VALUE!</v>
      </c>
      <c r="HZ5" t="e">
        <f>AND(Sheet1!F140,"AAAAAH/nQek=")</f>
        <v>#VALUE!</v>
      </c>
      <c r="IA5" t="e">
        <f>AND(Sheet1!G140,"AAAAAH/nQeo=")</f>
        <v>#VALUE!</v>
      </c>
      <c r="IB5" t="e">
        <f>AND(Sheet1!H140,"AAAAAH/nQes=")</f>
        <v>#VALUE!</v>
      </c>
      <c r="IC5">
        <f>IF(Sheet1!141:141,"AAAAAH/nQew=",0)</f>
        <v>0</v>
      </c>
      <c r="ID5" t="e">
        <f>AND(Sheet1!A141,"AAAAAH/nQe0=")</f>
        <v>#VALUE!</v>
      </c>
      <c r="IE5" t="e">
        <f>AND(Sheet1!B141,"AAAAAH/nQe4=")</f>
        <v>#VALUE!</v>
      </c>
      <c r="IF5" t="e">
        <f>AND(Sheet1!C141,"AAAAAH/nQe8=")</f>
        <v>#VALUE!</v>
      </c>
      <c r="IG5" t="e">
        <f>AND(Sheet1!D141,"AAAAAH/nQfA=")</f>
        <v>#VALUE!</v>
      </c>
      <c r="IH5" t="e">
        <f>AND(Sheet1!E141,"AAAAAH/nQfE=")</f>
        <v>#VALUE!</v>
      </c>
      <c r="II5" t="e">
        <f>AND(Sheet1!F141,"AAAAAH/nQfI=")</f>
        <v>#VALUE!</v>
      </c>
      <c r="IJ5" t="e">
        <f>AND(Sheet1!G141,"AAAAAH/nQfM=")</f>
        <v>#VALUE!</v>
      </c>
      <c r="IK5" t="e">
        <f>AND(Sheet1!H141,"AAAAAH/nQfQ=")</f>
        <v>#VALUE!</v>
      </c>
      <c r="IL5">
        <f>IF(Sheet1!142:142,"AAAAAH/nQfU=",0)</f>
        <v>0</v>
      </c>
      <c r="IM5" t="e">
        <f>AND(Sheet1!A142,"AAAAAH/nQfY=")</f>
        <v>#VALUE!</v>
      </c>
      <c r="IN5" t="e">
        <f>AND(Sheet1!B142,"AAAAAH/nQfc=")</f>
        <v>#VALUE!</v>
      </c>
      <c r="IO5" t="e">
        <f>AND(Sheet1!C142,"AAAAAH/nQfg=")</f>
        <v>#VALUE!</v>
      </c>
      <c r="IP5" t="e">
        <f>AND(Sheet1!D142,"AAAAAH/nQfk=")</f>
        <v>#VALUE!</v>
      </c>
      <c r="IQ5" t="e">
        <f>AND(Sheet1!E142,"AAAAAH/nQfo=")</f>
        <v>#VALUE!</v>
      </c>
      <c r="IR5" t="e">
        <f>AND(Sheet1!F142,"AAAAAH/nQfs=")</f>
        <v>#VALUE!</v>
      </c>
      <c r="IS5" t="e">
        <f>AND(Sheet1!G142,"AAAAAH/nQfw=")</f>
        <v>#VALUE!</v>
      </c>
      <c r="IT5" t="e">
        <f>AND(Sheet1!H142,"AAAAAH/nQf0=")</f>
        <v>#VALUE!</v>
      </c>
      <c r="IU5">
        <f>IF(Sheet1!143:143,"AAAAAH/nQf4=",0)</f>
        <v>0</v>
      </c>
      <c r="IV5" t="e">
        <f>AND(Sheet1!A143,"AAAAAH/nQf8=")</f>
        <v>#VALUE!</v>
      </c>
    </row>
    <row r="6" spans="1:256" x14ac:dyDescent="0.25">
      <c r="A6" t="e">
        <f>AND(Sheet1!B143,"AAAAADe39wA=")</f>
        <v>#VALUE!</v>
      </c>
      <c r="B6" t="e">
        <f>AND(Sheet1!C143,"AAAAADe39wE=")</f>
        <v>#VALUE!</v>
      </c>
      <c r="C6" t="e">
        <f>AND(Sheet1!D143,"AAAAADe39wI=")</f>
        <v>#VALUE!</v>
      </c>
      <c r="D6" t="e">
        <f>AND(Sheet1!E143,"AAAAADe39wM=")</f>
        <v>#VALUE!</v>
      </c>
      <c r="E6" t="e">
        <f>AND(Sheet1!F143,"AAAAADe39wQ=")</f>
        <v>#VALUE!</v>
      </c>
      <c r="F6" t="e">
        <f>AND(Sheet1!G143,"AAAAADe39wU=")</f>
        <v>#VALUE!</v>
      </c>
      <c r="G6" t="e">
        <f>AND(Sheet1!H143,"AAAAADe39wY=")</f>
        <v>#VALUE!</v>
      </c>
      <c r="H6" t="str">
        <f ca="1">IF(Sheet1!144:144,"AAAAADe39wc=",0)</f>
        <v>AAAAADe39wc=</v>
      </c>
      <c r="I6" t="e">
        <f>AND(Sheet1!A144,"AAAAADe39wg=")</f>
        <v>#VALUE!</v>
      </c>
      <c r="J6" t="e">
        <f>AND(Sheet1!B144,"AAAAADe39wk=")</f>
        <v>#VALUE!</v>
      </c>
      <c r="K6" t="e">
        <f>AND(Sheet1!C144,"AAAAADe39wo=")</f>
        <v>#VALUE!</v>
      </c>
      <c r="L6" t="e">
        <f>AND(Sheet1!D144,"AAAAADe39ws=")</f>
        <v>#VALUE!</v>
      </c>
      <c r="M6" t="e">
        <f>AND(Sheet1!E144,"AAAAADe39ww=")</f>
        <v>#VALUE!</v>
      </c>
      <c r="N6" t="e">
        <f>AND(Sheet1!F144,"AAAAADe39w0=")</f>
        <v>#VALUE!</v>
      </c>
      <c r="O6" t="e">
        <f>AND(Sheet1!G144,"AAAAADe39w4=")</f>
        <v>#VALUE!</v>
      </c>
      <c r="P6" t="e">
        <f>AND(Sheet1!H144,"AAAAADe39w8=")</f>
        <v>#VALUE!</v>
      </c>
      <c r="Q6">
        <f>IF(Sheet1!145:145,"AAAAADe39xA=",0)</f>
        <v>0</v>
      </c>
      <c r="R6" t="e">
        <f>AND(Sheet1!A145,"AAAAADe39xE=")</f>
        <v>#VALUE!</v>
      </c>
      <c r="S6" t="e">
        <f>AND(Sheet1!B145,"AAAAADe39xI=")</f>
        <v>#VALUE!</v>
      </c>
      <c r="T6" t="e">
        <f>AND(Sheet1!C145,"AAAAADe39xM=")</f>
        <v>#VALUE!</v>
      </c>
      <c r="U6" t="e">
        <f>AND(Sheet1!D145,"AAAAADe39xQ=")</f>
        <v>#VALUE!</v>
      </c>
      <c r="V6" t="e">
        <f>AND(Sheet1!E145,"AAAAADe39xU=")</f>
        <v>#VALUE!</v>
      </c>
      <c r="W6" t="e">
        <f>AND(Sheet1!F145,"AAAAADe39xY=")</f>
        <v>#VALUE!</v>
      </c>
      <c r="X6" t="e">
        <f>AND(Sheet1!G145,"AAAAADe39xc=")</f>
        <v>#VALUE!</v>
      </c>
      <c r="Y6" t="e">
        <f>AND(Sheet1!H145,"AAAAADe39xg=")</f>
        <v>#VALUE!</v>
      </c>
      <c r="Z6">
        <f>IF(Sheet1!146:146,"AAAAADe39xk=",0)</f>
        <v>0</v>
      </c>
      <c r="AA6" t="e">
        <f>AND(Sheet1!A146,"AAAAADe39xo=")</f>
        <v>#VALUE!</v>
      </c>
      <c r="AB6" t="e">
        <f>AND(Sheet1!B146,"AAAAADe39xs=")</f>
        <v>#VALUE!</v>
      </c>
      <c r="AC6" t="e">
        <f>AND(Sheet1!C146,"AAAAADe39xw=")</f>
        <v>#VALUE!</v>
      </c>
      <c r="AD6" t="e">
        <f>AND(Sheet1!D146,"AAAAADe39x0=")</f>
        <v>#VALUE!</v>
      </c>
      <c r="AE6" t="e">
        <f>AND(Sheet1!E146,"AAAAADe39x4=")</f>
        <v>#VALUE!</v>
      </c>
      <c r="AF6" t="e">
        <f>AND(Sheet1!F146,"AAAAADe39x8=")</f>
        <v>#VALUE!</v>
      </c>
      <c r="AG6" t="e">
        <f>AND(Sheet1!G146,"AAAAADe39yA=")</f>
        <v>#VALUE!</v>
      </c>
      <c r="AH6" t="e">
        <f>AND(Sheet1!H146,"AAAAADe39yE=")</f>
        <v>#VALUE!</v>
      </c>
      <c r="AI6">
        <f>IF(Sheet1!147:147,"AAAAADe39yI=",0)</f>
        <v>0</v>
      </c>
      <c r="AJ6" t="e">
        <f>AND(Sheet1!A147,"AAAAADe39yM=")</f>
        <v>#VALUE!</v>
      </c>
      <c r="AK6" t="e">
        <f>AND(Sheet1!B147,"AAAAADe39yQ=")</f>
        <v>#VALUE!</v>
      </c>
      <c r="AL6" t="e">
        <f>AND(Sheet1!C147,"AAAAADe39yU=")</f>
        <v>#VALUE!</v>
      </c>
      <c r="AM6" t="e">
        <f>AND(Sheet1!D147,"AAAAADe39yY=")</f>
        <v>#VALUE!</v>
      </c>
      <c r="AN6" t="e">
        <f>AND(Sheet1!E147,"AAAAADe39yc=")</f>
        <v>#VALUE!</v>
      </c>
      <c r="AO6" t="e">
        <f>AND(Sheet1!F147,"AAAAADe39yg=")</f>
        <v>#VALUE!</v>
      </c>
      <c r="AP6" t="e">
        <f>AND(Sheet1!G147,"AAAAADe39yk=")</f>
        <v>#VALUE!</v>
      </c>
      <c r="AQ6" t="e">
        <f>AND(Sheet1!H147,"AAAAADe39yo=")</f>
        <v>#VALUE!</v>
      </c>
      <c r="AR6">
        <f>IF(Sheet1!148:148,"AAAAADe39ys=",0)</f>
        <v>0</v>
      </c>
      <c r="AS6" t="e">
        <f>AND(Sheet1!A148,"AAAAADe39yw=")</f>
        <v>#VALUE!</v>
      </c>
      <c r="AT6" t="e">
        <f>AND(Sheet1!B148,"AAAAADe39y0=")</f>
        <v>#VALUE!</v>
      </c>
      <c r="AU6" t="e">
        <f>AND(Sheet1!C148,"AAAAADe39y4=")</f>
        <v>#VALUE!</v>
      </c>
      <c r="AV6" t="e">
        <f>AND(Sheet1!D148,"AAAAADe39y8=")</f>
        <v>#VALUE!</v>
      </c>
      <c r="AW6" t="e">
        <f>AND(Sheet1!E148,"AAAAADe39zA=")</f>
        <v>#VALUE!</v>
      </c>
      <c r="AX6" t="e">
        <f>AND(Sheet1!F148,"AAAAADe39zE=")</f>
        <v>#VALUE!</v>
      </c>
      <c r="AY6" t="e">
        <f>AND(Sheet1!G148,"AAAAADe39zI=")</f>
        <v>#VALUE!</v>
      </c>
      <c r="AZ6" t="e">
        <f>AND(Sheet1!H148,"AAAAADe39zM=")</f>
        <v>#VALUE!</v>
      </c>
      <c r="BA6">
        <f>IF(Sheet1!149:149,"AAAAADe39zQ=",0)</f>
        <v>0</v>
      </c>
      <c r="BB6" t="e">
        <f>AND(Sheet1!A149,"AAAAADe39zU=")</f>
        <v>#VALUE!</v>
      </c>
      <c r="BC6" t="e">
        <f>AND(Sheet1!B149,"AAAAADe39zY=")</f>
        <v>#VALUE!</v>
      </c>
      <c r="BD6" t="e">
        <f>AND(Sheet1!C149,"AAAAADe39zc=")</f>
        <v>#VALUE!</v>
      </c>
      <c r="BE6" t="e">
        <f>AND(Sheet1!D149,"AAAAADe39zg=")</f>
        <v>#VALUE!</v>
      </c>
      <c r="BF6" t="e">
        <f>AND(Sheet1!E149,"AAAAADe39zk=")</f>
        <v>#VALUE!</v>
      </c>
      <c r="BG6" t="e">
        <f>AND(Sheet1!F149,"AAAAADe39zo=")</f>
        <v>#VALUE!</v>
      </c>
      <c r="BH6" t="e">
        <f>AND(Sheet1!G149,"AAAAADe39zs=")</f>
        <v>#VALUE!</v>
      </c>
      <c r="BI6" t="e">
        <f>AND(Sheet1!H149,"AAAAADe39zw=")</f>
        <v>#VALUE!</v>
      </c>
      <c r="BJ6">
        <f>IF(Sheet1!150:150,"AAAAADe39z0=",0)</f>
        <v>0</v>
      </c>
      <c r="BK6" t="e">
        <f>AND(Sheet1!A150,"AAAAADe39z4=")</f>
        <v>#VALUE!</v>
      </c>
      <c r="BL6" t="e">
        <f>AND(Sheet1!B150,"AAAAADe39z8=")</f>
        <v>#VALUE!</v>
      </c>
      <c r="BM6" t="e">
        <f>AND(Sheet1!C150,"AAAAADe390A=")</f>
        <v>#VALUE!</v>
      </c>
      <c r="BN6" t="e">
        <f>AND(Sheet1!D150,"AAAAADe390E=")</f>
        <v>#VALUE!</v>
      </c>
      <c r="BO6" t="e">
        <f>AND(Sheet1!E150,"AAAAADe390I=")</f>
        <v>#VALUE!</v>
      </c>
      <c r="BP6" t="e">
        <f>AND(Sheet1!F150,"AAAAADe390M=")</f>
        <v>#VALUE!</v>
      </c>
      <c r="BQ6" t="e">
        <f>AND(Sheet1!G150,"AAAAADe390Q=")</f>
        <v>#VALUE!</v>
      </c>
      <c r="BR6" t="e">
        <f>AND(Sheet1!H150,"AAAAADe390U=")</f>
        <v>#VALUE!</v>
      </c>
      <c r="BS6">
        <f>IF(Sheet1!151:151,"AAAAADe390Y=",0)</f>
        <v>0</v>
      </c>
      <c r="BT6" t="e">
        <f>AND(Sheet1!A151,"AAAAADe390c=")</f>
        <v>#VALUE!</v>
      </c>
      <c r="BU6" t="e">
        <f>AND(Sheet1!B151,"AAAAADe390g=")</f>
        <v>#VALUE!</v>
      </c>
      <c r="BV6" t="e">
        <f>AND(Sheet1!C151,"AAAAADe390k=")</f>
        <v>#VALUE!</v>
      </c>
      <c r="BW6" t="e">
        <f>AND(Sheet1!D151,"AAAAADe390o=")</f>
        <v>#VALUE!</v>
      </c>
      <c r="BX6" t="e">
        <f>AND(Sheet1!E151,"AAAAADe390s=")</f>
        <v>#VALUE!</v>
      </c>
      <c r="BY6" t="e">
        <f>AND(Sheet1!F151,"AAAAADe390w=")</f>
        <v>#VALUE!</v>
      </c>
      <c r="BZ6" t="e">
        <f>AND(Sheet1!G151,"AAAAADe3900=")</f>
        <v>#VALUE!</v>
      </c>
      <c r="CA6" t="e">
        <f>AND(Sheet1!H151,"AAAAADe3904=")</f>
        <v>#VALUE!</v>
      </c>
      <c r="CB6">
        <f>IF(Sheet1!152:152,"AAAAADe3908=",0)</f>
        <v>0</v>
      </c>
      <c r="CC6" t="e">
        <f>AND(Sheet1!A152,"AAAAADe391A=")</f>
        <v>#VALUE!</v>
      </c>
      <c r="CD6" t="e">
        <f>AND(Sheet1!B152,"AAAAADe391E=")</f>
        <v>#VALUE!</v>
      </c>
      <c r="CE6" t="e">
        <f>AND(Sheet1!C152,"AAAAADe391I=")</f>
        <v>#VALUE!</v>
      </c>
      <c r="CF6" t="e">
        <f>AND(Sheet1!D152,"AAAAADe391M=")</f>
        <v>#VALUE!</v>
      </c>
      <c r="CG6" t="e">
        <f>AND(Sheet1!E152,"AAAAADe391Q=")</f>
        <v>#VALUE!</v>
      </c>
      <c r="CH6" t="e">
        <f>AND(Sheet1!F152,"AAAAADe391U=")</f>
        <v>#VALUE!</v>
      </c>
      <c r="CI6" t="e">
        <f>AND(Sheet1!G152,"AAAAADe391Y=")</f>
        <v>#VALUE!</v>
      </c>
      <c r="CJ6" t="e">
        <f>AND(Sheet1!H152,"AAAAADe391c=")</f>
        <v>#VALUE!</v>
      </c>
      <c r="CK6">
        <f>IF(Sheet1!153:153,"AAAAADe391g=",0)</f>
        <v>0</v>
      </c>
      <c r="CL6" t="e">
        <f>AND(Sheet1!A153,"AAAAADe391k=")</f>
        <v>#VALUE!</v>
      </c>
      <c r="CM6" t="e">
        <f>AND(Sheet1!B153,"AAAAADe391o=")</f>
        <v>#VALUE!</v>
      </c>
      <c r="CN6" t="e">
        <f>AND(Sheet1!C153,"AAAAADe391s=")</f>
        <v>#VALUE!</v>
      </c>
      <c r="CO6" t="e">
        <f>AND(Sheet1!D153,"AAAAADe391w=")</f>
        <v>#VALUE!</v>
      </c>
      <c r="CP6" t="e">
        <f>AND(Sheet1!E153,"AAAAADe3910=")</f>
        <v>#VALUE!</v>
      </c>
      <c r="CQ6" t="e">
        <f>AND(Sheet1!F153,"AAAAADe3914=")</f>
        <v>#VALUE!</v>
      </c>
      <c r="CR6" t="e">
        <f>AND(Sheet1!G153,"AAAAADe3918=")</f>
        <v>#VALUE!</v>
      </c>
      <c r="CS6" t="e">
        <f>AND(Sheet1!H153,"AAAAADe392A=")</f>
        <v>#VALUE!</v>
      </c>
      <c r="CT6">
        <f>IF(Sheet1!154:154,"AAAAADe392E=",0)</f>
        <v>0</v>
      </c>
      <c r="CU6" t="e">
        <f>AND(Sheet1!A154,"AAAAADe392I=")</f>
        <v>#VALUE!</v>
      </c>
      <c r="CV6" t="e">
        <f>AND(Sheet1!B154,"AAAAADe392M=")</f>
        <v>#VALUE!</v>
      </c>
      <c r="CW6" t="e">
        <f>AND(Sheet1!C154,"AAAAADe392Q=")</f>
        <v>#VALUE!</v>
      </c>
      <c r="CX6" t="e">
        <f>AND(Sheet1!D154,"AAAAADe392U=")</f>
        <v>#VALUE!</v>
      </c>
      <c r="CY6" t="e">
        <f>AND(Sheet1!E154,"AAAAADe392Y=")</f>
        <v>#VALUE!</v>
      </c>
      <c r="CZ6" t="e">
        <f>AND(Sheet1!F154,"AAAAADe392c=")</f>
        <v>#VALUE!</v>
      </c>
      <c r="DA6" t="e">
        <f>AND(Sheet1!G154,"AAAAADe392g=")</f>
        <v>#VALUE!</v>
      </c>
      <c r="DB6" t="e">
        <f>AND(Sheet1!H154,"AAAAADe392k=")</f>
        <v>#VALUE!</v>
      </c>
      <c r="DC6">
        <f>IF(Sheet1!155:155,"AAAAADe392o=",0)</f>
        <v>0</v>
      </c>
      <c r="DD6" t="e">
        <f>AND(Sheet1!A155,"AAAAADe392s=")</f>
        <v>#VALUE!</v>
      </c>
      <c r="DE6" t="e">
        <f>AND(Sheet1!B155,"AAAAADe392w=")</f>
        <v>#VALUE!</v>
      </c>
      <c r="DF6" t="e">
        <f>AND(Sheet1!C155,"AAAAADe3920=")</f>
        <v>#VALUE!</v>
      </c>
      <c r="DG6" t="e">
        <f>AND(Sheet1!D155,"AAAAADe3924=")</f>
        <v>#VALUE!</v>
      </c>
      <c r="DH6" t="e">
        <f>AND(Sheet1!E155,"AAAAADe3928=")</f>
        <v>#VALUE!</v>
      </c>
      <c r="DI6" t="e">
        <f>AND(Sheet1!F155,"AAAAADe393A=")</f>
        <v>#VALUE!</v>
      </c>
      <c r="DJ6" t="e">
        <f>AND(Sheet1!G155,"AAAAADe393E=")</f>
        <v>#VALUE!</v>
      </c>
      <c r="DK6" t="e">
        <f>AND(Sheet1!H155,"AAAAADe393I=")</f>
        <v>#VALUE!</v>
      </c>
      <c r="DL6">
        <f>IF(Sheet1!156:156,"AAAAADe393M=",0)</f>
        <v>0</v>
      </c>
      <c r="DM6" t="e">
        <f>AND(Sheet1!A156,"AAAAADe393Q=")</f>
        <v>#VALUE!</v>
      </c>
      <c r="DN6" t="e">
        <f>AND(Sheet1!B156,"AAAAADe393U=")</f>
        <v>#VALUE!</v>
      </c>
      <c r="DO6" t="e">
        <f>AND(Sheet1!C156,"AAAAADe393Y=")</f>
        <v>#VALUE!</v>
      </c>
      <c r="DP6" t="e">
        <f>AND(Sheet1!D156,"AAAAADe393c=")</f>
        <v>#VALUE!</v>
      </c>
      <c r="DQ6" t="e">
        <f>AND(Sheet1!E156,"AAAAADe393g=")</f>
        <v>#VALUE!</v>
      </c>
      <c r="DR6" t="e">
        <f>AND(Sheet1!F156,"AAAAADe393k=")</f>
        <v>#VALUE!</v>
      </c>
      <c r="DS6" t="e">
        <f>AND(Sheet1!G156,"AAAAADe393o=")</f>
        <v>#VALUE!</v>
      </c>
      <c r="DT6" t="e">
        <f>AND(Sheet1!H156,"AAAAADe393s=")</f>
        <v>#VALUE!</v>
      </c>
      <c r="DU6">
        <f>IF(Sheet1!157:157,"AAAAADe393w=",0)</f>
        <v>0</v>
      </c>
      <c r="DV6" t="e">
        <f>AND(Sheet1!A157,"AAAAADe3930=")</f>
        <v>#VALUE!</v>
      </c>
      <c r="DW6" t="e">
        <f>AND(Sheet1!B157,"AAAAADe3934=")</f>
        <v>#VALUE!</v>
      </c>
      <c r="DX6" t="e">
        <f>AND(Sheet1!C157,"AAAAADe3938=")</f>
        <v>#VALUE!</v>
      </c>
      <c r="DY6" t="e">
        <f>AND(Sheet1!D157,"AAAAADe394A=")</f>
        <v>#VALUE!</v>
      </c>
      <c r="DZ6" t="e">
        <f>AND(Sheet1!E157,"AAAAADe394E=")</f>
        <v>#VALUE!</v>
      </c>
      <c r="EA6" t="e">
        <f>AND(Sheet1!F157,"AAAAADe394I=")</f>
        <v>#VALUE!</v>
      </c>
      <c r="EB6" t="e">
        <f>AND(Sheet1!G157,"AAAAADe394M=")</f>
        <v>#VALUE!</v>
      </c>
      <c r="EC6" t="e">
        <f>AND(Sheet1!H157,"AAAAADe394Q=")</f>
        <v>#VALUE!</v>
      </c>
      <c r="ED6">
        <f>IF(Sheet1!158:158,"AAAAADe394U=",0)</f>
        <v>0</v>
      </c>
      <c r="EE6" t="e">
        <f>AND(Sheet1!A158,"AAAAADe394Y=")</f>
        <v>#VALUE!</v>
      </c>
      <c r="EF6" t="e">
        <f>AND(Sheet1!B158,"AAAAADe394c=")</f>
        <v>#VALUE!</v>
      </c>
      <c r="EG6" t="e">
        <f>AND(Sheet1!C158,"AAAAADe394g=")</f>
        <v>#VALUE!</v>
      </c>
      <c r="EH6" t="e">
        <f>AND(Sheet1!D158,"AAAAADe394k=")</f>
        <v>#VALUE!</v>
      </c>
      <c r="EI6" t="e">
        <f>AND(Sheet1!E158,"AAAAADe394o=")</f>
        <v>#VALUE!</v>
      </c>
      <c r="EJ6" t="e">
        <f>AND(Sheet1!F158,"AAAAADe394s=")</f>
        <v>#VALUE!</v>
      </c>
      <c r="EK6" t="e">
        <f>AND(Sheet1!G158,"AAAAADe394w=")</f>
        <v>#VALUE!</v>
      </c>
      <c r="EL6" t="e">
        <f>AND(Sheet1!H158,"AAAAADe3940=")</f>
        <v>#VALUE!</v>
      </c>
      <c r="EM6">
        <f>IF(Sheet1!159:159,"AAAAADe3944=",0)</f>
        <v>0</v>
      </c>
      <c r="EN6" t="e">
        <f>AND(Sheet1!A159,"AAAAADe3948=")</f>
        <v>#VALUE!</v>
      </c>
      <c r="EO6" t="e">
        <f>AND(Sheet1!B159,"AAAAADe395A=")</f>
        <v>#VALUE!</v>
      </c>
      <c r="EP6" t="e">
        <f>AND(Sheet1!C159,"AAAAADe395E=")</f>
        <v>#VALUE!</v>
      </c>
      <c r="EQ6" t="e">
        <f>AND(Sheet1!D159,"AAAAADe395I=")</f>
        <v>#VALUE!</v>
      </c>
      <c r="ER6" t="e">
        <f>AND(Sheet1!E159,"AAAAADe395M=")</f>
        <v>#VALUE!</v>
      </c>
      <c r="ES6" t="e">
        <f>AND(Sheet1!F159,"AAAAADe395Q=")</f>
        <v>#VALUE!</v>
      </c>
      <c r="ET6" t="e">
        <f>AND(Sheet1!G159,"AAAAADe395U=")</f>
        <v>#VALUE!</v>
      </c>
      <c r="EU6" t="e">
        <f>AND(Sheet1!H159,"AAAAADe395Y=")</f>
        <v>#VALUE!</v>
      </c>
      <c r="EV6">
        <f>IF(Sheet1!160:160,"AAAAADe395c=",0)</f>
        <v>0</v>
      </c>
      <c r="EW6" t="e">
        <f>AND(Sheet1!A160,"AAAAADe395g=")</f>
        <v>#VALUE!</v>
      </c>
      <c r="EX6" t="e">
        <f>AND(Sheet1!B160,"AAAAADe395k=")</f>
        <v>#VALUE!</v>
      </c>
      <c r="EY6" t="e">
        <f>AND(Sheet1!C160,"AAAAADe395o=")</f>
        <v>#VALUE!</v>
      </c>
      <c r="EZ6" t="e">
        <f>AND(Sheet1!D160,"AAAAADe395s=")</f>
        <v>#VALUE!</v>
      </c>
      <c r="FA6" t="e">
        <f>AND(Sheet1!E160,"AAAAADe395w=")</f>
        <v>#VALUE!</v>
      </c>
      <c r="FB6" t="e">
        <f>AND(Sheet1!F160,"AAAAADe3950=")</f>
        <v>#VALUE!</v>
      </c>
      <c r="FC6" t="e">
        <f>AND(Sheet1!G160,"AAAAADe3954=")</f>
        <v>#VALUE!</v>
      </c>
      <c r="FD6" t="e">
        <f>AND(Sheet1!H160,"AAAAADe3958=")</f>
        <v>#VALUE!</v>
      </c>
      <c r="FE6">
        <f>IF(Sheet1!161:161,"AAAAADe396A=",0)</f>
        <v>0</v>
      </c>
      <c r="FF6" t="e">
        <f>AND(Sheet1!A161,"AAAAADe396E=")</f>
        <v>#VALUE!</v>
      </c>
      <c r="FG6" t="e">
        <f>AND(Sheet1!B161,"AAAAADe396I=")</f>
        <v>#VALUE!</v>
      </c>
      <c r="FH6" t="e">
        <f>AND(Sheet1!C161,"AAAAADe396M=")</f>
        <v>#VALUE!</v>
      </c>
      <c r="FI6" t="e">
        <f>AND(Sheet1!D161,"AAAAADe396Q=")</f>
        <v>#VALUE!</v>
      </c>
      <c r="FJ6" t="e">
        <f>AND(Sheet1!E161,"AAAAADe396U=")</f>
        <v>#VALUE!</v>
      </c>
      <c r="FK6" t="e">
        <f>AND(Sheet1!F161,"AAAAADe396Y=")</f>
        <v>#VALUE!</v>
      </c>
      <c r="FL6" t="e">
        <f>AND(Sheet1!G161,"AAAAADe396c=")</f>
        <v>#VALUE!</v>
      </c>
      <c r="FM6" t="e">
        <f>AND(Sheet1!H161,"AAAAADe396g=")</f>
        <v>#VALUE!</v>
      </c>
      <c r="FN6">
        <f>IF(Sheet1!162:162,"AAAAADe396k=",0)</f>
        <v>0</v>
      </c>
      <c r="FO6" t="e">
        <f>AND(Sheet1!A162,"AAAAADe396o=")</f>
        <v>#VALUE!</v>
      </c>
      <c r="FP6" t="e">
        <f>AND(Sheet1!B162,"AAAAADe396s=")</f>
        <v>#VALUE!</v>
      </c>
      <c r="FQ6" t="e">
        <f>AND(Sheet1!C162,"AAAAADe396w=")</f>
        <v>#VALUE!</v>
      </c>
      <c r="FR6" t="e">
        <f>AND(Sheet1!D162,"AAAAADe3960=")</f>
        <v>#VALUE!</v>
      </c>
      <c r="FS6" t="e">
        <f>AND(Sheet1!E162,"AAAAADe3964=")</f>
        <v>#VALUE!</v>
      </c>
      <c r="FT6" t="e">
        <f>AND(Sheet1!F162,"AAAAADe3968=")</f>
        <v>#VALUE!</v>
      </c>
      <c r="FU6" t="e">
        <f>AND(Sheet1!G162,"AAAAADe397A=")</f>
        <v>#VALUE!</v>
      </c>
      <c r="FV6" t="e">
        <f>AND(Sheet1!H162,"AAAAADe397E=")</f>
        <v>#VALUE!</v>
      </c>
      <c r="FW6">
        <f>IF(Sheet1!163:163,"AAAAADe397I=",0)</f>
        <v>0</v>
      </c>
      <c r="FX6" t="e">
        <f>AND(Sheet1!A163,"AAAAADe397M=")</f>
        <v>#VALUE!</v>
      </c>
      <c r="FY6" t="e">
        <f>AND(Sheet1!B163,"AAAAADe397Q=")</f>
        <v>#VALUE!</v>
      </c>
      <c r="FZ6" t="e">
        <f>AND(Sheet1!C163,"AAAAADe397U=")</f>
        <v>#VALUE!</v>
      </c>
      <c r="GA6" t="e">
        <f>AND(Sheet1!D163,"AAAAADe397Y=")</f>
        <v>#VALUE!</v>
      </c>
      <c r="GB6" t="e">
        <f>AND(Sheet1!E163,"AAAAADe397c=")</f>
        <v>#VALUE!</v>
      </c>
      <c r="GC6" t="e">
        <f>AND(Sheet1!F163,"AAAAADe397g=")</f>
        <v>#VALUE!</v>
      </c>
      <c r="GD6" t="e">
        <f>AND(Sheet1!G163,"AAAAADe397k=")</f>
        <v>#VALUE!</v>
      </c>
      <c r="GE6" t="e">
        <f>AND(Sheet1!H163,"AAAAADe397o=")</f>
        <v>#VALUE!</v>
      </c>
      <c r="GF6">
        <f>IF(Sheet1!164:164,"AAAAADe397s=",0)</f>
        <v>0</v>
      </c>
      <c r="GG6" t="e">
        <f>AND(Sheet1!A164,"AAAAADe397w=")</f>
        <v>#VALUE!</v>
      </c>
      <c r="GH6" t="e">
        <f>AND(Sheet1!B164,"AAAAADe3970=")</f>
        <v>#VALUE!</v>
      </c>
      <c r="GI6" t="e">
        <f>AND(Sheet1!C164,"AAAAADe3974=")</f>
        <v>#VALUE!</v>
      </c>
      <c r="GJ6" t="e">
        <f>AND(Sheet1!D164,"AAAAADe3978=")</f>
        <v>#VALUE!</v>
      </c>
      <c r="GK6" t="e">
        <f>AND(Sheet1!E164,"AAAAADe398A=")</f>
        <v>#VALUE!</v>
      </c>
      <c r="GL6" t="e">
        <f>AND(Sheet1!F164,"AAAAADe398E=")</f>
        <v>#VALUE!</v>
      </c>
      <c r="GM6" t="e">
        <f>AND(Sheet1!G164,"AAAAADe398I=")</f>
        <v>#VALUE!</v>
      </c>
      <c r="GN6" t="e">
        <f>AND(Sheet1!H164,"AAAAADe398M=")</f>
        <v>#VALUE!</v>
      </c>
      <c r="GO6">
        <f>IF(Sheet1!165:165,"AAAAADe398Q=",0)</f>
        <v>0</v>
      </c>
      <c r="GP6" t="e">
        <f>AND(Sheet1!A165,"AAAAADe398U=")</f>
        <v>#VALUE!</v>
      </c>
      <c r="GQ6" t="e">
        <f>AND(Sheet1!B165,"AAAAADe398Y=")</f>
        <v>#VALUE!</v>
      </c>
      <c r="GR6" t="e">
        <f>AND(Sheet1!C165,"AAAAADe398c=")</f>
        <v>#VALUE!</v>
      </c>
      <c r="GS6" t="e">
        <f>AND(Sheet1!D165,"AAAAADe398g=")</f>
        <v>#VALUE!</v>
      </c>
      <c r="GT6" t="e">
        <f>AND(Sheet1!E165,"AAAAADe398k=")</f>
        <v>#VALUE!</v>
      </c>
      <c r="GU6" t="e">
        <f>AND(Sheet1!F165,"AAAAADe398o=")</f>
        <v>#VALUE!</v>
      </c>
      <c r="GV6" t="e">
        <f>AND(Sheet1!G165,"AAAAADe398s=")</f>
        <v>#VALUE!</v>
      </c>
      <c r="GW6" t="e">
        <f>AND(Sheet1!H165,"AAAAADe398w=")</f>
        <v>#VALUE!</v>
      </c>
      <c r="GX6">
        <f>IF(Sheet1!166:166,"AAAAADe3980=",0)</f>
        <v>0</v>
      </c>
      <c r="GY6" t="e">
        <f>AND(Sheet1!A166,"AAAAADe3984=")</f>
        <v>#VALUE!</v>
      </c>
      <c r="GZ6" t="e">
        <f>AND(Sheet1!B166,"AAAAADe3988=")</f>
        <v>#VALUE!</v>
      </c>
      <c r="HA6" t="e">
        <f>AND(Sheet1!C166,"AAAAADe399A=")</f>
        <v>#VALUE!</v>
      </c>
      <c r="HB6" t="e">
        <f>AND(Sheet1!D166,"AAAAADe399E=")</f>
        <v>#VALUE!</v>
      </c>
      <c r="HC6" t="e">
        <f>AND(Sheet1!E166,"AAAAADe399I=")</f>
        <v>#VALUE!</v>
      </c>
      <c r="HD6" t="e">
        <f>AND(Sheet1!F166,"AAAAADe399M=")</f>
        <v>#VALUE!</v>
      </c>
      <c r="HE6" t="e">
        <f>AND(Sheet1!G166,"AAAAADe399Q=")</f>
        <v>#VALUE!</v>
      </c>
      <c r="HF6" t="e">
        <f>AND(Sheet1!H166,"AAAAADe399U=")</f>
        <v>#VALUE!</v>
      </c>
      <c r="HG6">
        <f>IF(Sheet1!167:167,"AAAAADe399Y=",0)</f>
        <v>0</v>
      </c>
      <c r="HH6" t="e">
        <f>AND(Sheet1!A167,"AAAAADe399c=")</f>
        <v>#VALUE!</v>
      </c>
      <c r="HI6" t="e">
        <f>AND(Sheet1!B167,"AAAAADe399g=")</f>
        <v>#VALUE!</v>
      </c>
      <c r="HJ6" t="e">
        <f>AND(Sheet1!C167,"AAAAADe399k=")</f>
        <v>#VALUE!</v>
      </c>
      <c r="HK6" t="e">
        <f>AND(Sheet1!D167,"AAAAADe399o=")</f>
        <v>#VALUE!</v>
      </c>
      <c r="HL6" t="e">
        <f>AND(Sheet1!E167,"AAAAADe399s=")</f>
        <v>#VALUE!</v>
      </c>
      <c r="HM6" t="e">
        <f>AND(Sheet1!F167,"AAAAADe399w=")</f>
        <v>#VALUE!</v>
      </c>
      <c r="HN6" t="e">
        <f>AND(Sheet1!G167,"AAAAADe3990=")</f>
        <v>#VALUE!</v>
      </c>
      <c r="HO6" t="e">
        <f>AND(Sheet1!H167,"AAAAADe3994=")</f>
        <v>#VALUE!</v>
      </c>
      <c r="HP6">
        <f>IF(Sheet1!168:168,"AAAAADe3998=",0)</f>
        <v>0</v>
      </c>
      <c r="HQ6" t="e">
        <f>AND(Sheet1!A168,"AAAAADe39+A=")</f>
        <v>#VALUE!</v>
      </c>
      <c r="HR6" t="e">
        <f>AND(Sheet1!B168,"AAAAADe39+E=")</f>
        <v>#VALUE!</v>
      </c>
      <c r="HS6" t="e">
        <f>AND(Sheet1!C168,"AAAAADe39+I=")</f>
        <v>#VALUE!</v>
      </c>
      <c r="HT6" t="e">
        <f>AND(Sheet1!D168,"AAAAADe39+M=")</f>
        <v>#VALUE!</v>
      </c>
      <c r="HU6" t="e">
        <f>AND(Sheet1!E168,"AAAAADe39+Q=")</f>
        <v>#VALUE!</v>
      </c>
      <c r="HV6" t="e">
        <f>AND(Sheet1!F168,"AAAAADe39+U=")</f>
        <v>#VALUE!</v>
      </c>
      <c r="HW6" t="e">
        <f>AND(Sheet1!G168,"AAAAADe39+Y=")</f>
        <v>#VALUE!</v>
      </c>
      <c r="HX6" t="e">
        <f>AND(Sheet1!H168,"AAAAADe39+c=")</f>
        <v>#VALUE!</v>
      </c>
      <c r="HY6">
        <f>IF(Sheet1!169:169,"AAAAADe39+g=",0)</f>
        <v>0</v>
      </c>
      <c r="HZ6" t="e">
        <f>AND(Sheet1!A169,"AAAAADe39+k=")</f>
        <v>#VALUE!</v>
      </c>
      <c r="IA6" t="e">
        <f>AND(Sheet1!B169,"AAAAADe39+o=")</f>
        <v>#VALUE!</v>
      </c>
      <c r="IB6" t="e">
        <f>AND(Sheet1!C169,"AAAAADe39+s=")</f>
        <v>#VALUE!</v>
      </c>
      <c r="IC6" t="e">
        <f>AND(Sheet1!D169,"AAAAADe39+w=")</f>
        <v>#VALUE!</v>
      </c>
      <c r="ID6" t="e">
        <f>AND(Sheet1!E169,"AAAAADe39+0=")</f>
        <v>#VALUE!</v>
      </c>
      <c r="IE6" t="e">
        <f>AND(Sheet1!F169,"AAAAADe39+4=")</f>
        <v>#VALUE!</v>
      </c>
      <c r="IF6" t="e">
        <f>AND(Sheet1!G169,"AAAAADe39+8=")</f>
        <v>#VALUE!</v>
      </c>
      <c r="IG6" t="e">
        <f>AND(Sheet1!H169,"AAAAADe39/A=")</f>
        <v>#VALUE!</v>
      </c>
      <c r="IH6">
        <f>IF(Sheet1!170:170,"AAAAADe39/E=",0)</f>
        <v>0</v>
      </c>
      <c r="II6" t="e">
        <f>AND(Sheet1!A170,"AAAAADe39/I=")</f>
        <v>#VALUE!</v>
      </c>
      <c r="IJ6" t="e">
        <f>AND(Sheet1!B170,"AAAAADe39/M=")</f>
        <v>#VALUE!</v>
      </c>
      <c r="IK6" t="e">
        <f>AND(Sheet1!C170,"AAAAADe39/Q=")</f>
        <v>#VALUE!</v>
      </c>
      <c r="IL6" t="e">
        <f>AND(Sheet1!D170,"AAAAADe39/U=")</f>
        <v>#VALUE!</v>
      </c>
      <c r="IM6" t="e">
        <f>AND(Sheet1!E170,"AAAAADe39/Y=")</f>
        <v>#VALUE!</v>
      </c>
      <c r="IN6" t="e">
        <f>AND(Sheet1!F170,"AAAAADe39/c=")</f>
        <v>#VALUE!</v>
      </c>
      <c r="IO6" t="e">
        <f>AND(Sheet1!G170,"AAAAADe39/g=")</f>
        <v>#VALUE!</v>
      </c>
      <c r="IP6" t="e">
        <f>AND(Sheet1!H170,"AAAAADe39/k=")</f>
        <v>#VALUE!</v>
      </c>
      <c r="IQ6">
        <f>IF(Sheet1!171:171,"AAAAADe39/o=",0)</f>
        <v>0</v>
      </c>
      <c r="IR6" t="e">
        <f>AND(Sheet1!A171,"AAAAADe39/s=")</f>
        <v>#VALUE!</v>
      </c>
      <c r="IS6" t="e">
        <f>AND(Sheet1!B171,"AAAAADe39/w=")</f>
        <v>#VALUE!</v>
      </c>
      <c r="IT6" t="e">
        <f>AND(Sheet1!C171,"AAAAADe39/0=")</f>
        <v>#VALUE!</v>
      </c>
      <c r="IU6" t="e">
        <f>AND(Sheet1!D171,"AAAAADe39/4=")</f>
        <v>#VALUE!</v>
      </c>
      <c r="IV6" t="e">
        <f>AND(Sheet1!E171,"AAAAADe39/8=")</f>
        <v>#VALUE!</v>
      </c>
    </row>
    <row r="7" spans="1:256" x14ac:dyDescent="0.25">
      <c r="A7" t="e">
        <f>AND(Sheet1!F171,"AAAAAH79PwA=")</f>
        <v>#VALUE!</v>
      </c>
      <c r="B7" t="e">
        <f>AND(Sheet1!G171,"AAAAAH79PwE=")</f>
        <v>#VALUE!</v>
      </c>
      <c r="C7" t="e">
        <f>AND(Sheet1!H171,"AAAAAH79PwI=")</f>
        <v>#VALUE!</v>
      </c>
      <c r="D7" t="str">
        <f ca="1">IF(Sheet1!172:172,"AAAAAH79PwM=",0)</f>
        <v>AAAAAH79PwM=</v>
      </c>
      <c r="E7" t="e">
        <f>AND(Sheet1!A172,"AAAAAH79PwQ=")</f>
        <v>#VALUE!</v>
      </c>
      <c r="F7" t="e">
        <f>AND(Sheet1!B172,"AAAAAH79PwU=")</f>
        <v>#VALUE!</v>
      </c>
      <c r="G7" t="e">
        <f>AND(Sheet1!C172,"AAAAAH79PwY=")</f>
        <v>#VALUE!</v>
      </c>
      <c r="H7" t="e">
        <f>AND(Sheet1!D172,"AAAAAH79Pwc=")</f>
        <v>#VALUE!</v>
      </c>
      <c r="I7" t="e">
        <f>AND(Sheet1!E172,"AAAAAH79Pwg=")</f>
        <v>#VALUE!</v>
      </c>
      <c r="J7" t="e">
        <f>AND(Sheet1!F172,"AAAAAH79Pwk=")</f>
        <v>#VALUE!</v>
      </c>
      <c r="K7" t="e">
        <f>AND(Sheet1!G172,"AAAAAH79Pwo=")</f>
        <v>#VALUE!</v>
      </c>
      <c r="L7" t="e">
        <f>AND(Sheet1!H172,"AAAAAH79Pws=")</f>
        <v>#VALUE!</v>
      </c>
      <c r="M7">
        <f>IF(Sheet1!173:173,"AAAAAH79Pww=",0)</f>
        <v>0</v>
      </c>
      <c r="N7" t="e">
        <f>AND(Sheet1!A173,"AAAAAH79Pw0=")</f>
        <v>#VALUE!</v>
      </c>
      <c r="O7" t="e">
        <f>AND(Sheet1!B173,"AAAAAH79Pw4=")</f>
        <v>#VALUE!</v>
      </c>
      <c r="P7" t="e">
        <f>AND(Sheet1!C173,"AAAAAH79Pw8=")</f>
        <v>#VALUE!</v>
      </c>
      <c r="Q7" t="e">
        <f>AND(Sheet1!D173,"AAAAAH79PxA=")</f>
        <v>#VALUE!</v>
      </c>
      <c r="R7" t="e">
        <f>AND(Sheet1!E173,"AAAAAH79PxE=")</f>
        <v>#VALUE!</v>
      </c>
      <c r="S7" t="e">
        <f>AND(Sheet1!F173,"AAAAAH79PxI=")</f>
        <v>#VALUE!</v>
      </c>
      <c r="T7" t="e">
        <f>AND(Sheet1!G173,"AAAAAH79PxM=")</f>
        <v>#VALUE!</v>
      </c>
      <c r="U7" t="e">
        <f>AND(Sheet1!H173,"AAAAAH79PxQ=")</f>
        <v>#VALUE!</v>
      </c>
      <c r="V7">
        <f>IF(Sheet1!174:174,"AAAAAH79PxU=",0)</f>
        <v>0</v>
      </c>
      <c r="W7" t="e">
        <f>AND(Sheet1!A174,"AAAAAH79PxY=")</f>
        <v>#VALUE!</v>
      </c>
      <c r="X7" t="e">
        <f>AND(Sheet1!B174,"AAAAAH79Pxc=")</f>
        <v>#VALUE!</v>
      </c>
      <c r="Y7" t="e">
        <f>AND(Sheet1!C174,"AAAAAH79Pxg=")</f>
        <v>#VALUE!</v>
      </c>
      <c r="Z7" t="e">
        <f>AND(Sheet1!D174,"AAAAAH79Pxk=")</f>
        <v>#VALUE!</v>
      </c>
      <c r="AA7" t="e">
        <f>AND(Sheet1!E174,"AAAAAH79Pxo=")</f>
        <v>#VALUE!</v>
      </c>
      <c r="AB7" t="e">
        <f>AND(Sheet1!F174,"AAAAAH79Pxs=")</f>
        <v>#VALUE!</v>
      </c>
      <c r="AC7" t="e">
        <f>AND(Sheet1!G174,"AAAAAH79Pxw=")</f>
        <v>#VALUE!</v>
      </c>
      <c r="AD7" t="e">
        <f>AND(Sheet1!H174,"AAAAAH79Px0=")</f>
        <v>#VALUE!</v>
      </c>
      <c r="AE7">
        <f>IF(Sheet1!175:175,"AAAAAH79Px4=",0)</f>
        <v>0</v>
      </c>
      <c r="AF7" t="e">
        <f>AND(Sheet1!A175,"AAAAAH79Px8=")</f>
        <v>#VALUE!</v>
      </c>
      <c r="AG7" t="e">
        <f>AND(Sheet1!B175,"AAAAAH79PyA=")</f>
        <v>#VALUE!</v>
      </c>
      <c r="AH7" t="e">
        <f>AND(Sheet1!C175,"AAAAAH79PyE=")</f>
        <v>#VALUE!</v>
      </c>
      <c r="AI7" t="e">
        <f>AND(Sheet1!D175,"AAAAAH79PyI=")</f>
        <v>#VALUE!</v>
      </c>
      <c r="AJ7" t="e">
        <f>AND(Sheet1!E175,"AAAAAH79PyM=")</f>
        <v>#VALUE!</v>
      </c>
      <c r="AK7" t="e">
        <f>AND(Sheet1!F175,"AAAAAH79PyQ=")</f>
        <v>#VALUE!</v>
      </c>
      <c r="AL7" t="e">
        <f>AND(Sheet1!G175,"AAAAAH79PyU=")</f>
        <v>#VALUE!</v>
      </c>
      <c r="AM7" t="e">
        <f>AND(Sheet1!H175,"AAAAAH79PyY=")</f>
        <v>#VALUE!</v>
      </c>
      <c r="AN7">
        <f>IF(Sheet1!176:176,"AAAAAH79Pyc=",0)</f>
        <v>0</v>
      </c>
      <c r="AO7" t="e">
        <f>AND(Sheet1!A176,"AAAAAH79Pyg=")</f>
        <v>#VALUE!</v>
      </c>
      <c r="AP7" t="e">
        <f>AND(Sheet1!B176,"AAAAAH79Pyk=")</f>
        <v>#VALUE!</v>
      </c>
      <c r="AQ7" t="e">
        <f>AND(Sheet1!C176,"AAAAAH79Pyo=")</f>
        <v>#VALUE!</v>
      </c>
      <c r="AR7" t="e">
        <f>AND(Sheet1!D176,"AAAAAH79Pys=")</f>
        <v>#VALUE!</v>
      </c>
      <c r="AS7" t="e">
        <f>AND(Sheet1!E176,"AAAAAH79Pyw=")</f>
        <v>#VALUE!</v>
      </c>
      <c r="AT7" t="e">
        <f>AND(Sheet1!F176,"AAAAAH79Py0=")</f>
        <v>#VALUE!</v>
      </c>
      <c r="AU7" t="e">
        <f>AND(Sheet1!G176,"AAAAAH79Py4=")</f>
        <v>#VALUE!</v>
      </c>
      <c r="AV7" t="e">
        <f>AND(Sheet1!H176,"AAAAAH79Py8=")</f>
        <v>#VALUE!</v>
      </c>
      <c r="AW7">
        <f>IF(Sheet1!177:177,"AAAAAH79PzA=",0)</f>
        <v>0</v>
      </c>
      <c r="AX7" t="e">
        <f>AND(Sheet1!A177,"AAAAAH79PzE=")</f>
        <v>#VALUE!</v>
      </c>
      <c r="AY7" t="e">
        <f>AND(Sheet1!B177,"AAAAAH79PzI=")</f>
        <v>#VALUE!</v>
      </c>
      <c r="AZ7" t="e">
        <f>AND(Sheet1!C177,"AAAAAH79PzM=")</f>
        <v>#VALUE!</v>
      </c>
      <c r="BA7" t="e">
        <f>AND(Sheet1!D177,"AAAAAH79PzQ=")</f>
        <v>#VALUE!</v>
      </c>
      <c r="BB7" t="e">
        <f>AND(Sheet1!E177,"AAAAAH79PzU=")</f>
        <v>#VALUE!</v>
      </c>
      <c r="BC7" t="e">
        <f>AND(Sheet1!F177,"AAAAAH79PzY=")</f>
        <v>#VALUE!</v>
      </c>
      <c r="BD7" t="e">
        <f>AND(Sheet1!G177,"AAAAAH79Pzc=")</f>
        <v>#VALUE!</v>
      </c>
      <c r="BE7" t="e">
        <f>AND(Sheet1!H177,"AAAAAH79Pzg=")</f>
        <v>#VALUE!</v>
      </c>
      <c r="BF7">
        <f>IF(Sheet1!178:178,"AAAAAH79Pzk=",0)</f>
        <v>0</v>
      </c>
      <c r="BG7" t="e">
        <f>AND(Sheet1!A178,"AAAAAH79Pzo=")</f>
        <v>#VALUE!</v>
      </c>
      <c r="BH7" t="e">
        <f>AND(Sheet1!B178,"AAAAAH79Pzs=")</f>
        <v>#VALUE!</v>
      </c>
      <c r="BI7" t="e">
        <f>AND(Sheet1!C178,"AAAAAH79Pzw=")</f>
        <v>#VALUE!</v>
      </c>
      <c r="BJ7" t="e">
        <f>AND(Sheet1!D178,"AAAAAH79Pz0=")</f>
        <v>#VALUE!</v>
      </c>
      <c r="BK7" t="e">
        <f>AND(Sheet1!E178,"AAAAAH79Pz4=")</f>
        <v>#VALUE!</v>
      </c>
      <c r="BL7" t="e">
        <f>AND(Sheet1!F178,"AAAAAH79Pz8=")</f>
        <v>#VALUE!</v>
      </c>
      <c r="BM7" t="e">
        <f>AND(Sheet1!G178,"AAAAAH79P0A=")</f>
        <v>#VALUE!</v>
      </c>
      <c r="BN7" t="e">
        <f>AND(Sheet1!H178,"AAAAAH79P0E=")</f>
        <v>#VALUE!</v>
      </c>
      <c r="BO7">
        <f>IF(Sheet1!179:179,"AAAAAH79P0I=",0)</f>
        <v>0</v>
      </c>
      <c r="BP7" t="e">
        <f>AND(Sheet1!A179,"AAAAAH79P0M=")</f>
        <v>#VALUE!</v>
      </c>
      <c r="BQ7" t="e">
        <f>AND(Sheet1!B179,"AAAAAH79P0Q=")</f>
        <v>#VALUE!</v>
      </c>
      <c r="BR7" t="e">
        <f>AND(Sheet1!C179,"AAAAAH79P0U=")</f>
        <v>#VALUE!</v>
      </c>
      <c r="BS7" t="e">
        <f>AND(Sheet1!D179,"AAAAAH79P0Y=")</f>
        <v>#VALUE!</v>
      </c>
      <c r="BT7" t="e">
        <f>AND(Sheet1!E179,"AAAAAH79P0c=")</f>
        <v>#VALUE!</v>
      </c>
      <c r="BU7" t="e">
        <f>AND(Sheet1!F179,"AAAAAH79P0g=")</f>
        <v>#VALUE!</v>
      </c>
      <c r="BV7" t="e">
        <f>AND(Sheet1!G179,"AAAAAH79P0k=")</f>
        <v>#VALUE!</v>
      </c>
      <c r="BW7" t="e">
        <f>AND(Sheet1!H179,"AAAAAH79P0o=")</f>
        <v>#VALUE!</v>
      </c>
      <c r="BX7">
        <f>IF(Sheet1!180:180,"AAAAAH79P0s=",0)</f>
        <v>0</v>
      </c>
      <c r="BY7" t="e">
        <f>AND(Sheet1!A180,"AAAAAH79P0w=")</f>
        <v>#VALUE!</v>
      </c>
      <c r="BZ7" t="e">
        <f>AND(Sheet1!B180,"AAAAAH79P00=")</f>
        <v>#VALUE!</v>
      </c>
      <c r="CA7" t="e">
        <f>AND(Sheet1!C180,"AAAAAH79P04=")</f>
        <v>#VALUE!</v>
      </c>
      <c r="CB7" t="e">
        <f>AND(Sheet1!D180,"AAAAAH79P08=")</f>
        <v>#VALUE!</v>
      </c>
      <c r="CC7" t="e">
        <f>AND(Sheet1!E180,"AAAAAH79P1A=")</f>
        <v>#VALUE!</v>
      </c>
      <c r="CD7" t="e">
        <f>AND(Sheet1!F180,"AAAAAH79P1E=")</f>
        <v>#VALUE!</v>
      </c>
      <c r="CE7" t="e">
        <f>AND(Sheet1!G180,"AAAAAH79P1I=")</f>
        <v>#VALUE!</v>
      </c>
      <c r="CF7" t="e">
        <f>AND(Sheet1!H180,"AAAAAH79P1M=")</f>
        <v>#VALUE!</v>
      </c>
      <c r="CG7">
        <f>IF(Sheet1!181:181,"AAAAAH79P1Q=",0)</f>
        <v>0</v>
      </c>
      <c r="CH7" t="e">
        <f>AND(Sheet1!A181,"AAAAAH79P1U=")</f>
        <v>#VALUE!</v>
      </c>
      <c r="CI7" t="e">
        <f>AND(Sheet1!B181,"AAAAAH79P1Y=")</f>
        <v>#VALUE!</v>
      </c>
      <c r="CJ7" t="e">
        <f>AND(Sheet1!C181,"AAAAAH79P1c=")</f>
        <v>#VALUE!</v>
      </c>
      <c r="CK7" t="e">
        <f>AND(Sheet1!D181,"AAAAAH79P1g=")</f>
        <v>#VALUE!</v>
      </c>
      <c r="CL7" t="e">
        <f>AND(Sheet1!E181,"AAAAAH79P1k=")</f>
        <v>#VALUE!</v>
      </c>
      <c r="CM7" t="e">
        <f>AND(Sheet1!F181,"AAAAAH79P1o=")</f>
        <v>#VALUE!</v>
      </c>
      <c r="CN7" t="e">
        <f>AND(Sheet1!G181,"AAAAAH79P1s=")</f>
        <v>#VALUE!</v>
      </c>
      <c r="CO7" t="e">
        <f>AND(Sheet1!H181,"AAAAAH79P1w=")</f>
        <v>#VALUE!</v>
      </c>
      <c r="CP7">
        <f>IF(Sheet1!182:182,"AAAAAH79P10=",0)</f>
        <v>0</v>
      </c>
      <c r="CQ7" t="e">
        <f>AND(Sheet1!A182,"AAAAAH79P14=")</f>
        <v>#VALUE!</v>
      </c>
      <c r="CR7" t="e">
        <f>AND(Sheet1!B182,"AAAAAH79P18=")</f>
        <v>#VALUE!</v>
      </c>
      <c r="CS7" t="e">
        <f>AND(Sheet1!C182,"AAAAAH79P2A=")</f>
        <v>#VALUE!</v>
      </c>
      <c r="CT7" t="e">
        <f>AND(Sheet1!D182,"AAAAAH79P2E=")</f>
        <v>#VALUE!</v>
      </c>
      <c r="CU7" t="e">
        <f>AND(Sheet1!E182,"AAAAAH79P2I=")</f>
        <v>#VALUE!</v>
      </c>
      <c r="CV7" t="e">
        <f>AND(Sheet1!F182,"AAAAAH79P2M=")</f>
        <v>#VALUE!</v>
      </c>
      <c r="CW7" t="e">
        <f>AND(Sheet1!G182,"AAAAAH79P2Q=")</f>
        <v>#VALUE!</v>
      </c>
      <c r="CX7" t="e">
        <f>AND(Sheet1!H182,"AAAAAH79P2U=")</f>
        <v>#VALUE!</v>
      </c>
      <c r="CY7">
        <f>IF(Sheet1!183:183,"AAAAAH79P2Y=",0)</f>
        <v>0</v>
      </c>
      <c r="CZ7" t="e">
        <f>AND(Sheet1!A183,"AAAAAH79P2c=")</f>
        <v>#VALUE!</v>
      </c>
      <c r="DA7" t="e">
        <f>AND(Sheet1!B183,"AAAAAH79P2g=")</f>
        <v>#VALUE!</v>
      </c>
      <c r="DB7" t="e">
        <f>AND(Sheet1!C183,"AAAAAH79P2k=")</f>
        <v>#VALUE!</v>
      </c>
      <c r="DC7" t="e">
        <f>AND(Sheet1!D183,"AAAAAH79P2o=")</f>
        <v>#VALUE!</v>
      </c>
      <c r="DD7" t="e">
        <f>AND(Sheet1!E183,"AAAAAH79P2s=")</f>
        <v>#VALUE!</v>
      </c>
      <c r="DE7" t="e">
        <f>AND(Sheet1!F183,"AAAAAH79P2w=")</f>
        <v>#VALUE!</v>
      </c>
      <c r="DF7" t="e">
        <f>AND(Sheet1!G183,"AAAAAH79P20=")</f>
        <v>#VALUE!</v>
      </c>
      <c r="DG7" t="e">
        <f>AND(Sheet1!H183,"AAAAAH79P24=")</f>
        <v>#VALUE!</v>
      </c>
      <c r="DH7">
        <f>IF(Sheet1!184:184,"AAAAAH79P28=",0)</f>
        <v>0</v>
      </c>
      <c r="DI7" t="e">
        <f>AND(Sheet1!A184,"AAAAAH79P3A=")</f>
        <v>#VALUE!</v>
      </c>
      <c r="DJ7" t="e">
        <f>AND(Sheet1!B184,"AAAAAH79P3E=")</f>
        <v>#VALUE!</v>
      </c>
      <c r="DK7" t="e">
        <f>AND(Sheet1!C184,"AAAAAH79P3I=")</f>
        <v>#VALUE!</v>
      </c>
      <c r="DL7" t="e">
        <f>AND(Sheet1!D184,"AAAAAH79P3M=")</f>
        <v>#VALUE!</v>
      </c>
      <c r="DM7" t="e">
        <f>AND(Sheet1!E184,"AAAAAH79P3Q=")</f>
        <v>#VALUE!</v>
      </c>
      <c r="DN7" t="e">
        <f>AND(Sheet1!F184,"AAAAAH79P3U=")</f>
        <v>#VALUE!</v>
      </c>
      <c r="DO7" t="e">
        <f>AND(Sheet1!G184,"AAAAAH79P3Y=")</f>
        <v>#VALUE!</v>
      </c>
      <c r="DP7" t="e">
        <f>AND(Sheet1!H184,"AAAAAH79P3c=")</f>
        <v>#VALUE!</v>
      </c>
      <c r="DQ7">
        <f>IF(Sheet1!185:185,"AAAAAH79P3g=",0)</f>
        <v>0</v>
      </c>
      <c r="DR7" t="e">
        <f>AND(Sheet1!A185,"AAAAAH79P3k=")</f>
        <v>#VALUE!</v>
      </c>
      <c r="DS7" t="e">
        <f>AND(Sheet1!B185,"AAAAAH79P3o=")</f>
        <v>#VALUE!</v>
      </c>
      <c r="DT7" t="e">
        <f>AND(Sheet1!C185,"AAAAAH79P3s=")</f>
        <v>#VALUE!</v>
      </c>
      <c r="DU7" t="e">
        <f>AND(Sheet1!D185,"AAAAAH79P3w=")</f>
        <v>#VALUE!</v>
      </c>
      <c r="DV7" t="e">
        <f>AND(Sheet1!E185,"AAAAAH79P30=")</f>
        <v>#VALUE!</v>
      </c>
      <c r="DW7" t="e">
        <f>AND(Sheet1!F185,"AAAAAH79P34=")</f>
        <v>#VALUE!</v>
      </c>
      <c r="DX7" t="e">
        <f>AND(Sheet1!G185,"AAAAAH79P38=")</f>
        <v>#VALUE!</v>
      </c>
      <c r="DY7" t="e">
        <f>AND(Sheet1!H185,"AAAAAH79P4A=")</f>
        <v>#VALUE!</v>
      </c>
      <c r="DZ7">
        <f>IF(Sheet1!186:186,"AAAAAH79P4E=",0)</f>
        <v>0</v>
      </c>
      <c r="EA7" t="e">
        <f>AND(Sheet1!A186,"AAAAAH79P4I=")</f>
        <v>#VALUE!</v>
      </c>
      <c r="EB7" t="e">
        <f>AND(Sheet1!B186,"AAAAAH79P4M=")</f>
        <v>#VALUE!</v>
      </c>
      <c r="EC7" t="e">
        <f>AND(Sheet1!C186,"AAAAAH79P4Q=")</f>
        <v>#VALUE!</v>
      </c>
      <c r="ED7" t="e">
        <f>AND(Sheet1!D186,"AAAAAH79P4U=")</f>
        <v>#VALUE!</v>
      </c>
      <c r="EE7" t="e">
        <f>AND(Sheet1!E186,"AAAAAH79P4Y=")</f>
        <v>#VALUE!</v>
      </c>
      <c r="EF7" t="e">
        <f>AND(Sheet1!F186,"AAAAAH79P4c=")</f>
        <v>#VALUE!</v>
      </c>
      <c r="EG7" t="e">
        <f>AND(Sheet1!G186,"AAAAAH79P4g=")</f>
        <v>#VALUE!</v>
      </c>
      <c r="EH7" t="e">
        <f>AND(Sheet1!H186,"AAAAAH79P4k=")</f>
        <v>#VALUE!</v>
      </c>
      <c r="EI7">
        <f>IF(Sheet1!187:187,"AAAAAH79P4o=",0)</f>
        <v>0</v>
      </c>
      <c r="EJ7" t="e">
        <f>AND(Sheet1!A187,"AAAAAH79P4s=")</f>
        <v>#VALUE!</v>
      </c>
      <c r="EK7" t="e">
        <f>AND(Sheet1!B187,"AAAAAH79P4w=")</f>
        <v>#VALUE!</v>
      </c>
      <c r="EL7" t="e">
        <f>AND(Sheet1!C187,"AAAAAH79P40=")</f>
        <v>#VALUE!</v>
      </c>
      <c r="EM7" t="e">
        <f>AND(Sheet1!D187,"AAAAAH79P44=")</f>
        <v>#VALUE!</v>
      </c>
      <c r="EN7" t="e">
        <f>AND(Sheet1!E187,"AAAAAH79P48=")</f>
        <v>#VALUE!</v>
      </c>
      <c r="EO7" t="e">
        <f>AND(Sheet1!F187,"AAAAAH79P5A=")</f>
        <v>#VALUE!</v>
      </c>
      <c r="EP7" t="e">
        <f>AND(Sheet1!G187,"AAAAAH79P5E=")</f>
        <v>#VALUE!</v>
      </c>
      <c r="EQ7" t="e">
        <f>AND(Sheet1!H187,"AAAAAH79P5I=")</f>
        <v>#VALUE!</v>
      </c>
      <c r="ER7">
        <f>IF(Sheet1!188:188,"AAAAAH79P5M=",0)</f>
        <v>0</v>
      </c>
      <c r="ES7" t="e">
        <f>AND(Sheet1!A188,"AAAAAH79P5Q=")</f>
        <v>#VALUE!</v>
      </c>
      <c r="ET7" t="e">
        <f>AND(Sheet1!B188,"AAAAAH79P5U=")</f>
        <v>#VALUE!</v>
      </c>
      <c r="EU7" t="e">
        <f>AND(Sheet1!C188,"AAAAAH79P5Y=")</f>
        <v>#VALUE!</v>
      </c>
      <c r="EV7" t="e">
        <f>AND(Sheet1!D188,"AAAAAH79P5c=")</f>
        <v>#VALUE!</v>
      </c>
      <c r="EW7" t="e">
        <f>AND(Sheet1!E188,"AAAAAH79P5g=")</f>
        <v>#VALUE!</v>
      </c>
      <c r="EX7" t="e">
        <f>AND(Sheet1!F188,"AAAAAH79P5k=")</f>
        <v>#VALUE!</v>
      </c>
      <c r="EY7" t="e">
        <f>AND(Sheet1!G188,"AAAAAH79P5o=")</f>
        <v>#VALUE!</v>
      </c>
      <c r="EZ7" t="e">
        <f>AND(Sheet1!H188,"AAAAAH79P5s=")</f>
        <v>#VALUE!</v>
      </c>
      <c r="FA7">
        <f>IF(Sheet1!189:189,"AAAAAH79P5w=",0)</f>
        <v>0</v>
      </c>
      <c r="FB7" t="e">
        <f>AND(Sheet1!A189,"AAAAAH79P50=")</f>
        <v>#VALUE!</v>
      </c>
      <c r="FC7" t="e">
        <f>AND(Sheet1!B189,"AAAAAH79P54=")</f>
        <v>#VALUE!</v>
      </c>
      <c r="FD7" t="e">
        <f>AND(Sheet1!C189,"AAAAAH79P58=")</f>
        <v>#VALUE!</v>
      </c>
      <c r="FE7" t="e">
        <f>AND(Sheet1!D189,"AAAAAH79P6A=")</f>
        <v>#VALUE!</v>
      </c>
      <c r="FF7" t="e">
        <f>AND(Sheet1!E189,"AAAAAH79P6E=")</f>
        <v>#VALUE!</v>
      </c>
      <c r="FG7" t="e">
        <f>AND(Sheet1!F189,"AAAAAH79P6I=")</f>
        <v>#VALUE!</v>
      </c>
      <c r="FH7" t="e">
        <f>AND(Sheet1!G189,"AAAAAH79P6M=")</f>
        <v>#VALUE!</v>
      </c>
      <c r="FI7" t="e">
        <f>AND(Sheet1!H189,"AAAAAH79P6Q=")</f>
        <v>#VALUE!</v>
      </c>
      <c r="FJ7">
        <f>IF(Sheet1!190:190,"AAAAAH79P6U=",0)</f>
        <v>0</v>
      </c>
      <c r="FK7" t="e">
        <f>AND(Sheet1!A190,"AAAAAH79P6Y=")</f>
        <v>#VALUE!</v>
      </c>
      <c r="FL7" t="e">
        <f>AND(Sheet1!B190,"AAAAAH79P6c=")</f>
        <v>#VALUE!</v>
      </c>
      <c r="FM7" t="e">
        <f>AND(Sheet1!C190,"AAAAAH79P6g=")</f>
        <v>#VALUE!</v>
      </c>
      <c r="FN7" t="e">
        <f>AND(Sheet1!D190,"AAAAAH79P6k=")</f>
        <v>#VALUE!</v>
      </c>
      <c r="FO7" t="e">
        <f>AND(Sheet1!E190,"AAAAAH79P6o=")</f>
        <v>#VALUE!</v>
      </c>
      <c r="FP7" t="e">
        <f>AND(Sheet1!F190,"AAAAAH79P6s=")</f>
        <v>#VALUE!</v>
      </c>
      <c r="FQ7" t="e">
        <f>AND(Sheet1!G190,"AAAAAH79P6w=")</f>
        <v>#VALUE!</v>
      </c>
      <c r="FR7" t="e">
        <f>AND(Sheet1!H190,"AAAAAH79P60=")</f>
        <v>#VALUE!</v>
      </c>
      <c r="FS7">
        <f>IF(Sheet1!191:191,"AAAAAH79P64=",0)</f>
        <v>0</v>
      </c>
      <c r="FT7" t="e">
        <f>AND(Sheet1!A191,"AAAAAH79P68=")</f>
        <v>#VALUE!</v>
      </c>
      <c r="FU7" t="e">
        <f>AND(Sheet1!B191,"AAAAAH79P7A=")</f>
        <v>#VALUE!</v>
      </c>
      <c r="FV7" t="e">
        <f>AND(Sheet1!C191,"AAAAAH79P7E=")</f>
        <v>#VALUE!</v>
      </c>
      <c r="FW7" t="e">
        <f>AND(Sheet1!D191,"AAAAAH79P7I=")</f>
        <v>#VALUE!</v>
      </c>
      <c r="FX7" t="e">
        <f>AND(Sheet1!E191,"AAAAAH79P7M=")</f>
        <v>#VALUE!</v>
      </c>
      <c r="FY7" t="e">
        <f>AND(Sheet1!F191,"AAAAAH79P7Q=")</f>
        <v>#VALUE!</v>
      </c>
      <c r="FZ7" t="e">
        <f>AND(Sheet1!G191,"AAAAAH79P7U=")</f>
        <v>#VALUE!</v>
      </c>
      <c r="GA7" t="e">
        <f>AND(Sheet1!H191,"AAAAAH79P7Y=")</f>
        <v>#VALUE!</v>
      </c>
      <c r="GB7">
        <f>IF(Sheet1!192:192,"AAAAAH79P7c=",0)</f>
        <v>0</v>
      </c>
      <c r="GC7" t="e">
        <f>AND(Sheet1!A192,"AAAAAH79P7g=")</f>
        <v>#VALUE!</v>
      </c>
      <c r="GD7" t="e">
        <f>AND(Sheet1!B192,"AAAAAH79P7k=")</f>
        <v>#VALUE!</v>
      </c>
      <c r="GE7" t="e">
        <f>AND(Sheet1!C192,"AAAAAH79P7o=")</f>
        <v>#VALUE!</v>
      </c>
      <c r="GF7" t="e">
        <f>AND(Sheet1!D192,"AAAAAH79P7s=")</f>
        <v>#VALUE!</v>
      </c>
      <c r="GG7" t="e">
        <f>AND(Sheet1!E192,"AAAAAH79P7w=")</f>
        <v>#VALUE!</v>
      </c>
      <c r="GH7" t="e">
        <f>AND(Sheet1!F192,"AAAAAH79P70=")</f>
        <v>#VALUE!</v>
      </c>
      <c r="GI7" t="e">
        <f>AND(Sheet1!G192,"AAAAAH79P74=")</f>
        <v>#VALUE!</v>
      </c>
      <c r="GJ7" t="e">
        <f>AND(Sheet1!H192,"AAAAAH79P78=")</f>
        <v>#VALUE!</v>
      </c>
      <c r="GK7">
        <f>IF(Sheet1!193:193,"AAAAAH79P8A=",0)</f>
        <v>0</v>
      </c>
      <c r="GL7" t="e">
        <f>AND(Sheet1!A193,"AAAAAH79P8E=")</f>
        <v>#VALUE!</v>
      </c>
      <c r="GM7" t="e">
        <f>AND(Sheet1!B193,"AAAAAH79P8I=")</f>
        <v>#VALUE!</v>
      </c>
      <c r="GN7" t="e">
        <f>AND(Sheet1!C193,"AAAAAH79P8M=")</f>
        <v>#VALUE!</v>
      </c>
      <c r="GO7" t="e">
        <f>AND(Sheet1!D193,"AAAAAH79P8Q=")</f>
        <v>#VALUE!</v>
      </c>
      <c r="GP7" t="e">
        <f>AND(Sheet1!E193,"AAAAAH79P8U=")</f>
        <v>#VALUE!</v>
      </c>
      <c r="GQ7" t="e">
        <f>AND(Sheet1!F193,"AAAAAH79P8Y=")</f>
        <v>#VALUE!</v>
      </c>
      <c r="GR7" t="e">
        <f>AND(Sheet1!G193,"AAAAAH79P8c=")</f>
        <v>#VALUE!</v>
      </c>
      <c r="GS7" t="e">
        <f>AND(Sheet1!H193,"AAAAAH79P8g=")</f>
        <v>#VALUE!</v>
      </c>
      <c r="GT7">
        <f>IF(Sheet1!194:194,"AAAAAH79P8k=",0)</f>
        <v>0</v>
      </c>
      <c r="GU7" t="e">
        <f>AND(Sheet1!A194,"AAAAAH79P8o=")</f>
        <v>#VALUE!</v>
      </c>
      <c r="GV7" t="e">
        <f>AND(Sheet1!B194,"AAAAAH79P8s=")</f>
        <v>#VALUE!</v>
      </c>
      <c r="GW7" t="e">
        <f>AND(Sheet1!C194,"AAAAAH79P8w=")</f>
        <v>#VALUE!</v>
      </c>
      <c r="GX7" t="e">
        <f>AND(Sheet1!D194,"AAAAAH79P80=")</f>
        <v>#VALUE!</v>
      </c>
      <c r="GY7" t="e">
        <f>AND(Sheet1!E194,"AAAAAH79P84=")</f>
        <v>#VALUE!</v>
      </c>
      <c r="GZ7" t="e">
        <f>AND(Sheet1!F194,"AAAAAH79P88=")</f>
        <v>#VALUE!</v>
      </c>
      <c r="HA7" t="e">
        <f>AND(Sheet1!G194,"AAAAAH79P9A=")</f>
        <v>#VALUE!</v>
      </c>
      <c r="HB7" t="e">
        <f>AND(Sheet1!H194,"AAAAAH79P9E=")</f>
        <v>#VALUE!</v>
      </c>
      <c r="HC7">
        <f>IF(Sheet1!195:195,"AAAAAH79P9I=",0)</f>
        <v>0</v>
      </c>
      <c r="HD7" t="e">
        <f>AND(Sheet1!A195,"AAAAAH79P9M=")</f>
        <v>#VALUE!</v>
      </c>
      <c r="HE7" t="e">
        <f>AND(Sheet1!B195,"AAAAAH79P9Q=")</f>
        <v>#VALUE!</v>
      </c>
      <c r="HF7" t="e">
        <f>AND(Sheet1!C195,"AAAAAH79P9U=")</f>
        <v>#VALUE!</v>
      </c>
      <c r="HG7" t="e">
        <f>AND(Sheet1!D195,"AAAAAH79P9Y=")</f>
        <v>#VALUE!</v>
      </c>
      <c r="HH7" t="e">
        <f>AND(Sheet1!E195,"AAAAAH79P9c=")</f>
        <v>#VALUE!</v>
      </c>
      <c r="HI7" t="e">
        <f>AND(Sheet1!F195,"AAAAAH79P9g=")</f>
        <v>#VALUE!</v>
      </c>
      <c r="HJ7" t="e">
        <f>AND(Sheet1!G195,"AAAAAH79P9k=")</f>
        <v>#VALUE!</v>
      </c>
      <c r="HK7" t="e">
        <f>AND(Sheet1!H195,"AAAAAH79P9o=")</f>
        <v>#VALUE!</v>
      </c>
      <c r="HL7">
        <f>IF(Sheet1!196:196,"AAAAAH79P9s=",0)</f>
        <v>0</v>
      </c>
      <c r="HM7" t="e">
        <f>AND(Sheet1!A196,"AAAAAH79P9w=")</f>
        <v>#VALUE!</v>
      </c>
      <c r="HN7" t="e">
        <f>AND(Sheet1!B196,"AAAAAH79P90=")</f>
        <v>#VALUE!</v>
      </c>
      <c r="HO7" t="e">
        <f>AND(Sheet1!C196,"AAAAAH79P94=")</f>
        <v>#VALUE!</v>
      </c>
      <c r="HP7" t="e">
        <f>AND(Sheet1!D196,"AAAAAH79P98=")</f>
        <v>#VALUE!</v>
      </c>
      <c r="HQ7" t="e">
        <f>AND(Sheet1!E196,"AAAAAH79P+A=")</f>
        <v>#VALUE!</v>
      </c>
      <c r="HR7" t="e">
        <f>AND(Sheet1!F196,"AAAAAH79P+E=")</f>
        <v>#VALUE!</v>
      </c>
      <c r="HS7" t="e">
        <f>AND(Sheet1!G196,"AAAAAH79P+I=")</f>
        <v>#VALUE!</v>
      </c>
      <c r="HT7" t="e">
        <f>AND(Sheet1!H196,"AAAAAH79P+M=")</f>
        <v>#VALUE!</v>
      </c>
      <c r="HU7">
        <f>IF(Sheet1!197:197,"AAAAAH79P+Q=",0)</f>
        <v>0</v>
      </c>
      <c r="HV7" t="e">
        <f>AND(Sheet1!A197,"AAAAAH79P+U=")</f>
        <v>#VALUE!</v>
      </c>
      <c r="HW7" t="e">
        <f>AND(Sheet1!B197,"AAAAAH79P+Y=")</f>
        <v>#VALUE!</v>
      </c>
      <c r="HX7" t="e">
        <f>AND(Sheet1!C197,"AAAAAH79P+c=")</f>
        <v>#VALUE!</v>
      </c>
      <c r="HY7" t="e">
        <f>AND(Sheet1!D197,"AAAAAH79P+g=")</f>
        <v>#VALUE!</v>
      </c>
      <c r="HZ7" t="e">
        <f>AND(Sheet1!E197,"AAAAAH79P+k=")</f>
        <v>#VALUE!</v>
      </c>
      <c r="IA7" t="e">
        <f>AND(Sheet1!F197,"AAAAAH79P+o=")</f>
        <v>#VALUE!</v>
      </c>
      <c r="IB7" t="e">
        <f>AND(Sheet1!G197,"AAAAAH79P+s=")</f>
        <v>#VALUE!</v>
      </c>
      <c r="IC7" t="e">
        <f>AND(Sheet1!H197,"AAAAAH79P+w=")</f>
        <v>#VALUE!</v>
      </c>
      <c r="ID7">
        <f>IF(Sheet1!198:198,"AAAAAH79P+0=",0)</f>
        <v>0</v>
      </c>
      <c r="IE7" t="e">
        <f>AND(Sheet1!A198,"AAAAAH79P+4=")</f>
        <v>#VALUE!</v>
      </c>
      <c r="IF7" t="e">
        <f>AND(Sheet1!B198,"AAAAAH79P+8=")</f>
        <v>#VALUE!</v>
      </c>
      <c r="IG7" t="e">
        <f>AND(Sheet1!C198,"AAAAAH79P/A=")</f>
        <v>#VALUE!</v>
      </c>
      <c r="IH7" t="e">
        <f>AND(Sheet1!D198,"AAAAAH79P/E=")</f>
        <v>#VALUE!</v>
      </c>
      <c r="II7" t="e">
        <f>AND(Sheet1!E198,"AAAAAH79P/I=")</f>
        <v>#VALUE!</v>
      </c>
      <c r="IJ7" t="e">
        <f>AND(Sheet1!F198,"AAAAAH79P/M=")</f>
        <v>#VALUE!</v>
      </c>
      <c r="IK7" t="e">
        <f>AND(Sheet1!G198,"AAAAAH79P/Q=")</f>
        <v>#VALUE!</v>
      </c>
      <c r="IL7" t="e">
        <f>AND(Sheet1!H198,"AAAAAH79P/U=")</f>
        <v>#VALUE!</v>
      </c>
      <c r="IM7">
        <f>IF(Sheet1!199:199,"AAAAAH79P/Y=",0)</f>
        <v>0</v>
      </c>
      <c r="IN7" t="e">
        <f>AND(Sheet1!A199,"AAAAAH79P/c=")</f>
        <v>#VALUE!</v>
      </c>
      <c r="IO7" t="e">
        <f>AND(Sheet1!B199,"AAAAAH79P/g=")</f>
        <v>#VALUE!</v>
      </c>
      <c r="IP7" t="e">
        <f>AND(Sheet1!C199,"AAAAAH79P/k=")</f>
        <v>#VALUE!</v>
      </c>
      <c r="IQ7" t="e">
        <f>AND(Sheet1!D199,"AAAAAH79P/o=")</f>
        <v>#VALUE!</v>
      </c>
      <c r="IR7" t="e">
        <f>AND(Sheet1!E199,"AAAAAH79P/s=")</f>
        <v>#VALUE!</v>
      </c>
      <c r="IS7" t="e">
        <f>AND(Sheet1!F199,"AAAAAH79P/w=")</f>
        <v>#VALUE!</v>
      </c>
      <c r="IT7" t="e">
        <f>AND(Sheet1!G199,"AAAAAH79P/0=")</f>
        <v>#VALUE!</v>
      </c>
      <c r="IU7" t="e">
        <f>AND(Sheet1!H199,"AAAAAH79P/4=")</f>
        <v>#VALUE!</v>
      </c>
      <c r="IV7">
        <f>IF(Sheet1!200:200,"AAAAAH79P/8=",0)</f>
        <v>0</v>
      </c>
    </row>
    <row r="8" spans="1:256" x14ac:dyDescent="0.25">
      <c r="A8" t="e">
        <f>AND(Sheet1!A200,"AAAAAH2n1wA=")</f>
        <v>#VALUE!</v>
      </c>
      <c r="B8" t="e">
        <f>AND(Sheet1!B200,"AAAAAH2n1wE=")</f>
        <v>#VALUE!</v>
      </c>
      <c r="C8" t="e">
        <f>AND(Sheet1!C200,"AAAAAH2n1wI=")</f>
        <v>#VALUE!</v>
      </c>
      <c r="D8" t="e">
        <f>AND(Sheet1!D200,"AAAAAH2n1wM=")</f>
        <v>#VALUE!</v>
      </c>
      <c r="E8" t="e">
        <f>AND(Sheet1!E200,"AAAAAH2n1wQ=")</f>
        <v>#VALUE!</v>
      </c>
      <c r="F8" t="e">
        <f>AND(Sheet1!F200,"AAAAAH2n1wU=")</f>
        <v>#VALUE!</v>
      </c>
      <c r="G8" t="e">
        <f>AND(Sheet1!G200,"AAAAAH2n1wY=")</f>
        <v>#VALUE!</v>
      </c>
      <c r="H8" t="e">
        <f>AND(Sheet1!H200,"AAAAAH2n1wc=")</f>
        <v>#VALUE!</v>
      </c>
      <c r="I8">
        <f>IF(Sheet1!201:201,"AAAAAH2n1wg=",0)</f>
        <v>0</v>
      </c>
      <c r="J8" t="e">
        <f>AND(Sheet1!A201,"AAAAAH2n1wk=")</f>
        <v>#VALUE!</v>
      </c>
      <c r="K8" t="e">
        <f>AND(Sheet1!B201,"AAAAAH2n1wo=")</f>
        <v>#VALUE!</v>
      </c>
      <c r="L8" t="e">
        <f>AND(Sheet1!C201,"AAAAAH2n1ws=")</f>
        <v>#VALUE!</v>
      </c>
      <c r="M8" t="e">
        <f>AND(Sheet1!D201,"AAAAAH2n1ww=")</f>
        <v>#VALUE!</v>
      </c>
      <c r="N8" t="e">
        <f>AND(Sheet1!E201,"AAAAAH2n1w0=")</f>
        <v>#VALUE!</v>
      </c>
      <c r="O8" t="e">
        <f>AND(Sheet1!F201,"AAAAAH2n1w4=")</f>
        <v>#VALUE!</v>
      </c>
      <c r="P8" t="e">
        <f>AND(Sheet1!G201,"AAAAAH2n1w8=")</f>
        <v>#VALUE!</v>
      </c>
      <c r="Q8" t="e">
        <f>AND(Sheet1!H201,"AAAAAH2n1xA=")</f>
        <v>#VALUE!</v>
      </c>
      <c r="R8">
        <f>IF(Sheet1!202:202,"AAAAAH2n1xE=",0)</f>
        <v>0</v>
      </c>
      <c r="S8" t="e">
        <f>AND(Sheet1!A202,"AAAAAH2n1xI=")</f>
        <v>#VALUE!</v>
      </c>
      <c r="T8" t="e">
        <f>AND(Sheet1!B202,"AAAAAH2n1xM=")</f>
        <v>#VALUE!</v>
      </c>
      <c r="U8" t="e">
        <f>AND(Sheet1!C202,"AAAAAH2n1xQ=")</f>
        <v>#VALUE!</v>
      </c>
      <c r="V8" t="e">
        <f>AND(Sheet1!D202,"AAAAAH2n1xU=")</f>
        <v>#VALUE!</v>
      </c>
      <c r="W8" t="e">
        <f>AND(Sheet1!E202,"AAAAAH2n1xY=")</f>
        <v>#VALUE!</v>
      </c>
      <c r="X8" t="e">
        <f>AND(Sheet1!F202,"AAAAAH2n1xc=")</f>
        <v>#VALUE!</v>
      </c>
      <c r="Y8" t="e">
        <f>AND(Sheet1!G202,"AAAAAH2n1xg=")</f>
        <v>#VALUE!</v>
      </c>
      <c r="Z8" t="e">
        <f>AND(Sheet1!H202,"AAAAAH2n1xk=")</f>
        <v>#VALUE!</v>
      </c>
      <c r="AA8">
        <f>IF(Sheet1!203:203,"AAAAAH2n1xo=",0)</f>
        <v>0</v>
      </c>
      <c r="AB8" t="e">
        <f>AND(Sheet1!A203,"AAAAAH2n1xs=")</f>
        <v>#VALUE!</v>
      </c>
      <c r="AC8" t="e">
        <f>AND(Sheet1!B203,"AAAAAH2n1xw=")</f>
        <v>#VALUE!</v>
      </c>
      <c r="AD8" t="e">
        <f>AND(Sheet1!C203,"AAAAAH2n1x0=")</f>
        <v>#VALUE!</v>
      </c>
      <c r="AE8" t="e">
        <f>AND(Sheet1!D203,"AAAAAH2n1x4=")</f>
        <v>#VALUE!</v>
      </c>
      <c r="AF8" t="e">
        <f>AND(Sheet1!E203,"AAAAAH2n1x8=")</f>
        <v>#VALUE!</v>
      </c>
      <c r="AG8" t="e">
        <f>AND(Sheet1!F203,"AAAAAH2n1yA=")</f>
        <v>#VALUE!</v>
      </c>
      <c r="AH8" t="e">
        <f>AND(Sheet1!G203,"AAAAAH2n1yE=")</f>
        <v>#VALUE!</v>
      </c>
      <c r="AI8" t="e">
        <f>AND(Sheet1!H203,"AAAAAH2n1yI=")</f>
        <v>#VALUE!</v>
      </c>
      <c r="AJ8">
        <f>IF(Sheet1!204:204,"AAAAAH2n1yM=",0)</f>
        <v>0</v>
      </c>
      <c r="AK8" t="e">
        <f>AND(Sheet1!A204,"AAAAAH2n1yQ=")</f>
        <v>#VALUE!</v>
      </c>
      <c r="AL8" t="e">
        <f>AND(Sheet1!B204,"AAAAAH2n1yU=")</f>
        <v>#VALUE!</v>
      </c>
      <c r="AM8" t="e">
        <f>AND(Sheet1!C204,"AAAAAH2n1yY=")</f>
        <v>#VALUE!</v>
      </c>
      <c r="AN8" t="e">
        <f>AND(Sheet1!D204,"AAAAAH2n1yc=")</f>
        <v>#VALUE!</v>
      </c>
      <c r="AO8" t="e">
        <f>AND(Sheet1!E204,"AAAAAH2n1yg=")</f>
        <v>#VALUE!</v>
      </c>
      <c r="AP8" t="e">
        <f>AND(Sheet1!F204,"AAAAAH2n1yk=")</f>
        <v>#VALUE!</v>
      </c>
      <c r="AQ8" t="e">
        <f>AND(Sheet1!G204,"AAAAAH2n1yo=")</f>
        <v>#VALUE!</v>
      </c>
      <c r="AR8" t="e">
        <f>AND(Sheet1!H204,"AAAAAH2n1ys=")</f>
        <v>#VALUE!</v>
      </c>
      <c r="AS8">
        <f>IF(Sheet1!205:205,"AAAAAH2n1yw=",0)</f>
        <v>0</v>
      </c>
      <c r="AT8" t="e">
        <f>AND(Sheet1!A205,"AAAAAH2n1y0=")</f>
        <v>#VALUE!</v>
      </c>
      <c r="AU8" t="e">
        <f>AND(Sheet1!B205,"AAAAAH2n1y4=")</f>
        <v>#VALUE!</v>
      </c>
      <c r="AV8" t="e">
        <f>AND(Sheet1!C205,"AAAAAH2n1y8=")</f>
        <v>#VALUE!</v>
      </c>
      <c r="AW8" t="e">
        <f>AND(Sheet1!D205,"AAAAAH2n1zA=")</f>
        <v>#VALUE!</v>
      </c>
      <c r="AX8" t="e">
        <f>AND(Sheet1!E205,"AAAAAH2n1zE=")</f>
        <v>#VALUE!</v>
      </c>
      <c r="AY8" t="e">
        <f>AND(Sheet1!F205,"AAAAAH2n1zI=")</f>
        <v>#VALUE!</v>
      </c>
      <c r="AZ8" t="e">
        <f>AND(Sheet1!G205,"AAAAAH2n1zM=")</f>
        <v>#VALUE!</v>
      </c>
      <c r="BA8" t="e">
        <f>AND(Sheet1!H205,"AAAAAH2n1zQ=")</f>
        <v>#VALUE!</v>
      </c>
      <c r="BB8" t="str">
        <f>IF(Sheet1!A:A,"AAAAAH2n1zU=",0)</f>
        <v>AAAAAH2n1zU=</v>
      </c>
      <c r="BC8" t="str">
        <f ca="1">IF(Sheet1!B:B,"AAAAAH2n1zY=",0)</f>
        <v>AAAAAH2n1zY=</v>
      </c>
      <c r="BD8">
        <f>IF(Sheet1!C:C,"AAAAAH2n1zc=",0)</f>
        <v>0</v>
      </c>
      <c r="BE8" t="str">
        <f ca="1">IF(Sheet1!D:D,"AAAAAH2n1zg=",0)</f>
        <v>AAAAAH2n1zg=</v>
      </c>
      <c r="BF8" t="str">
        <f ca="1">IF(Sheet1!E:E,"AAAAAH2n1zk=",0)</f>
        <v>AAAAAH2n1zk=</v>
      </c>
      <c r="BG8">
        <f>IF(Sheet1!F:F,"AAAAAH2n1zo=",0)</f>
        <v>0</v>
      </c>
      <c r="BH8" t="str">
        <f ca="1">IF(Sheet1!G:G,"AAAAAH2n1zs=",0)</f>
        <v>AAAAAH2n1zs=</v>
      </c>
      <c r="BI8" t="str">
        <f ca="1">IF(Sheet1!H:H,"AAAAAH2n1zw=",0)</f>
        <v>AAAAAH2n1zw=</v>
      </c>
      <c r="BJ8">
        <f>IF(Sheet2!1:1,"AAAAAH2n1z0=",0)</f>
        <v>0</v>
      </c>
      <c r="BK8" t="e">
        <f>AND(Sheet2!A1,"AAAAAH2n1z4=")</f>
        <v>#VALUE!</v>
      </c>
      <c r="BL8">
        <f>IF(Sheet2!A:A,"AAAAAH2n1z8=",0)</f>
        <v>0</v>
      </c>
      <c r="BM8">
        <f>IF(Sheet3!1:1,"AAAAAH2n10A=",0)</f>
        <v>0</v>
      </c>
      <c r="BN8" t="e">
        <f>AND(Sheet3!A1,"AAAAAH2n10E=")</f>
        <v>#VALUE!</v>
      </c>
      <c r="BO8">
        <f>IF(Sheet3!A:A,"AAAAAH2n10I=",0)</f>
        <v>0</v>
      </c>
      <c r="BP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MacDonald</dc:creator>
  <cp:lastModifiedBy>Iain MacDonald</cp:lastModifiedBy>
  <dcterms:created xsi:type="dcterms:W3CDTF">2011-08-22T14:11:04Z</dcterms:created>
  <dcterms:modified xsi:type="dcterms:W3CDTF">2011-08-23T21:10:33Z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1FbESzKgxfqWs3rzi5fOv6fFZ7NoXH8YzIEmbLepbUMs</vt:lpwstr>
  </property>
  <property fmtid="{D5CDD505-2E9C-101B-9397-08002B2CF9AE}" pid="4" name="Google.Documents.RevisionId">
    <vt:lpwstr>01290631886760227546</vt:lpwstr>
  </property>
  <property fmtid="{D5CDD505-2E9C-101B-9397-08002B2CF9AE}" pid="5" name="Google.Documents.PluginVersion">
    <vt:lpwstr>2.0.2154.5604</vt:lpwstr>
  </property>
  <property fmtid="{D5CDD505-2E9C-101B-9397-08002B2CF9AE}" pid="6" name="Google.Documents.MergeIncapabilityFlags">
    <vt:i4>0</vt:i4>
  </property>
</Properties>
</file>