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2f7b8af3508b5419/Documents/Coding/Codebasics/DataAnalyticsBootcamp/M1-Excel and Basic Statistics/"/>
    </mc:Choice>
  </mc:AlternateContent>
  <xr:revisionPtr revIDLastSave="719" documentId="11_F25DC773A252ABDACC10488CA91D5F2E5BDE58EE" xr6:coauthVersionLast="47" xr6:coauthVersionMax="47" xr10:uidLastSave="{E3FE11AE-E8A1-41AF-B253-40C5CB158F1C}"/>
  <bookViews>
    <workbookView xWindow="-98" yWindow="-98" windowWidth="21795" windowHeight="12975" firstSheet="1" activeTab="4" xr2:uid="{00000000-000D-0000-FFFF-FFFF00000000}"/>
  </bookViews>
  <sheets>
    <sheet name="April 2025" sheetId="1" r:id="rId1"/>
    <sheet name="Company Performance" sheetId="3" r:id="rId2"/>
    <sheet name="Company Financials" sheetId="4" r:id="rId3"/>
    <sheet name="Employee Salary" sheetId="5" r:id="rId4"/>
    <sheet name="Monthly Savings Tracker" sheetId="6" r:id="rId5"/>
  </sheets>
  <definedNames>
    <definedName name="_xlnm._FilterDatabase" localSheetId="0" hidden="1">'April 2025'!$A$1:$E$13</definedName>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6" i="6" l="1"/>
  <c r="N17" i="6"/>
  <c r="N18" i="6"/>
  <c r="N19" i="6"/>
  <c r="N20" i="6"/>
  <c r="N21" i="6"/>
  <c r="N22" i="6"/>
  <c r="N29" i="6" s="1"/>
  <c r="N31" i="6" s="1"/>
  <c r="N23" i="6"/>
  <c r="N24" i="6"/>
  <c r="N25" i="6"/>
  <c r="N26" i="6"/>
  <c r="N27" i="6"/>
  <c r="N28" i="6"/>
  <c r="C29" i="6"/>
  <c r="C31" i="6" s="1"/>
  <c r="D29" i="6"/>
  <c r="D31" i="6" s="1"/>
  <c r="E29" i="6"/>
  <c r="E31" i="6" s="1"/>
  <c r="F29" i="6"/>
  <c r="F31" i="6" s="1"/>
  <c r="G29" i="6"/>
  <c r="G31" i="6" s="1"/>
  <c r="H29" i="6"/>
  <c r="H31" i="6" s="1"/>
  <c r="I29" i="6"/>
  <c r="I31" i="6" s="1"/>
  <c r="J29" i="6"/>
  <c r="J31" i="6" s="1"/>
  <c r="K29" i="6"/>
  <c r="K31" i="6" s="1"/>
  <c r="L29" i="6"/>
  <c r="L31" i="6" s="1"/>
  <c r="M29" i="6"/>
  <c r="M31" i="6" s="1"/>
  <c r="B29" i="6"/>
  <c r="B31" i="6" s="1"/>
  <c r="C12" i="6"/>
  <c r="D12" i="6"/>
  <c r="E12" i="6"/>
  <c r="F12" i="6"/>
  <c r="G12" i="6"/>
  <c r="H12" i="6"/>
  <c r="I12" i="6"/>
  <c r="J12" i="6"/>
  <c r="K12" i="6"/>
  <c r="L12" i="6"/>
  <c r="M12" i="6"/>
  <c r="B12" i="6"/>
  <c r="N8" i="6"/>
  <c r="N9" i="6"/>
  <c r="N10" i="6"/>
  <c r="N11" i="6"/>
  <c r="N12" i="6" l="1"/>
  <c r="D6" i="5" l="1"/>
  <c r="D4" i="5"/>
  <c r="D5" i="5"/>
  <c r="D3" i="5"/>
  <c r="C8" i="4"/>
  <c r="D8" i="4"/>
  <c r="E8" i="4"/>
  <c r="F8" i="4"/>
  <c r="G8" i="4"/>
  <c r="B8" i="4"/>
  <c r="C7" i="4"/>
  <c r="D7" i="4"/>
  <c r="E7" i="4"/>
  <c r="F7" i="4"/>
  <c r="G7" i="4"/>
  <c r="B7" i="4"/>
  <c r="H18" i="1"/>
  <c r="H19" i="1"/>
  <c r="H20" i="1"/>
  <c r="H21" i="1"/>
  <c r="H22" i="1"/>
  <c r="H23" i="1"/>
  <c r="H24" i="1"/>
  <c r="H17" i="1"/>
  <c r="G17" i="1" a="1"/>
  <c r="G17" i="1" s="1"/>
  <c r="E10" i="1"/>
  <c r="E13" i="1"/>
  <c r="D12" i="1"/>
  <c r="H2" i="1"/>
  <c r="H4" i="1"/>
  <c r="H3" i="1"/>
  <c r="E3" i="1"/>
  <c r="E4" i="1"/>
  <c r="E5" i="1"/>
  <c r="E6" i="1"/>
  <c r="E7" i="1"/>
  <c r="E8" i="1"/>
  <c r="E9" i="1"/>
  <c r="E11" i="1"/>
  <c r="E2" i="1"/>
  <c r="E12"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<sst xmlns="http://schemas.openxmlformats.org/spreadsheetml/2006/main" count="108" uniqueCount="75">
  <si>
    <t>Subway Sandwich</t>
  </si>
  <si>
    <t>Samosa</t>
  </si>
  <si>
    <t>Item</t>
  </si>
  <si>
    <t>Amount</t>
  </si>
  <si>
    <t>Date</t>
  </si>
  <si>
    <t>Groceries</t>
  </si>
  <si>
    <t>Phone Bill</t>
  </si>
  <si>
    <t>Gas Bill</t>
  </si>
  <si>
    <t>Home Bill</t>
  </si>
  <si>
    <t>Category</t>
  </si>
  <si>
    <t>Food</t>
  </si>
  <si>
    <t>Utilities</t>
  </si>
  <si>
    <t>Pizza</t>
  </si>
  <si>
    <t>Tomatoes</t>
  </si>
  <si>
    <t>Rent</t>
  </si>
  <si>
    <t>Home Rent</t>
  </si>
  <si>
    <t>Major Expense?</t>
  </si>
  <si>
    <t>Total Amount</t>
  </si>
  <si>
    <t>Total</t>
  </si>
  <si>
    <t>Fuel</t>
  </si>
  <si>
    <t>Company</t>
  </si>
  <si>
    <t>Revenue</t>
  </si>
  <si>
    <t>Profit</t>
  </si>
  <si>
    <t>HCL</t>
  </si>
  <si>
    <t>Reliance</t>
  </si>
  <si>
    <t>Tesla</t>
  </si>
  <si>
    <t>Google</t>
  </si>
  <si>
    <t>Vedanta</t>
  </si>
  <si>
    <t>Cost of Goods Sold (COGS)</t>
  </si>
  <si>
    <t>Selling, general and administrative (SG&amp;A)</t>
  </si>
  <si>
    <t>Depreciation and Amortization</t>
  </si>
  <si>
    <t>Operating Income</t>
  </si>
  <si>
    <t>operating Income percentage</t>
  </si>
  <si>
    <t>Q1</t>
  </si>
  <si>
    <t>Q2</t>
  </si>
  <si>
    <t>Salary</t>
  </si>
  <si>
    <t>Bonus</t>
  </si>
  <si>
    <t>Total Compensation</t>
  </si>
  <si>
    <t>Jack</t>
  </si>
  <si>
    <t>Ram</t>
  </si>
  <si>
    <t>Kumar</t>
  </si>
  <si>
    <t>Sheela</t>
  </si>
  <si>
    <t>Personal Income and Expense Tracker</t>
  </si>
  <si>
    <t>Monthly Savings Target</t>
  </si>
  <si>
    <t>Income</t>
  </si>
  <si>
    <t>Jan</t>
  </si>
  <si>
    <t>Feb</t>
  </si>
  <si>
    <t>Mar</t>
  </si>
  <si>
    <t>Apr</t>
  </si>
  <si>
    <t>May</t>
  </si>
  <si>
    <t>Jun</t>
  </si>
  <si>
    <t>Jul</t>
  </si>
  <si>
    <t>Aug</t>
  </si>
  <si>
    <t>Sep</t>
  </si>
  <si>
    <t>Oct</t>
  </si>
  <si>
    <t>Nov</t>
  </si>
  <si>
    <t>Dec</t>
  </si>
  <si>
    <t>Year to Date</t>
  </si>
  <si>
    <t>Rental Income</t>
  </si>
  <si>
    <t>Dividend, Stock Gain</t>
  </si>
  <si>
    <t>FreeLancing</t>
  </si>
  <si>
    <t>Expense</t>
  </si>
  <si>
    <t>Housing</t>
  </si>
  <si>
    <t>Electricity</t>
  </si>
  <si>
    <t>Internet</t>
  </si>
  <si>
    <t>Gas</t>
  </si>
  <si>
    <t>Other Maintenance</t>
  </si>
  <si>
    <t>Dining Out</t>
  </si>
  <si>
    <t>Transportation</t>
  </si>
  <si>
    <t>Fuel Expenses</t>
  </si>
  <si>
    <t>Bus/Train/Taxi/Flight</t>
  </si>
  <si>
    <t>Vehicle Maintenance</t>
  </si>
  <si>
    <t>Total Income</t>
  </si>
  <si>
    <t>Total Expenses</t>
  </si>
  <si>
    <t>Savings/Deficit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</si>
</sst>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43" formatCode="_ * #,##0.00_ ;_ * \-#,##0.00_ ;_ * &quot;-&quot;??_ ;_ @_ "/>
    <numFmt numFmtId="169" formatCode="_ &quot;₹&quot;\ * #,##0_ ;_ &quot;₹&quot;\ * \-#,##0_ ;_ &quot;₹&quot;\ * &quot;-&quot;??_ ;_ @_ "/>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
      <b/>
      <sz val="11"/>
      <color theme="0"/>
      <name val="Calibri"/>
      <family val="2"/>
      <scheme val="minor"/>
    </font>
    <font>
      <sz val="8"/>
      <name val="Calibri"/>
      <family val="2"/>
      <scheme val="minor"/>
    </font>
    <font>
      <b/>
      <i/>
      <sz val="11"/>
      <color theme="1"/>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rgb="FFFFFFFF"/>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1"/>
        <bgColor theme="1"/>
      </patternFill>
    </fill>
    <fill>
      <patternFill patternType="solid">
        <fgColor theme="6"/>
        <bgColor indexed="64"/>
      </patternFill>
    </fill>
  </fills>
  <borders count="11">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36">
    <xf numFmtId="0" fontId="0" fillId="0" borderId="0" xfId="0"/>
    <xf numFmtId="0" fontId="3" fillId="2" borderId="0" xfId="0" applyFont="1" applyFill="1"/>
    <xf numFmtId="16" fontId="4" fillId="0" borderId="0" xfId="0" applyNumberFormat="1" applyFont="1"/>
    <xf numFmtId="10" fontId="0" fillId="0" borderId="0" xfId="1" applyNumberFormat="1" applyFont="1"/>
    <xf numFmtId="0" fontId="0" fillId="3" borderId="0" xfId="0" applyFill="1"/>
    <xf numFmtId="16" fontId="4" fillId="4" borderId="3" xfId="0" applyNumberFormat="1" applyFont="1" applyFill="1" applyBorder="1"/>
    <xf numFmtId="0" fontId="4" fillId="4" borderId="3" xfId="0" applyFont="1" applyFill="1" applyBorder="1"/>
    <xf numFmtId="16" fontId="4" fillId="0" borderId="3" xfId="0" applyNumberFormat="1" applyFont="1" applyBorder="1"/>
    <xf numFmtId="0" fontId="4" fillId="0" borderId="3" xfId="0" applyFont="1" applyBorder="1"/>
    <xf numFmtId="0" fontId="0" fillId="4" borderId="3" xfId="0" applyFill="1" applyBorder="1"/>
    <xf numFmtId="0" fontId="0" fillId="0" borderId="3" xfId="0" applyBorder="1"/>
    <xf numFmtId="0" fontId="5" fillId="2" borderId="0" xfId="0" applyFont="1" applyFill="1"/>
    <xf numFmtId="0" fontId="3" fillId="0" borderId="4" xfId="0" applyFont="1" applyBorder="1"/>
    <xf numFmtId="0" fontId="3" fillId="0" borderId="5" xfId="0" applyFont="1" applyBorder="1"/>
    <xf numFmtId="0" fontId="2" fillId="0" borderId="6" xfId="0" applyFont="1" applyBorder="1"/>
    <xf numFmtId="0" fontId="2" fillId="2" borderId="0" xfId="0" applyFont="1" applyFill="1"/>
    <xf numFmtId="14" fontId="0" fillId="0" borderId="0" xfId="0" applyNumberFormat="1"/>
    <xf numFmtId="0" fontId="5" fillId="2" borderId="1" xfId="0" applyFont="1" applyFill="1" applyBorder="1"/>
    <xf numFmtId="0" fontId="5" fillId="2" borderId="2" xfId="0" applyFont="1" applyFill="1" applyBorder="1"/>
    <xf numFmtId="0" fontId="2" fillId="6" borderId="0" xfId="0" applyFont="1" applyFill="1" applyAlignment="1">
      <alignment horizontal="center"/>
    </xf>
    <xf numFmtId="0" fontId="0" fillId="0" borderId="7" xfId="0" applyBorder="1"/>
    <xf numFmtId="0" fontId="2" fillId="6" borderId="7" xfId="0" applyFont="1" applyFill="1" applyBorder="1" applyAlignment="1">
      <alignment horizontal="center"/>
    </xf>
    <xf numFmtId="17" fontId="2" fillId="5" borderId="7" xfId="0" applyNumberFormat="1" applyFont="1" applyFill="1" applyBorder="1"/>
    <xf numFmtId="0" fontId="2" fillId="0" borderId="7" xfId="0" applyFont="1" applyBorder="1"/>
    <xf numFmtId="10" fontId="0" fillId="0" borderId="7" xfId="1" applyNumberFormat="1" applyFont="1" applyBorder="1"/>
    <xf numFmtId="43" fontId="0" fillId="0" borderId="0" xfId="2" applyFont="1"/>
    <xf numFmtId="0" fontId="0" fillId="0" borderId="7" xfId="0" applyBorder="1" applyAlignment="1">
      <alignment horizontal="center" wrapText="1"/>
    </xf>
    <xf numFmtId="169" fontId="0" fillId="0" borderId="7" xfId="3" applyNumberFormat="1" applyFont="1" applyBorder="1"/>
    <xf numFmtId="0" fontId="2" fillId="7" borderId="0" xfId="0" applyFont="1" applyFill="1"/>
    <xf numFmtId="0" fontId="2" fillId="7" borderId="0" xfId="0" applyFont="1" applyFill="1" applyAlignment="1">
      <alignment horizontal="center" vertical="center"/>
    </xf>
    <xf numFmtId="0" fontId="6" fillId="8" borderId="8" xfId="0" applyFont="1" applyFill="1" applyBorder="1"/>
    <xf numFmtId="0" fontId="6" fillId="8" borderId="9" xfId="0" applyFont="1" applyFill="1" applyBorder="1"/>
    <xf numFmtId="0" fontId="6" fillId="8" borderId="10" xfId="0" applyFont="1" applyFill="1" applyBorder="1"/>
    <xf numFmtId="0" fontId="8" fillId="9" borderId="0" xfId="0" applyFont="1" applyFill="1"/>
    <xf numFmtId="0" fontId="0" fillId="9" borderId="0" xfId="0" applyFill="1"/>
    <xf numFmtId="0" fontId="8" fillId="6" borderId="0" xfId="0" applyFont="1" applyFill="1"/>
  </cellXfs>
  <cellStyles count="4">
    <cellStyle name="Comma" xfId="2" builtinId="3"/>
    <cellStyle name="Currency" xfId="3" builtinId="4"/>
    <cellStyle name="Normal" xfId="0" builtinId="0"/>
    <cellStyle name="Percent" xfId="1" builtinId="5"/>
  </cellStyles>
  <dxfs count="20">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bottom style="thin">
          <color theme="1"/>
        </bottom>
      </border>
    </dxf>
    <dxf>
      <border outline="0">
        <top style="thin">
          <color theme="1"/>
        </top>
      </border>
    </dxf>
    <dxf>
      <numFmt numFmtId="0" formatCode="General"/>
    </dxf>
    <dxf>
      <font>
        <b/>
        <i val="0"/>
        <strike val="0"/>
        <condense val="0"/>
        <extend val="0"/>
        <outline val="0"/>
        <shadow val="0"/>
        <u val="none"/>
        <vertAlign val="baseline"/>
        <sz val="11"/>
        <color theme="1"/>
        <name val="Calibri"/>
        <family val="2"/>
        <scheme val="minor"/>
      </font>
      <fill>
        <patternFill patternType="solid">
          <fgColor indexed="64"/>
          <bgColor theme="7" tint="0.59999389629810485"/>
        </patternFill>
      </fill>
    </dxf>
    <dxf>
      <font>
        <b val="0"/>
        <i val="0"/>
        <strike val="0"/>
        <condense val="0"/>
        <extend val="0"/>
        <outline val="0"/>
        <shadow val="0"/>
        <u val="none"/>
        <vertAlign val="baseline"/>
        <sz val="12"/>
        <color theme="1"/>
        <name val="Calibri"/>
        <family val="2"/>
        <scheme val="minor"/>
      </font>
      <numFmt numFmtId="21" formatCode="dd/mmm"/>
    </dxf>
    <dxf>
      <font>
        <b/>
        <i val="0"/>
        <strike val="0"/>
        <condense val="0"/>
        <extend val="0"/>
        <outline val="0"/>
        <shadow val="0"/>
        <u val="none"/>
        <vertAlign val="baseline"/>
        <sz val="12"/>
        <color theme="1"/>
        <name val="Calibri"/>
        <family val="2"/>
        <scheme val="minor"/>
      </font>
      <fill>
        <patternFill patternType="solid">
          <fgColor indexed="64"/>
          <bgColor theme="7" tint="0.59999389629810485"/>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21" formatCode="dd/mmm"/>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21" formatCode="dd/mmm"/>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double">
          <color theme="4"/>
        </bottom>
      </border>
    </dxf>
    <dxf>
      <font>
        <b/>
        <i val="0"/>
        <strike val="0"/>
        <condense val="0"/>
        <extend val="0"/>
        <outline val="0"/>
        <shadow val="0"/>
        <u val="none"/>
        <vertAlign val="baseline"/>
        <sz val="12"/>
        <color theme="0"/>
        <name val="Calibri"/>
        <family val="2"/>
        <scheme val="minor"/>
      </font>
      <fill>
        <patternFill patternType="solid">
          <fgColor indexed="64"/>
          <bgColor theme="7"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'April 2025'!$H$1</c:f>
              <c:strCache>
                <c:ptCount val="1"/>
                <c:pt idx="0">
                  <c:v>Total Amount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CA6-4D38-82C7-D73AE99B514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CA6-4D38-82C7-D73AE99B514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CA6-4D38-82C7-D73AE99B51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'April 2025'!$G$2:$G$4</c:f>
              <c:strCache>
                <c:ptCount val="3"/>
                <c:pt idx="0">
                  <c:v>Food</c:v>
                </c:pt>
                <c:pt idx="1">
                  <c:v>Rent</c:v>
                </c:pt>
                <c:pt idx="2">
                  <c:v>Utilities</c:v>
                </c:pt>
              </c:strCache>
            </c:strRef>
          </c:cat>
          <c:val>
            <c:numRef>
              <c:f>'April 2025'!$H$2:$H$4</c:f>
              <c:numCache>
                <c:formatCode>General</c:formatCode>
                <c:ptCount val="3"/>
                <c:pt idx="0">
                  <c:v>1580</c:v>
                </c:pt>
                <c:pt idx="1">
                  <c:v>2000</c:v>
                </c:pt>
                <c:pt idx="2">
                  <c:v>2455</c:v>
                </c:pt>
              </c:numCache>
            </c:numRef>
          </c:val>
          <c:extLst>
            <c:ext xmlns:c16="http://schemas.microsoft.com/office/drawing/2014/chart" uri="{C3380CC4-5D6E-409C-BE32-E72D297353CC}">
              <c16:uniqueId val="{00000000-32AF-4E5D-8A30-01E72B6059A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'April 2025'!$H$16</c:f>
              <c:strCache>
                <c:ptCount val="1"/>
                <c:pt idx="0">
                  <c:v>Total Amount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'April 2025'!$G$17:$G$24</c:f>
              <c:numCache>
                <c:formatCode>m/d/yyyy</c:formatCode>
                <c:ptCount val="8"/>
                <c:pt idx="0">
                  <c:v>45771</c:v>
                </c:pt>
                <c:pt idx="1">
                  <c:v>45772</c:v>
                </c:pt>
                <c:pt idx="2">
                  <c:v>45773</c:v>
                </c:pt>
                <c:pt idx="3">
                  <c:v>45774</c:v>
                </c:pt>
                <c:pt idx="4">
                  <c:v>45775</c:v>
                </c:pt>
                <c:pt idx="5">
                  <c:v>45776</c:v>
                </c:pt>
                <c:pt idx="6">
                  <c:v>45777</c:v>
                </c:pt>
                <c:pt idx="7">
                  <c:v>45778</c:v>
                </c:pt>
              </c:numCache>
            </c:numRef>
          </c:cat>
          <c:val>
            <c:numRef>
              <c:f>'April 2025'!$H$17:$H$24</c:f>
              <c:numCache>
                <c:formatCode>General</c:formatCode>
                <c:ptCount val="8"/>
                <c:pt idx="0">
                  <c:v>2300</c:v>
                </c:pt>
                <c:pt idx="1">
                  <c:v>50</c:v>
                </c:pt>
                <c:pt idx="2">
                  <c:v>50</c:v>
                </c:pt>
                <c:pt idx="3">
                  <c:v>100</c:v>
                </c:pt>
                <c:pt idx="4">
                  <c:v>200</c:v>
                </c:pt>
                <c:pt idx="5">
                  <c:v>255</c:v>
                </c:pt>
                <c:pt idx="6">
                  <c:v>3000</c:v>
                </c:pt>
                <c:pt idx="7">
                  <c:v>80</c:v>
                </c:pt>
              </c:numCache>
            </c:numRef>
          </c:val>
          <c:smooth val="0"/>
          <c:extLst>
            <c:ext xmlns:c16="http://schemas.microsoft.com/office/drawing/2014/chart" uri="{C3380CC4-5D6E-409C-BE32-E72D297353CC}">
              <c16:uniqueId val="{00000000-8448-4E9D-9DC4-4A2315A532A4}"/>
            </c:ext>
          </c:extLst>
        </c:ser>
        <c:dLbls>
          <c:dLblPos val="t"/>
          <c:showLegendKey val="0"/>
          <c:showVal val="1"/>
          <c:showCatName val="0"/>
          <c:showSerName val="0"/>
          <c:showPercent val="0"/>
          <c:showBubbleSize val="0"/>
        </c:dLbls>
        <c:smooth val="0"/>
        <c:axId val="34099088"/>
        <c:axId val="34100528"/>
      </c:lineChart>
      <c:dateAx>
        <c:axId val="34099088"/>
        <c:scaling>
          <c:orientation val="minMax"/>
        </c:scaling>
        <c:delete val="0"/>
        <c:axPos val="b"/>
        <c:numFmt formatCode="m/d/yyyy"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00528"/>
        <c:crosses val="autoZero"/>
        <c:auto val="1"/>
        <c:lblOffset val="100"/>
        <c:baseTimeUnit val="days"/>
      </c:dateAx>
      <c:valAx>
        <c:axId val="34100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99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'Company Performance'!$B$1</c:f>
              <c:strCache>
                <c:ptCount val="1"/>
                <c:pt idx="0">
                  <c:v>Revenue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'Company Performance'!$A$2:$A$6</c:f>
              <c:strCache>
                <c:ptCount val="5"/>
                <c:pt idx="0">
                  <c:v>HCL</c:v>
                </c:pt>
                <c:pt idx="1">
                  <c:v>Reliance</c:v>
                </c:pt>
                <c:pt idx="2">
                  <c:v>Tesla</c:v>
                </c:pt>
                <c:pt idx="3">
                  <c:v>Google</c:v>
                </c:pt>
                <c:pt idx="4">
                  <c:v>Vedanta</c:v>
                </c:pt>
              </c:strCache>
            </c:strRef>
          </c:cat>
          <c:val>
            <c:numRef>
              <c:f>'Company Performance'!$B$2:$B$6</c:f>
              <c:numCache>
                <c:formatCode>General</c:formatCode>
                <c:ptCount val="5"/>
                <c:pt idx="0">
                  <c:v>100</c:v>
                </c:pt>
                <c:pt idx="1">
                  <c:v>2000</c:v>
                </c:pt>
                <c:pt idx="2">
                  <c:v>500</c:v>
                </c:pt>
                <c:pt idx="3">
                  <c:v>300</c:v>
                </c:pt>
                <c:pt idx="4">
                  <c:v>1000</c:v>
                </c:pt>
              </c:numCache>
            </c:numRef>
          </c:val>
          <c:extLst>
            <c:ext xmlns:c16="http://schemas.microsoft.com/office/drawing/2014/chart" uri="{C3380CC4-5D6E-409C-BE32-E72D297353CC}">
              <c16:uniqueId val="{00000000-0567-4390-8B28-29738C754B02}"/>
            </c:ext>
          </c:extLst>
        </c:ser>
        <c:ser>
          <c:idx val="1"/>
          <c:order val="1"/>
          <c:tx>
            <c:strRef>
              <c:f>'Company Performance'!$C$1</c:f>
              <c:strCache>
                <c:ptCount val="1"/>
                <c:pt idx="0">
                  <c:v>Profit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'Company Performance'!$A$2:$A$6</c:f>
              <c:strCache>
                <c:ptCount val="5"/>
                <c:pt idx="0">
                  <c:v>HCL</c:v>
                </c:pt>
                <c:pt idx="1">
                  <c:v>Reliance</c:v>
                </c:pt>
                <c:pt idx="2">
                  <c:v>Tesla</c:v>
                </c:pt>
                <c:pt idx="3">
                  <c:v>Google</c:v>
                </c:pt>
                <c:pt idx="4">
                  <c:v>Vedanta</c:v>
                </c:pt>
              </c:strCache>
            </c:strRef>
          </c:cat>
          <c:val>
            <c:numRef>
              <c:f>'Company Performance'!$C$2:$C$6</c:f>
              <c:numCache>
                <c:formatCode>General</c:formatCode>
                <c:ptCount val="5"/>
                <c:pt idx="0">
                  <c:v>60</c:v>
                </c:pt>
                <c:pt idx="1">
                  <c:v>400</c:v>
                </c:pt>
                <c:pt idx="2">
                  <c:v>100</c:v>
                </c:pt>
                <c:pt idx="3">
                  <c:v>50</c:v>
                </c:pt>
                <c:pt idx="4">
                  <c:v>300</c:v>
                </c:pt>
              </c:numCache>
            </c:numRef>
          </c:val>
          <c:extLst>
            <c:ext xmlns:c16="http://schemas.microsoft.com/office/drawing/2014/chart" uri="{C3380CC4-5D6E-409C-BE32-E72D297353CC}">
              <c16:uniqueId val="{00000001-0567-4390-8B28-29738C754B02}"/>
            </c:ext>
          </c:extLst>
        </c:ser>
        <c:dLbls>
          <c:showLegendKey val="0"/>
          <c:showVal val="0"/>
          <c:showCatName val="0"/>
          <c:showSerName val="0"/>
          <c:showPercent val="0"/>
          <c:showBubbleSize val="0"/>
        </c:dLbls>
        <c:gapWidth val="315"/>
        <c:overlap val="-40"/>
        <c:axId val="221998896"/>
        <c:axId val="221996976"/>
      </c:barChart>
      <c:catAx>
        <c:axId val="22199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1996976"/>
        <c:crosses val="autoZero"/>
        <c:auto val="1"/>
        <c:lblAlgn val="ctr"/>
        <c:lblOffset val="100"/>
        <c:noMultiLvlLbl val="0"/>
      </c:catAx>
      <c:valAx>
        <c:axId val="2219969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1998896"/>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absolute">
    <xdr:from>
      <xdr:col>9</xdr:col>
      <xdr:colOff>46434</xdr:colOff>
      <xdr:row>0</xdr:row>
      <xdr:rowOff>158352</xdr:rowOff>
    </xdr:from>
    <xdr:to>
      <xdr:col>11</xdr:col>
      <xdr:colOff>577453</xdr:colOff>
      <xdr:row>13</xdr:row>
      <xdr:rowOff>107750</xdr:rowOff>
    </xdr:to>
    <mc:AlternateContent xmlns:mc="http://schemas.openxmlformats.org/markup-compatibility/2006" xmlns:sle15="http://schemas.microsoft.com/office/drawing/2012/slicer">
      <mc:Choice Requires="sle15">
        <xdr:graphicFrame macro="">
          <xdr:nvGraphicFramePr>
            <xdr:cNvPr id="4" name="Category">
              <a:extLst>
                <a:ext uri="{FF2B5EF4-FFF2-40B4-BE49-F238E27FC236}">
                  <a16:creationId xmlns:a16="http://schemas.microsoft.com/office/drawing/2014/main" id="{B2D74492-F9D9-FD91-F468-39CA6D46222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288411" y="158352"/>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5</xdr:col>
      <xdr:colOff>482202</xdr:colOff>
      <xdr:row>4</xdr:row>
      <xdr:rowOff>83344</xdr:rowOff>
    </xdr:from>
    <xdr:to>
      <xdr:col>8</xdr:col>
      <xdr:colOff>122039</xdr:colOff>
      <xdr:row>12</xdr:row>
      <xdr:rowOff>122039</xdr:rowOff>
    </xdr:to>
    <xdr:graphicFrame macro="">
      <xdr:nvGraphicFramePr>
        <xdr:cNvPr id="5" name="Chart 4">
          <a:extLst>
            <a:ext uri="{FF2B5EF4-FFF2-40B4-BE49-F238E27FC236}">
              <a16:creationId xmlns:a16="http://schemas.microsoft.com/office/drawing/2014/main" id="{1FFE1301-D581-9701-5FCC-497E99D69F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130969</xdr:colOff>
      <xdr:row>14</xdr:row>
      <xdr:rowOff>151807</xdr:rowOff>
    </xdr:from>
    <xdr:to>
      <xdr:col>5</xdr:col>
      <xdr:colOff>211335</xdr:colOff>
      <xdr:row>23</xdr:row>
      <xdr:rowOff>136923</xdr:rowOff>
    </xdr:to>
    <xdr:graphicFrame macro="">
      <xdr:nvGraphicFramePr>
        <xdr:cNvPr id="6" name="Chart 5">
          <a:extLst>
            <a:ext uri="{FF2B5EF4-FFF2-40B4-BE49-F238E27FC236}">
              <a16:creationId xmlns:a16="http://schemas.microsoft.com/office/drawing/2014/main" id="{7ACAAE49-5153-4B25-F252-8095FD3AE4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648890</xdr:colOff>
      <xdr:row>1</xdr:row>
      <xdr:rowOff>0</xdr:rowOff>
    </xdr:from>
    <xdr:to>
      <xdr:col>8</xdr:col>
      <xdr:colOff>29766</xdr:colOff>
      <xdr:row>11</xdr:row>
      <xdr:rowOff>142875</xdr:rowOff>
    </xdr:to>
    <xdr:graphicFrame macro="">
      <xdr:nvGraphicFramePr>
        <xdr:cNvPr id="3" name="Chart 2">
          <a:extLst>
            <a:ext uri="{FF2B5EF4-FFF2-40B4-BE49-F238E27FC236}">
              <a16:creationId xmlns:a16="http://schemas.microsoft.com/office/drawing/2014/main" id="{FDF97117-B426-59D0-3149-65B19B8FC9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F8B1F08-F206-4149-9D88-023057BB05DD}" sourceName="Category">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18599437-7020-4230-B3B7-8AFFF1E39D29}"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5CC636-AD91-46BC-A6F4-F22B99CE9934}" name="Expenses" displayName="Expenses" ref="A1:E11" totalsRowShown="0" headerRowDxfId="19" tableBorderDxfId="18">
  <autoFilter ref="A1:E11" xr:uid="{245CC636-AD91-46BC-A6F4-F22B99CE9934}"/>
  <tableColumns count="5">
    <tableColumn id="1" xr3:uid="{DC954D90-A80A-4404-A45E-04C03CF5EDC7}" name="Date" dataDxfId="17"/>
    <tableColumn id="2" xr3:uid="{EEA8DC74-D6A1-4465-A909-F273D0640FAA}" name="Category" dataDxfId="16"/>
    <tableColumn id="3" xr3:uid="{334F87F9-BEFD-45A8-A031-0B0FE5B7387C}" name="Item" dataDxfId="15"/>
    <tableColumn id="4" xr3:uid="{9DD11D23-C710-4B4C-8306-AE05649DDA46}" name="Amount" dataDxfId="14"/>
    <tableColumn id="5" xr3:uid="{C4656DFE-E386-48E5-8BF6-5B1378A49BE7}" name="Major Expense?" dataDxfId="13">
      <calculatedColumnFormula>IF(D2&gt;=100,"Yes","No")</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28C21C-C08A-4BA4-9E7D-6068B9257DE1}" name="Table5" displayName="Table5" ref="G1:H4" totalsRowShown="0" headerRowDxfId="12">
  <autoFilter ref="G1:H4" xr:uid="{D228C21C-C08A-4BA4-9E7D-6068B9257DE1}"/>
  <tableColumns count="2">
    <tableColumn id="1" xr3:uid="{28F11678-F5D2-402E-B58C-7C472074DA69}" name="Category" dataDxfId="11"/>
    <tableColumn id="2" xr3:uid="{A6E0ACF3-5DFE-40BA-860F-1691DF9C347C}" name="Total Amou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C1A9E6-BE90-4382-8F3C-8BE34D53FDEC}" name="Table4" displayName="Table4" ref="A1:C6" totalsRowShown="0" headerRowDxfId="10">
  <autoFilter ref="A1:C6" xr:uid="{43C1A9E6-BE90-4382-8F3C-8BE34D53FDEC}"/>
  <tableColumns count="3">
    <tableColumn id="1" xr3:uid="{5EE4B4F0-59F9-4196-BFDF-15A996A787FD}" name="Company"/>
    <tableColumn id="2" xr3:uid="{1EA63522-B769-42CF-8058-C2997C283D2B}" name="Revenue"/>
    <tableColumn id="3" xr3:uid="{B8E1F800-5C2F-4736-A01C-FAB4E23CEC56}" name="Profi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0C821E-DA10-45D6-BCF7-41A79334B685}" name="Income" displayName="Income" ref="A7:N12" totalsRowCount="1">
  <tableColumns count="14">
    <tableColumn id="1" xr3:uid="{280D4C73-5650-406A-B444-A6F98D922D9B}" name="Item" totalsRowLabel="Total Income"/>
    <tableColumn id="2" xr3:uid="{0F5CD44D-6E62-40A2-8684-3E5D3C60C7DC}" name="Jan" totalsRowFunction="custom">
      <totalsRowFormula>IF(SUBTOTAL(109,Income[Jan])=0,"",SUBTOTAL(109,Income[Jan]))</totalsRowFormula>
    </tableColumn>
    <tableColumn id="3" xr3:uid="{F3379495-61FA-48C7-B70F-379742D7514D}" name="Feb" totalsRowFunction="custom">
      <totalsRowFormula>IF(SUBTOTAL(109,Income[Feb])=0,"",SUBTOTAL(109,Income[Feb]))</totalsRowFormula>
    </tableColumn>
    <tableColumn id="4" xr3:uid="{36C545ED-F526-432B-9D56-AF77860D0F13}" name="Mar" totalsRowFunction="custom">
      <totalsRowFormula>IF(SUBTOTAL(109,Income[Mar])=0,"",SUBTOTAL(109,Income[Mar]))</totalsRowFormula>
    </tableColumn>
    <tableColumn id="5" xr3:uid="{E0819099-30F9-4B4A-B84A-0FB9C2E42773}" name="Apr" totalsRowFunction="custom">
      <totalsRowFormula>IF(SUBTOTAL(109,Income[Apr])=0,"",SUBTOTAL(109,Income[Apr]))</totalsRowFormula>
    </tableColumn>
    <tableColumn id="6" xr3:uid="{3D341CF2-89D5-48A1-B27B-EC214937C43F}" name="May" totalsRowFunction="custom">
      <totalsRowFormula>IF(SUBTOTAL(109,Income[May])=0,"",SUBTOTAL(109,Income[May]))</totalsRowFormula>
    </tableColumn>
    <tableColumn id="7" xr3:uid="{74E79A0F-DA7C-48AC-9E83-B1DEC174DBCE}" name="Jun" totalsRowFunction="custom">
      <totalsRowFormula>IF(SUBTOTAL(109,Income[Jun])=0,"",SUBTOTAL(109,Income[Jun]))</totalsRowFormula>
    </tableColumn>
    <tableColumn id="8" xr3:uid="{CC44D6B6-7E21-4E3B-B615-6DF51E5C8D35}" name="Jul" totalsRowFunction="custom">
      <totalsRowFormula>IF(SUBTOTAL(109,Income[Jul])=0,"",SUBTOTAL(109,Income[Jul]))</totalsRowFormula>
    </tableColumn>
    <tableColumn id="9" xr3:uid="{B09E2180-DC0A-4AE1-91E1-36C0ADE75637}" name="Aug" totalsRowFunction="custom">
      <totalsRowFormula>IF(SUBTOTAL(109,Income[Aug])=0,"",SUBTOTAL(109,Income[Aug]))</totalsRowFormula>
    </tableColumn>
    <tableColumn id="10" xr3:uid="{11BE7425-AF76-4DEB-95F5-67F7E8155B9F}" name="Sep" totalsRowFunction="custom">
      <totalsRowFormula>IF(SUBTOTAL(109,Income[Sep])=0,"",SUBTOTAL(109,Income[Sep]))</totalsRowFormula>
    </tableColumn>
    <tableColumn id="11" xr3:uid="{B7DF6243-4E5F-45AA-B567-0FDEFFB0B867}" name="Oct" totalsRowFunction="custom">
      <totalsRowFormula>IF(SUBTOTAL(109,Income[Oct])=0,"",SUBTOTAL(109,Income[Oct]))</totalsRowFormula>
    </tableColumn>
    <tableColumn id="12" xr3:uid="{B47E5BC6-4610-44EB-AF26-0445D7B35646}" name="Nov" totalsRowFunction="custom">
      <totalsRowFormula>IF(SUBTOTAL(109,Income[Nov])=0,"",SUBTOTAL(109,Income[Nov]))</totalsRowFormula>
    </tableColumn>
    <tableColumn id="13" xr3:uid="{F0A8B0A8-C0A1-4302-89C0-0B196A9446D9}" name="Dec" totalsRowFunction="custom">
      <totalsRowFormula>IF(SUBTOTAL(109,Income[Dec])=0,"",SUBTOTAL(109,Income[Dec]))</totalsRowFormula>
    </tableColumn>
    <tableColumn id="14" xr3:uid="{D718325F-5099-4078-8C3B-27A79D511BF1}" name="Year to Date" totalsRowFunction="custom" dataDxfId="9">
      <calculatedColumnFormula>SUM(Income[[#This Row],[Jan]:[Dec]])</calculatedColumnFormula>
      <totalsRowFormula>IF(SUBTOTAL(109,Income[Year to Date])=0,"",SUBTOTAL(109,Income[Year to Date]))</totalsRow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12C5B2-0CA9-42DD-8E8D-EE509A17C94C}" name="Expense" displayName="Expense" ref="A15:N29" totalsRowCount="1" headerRowDxfId="6" headerRowBorderDxfId="7" tableBorderDxfId="8">
  <tableColumns count="14">
    <tableColumn id="1" xr3:uid="{1D15C4D6-16E6-476C-9E3B-8F381F1445FE}" name="Item" totalsRowLabel="Total Expenses"/>
    <tableColumn id="2" xr3:uid="{2B0760D5-87CA-4277-893A-40C5DFBE0C15}" name="Jan" totalsRowFunction="custom">
      <totalsRowFormula>IF(SUBTOTAL(109,Expense[Jan])=0,"",SUBTOTAL(109,Expense[Jan]))</totalsRowFormula>
    </tableColumn>
    <tableColumn id="3" xr3:uid="{1E88890E-ECCE-4D5F-8D48-1F6F0DEDE835}" name="Feb" totalsRowFunction="custom">
      <totalsRowFormula>IF(SUBTOTAL(109,Expense[Feb])=0,"",SUBTOTAL(109,Expense[Feb]))</totalsRowFormula>
    </tableColumn>
    <tableColumn id="4" xr3:uid="{59F8C26A-4BB8-48ED-B4D7-3143800063DB}" name="Mar" totalsRowFunction="custom">
      <totalsRowFormula>IF(SUBTOTAL(109,Expense[Mar])=0,"",SUBTOTAL(109,Expense[Mar]))</totalsRowFormula>
    </tableColumn>
    <tableColumn id="5" xr3:uid="{895C5BA1-DE3A-4DD5-9B80-4C7A04BA9137}" name="Apr" totalsRowFunction="custom">
      <totalsRowFormula>IF(SUBTOTAL(109,Expense[Apr])=0,"",SUBTOTAL(109,Expense[Apr]))</totalsRowFormula>
    </tableColumn>
    <tableColumn id="6" xr3:uid="{DD89EE8E-77B6-4297-9455-CF804982DD29}" name="May" totalsRowFunction="custom">
      <totalsRowFormula>IF(SUBTOTAL(109,Expense[May])=0,"",SUBTOTAL(109,Expense[May]))</totalsRowFormula>
    </tableColumn>
    <tableColumn id="7" xr3:uid="{76920A14-2C79-458D-844B-C4989A4F54AC}" name="Jun" totalsRowFunction="custom">
      <totalsRowFormula>IF(SUBTOTAL(109,Expense[Jun])=0,"",SUBTOTAL(109,Expense[Jun]))</totalsRowFormula>
    </tableColumn>
    <tableColumn id="8" xr3:uid="{27F059AD-1530-414F-8696-CB9E8E54FCEB}" name="Jul" totalsRowFunction="custom">
      <totalsRowFormula>IF(SUBTOTAL(109,Expense[Jul])=0,"",SUBTOTAL(109,Expense[Jul]))</totalsRowFormula>
    </tableColumn>
    <tableColumn id="9" xr3:uid="{702E0502-92EC-4EE3-A538-B448278CD8FF}" name="Aug" totalsRowFunction="custom">
      <totalsRowFormula>IF(SUBTOTAL(109,Expense[Aug])=0,"",SUBTOTAL(109,Expense[Aug]))</totalsRowFormula>
    </tableColumn>
    <tableColumn id="10" xr3:uid="{134EB931-56EF-4109-8DAC-73B843210A81}" name="Sep" totalsRowFunction="custom">
      <totalsRowFormula>IF(SUBTOTAL(109,Expense[Sep])=0,"",SUBTOTAL(109,Expense[Sep]))</totalsRowFormula>
    </tableColumn>
    <tableColumn id="11" xr3:uid="{DA8DF901-E800-45DA-924D-AB6BD6C3E78C}" name="Oct" totalsRowFunction="custom">
      <totalsRowFormula>IF(SUBTOTAL(109,Expense[Oct])=0,"",SUBTOTAL(109,Expense[Oct]))</totalsRowFormula>
    </tableColumn>
    <tableColumn id="12" xr3:uid="{3D6E95E1-48FC-468B-9F66-3BAFE37A8806}" name="Nov" totalsRowFunction="custom">
      <totalsRowFormula>IF(SUBTOTAL(109,Expense[Nov])=0,"",SUBTOTAL(109,Expense[Nov]))</totalsRowFormula>
    </tableColumn>
    <tableColumn id="13" xr3:uid="{9275DDB1-88E0-44C6-B4B7-81DA25C164E9}" name="Dec" totalsRowFunction="custom">
      <totalsRowFormula>IF(SUBTOTAL(109,Expense[Dec])=0,"",SUBTOTAL(109,Expense[Dec]))</totalsRowFormula>
    </tableColumn>
    <tableColumn id="14" xr3:uid="{89B9F1D0-C9C3-47BE-9CAC-FE36D60E1F81}" name="Year to Date" totalsRowFunction="custom" dataDxfId="3">
      <calculatedColumnFormula>IF(SUM(Expense[[#This Row],[Jan]:[Dec]])=0,"",SUM(Expense[[#This Row],[Jan]:[Dec]]))</calculatedColumnFormula>
      <totalsRowFormula>IF(SUBTOTAL(109,Expense[Year to Date])=0,"",SUBTOTAL(109,Expense[Year to Date]))</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opLeftCell="A19" zoomScale="160" zoomScaleNormal="160" workbookViewId="0">
      <selection activeCell="C26" sqref="C26"/>
    </sheetView>
  </sheetViews>
  <sheetFormatPr defaultRowHeight="14.25" x14ac:dyDescent="0.45"/>
  <cols>
    <col min="2" max="2" width="9.53125" customWidth="1"/>
    <col min="3" max="3" width="15" bestFit="1" customWidth="1"/>
    <col min="5" max="5" width="15.73046875" customWidth="1"/>
    <col min="7" max="7" width="11" customWidth="1"/>
    <col min="8" max="8" width="13.73046875" customWidth="1"/>
  </cols>
  <sheetData>
    <row r="1" spans="1:10" ht="15.75" x14ac:dyDescent="0.5">
      <c r="A1" s="11" t="s">
        <v>4</v>
      </c>
      <c r="B1" s="11" t="s">
        <v>9</v>
      </c>
      <c r="C1" s="11" t="s">
        <v>2</v>
      </c>
      <c r="D1" s="11" t="s">
        <v>3</v>
      </c>
      <c r="E1" s="11" t="s">
        <v>16</v>
      </c>
      <c r="G1" s="1" t="s">
        <v>9</v>
      </c>
      <c r="H1" s="1" t="s">
        <v>17</v>
      </c>
    </row>
    <row r="2" spans="1:10" ht="15.75" x14ac:dyDescent="0.5">
      <c r="A2" s="5">
        <v>45771</v>
      </c>
      <c r="B2" s="5" t="s">
        <v>14</v>
      </c>
      <c r="C2" s="6" t="s">
        <v>15</v>
      </c>
      <c r="D2" s="6">
        <v>2000</v>
      </c>
      <c r="E2" s="9" t="str">
        <f>IF(D2&gt;=100,"Yes","No")</f>
        <v>Yes</v>
      </c>
      <c r="G2" s="2" t="s">
        <v>10</v>
      </c>
      <c r="H2">
        <f>SUMIF($B$2:$B$11,"Food",$D$2:$D$11)</f>
        <v>1580</v>
      </c>
    </row>
    <row r="3" spans="1:10" ht="15.75" x14ac:dyDescent="0.5">
      <c r="A3" s="7">
        <v>45771</v>
      </c>
      <c r="B3" s="7" t="s">
        <v>10</v>
      </c>
      <c r="C3" s="8" t="s">
        <v>0</v>
      </c>
      <c r="D3" s="8">
        <v>300</v>
      </c>
      <c r="E3" s="10" t="str">
        <f t="shared" ref="E3:E11" si="0">IF(D3&gt;=100,"Yes","No")</f>
        <v>Yes</v>
      </c>
      <c r="G3" s="2" t="s">
        <v>14</v>
      </c>
      <c r="H3">
        <f>SUMIF($B$2:$B$11,"Rent",$D$2:$D$11)</f>
        <v>2000</v>
      </c>
    </row>
    <row r="4" spans="1:10" ht="15.75" x14ac:dyDescent="0.5">
      <c r="A4" s="5">
        <v>45772</v>
      </c>
      <c r="B4" s="5" t="s">
        <v>10</v>
      </c>
      <c r="C4" s="6" t="s">
        <v>1</v>
      </c>
      <c r="D4" s="6">
        <v>50</v>
      </c>
      <c r="E4" s="9" t="str">
        <f t="shared" si="0"/>
        <v>No</v>
      </c>
      <c r="G4" s="2" t="s">
        <v>11</v>
      </c>
      <c r="H4">
        <f>SUMIF($B$2:$B$11,"Utilities",$D$2:$D$11)</f>
        <v>2455</v>
      </c>
    </row>
    <row r="5" spans="1:10" ht="15.75" x14ac:dyDescent="0.5">
      <c r="A5" s="7">
        <v>45773</v>
      </c>
      <c r="B5" s="7" t="s">
        <v>10</v>
      </c>
      <c r="C5" s="8" t="s">
        <v>5</v>
      </c>
      <c r="D5" s="8">
        <v>50</v>
      </c>
      <c r="E5" s="10" t="str">
        <f t="shared" si="0"/>
        <v>No</v>
      </c>
      <c r="F5" s="3"/>
    </row>
    <row r="6" spans="1:10" ht="15.75" x14ac:dyDescent="0.5">
      <c r="A6" s="5">
        <v>45774</v>
      </c>
      <c r="B6" s="5" t="s">
        <v>10</v>
      </c>
      <c r="C6" s="6" t="s">
        <v>6</v>
      </c>
      <c r="D6" s="6">
        <v>100</v>
      </c>
      <c r="E6" s="9" t="str">
        <f t="shared" si="0"/>
        <v>Yes</v>
      </c>
    </row>
    <row r="7" spans="1:10" ht="15.75" x14ac:dyDescent="0.5">
      <c r="A7" s="7">
        <v>45775</v>
      </c>
      <c r="B7" s="7" t="s">
        <v>11</v>
      </c>
      <c r="C7" s="8" t="s">
        <v>7</v>
      </c>
      <c r="D7" s="8">
        <v>200</v>
      </c>
      <c r="E7" s="10" t="str">
        <f t="shared" si="0"/>
        <v>Yes</v>
      </c>
    </row>
    <row r="8" spans="1:10" ht="15.75" x14ac:dyDescent="0.5">
      <c r="A8" s="5">
        <v>45776</v>
      </c>
      <c r="B8" s="5" t="s">
        <v>11</v>
      </c>
      <c r="C8" s="6" t="s">
        <v>8</v>
      </c>
      <c r="D8" s="6">
        <v>255</v>
      </c>
      <c r="E8" s="9" t="str">
        <f t="shared" si="0"/>
        <v>Yes</v>
      </c>
    </row>
    <row r="9" spans="1:10" ht="15.75" x14ac:dyDescent="0.5">
      <c r="A9" s="7">
        <v>45777</v>
      </c>
      <c r="B9" s="7" t="s">
        <v>10</v>
      </c>
      <c r="C9" s="8" t="s">
        <v>12</v>
      </c>
      <c r="D9" s="8">
        <v>1000</v>
      </c>
      <c r="E9" s="10" t="str">
        <f t="shared" si="0"/>
        <v>Yes</v>
      </c>
      <c r="J9" s="4"/>
    </row>
    <row r="10" spans="1:10" ht="15.75" x14ac:dyDescent="0.5">
      <c r="A10" s="5">
        <v>45777</v>
      </c>
      <c r="B10" s="5" t="s">
        <v>11</v>
      </c>
      <c r="C10" s="6" t="s">
        <v>19</v>
      </c>
      <c r="D10" s="6">
        <v>2000</v>
      </c>
      <c r="E10" s="9" t="str">
        <f>IF(D10&gt;=100,"Yes","No")</f>
        <v>Yes</v>
      </c>
      <c r="J10" s="4"/>
    </row>
    <row r="11" spans="1:10" ht="15.75" x14ac:dyDescent="0.5">
      <c r="A11" s="7">
        <v>45778</v>
      </c>
      <c r="B11" s="7" t="s">
        <v>10</v>
      </c>
      <c r="C11" s="8" t="s">
        <v>13</v>
      </c>
      <c r="D11" s="8">
        <v>80</v>
      </c>
      <c r="E11" s="10" t="str">
        <f t="shared" si="0"/>
        <v>No</v>
      </c>
    </row>
    <row r="12" spans="1:10" ht="15.75" x14ac:dyDescent="0.5">
      <c r="A12" s="12" t="s">
        <v>18</v>
      </c>
      <c r="B12" s="13"/>
      <c r="C12" s="13"/>
      <c r="D12" s="13">
        <f>SUBTOTAL(101,'April 2025'!$D$2:$D$11)</f>
        <v>603.5</v>
      </c>
      <c r="E12" s="14">
        <f>SUBTOTAL(103,'April 2025'!$E$2:$E$11)</f>
        <v>10</v>
      </c>
    </row>
    <row r="13" spans="1:10" x14ac:dyDescent="0.45">
      <c r="E13">
        <f>SUM('April 2025'!$D$2:$D$11)</f>
        <v>6035</v>
      </c>
    </row>
    <row r="16" spans="1:10" ht="15.75" x14ac:dyDescent="0.5">
      <c r="G16" s="17" t="s">
        <v>9</v>
      </c>
      <c r="H16" s="18" t="s">
        <v>17</v>
      </c>
    </row>
    <row r="17" spans="7:8" x14ac:dyDescent="0.45">
      <c r="G17" s="16" cm="1">
        <f t="array" ref="G17:G24">_xlfn.UNIQUE(Expenses[Date])</f>
        <v>45771</v>
      </c>
      <c r="H17">
        <f>SUMIF(Expenses[Date],$G17,Expenses[Amount])</f>
        <v>2300</v>
      </c>
    </row>
    <row r="18" spans="7:8" x14ac:dyDescent="0.45">
      <c r="G18" s="16">
        <v>45772</v>
      </c>
      <c r="H18">
        <f>SUMIF(Expenses[Date],$G18,Expenses[Amount])</f>
        <v>50</v>
      </c>
    </row>
    <row r="19" spans="7:8" x14ac:dyDescent="0.45">
      <c r="G19" s="16">
        <v>45773</v>
      </c>
      <c r="H19">
        <f>SUMIF(Expenses[Date],$G19,Expenses[Amount])</f>
        <v>50</v>
      </c>
    </row>
    <row r="20" spans="7:8" x14ac:dyDescent="0.45">
      <c r="G20" s="16">
        <v>45774</v>
      </c>
      <c r="H20">
        <f>SUMIF(Expenses[Date],$G20,Expenses[Amount])</f>
        <v>100</v>
      </c>
    </row>
    <row r="21" spans="7:8" x14ac:dyDescent="0.45">
      <c r="G21" s="16">
        <v>45775</v>
      </c>
      <c r="H21">
        <f>SUMIF(Expenses[Date],$G21,Expenses[Amount])</f>
        <v>200</v>
      </c>
    </row>
    <row r="22" spans="7:8" x14ac:dyDescent="0.45">
      <c r="G22" s="16">
        <v>45776</v>
      </c>
      <c r="H22">
        <f>SUMIF(Expenses[Date],$G22,Expenses[Amount])</f>
        <v>255</v>
      </c>
    </row>
    <row r="23" spans="7:8" x14ac:dyDescent="0.45">
      <c r="G23" s="16">
        <v>45777</v>
      </c>
      <c r="H23">
        <f>SUMIF(Expenses[Date],$G23,Expenses[Amount])</f>
        <v>3000</v>
      </c>
    </row>
    <row r="24" spans="7:8" x14ac:dyDescent="0.45">
      <c r="G24" s="16">
        <v>45778</v>
      </c>
      <c r="H24">
        <f>SUMIF(Expenses[Date],$G24,Expenses[Amount])</f>
        <v>80</v>
      </c>
    </row>
  </sheetData>
  <sortState xmlns:xlrd2="http://schemas.microsoft.com/office/spreadsheetml/2017/richdata2" ref="A2:E13">
    <sortCondition ref="A2:A13"/>
  </sortState>
  <conditionalFormatting sqref="G1:H1 E2:E11 E13:E1048576">
    <cfRule type="cellIs" dxfId="5" priority="2" operator="equal">
      <formula>"Yes"</formula>
    </cfRule>
  </conditionalFormatting>
  <conditionalFormatting sqref="G16:H16">
    <cfRule type="cellIs" dxfId="4" priority="1" operator="equal">
      <formula>"Yes"</formula>
    </cfRule>
  </conditionalFormatting>
  <pageMargins left="0.7" right="0.7" top="0.75" bottom="0.75" header="0.3" footer="0.3"/>
  <drawing r:id="rId1"/>
  <tableParts count="2">
    <tablePart r:id="rId2"/>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33C5F-C050-4FE2-8969-CE9212243F17}">
  <dimension ref="A1:C6"/>
  <sheetViews>
    <sheetView zoomScale="160" zoomScaleNormal="160" workbookViewId="0">
      <selection activeCell="D15" sqref="D15"/>
    </sheetView>
  </sheetViews>
  <sheetFormatPr defaultRowHeight="14.25" x14ac:dyDescent="0.45"/>
  <cols>
    <col min="1" max="1" width="9.265625" customWidth="1"/>
  </cols>
  <sheetData>
    <row r="1" spans="1:3" x14ac:dyDescent="0.45">
      <c r="A1" s="15" t="s">
        <v>20</v>
      </c>
      <c r="B1" s="15" t="s">
        <v>21</v>
      </c>
      <c r="C1" s="15" t="s">
        <v>22</v>
      </c>
    </row>
    <row r="2" spans="1:3" x14ac:dyDescent="0.45">
      <c r="A2" t="s">
        <v>23</v>
      </c>
      <c r="B2">
        <v>100</v>
      </c>
      <c r="C2">
        <v>60</v>
      </c>
    </row>
    <row r="3" spans="1:3" x14ac:dyDescent="0.45">
      <c r="A3" t="s">
        <v>24</v>
      </c>
      <c r="B3">
        <v>2000</v>
      </c>
      <c r="C3">
        <v>400</v>
      </c>
    </row>
    <row r="4" spans="1:3" x14ac:dyDescent="0.45">
      <c r="A4" t="s">
        <v>25</v>
      </c>
      <c r="B4">
        <v>500</v>
      </c>
      <c r="C4">
        <v>100</v>
      </c>
    </row>
    <row r="5" spans="1:3" x14ac:dyDescent="0.45">
      <c r="A5" t="s">
        <v>26</v>
      </c>
      <c r="B5">
        <v>300</v>
      </c>
      <c r="C5">
        <v>50</v>
      </c>
    </row>
    <row r="6" spans="1:3" x14ac:dyDescent="0.45">
      <c r="A6" t="s">
        <v>27</v>
      </c>
      <c r="B6">
        <v>1000</v>
      </c>
      <c r="C6">
        <v>300</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D2B07-6168-4BBF-849B-B6D59FFAADF1}">
  <dimension ref="A1:G11"/>
  <sheetViews>
    <sheetView zoomScale="160" zoomScaleNormal="160" workbookViewId="0">
      <selection activeCell="H13" sqref="H13"/>
    </sheetView>
  </sheetViews>
  <sheetFormatPr defaultRowHeight="14.25" x14ac:dyDescent="0.45"/>
  <cols>
    <col min="1" max="1" width="16.6640625" customWidth="1"/>
    <col min="2" max="2" width="13.6640625" customWidth="1"/>
  </cols>
  <sheetData>
    <row r="1" spans="1:7" x14ac:dyDescent="0.45">
      <c r="A1" s="20"/>
      <c r="B1" s="21" t="s">
        <v>33</v>
      </c>
      <c r="C1" s="21"/>
      <c r="D1" s="21"/>
      <c r="E1" s="21" t="s">
        <v>34</v>
      </c>
      <c r="F1" s="21"/>
      <c r="G1" s="21"/>
    </row>
    <row r="2" spans="1:7" x14ac:dyDescent="0.45">
      <c r="A2" s="20"/>
      <c r="B2" s="22">
        <v>45658</v>
      </c>
      <c r="C2" s="22">
        <v>45689</v>
      </c>
      <c r="D2" s="22">
        <v>45717</v>
      </c>
      <c r="E2" s="22">
        <v>45748</v>
      </c>
      <c r="F2" s="22">
        <v>45778</v>
      </c>
      <c r="G2" s="22">
        <v>45809</v>
      </c>
    </row>
    <row r="3" spans="1:7" x14ac:dyDescent="0.45">
      <c r="A3" s="23" t="s">
        <v>21</v>
      </c>
      <c r="B3" s="27">
        <v>100</v>
      </c>
      <c r="C3" s="27">
        <v>87</v>
      </c>
      <c r="D3" s="27">
        <v>85</v>
      </c>
      <c r="E3" s="27">
        <v>72</v>
      </c>
      <c r="F3" s="27">
        <v>65</v>
      </c>
      <c r="G3" s="27">
        <v>92</v>
      </c>
    </row>
    <row r="4" spans="1:7" ht="28.5" x14ac:dyDescent="0.45">
      <c r="A4" s="26" t="s">
        <v>28</v>
      </c>
      <c r="B4" s="27">
        <v>36</v>
      </c>
      <c r="C4" s="27">
        <v>51</v>
      </c>
      <c r="D4" s="27">
        <v>36</v>
      </c>
      <c r="E4" s="27">
        <v>46</v>
      </c>
      <c r="F4" s="27">
        <v>43</v>
      </c>
      <c r="G4" s="27">
        <v>53</v>
      </c>
    </row>
    <row r="5" spans="1:7" ht="42.75" x14ac:dyDescent="0.45">
      <c r="A5" s="26" t="s">
        <v>29</v>
      </c>
      <c r="B5" s="27">
        <v>12</v>
      </c>
      <c r="C5" s="27">
        <v>2</v>
      </c>
      <c r="D5" s="27">
        <v>5</v>
      </c>
      <c r="E5" s="27">
        <v>3</v>
      </c>
      <c r="F5" s="27">
        <v>2</v>
      </c>
      <c r="G5" s="27">
        <v>6</v>
      </c>
    </row>
    <row r="6" spans="1:7" ht="28.5" x14ac:dyDescent="0.45">
      <c r="A6" s="26" t="s">
        <v>30</v>
      </c>
      <c r="B6" s="27">
        <v>30</v>
      </c>
      <c r="C6" s="27">
        <v>21</v>
      </c>
      <c r="D6" s="27">
        <v>17</v>
      </c>
      <c r="E6" s="27">
        <v>15</v>
      </c>
      <c r="F6" s="27">
        <v>10</v>
      </c>
      <c r="G6" s="27">
        <v>25</v>
      </c>
    </row>
    <row r="7" spans="1:7" x14ac:dyDescent="0.45">
      <c r="A7" s="23" t="s">
        <v>31</v>
      </c>
      <c r="B7" s="27">
        <f>B3-B4-B5-B6</f>
        <v>22</v>
      </c>
      <c r="C7" s="27">
        <f t="shared" ref="C7:G7" si="0">C3-C4-C5-C6</f>
        <v>13</v>
      </c>
      <c r="D7" s="27">
        <f t="shared" si="0"/>
        <v>27</v>
      </c>
      <c r="E7" s="27">
        <f t="shared" si="0"/>
        <v>8</v>
      </c>
      <c r="F7" s="27">
        <f t="shared" si="0"/>
        <v>10</v>
      </c>
      <c r="G7" s="27">
        <f t="shared" si="0"/>
        <v>8</v>
      </c>
    </row>
    <row r="8" spans="1:7" ht="28.5" x14ac:dyDescent="0.45">
      <c r="A8" s="26" t="s">
        <v>32</v>
      </c>
      <c r="B8" s="24">
        <f>B7/B3</f>
        <v>0.22</v>
      </c>
      <c r="C8" s="24">
        <f t="shared" ref="C8:G8" si="1">C7/C3</f>
        <v>0.14942528735632185</v>
      </c>
      <c r="D8" s="24">
        <f t="shared" si="1"/>
        <v>0.31764705882352939</v>
      </c>
      <c r="E8" s="24">
        <f t="shared" si="1"/>
        <v>0.1111111111111111</v>
      </c>
      <c r="F8" s="24">
        <f t="shared" si="1"/>
        <v>0.15384615384615385</v>
      </c>
      <c r="G8" s="24">
        <f t="shared" si="1"/>
        <v>8.6956521739130432E-2</v>
      </c>
    </row>
    <row r="9" spans="1:7" x14ac:dyDescent="0.45">
      <c r="A9" s="26"/>
    </row>
    <row r="10" spans="1:7" x14ac:dyDescent="0.45">
      <c r="A10" s="26"/>
    </row>
    <row r="11" spans="1:7" x14ac:dyDescent="0.45">
      <c r="B11" s="25">
        <v>11213132</v>
      </c>
    </row>
  </sheetData>
  <mergeCells count="2">
    <mergeCell ref="B1:D1"/>
    <mergeCell ref="E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3415D-B279-461A-905D-2185D1D708C9}">
  <dimension ref="A2:D6"/>
  <sheetViews>
    <sheetView zoomScale="160" zoomScaleNormal="160" workbookViewId="0">
      <selection activeCell="D6" sqref="D6"/>
    </sheetView>
  </sheetViews>
  <sheetFormatPr defaultRowHeight="14.25" x14ac:dyDescent="0.45"/>
  <cols>
    <col min="4" max="4" width="17.19921875" bestFit="1" customWidth="1"/>
  </cols>
  <sheetData>
    <row r="2" spans="1:4" x14ac:dyDescent="0.45">
      <c r="B2" s="28" t="s">
        <v>35</v>
      </c>
      <c r="C2" s="28" t="s">
        <v>36</v>
      </c>
      <c r="D2" s="28" t="s">
        <v>37</v>
      </c>
    </row>
    <row r="3" spans="1:4" x14ac:dyDescent="0.45">
      <c r="A3" t="s">
        <v>38</v>
      </c>
      <c r="B3">
        <v>100000</v>
      </c>
      <c r="C3">
        <v>30000</v>
      </c>
      <c r="D3">
        <f>B3+C3</f>
        <v>130000</v>
      </c>
    </row>
    <row r="4" spans="1:4" x14ac:dyDescent="0.45">
      <c r="A4" t="s">
        <v>39</v>
      </c>
      <c r="B4">
        <v>130000</v>
      </c>
      <c r="C4">
        <v>40000</v>
      </c>
      <c r="D4">
        <f t="shared" ref="D4:D6" si="0">B4+C4</f>
        <v>170000</v>
      </c>
    </row>
    <row r="5" spans="1:4" x14ac:dyDescent="0.45">
      <c r="A5" t="s">
        <v>40</v>
      </c>
      <c r="B5">
        <v>90000</v>
      </c>
      <c r="C5">
        <v>10000</v>
      </c>
      <c r="D5">
        <f t="shared" si="0"/>
        <v>100000</v>
      </c>
    </row>
    <row r="6" spans="1:4" x14ac:dyDescent="0.45">
      <c r="A6" t="s">
        <v>41</v>
      </c>
      <c r="B6">
        <v>150000</v>
      </c>
      <c r="C6">
        <v>45000</v>
      </c>
      <c r="D6">
        <f>B6+C6</f>
        <v>195000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3CFA9-5DBE-46AA-B69B-F42E819C6A31}">
  <dimension ref="A1:N31"/>
  <sheetViews>
    <sheetView tabSelected="1" topLeftCell="A10" zoomScaleNormal="100" workbookViewId="0">
      <selection activeCell="E37" sqref="E37"/>
    </sheetView>
  </sheetViews>
  <sheetFormatPr defaultRowHeight="14.25" x14ac:dyDescent="0.45"/>
  <cols>
    <col min="1" max="1" width="17.33203125" customWidth="1"/>
    <col min="14" max="14" width="12.53125" customWidth="1"/>
  </cols>
  <sheetData>
    <row r="1" spans="1:14" x14ac:dyDescent="0.45">
      <c r="A1" s="29" t="s">
        <v>42</v>
      </c>
      <c r="B1" s="29"/>
      <c r="C1" s="29"/>
      <c r="D1" s="29"/>
      <c r="E1" s="29"/>
      <c r="F1" s="29"/>
      <c r="G1" s="29"/>
      <c r="H1" s="29"/>
      <c r="I1" s="29"/>
      <c r="J1" s="29"/>
      <c r="K1" s="29"/>
      <c r="L1" s="29"/>
      <c r="M1" s="29"/>
      <c r="N1" s="29"/>
    </row>
    <row r="2" spans="1:14" x14ac:dyDescent="0.45">
      <c r="A2" s="29"/>
      <c r="B2" s="29"/>
      <c r="C2" s="29"/>
      <c r="D2" s="29"/>
      <c r="E2" s="29"/>
      <c r="F2" s="29"/>
      <c r="G2" s="29"/>
      <c r="H2" s="29"/>
      <c r="I2" s="29"/>
      <c r="J2" s="29"/>
      <c r="K2" s="29"/>
      <c r="L2" s="29"/>
      <c r="M2" s="29"/>
      <c r="N2" s="29"/>
    </row>
    <row r="4" spans="1:14" x14ac:dyDescent="0.45">
      <c r="A4" s="15" t="s">
        <v>43</v>
      </c>
      <c r="B4" s="15"/>
      <c r="C4" s="15"/>
      <c r="D4" s="15">
        <v>30000</v>
      </c>
    </row>
    <row r="6" spans="1:14" x14ac:dyDescent="0.45">
      <c r="A6" s="19" t="s">
        <v>44</v>
      </c>
      <c r="B6" s="19"/>
      <c r="C6" s="19"/>
      <c r="D6" s="19"/>
      <c r="E6" s="19"/>
      <c r="F6" s="19"/>
      <c r="G6" s="19"/>
      <c r="H6" s="19"/>
      <c r="I6" s="19"/>
      <c r="J6" s="19"/>
      <c r="K6" s="19"/>
      <c r="L6" s="19"/>
      <c r="M6" s="19"/>
      <c r="N6" s="19"/>
    </row>
    <row r="7" spans="1:14" x14ac:dyDescent="0.45">
      <c r="A7" t="s">
        <v>2</v>
      </c>
      <c r="B7" t="s">
        <v>45</v>
      </c>
      <c r="C7" t="s">
        <v>46</v>
      </c>
      <c r="D7" t="s">
        <v>47</v>
      </c>
      <c r="E7" t="s">
        <v>48</v>
      </c>
      <c r="F7" t="s">
        <v>49</v>
      </c>
      <c r="G7" t="s">
        <v>50</v>
      </c>
      <c r="H7" t="s">
        <v>51</v>
      </c>
      <c r="I7" t="s">
        <v>52</v>
      </c>
      <c r="J7" t="s">
        <v>53</v>
      </c>
      <c r="K7" t="s">
        <v>54</v>
      </c>
      <c r="L7" t="s">
        <v>55</v>
      </c>
      <c r="M7" t="s">
        <v>56</v>
      </c>
      <c r="N7" t="s">
        <v>57</v>
      </c>
    </row>
    <row r="8" spans="1:14" x14ac:dyDescent="0.45">
      <c r="A8" t="s">
        <v>35</v>
      </c>
      <c r="B8">
        <v>50000</v>
      </c>
      <c r="C8">
        <v>50000</v>
      </c>
      <c r="D8">
        <v>50000</v>
      </c>
      <c r="E8">
        <v>55000</v>
      </c>
      <c r="N8">
        <f>SUM(Income[[#This Row],[Jan]:[Dec]])</f>
        <v>205000</v>
      </c>
    </row>
    <row r="9" spans="1:14" x14ac:dyDescent="0.45">
      <c r="A9" t="s">
        <v>58</v>
      </c>
      <c r="B9">
        <v>13000</v>
      </c>
      <c r="C9">
        <v>13000</v>
      </c>
      <c r="D9">
        <v>13000</v>
      </c>
      <c r="E9">
        <v>13000</v>
      </c>
      <c r="N9">
        <f>SUM(Income[[#This Row],[Jan]:[Dec]])</f>
        <v>52000</v>
      </c>
    </row>
    <row r="10" spans="1:14" x14ac:dyDescent="0.45">
      <c r="A10" t="s">
        <v>59</v>
      </c>
      <c r="B10">
        <v>2000</v>
      </c>
      <c r="C10">
        <v>0</v>
      </c>
      <c r="D10">
        <v>2000</v>
      </c>
      <c r="E10">
        <v>4000</v>
      </c>
      <c r="N10">
        <f>SUM(Income[[#This Row],[Jan]:[Dec]])</f>
        <v>8000</v>
      </c>
    </row>
    <row r="11" spans="1:14" x14ac:dyDescent="0.45">
      <c r="A11" t="s">
        <v>60</v>
      </c>
      <c r="B11">
        <v>0</v>
      </c>
      <c r="C11">
        <v>0</v>
      </c>
      <c r="D11">
        <v>0</v>
      </c>
      <c r="E11">
        <v>0</v>
      </c>
      <c r="N11">
        <f>SUM(Income[[#This Row],[Jan]:[Dec]])</f>
        <v>0</v>
      </c>
    </row>
    <row r="12" spans="1:14" x14ac:dyDescent="0.45">
      <c r="A12" t="s">
        <v>72</v>
      </c>
      <c r="B12">
        <f>IF(SUBTOTAL(109,Income[Jan])=0,"",SUBTOTAL(109,Income[Jan]))</f>
        <v>65000</v>
      </c>
      <c r="C12">
        <f>IF(SUBTOTAL(109,Income[Feb])=0,"",SUBTOTAL(109,Income[Feb]))</f>
        <v>63000</v>
      </c>
      <c r="D12">
        <f>IF(SUBTOTAL(109,Income[Mar])=0,"",SUBTOTAL(109,Income[Mar]))</f>
        <v>65000</v>
      </c>
      <c r="E12">
        <f>IF(SUBTOTAL(109,Income[Apr])=0,"",SUBTOTAL(109,Income[Apr]))</f>
        <v>72000</v>
      </c>
      <c r="F12" t="str">
        <f>IF(SUBTOTAL(109,Income[May])=0,"",SUBTOTAL(109,Income[May]))</f>
        <v/>
      </c>
      <c r="G12" t="str">
        <f>IF(SUBTOTAL(109,Income[Jun])=0,"",SUBTOTAL(109,Income[Jun]))</f>
        <v/>
      </c>
      <c r="H12" t="str">
        <f>IF(SUBTOTAL(109,Income[Jul])=0,"",SUBTOTAL(109,Income[Jul]))</f>
        <v/>
      </c>
      <c r="I12" t="str">
        <f>IF(SUBTOTAL(109,Income[Aug])=0,"",SUBTOTAL(109,Income[Aug]))</f>
        <v/>
      </c>
      <c r="J12" t="str">
        <f>IF(SUBTOTAL(109,Income[Sep])=0,"",SUBTOTAL(109,Income[Sep]))</f>
        <v/>
      </c>
      <c r="K12" t="str">
        <f>IF(SUBTOTAL(109,Income[Oct])=0,"",SUBTOTAL(109,Income[Oct]))</f>
        <v/>
      </c>
      <c r="L12" t="str">
        <f>IF(SUBTOTAL(109,Income[Nov])=0,"",SUBTOTAL(109,Income[Nov]))</f>
        <v/>
      </c>
      <c r="M12" t="str">
        <f>IF(SUBTOTAL(109,Income[Dec])=0,"",SUBTOTAL(109,Income[Dec]))</f>
        <v/>
      </c>
      <c r="N12">
        <f>IF(SUBTOTAL(109,Income[Year to Date])=0,"",SUBTOTAL(109,Income[Year to Date]))</f>
        <v>265000</v>
      </c>
    </row>
    <row r="14" spans="1:14" x14ac:dyDescent="0.45">
      <c r="A14" t="s">
        <v>61</v>
      </c>
    </row>
    <row r="15" spans="1:14" x14ac:dyDescent="0.45">
      <c r="A15" s="30" t="s">
        <v>2</v>
      </c>
      <c r="B15" s="31" t="s">
        <v>45</v>
      </c>
      <c r="C15" s="31" t="s">
        <v>46</v>
      </c>
      <c r="D15" s="31" t="s">
        <v>47</v>
      </c>
      <c r="E15" s="31" t="s">
        <v>48</v>
      </c>
      <c r="F15" s="31" t="s">
        <v>49</v>
      </c>
      <c r="G15" s="31" t="s">
        <v>50</v>
      </c>
      <c r="H15" s="31" t="s">
        <v>51</v>
      </c>
      <c r="I15" s="31" t="s">
        <v>52</v>
      </c>
      <c r="J15" s="31" t="s">
        <v>53</v>
      </c>
      <c r="K15" s="31" t="s">
        <v>54</v>
      </c>
      <c r="L15" s="31" t="s">
        <v>55</v>
      </c>
      <c r="M15" s="31" t="s">
        <v>56</v>
      </c>
      <c r="N15" s="32" t="s">
        <v>57</v>
      </c>
    </row>
    <row r="16" spans="1:14" x14ac:dyDescent="0.45">
      <c r="A16" s="33" t="s">
        <v>62</v>
      </c>
      <c r="B16" s="34"/>
      <c r="C16" s="34"/>
      <c r="D16" s="34"/>
      <c r="E16" s="34"/>
      <c r="F16" s="34"/>
      <c r="G16" s="34"/>
      <c r="H16" s="34"/>
      <c r="I16" s="34"/>
      <c r="J16" s="34"/>
      <c r="K16" s="34"/>
      <c r="L16" s="34"/>
      <c r="M16" s="34"/>
      <c r="N16" s="34" t="str">
        <f>IF(SUM(Expense[[#This Row],[Jan]:[Dec]])=0,"",SUM(Expense[[#This Row],[Jan]:[Dec]]))</f>
        <v/>
      </c>
    </row>
    <row r="17" spans="1:14" x14ac:dyDescent="0.45">
      <c r="A17" t="s">
        <v>14</v>
      </c>
      <c r="B17">
        <v>10000</v>
      </c>
      <c r="C17">
        <v>10000</v>
      </c>
      <c r="D17">
        <v>10000</v>
      </c>
      <c r="E17">
        <v>10000</v>
      </c>
      <c r="N17">
        <f>IF(SUM(Expense[[#This Row],[Jan]:[Dec]])=0,"",SUM(Expense[[#This Row],[Jan]:[Dec]]))</f>
        <v>40000</v>
      </c>
    </row>
    <row r="18" spans="1:14" x14ac:dyDescent="0.45">
      <c r="A18" t="s">
        <v>64</v>
      </c>
      <c r="B18">
        <v>2000</v>
      </c>
      <c r="C18">
        <v>2000</v>
      </c>
      <c r="D18">
        <v>2000</v>
      </c>
      <c r="E18">
        <v>2000</v>
      </c>
      <c r="N18">
        <f>IF(SUM(Expense[[#This Row],[Jan]:[Dec]])=0,"",SUM(Expense[[#This Row],[Jan]:[Dec]]))</f>
        <v>8000</v>
      </c>
    </row>
    <row r="19" spans="1:14" x14ac:dyDescent="0.45">
      <c r="A19" t="s">
        <v>63</v>
      </c>
      <c r="B19">
        <v>1500</v>
      </c>
      <c r="C19">
        <v>2000</v>
      </c>
      <c r="D19">
        <v>4000</v>
      </c>
      <c r="E19">
        <v>4000</v>
      </c>
      <c r="N19">
        <f>IF(SUM(Expense[[#This Row],[Jan]:[Dec]])=0,"",SUM(Expense[[#This Row],[Jan]:[Dec]]))</f>
        <v>11500</v>
      </c>
    </row>
    <row r="20" spans="1:14" x14ac:dyDescent="0.45">
      <c r="A20" t="s">
        <v>65</v>
      </c>
      <c r="B20">
        <v>1000</v>
      </c>
      <c r="C20">
        <v>1000</v>
      </c>
      <c r="D20">
        <v>1000</v>
      </c>
      <c r="E20">
        <v>1000</v>
      </c>
      <c r="N20">
        <f>IF(SUM(Expense[[#This Row],[Jan]:[Dec]])=0,"",SUM(Expense[[#This Row],[Jan]:[Dec]]))</f>
        <v>4000</v>
      </c>
    </row>
    <row r="21" spans="1:14" x14ac:dyDescent="0.45">
      <c r="A21" t="s">
        <v>66</v>
      </c>
      <c r="B21">
        <v>900</v>
      </c>
      <c r="C21">
        <v>1500</v>
      </c>
      <c r="D21">
        <v>800</v>
      </c>
      <c r="E21">
        <v>700</v>
      </c>
      <c r="N21">
        <f>IF(SUM(Expense[[#This Row],[Jan]:[Dec]])=0,"",SUM(Expense[[#This Row],[Jan]:[Dec]]))</f>
        <v>3900</v>
      </c>
    </row>
    <row r="22" spans="1:14" x14ac:dyDescent="0.45">
      <c r="A22" s="33" t="s">
        <v>10</v>
      </c>
      <c r="B22" s="34"/>
      <c r="C22" s="34"/>
      <c r="D22" s="34"/>
      <c r="E22" s="34"/>
      <c r="F22" s="34"/>
      <c r="G22" s="34"/>
      <c r="H22" s="34"/>
      <c r="I22" s="34"/>
      <c r="J22" s="34"/>
      <c r="K22" s="34"/>
      <c r="L22" s="34"/>
      <c r="M22" s="34"/>
      <c r="N22" s="34" t="str">
        <f>IF(SUM(Expense[[#This Row],[Jan]:[Dec]])=0,"",SUM(Expense[[#This Row],[Jan]:[Dec]]))</f>
        <v/>
      </c>
    </row>
    <row r="23" spans="1:14" x14ac:dyDescent="0.45">
      <c r="A23" t="s">
        <v>5</v>
      </c>
      <c r="B23">
        <v>7000</v>
      </c>
      <c r="C23">
        <v>8000</v>
      </c>
      <c r="D23">
        <v>7000</v>
      </c>
      <c r="E23">
        <v>8500</v>
      </c>
      <c r="N23">
        <f>IF(SUM(Expense[[#This Row],[Jan]:[Dec]])=0,"",SUM(Expense[[#This Row],[Jan]:[Dec]]))</f>
        <v>30500</v>
      </c>
    </row>
    <row r="24" spans="1:14" x14ac:dyDescent="0.45">
      <c r="A24" t="s">
        <v>67</v>
      </c>
      <c r="B24">
        <v>3000</v>
      </c>
      <c r="C24">
        <v>3300</v>
      </c>
      <c r="D24">
        <v>4000</v>
      </c>
      <c r="E24">
        <v>2900</v>
      </c>
      <c r="N24">
        <f>IF(SUM(Expense[[#This Row],[Jan]:[Dec]])=0,"",SUM(Expense[[#This Row],[Jan]:[Dec]]))</f>
        <v>13200</v>
      </c>
    </row>
    <row r="25" spans="1:14" x14ac:dyDescent="0.45">
      <c r="A25" s="33" t="s">
        <v>68</v>
      </c>
      <c r="B25" s="34"/>
      <c r="C25" s="34"/>
      <c r="D25" s="34"/>
      <c r="E25" s="34"/>
      <c r="F25" s="34"/>
      <c r="G25" s="34"/>
      <c r="H25" s="34"/>
      <c r="I25" s="34"/>
      <c r="J25" s="34"/>
      <c r="K25" s="34"/>
      <c r="L25" s="34"/>
      <c r="M25" s="34"/>
      <c r="N25" s="34" t="str">
        <f>IF(SUM(Expense[[#This Row],[Jan]:[Dec]])=0,"",SUM(Expense[[#This Row],[Jan]:[Dec]]))</f>
        <v/>
      </c>
    </row>
    <row r="26" spans="1:14" x14ac:dyDescent="0.45">
      <c r="A26" t="s">
        <v>69</v>
      </c>
      <c r="B26">
        <v>3000</v>
      </c>
      <c r="C26">
        <v>3000</v>
      </c>
      <c r="D26">
        <v>3000</v>
      </c>
      <c r="E26">
        <v>4000</v>
      </c>
      <c r="N26">
        <f>IF(SUM(Expense[[#This Row],[Jan]:[Dec]])=0,"",SUM(Expense[[#This Row],[Jan]:[Dec]]))</f>
        <v>13000</v>
      </c>
    </row>
    <row r="27" spans="1:14" x14ac:dyDescent="0.45">
      <c r="A27" t="s">
        <v>70</v>
      </c>
      <c r="B27">
        <v>500</v>
      </c>
      <c r="C27">
        <v>300</v>
      </c>
      <c r="D27">
        <v>750</v>
      </c>
      <c r="E27">
        <v>400</v>
      </c>
      <c r="N27">
        <f>IF(SUM(Expense[[#This Row],[Jan]:[Dec]])=0,"",SUM(Expense[[#This Row],[Jan]:[Dec]]))</f>
        <v>1950</v>
      </c>
    </row>
    <row r="28" spans="1:14" x14ac:dyDescent="0.45">
      <c r="A28" t="s">
        <v>71</v>
      </c>
      <c r="B28">
        <v>3000</v>
      </c>
      <c r="C28">
        <v>4000</v>
      </c>
      <c r="D28">
        <v>3500</v>
      </c>
      <c r="E28">
        <v>2000</v>
      </c>
      <c r="N28">
        <f>IF(SUM(Expense[[#This Row],[Jan]:[Dec]])=0,"",SUM(Expense[[#This Row],[Jan]:[Dec]]))</f>
        <v>12500</v>
      </c>
    </row>
    <row r="29" spans="1:14" x14ac:dyDescent="0.45">
      <c r="A29" t="s">
        <v>73</v>
      </c>
      <c r="B29">
        <f>IF(SUBTOTAL(109,Expense[Jan])=0,"",SUBTOTAL(109,Expense[Jan]))</f>
        <v>31900</v>
      </c>
      <c r="C29">
        <f>IF(SUBTOTAL(109,Expense[Feb])=0,"",SUBTOTAL(109,Expense[Feb]))</f>
        <v>35100</v>
      </c>
      <c r="D29">
        <f>IF(SUBTOTAL(109,Expense[Mar])=0,"",SUBTOTAL(109,Expense[Mar]))</f>
        <v>36050</v>
      </c>
      <c r="E29">
        <f>IF(SUBTOTAL(109,Expense[Apr])=0,"",SUBTOTAL(109,Expense[Apr]))</f>
        <v>35500</v>
      </c>
      <c r="F29" t="str">
        <f>IF(SUBTOTAL(109,Expense[May])=0,"",SUBTOTAL(109,Expense[May]))</f>
        <v/>
      </c>
      <c r="G29" t="str">
        <f>IF(SUBTOTAL(109,Expense[Jun])=0,"",SUBTOTAL(109,Expense[Jun]))</f>
        <v/>
      </c>
      <c r="H29" t="str">
        <f>IF(SUBTOTAL(109,Expense[Jul])=0,"",SUBTOTAL(109,Expense[Jul]))</f>
        <v/>
      </c>
      <c r="I29" t="str">
        <f>IF(SUBTOTAL(109,Expense[Aug])=0,"",SUBTOTAL(109,Expense[Aug]))</f>
        <v/>
      </c>
      <c r="J29" t="str">
        <f>IF(SUBTOTAL(109,Expense[Sep])=0,"",SUBTOTAL(109,Expense[Sep]))</f>
        <v/>
      </c>
      <c r="K29" t="str">
        <f>IF(SUBTOTAL(109,Expense[Oct])=0,"",SUBTOTAL(109,Expense[Oct]))</f>
        <v/>
      </c>
      <c r="L29" t="str">
        <f>IF(SUBTOTAL(109,Expense[Nov])=0,"",SUBTOTAL(109,Expense[Nov]))</f>
        <v/>
      </c>
      <c r="M29" t="str">
        <f>IF(SUBTOTAL(109,Expense[Dec])=0,"",SUBTOTAL(109,Expense[Dec]))</f>
        <v/>
      </c>
      <c r="N29">
        <f>IF(SUBTOTAL(109,Expense[Year to Date])=0,"",SUBTOTAL(109,Expense[Year to Date]))</f>
        <v>138550</v>
      </c>
    </row>
    <row r="31" spans="1:14" x14ac:dyDescent="0.45">
      <c r="A31" s="35" t="s">
        <v>74</v>
      </c>
      <c r="B31" s="35">
        <f>IFERROR(Income[[#Totals],[Jan]]-Expense[[#Totals],[Jan]],"")</f>
        <v>33100</v>
      </c>
      <c r="C31" s="35">
        <f>IFERROR(Income[[#Totals],[Feb]]-Expense[[#Totals],[Feb]],"")</f>
        <v>27900</v>
      </c>
      <c r="D31" s="35">
        <f>IFERROR(Income[[#Totals],[Mar]]-Expense[[#Totals],[Mar]],"")</f>
        <v>28950</v>
      </c>
      <c r="E31" s="35">
        <f>IFERROR(Income[[#Totals],[Apr]]-Expense[[#Totals],[Apr]],"")</f>
        <v>36500</v>
      </c>
      <c r="F31" s="35" t="str">
        <f>IFERROR(Income[[#Totals],[May]]-Expense[[#Totals],[May]],"")</f>
        <v/>
      </c>
      <c r="G31" s="35" t="str">
        <f>IFERROR(Income[[#Totals],[Jun]]-Expense[[#Totals],[Jun]],"")</f>
        <v/>
      </c>
      <c r="H31" s="35" t="str">
        <f>IFERROR(Income[[#Totals],[Jul]]-Expense[[#Totals],[Jul]],"")</f>
        <v/>
      </c>
      <c r="I31" s="35" t="str">
        <f>IFERROR(Income[[#Totals],[Aug]]-Expense[[#Totals],[Aug]],"")</f>
        <v/>
      </c>
      <c r="J31" s="35" t="str">
        <f>IFERROR(Income[[#Totals],[Sep]]-Expense[[#Totals],[Sep]],"")</f>
        <v/>
      </c>
      <c r="K31" s="35" t="str">
        <f>IFERROR(Income[[#Totals],[Oct]]-Expense[[#Totals],[Oct]],"")</f>
        <v/>
      </c>
      <c r="L31" s="35" t="str">
        <f>IFERROR(Income[[#Totals],[Nov]]-Expense[[#Totals],[Nov]],"")</f>
        <v/>
      </c>
      <c r="M31" s="35" t="str">
        <f>IFERROR(Income[[#Totals],[Dec]]-Expense[[#Totals],[Dec]],"")</f>
        <v/>
      </c>
      <c r="N31" s="35">
        <f>Income[[#Totals],[Year to Date]]-Expense[[#Totals],[Year to Date]]</f>
        <v>126450</v>
      </c>
    </row>
  </sheetData>
  <mergeCells count="2">
    <mergeCell ref="A1:N2"/>
    <mergeCell ref="A6:N6"/>
  </mergeCells>
  <phoneticPr fontId="7" type="noConversion"/>
  <conditionalFormatting sqref="B31:M31">
    <cfRule type="cellIs" dxfId="0" priority="1" operator="lessThan">
      <formula>$D$4</formula>
    </cfRule>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April 2025</vt:lpstr>
      <vt:lpstr>Company Performance</vt:lpstr>
      <vt:lpstr>Company Financials</vt:lpstr>
      <vt:lpstr>Employee Salary</vt:lpstr>
      <vt:lpstr>Monthly Savings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ILAKKIYAN A V</dc:creator>
  <cp:lastModifiedBy>ILAKKIYAN A V</cp:lastModifiedBy>
  <dcterms:created xsi:type="dcterms:W3CDTF">2015-06-05T18:17:20Z</dcterms:created>
  <dcterms:modified xsi:type="dcterms:W3CDTF">2025-04-26T16:09:19Z</dcterms:modified>
</cp:coreProperties>
</file>