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ipp Goos\Downloads\"/>
    </mc:Choice>
  </mc:AlternateContent>
  <xr:revisionPtr revIDLastSave="0" documentId="13_ncr:1_{AA9668D8-2AD6-4E26-BB8C-955FEA54646D}" xr6:coauthVersionLast="36" xr6:coauthVersionMax="36" xr10:uidLastSave="{00000000-0000-0000-0000-000000000000}"/>
  <bookViews>
    <workbookView xWindow="0" yWindow="0" windowWidth="28800" windowHeight="1210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4" i="2" l="1"/>
  <c r="D4" i="2" s="1"/>
  <c r="D8" i="1"/>
  <c r="B5" i="2"/>
  <c r="D5" i="2" s="1"/>
  <c r="D9" i="1"/>
  <c r="D6" i="1"/>
  <c r="D11" i="1"/>
  <c r="F17" i="2"/>
  <c r="G17" i="2"/>
  <c r="B3" i="2"/>
  <c r="C3" i="2" s="1"/>
  <c r="D3" i="2" s="1"/>
  <c r="D7" i="1"/>
  <c r="D18" i="1"/>
  <c r="D17" i="1"/>
  <c r="D16" i="1"/>
  <c r="D15" i="1"/>
  <c r="D14" i="1"/>
  <c r="D13" i="1"/>
  <c r="D10" i="1"/>
  <c r="D12" i="1"/>
  <c r="B14" i="2"/>
  <c r="D14" i="2" s="1"/>
  <c r="B13" i="2"/>
  <c r="D13" i="2" s="1"/>
  <c r="B12" i="2"/>
  <c r="D12" i="2" s="1"/>
  <c r="B11" i="2"/>
  <c r="D11" i="2" s="1"/>
  <c r="B10" i="2"/>
  <c r="D10" i="2" s="1"/>
  <c r="B9" i="2"/>
  <c r="D9" i="2" s="1"/>
  <c r="B8" i="2"/>
  <c r="D8" i="2" s="1"/>
  <c r="B7" i="2"/>
  <c r="D7" i="2" s="1"/>
  <c r="B6" i="2"/>
  <c r="D6" i="2" s="1"/>
  <c r="B2" i="2"/>
  <c r="D2" i="2" s="1"/>
  <c r="D15" i="2"/>
  <c r="K4" i="2" l="1"/>
  <c r="J4" i="2"/>
  <c r="K5" i="2"/>
  <c r="J5" i="2"/>
  <c r="K2" i="2"/>
  <c r="G18" i="2"/>
  <c r="G19" i="2" s="1"/>
  <c r="G23" i="2" s="1"/>
  <c r="B24" i="1" s="1"/>
  <c r="J2" i="2"/>
  <c r="F18" i="2"/>
  <c r="F19" i="2" s="1"/>
  <c r="F23" i="2" s="1"/>
  <c r="B20" i="1" s="1"/>
  <c r="J3" i="2"/>
  <c r="K3" i="2"/>
  <c r="J18" i="2" l="1"/>
  <c r="F20" i="2" s="1"/>
  <c r="F24" i="2" s="1"/>
  <c r="B21" i="1" s="1"/>
  <c r="J19" i="2"/>
  <c r="G20" i="2" s="1"/>
  <c r="G24" i="2" s="1"/>
  <c r="B25" i="1" s="1"/>
  <c r="K19" i="2"/>
  <c r="G21" i="2" s="1"/>
  <c r="G25" i="2" s="1"/>
  <c r="B26" i="1" s="1"/>
  <c r="K18" i="2"/>
  <c r="F21" i="2" s="1"/>
  <c r="F25" i="2" s="1"/>
  <c r="B22" i="1" s="1"/>
</calcChain>
</file>

<file path=xl/sharedStrings.xml><?xml version="1.0" encoding="utf-8"?>
<sst xmlns="http://schemas.openxmlformats.org/spreadsheetml/2006/main" count="89" uniqueCount="59">
  <si>
    <t>Enter Values Here</t>
  </si>
  <si>
    <t>General CVD Risk Prediction</t>
  </si>
  <si>
    <t xml:space="preserve"> </t>
  </si>
  <si>
    <t>Risk Factor</t>
  </si>
  <si>
    <t>Units</t>
  </si>
  <si>
    <t xml:space="preserve"> (Type Over Placeholder Values in Each Cell)</t>
  </si>
  <si>
    <t>Notes</t>
  </si>
  <si>
    <t>years</t>
  </si>
  <si>
    <t>yes (y) or no (n)</t>
  </si>
  <si>
    <t>Smoking</t>
  </si>
  <si>
    <t>Diabetes</t>
  </si>
  <si>
    <t>5 Year Atrial Fibrillation Risk Prediction</t>
  </si>
  <si>
    <t xml:space="preserve">Age </t>
  </si>
  <si>
    <t>Height</t>
  </si>
  <si>
    <t>Hypertension Treatment</t>
  </si>
  <si>
    <t>Systolic BP</t>
  </si>
  <si>
    <t>Diastolic BP</t>
  </si>
  <si>
    <t>Heart Failure</t>
  </si>
  <si>
    <t>Myocardial Infarction</t>
  </si>
  <si>
    <t>ECG LVH</t>
  </si>
  <si>
    <t>Race (White)</t>
  </si>
  <si>
    <t>ms</t>
  </si>
  <si>
    <t>Values</t>
  </si>
  <si>
    <t>M Values</t>
  </si>
  <si>
    <t>PR Interval LT</t>
  </si>
  <si>
    <t>PR Interval GT</t>
  </si>
  <si>
    <r>
      <t>Σβ</t>
    </r>
    <r>
      <rPr>
        <b/>
        <sz val="11"/>
        <rFont val="Arial"/>
        <family val="2"/>
      </rPr>
      <t>x</t>
    </r>
  </si>
  <si>
    <t>Coef. Simple</t>
  </si>
  <si>
    <t>Coeff. Adv.</t>
  </si>
  <si>
    <t>Variable</t>
  </si>
  <si>
    <t>Risk Score</t>
  </si>
  <si>
    <t>Means</t>
  </si>
  <si>
    <t>Normal</t>
  </si>
  <si>
    <t>Optimal</t>
  </si>
  <si>
    <t>Normal Risk</t>
  </si>
  <si>
    <t>Optimal Risk</t>
  </si>
  <si>
    <t>Simple</t>
  </si>
  <si>
    <t>Advanced</t>
  </si>
  <si>
    <t>n</t>
  </si>
  <si>
    <t xml:space="preserve">NORMAL </t>
  </si>
  <si>
    <t>OPTIMAL</t>
  </si>
  <si>
    <t>Weight</t>
  </si>
  <si>
    <t>Σβx-bar</t>
  </si>
  <si>
    <r>
      <t xml:space="preserve">YOUR RISK </t>
    </r>
    <r>
      <rPr>
        <b/>
        <sz val="10"/>
        <rFont val="Arial"/>
        <family val="2"/>
      </rPr>
      <t>(Simple Model)</t>
    </r>
  </si>
  <si>
    <r>
      <t xml:space="preserve">YOUR RISK </t>
    </r>
    <r>
      <rPr>
        <b/>
        <sz val="10"/>
        <rFont val="Arial"/>
        <family val="2"/>
      </rPr>
      <t>(Advanced Model)</t>
    </r>
  </si>
  <si>
    <t>yes</t>
  </si>
  <si>
    <t>History of Heart Failure</t>
  </si>
  <si>
    <t>History of Myocardial Infarction</t>
  </si>
  <si>
    <t>Systolic Blood Pressure</t>
  </si>
  <si>
    <t>Diastolic Blood Pressure</t>
  </si>
  <si>
    <t>ECG Left Ventricular Hypertrophy</t>
  </si>
  <si>
    <t>no</t>
  </si>
  <si>
    <t>mm Hg</t>
  </si>
  <si>
    <t>ECG PR Interval</t>
  </si>
  <si>
    <t>inches</t>
  </si>
  <si>
    <t>centimeters</t>
  </si>
  <si>
    <t>Select Unit</t>
  </si>
  <si>
    <t>pounds</t>
  </si>
  <si>
    <t>kilograms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</si>
</sst>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b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</fills>
  <borders count="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 style="medium">
        <color rgb="FFC6D9F1"/>
      </left>
      <right style="medium">
        <color rgb="FFC6D9F1"/>
      </right>
      <top/>
      <bottom style="medium">
        <color rgb="FFC6D9F1"/>
      </bottom>
      <diagonal/>
    </border>
    <border>
      <left style="medium">
        <color rgb="FFC6D9F1"/>
      </left>
      <right style="medium">
        <color rgb="FFC6D9F1"/>
      </right>
      <top/>
      <bottom/>
      <diagonal/>
    </border>
    <border>
      <left style="medium">
        <color rgb="FFC6D9F1"/>
      </left>
      <right style="medium">
        <color rgb="FFC6D9F1"/>
      </right>
      <top style="medium">
        <color indexed="8"/>
      </top>
      <bottom style="medium">
        <color rgb="FFC6D9F1"/>
      </bottom>
      <diagonal/>
    </border>
    <border>
      <left style="medium">
        <color rgb="FFC6D9F1"/>
      </left>
      <right style="medium">
        <color indexed="8"/>
      </right>
      <top style="medium">
        <color indexed="8"/>
      </top>
      <bottom style="medium">
        <color rgb="FFC6D9F1"/>
      </bottom>
      <diagonal/>
    </border>
    <border>
      <left style="medium">
        <color rgb="FFC6D9F1"/>
      </left>
      <right style="medium">
        <color indexed="8"/>
      </right>
      <top/>
      <bottom style="medium">
        <color rgb="FFC6D9F1"/>
      </bottom>
      <diagonal/>
    </border>
    <border>
      <left style="medium">
        <color rgb="FFC6D9F1"/>
      </left>
      <right style="medium">
        <color rgb="FFC6D9F1"/>
      </right>
      <top/>
      <bottom style="medium">
        <color indexed="8"/>
      </bottom>
      <diagonal/>
    </border>
    <border>
      <left style="medium">
        <color rgb="FFC6D9F1"/>
      </left>
      <right style="medium">
        <color indexed="8"/>
      </right>
      <top/>
      <bottom style="medium">
        <color indexed="8"/>
      </bottom>
      <diagonal/>
    </border>
  </borders>
  <cellStyleXfs count="6">
    <xf numFmtId="0" fontId="0" fillId="0" borderId="0"/>
    <xf numFmtId="0" fontId="1" fillId="0" borderId="0"/>
    <xf numFmtId="0" fontId="9" fillId="0" borderId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81">
    <xf numFmtId="0" fontId="0" fillId="0" borderId="0" xfId="0"/>
    <xf numFmtId="0" fontId="7" fillId="2" borderId="1" xfId="1" applyFont="1" applyFill="1" applyBorder="1" applyProtection="1"/>
    <xf numFmtId="0" fontId="7" fillId="2" borderId="2" xfId="1" applyFont="1" applyFill="1" applyBorder="1" applyAlignment="1" applyProtection="1">
      <alignment horizontal="center"/>
    </xf>
    <xf numFmtId="0" fontId="8" fillId="2" borderId="2" xfId="1" applyFont="1" applyFill="1" applyBorder="1" applyAlignment="1" applyProtection="1">
      <alignment horizontal="center"/>
    </xf>
    <xf numFmtId="0" fontId="1" fillId="2" borderId="2" xfId="1" applyFill="1" applyBorder="1" applyAlignment="1" applyProtection="1">
      <alignment horizontal="center"/>
    </xf>
    <xf numFmtId="0" fontId="7" fillId="3" borderId="3" xfId="1" applyFont="1" applyFill="1" applyBorder="1" applyAlignment="1" applyProtection="1">
      <alignment wrapText="1"/>
    </xf>
    <xf numFmtId="0" fontId="7" fillId="4" borderId="0" xfId="1" applyFont="1" applyFill="1" applyBorder="1" applyAlignment="1" applyProtection="1">
      <alignment horizontal="center"/>
    </xf>
    <xf numFmtId="0" fontId="1" fillId="0" borderId="0" xfId="1" applyBorder="1" applyAlignment="1" applyProtection="1">
      <alignment horizontal="center"/>
    </xf>
    <xf numFmtId="0" fontId="7" fillId="3" borderId="4" xfId="1" applyFont="1" applyFill="1" applyBorder="1" applyProtection="1"/>
    <xf numFmtId="0" fontId="1" fillId="4" borderId="0" xfId="1" applyFill="1" applyBorder="1" applyAlignment="1" applyProtection="1">
      <alignment horizontal="center"/>
    </xf>
    <xf numFmtId="0" fontId="7" fillId="4" borderId="0" xfId="1" applyFont="1" applyFill="1" applyBorder="1" applyAlignment="1" applyProtection="1">
      <alignment horizontal="center" wrapText="1"/>
    </xf>
    <xf numFmtId="0" fontId="1" fillId="0" borderId="0" xfId="1" applyFont="1" applyBorder="1" applyAlignment="1" applyProtection="1">
      <alignment horizontal="center"/>
    </xf>
    <xf numFmtId="0" fontId="8" fillId="3" borderId="5" xfId="1" applyFont="1" applyFill="1" applyBorder="1" applyProtection="1"/>
    <xf numFmtId="0" fontId="9" fillId="0" borderId="6" xfId="1" applyFont="1" applyFill="1" applyBorder="1" applyProtection="1"/>
    <xf numFmtId="0" fontId="9" fillId="0" borderId="0" xfId="1" applyFont="1" applyBorder="1" applyAlignment="1" applyProtection="1">
      <alignment horizontal="center"/>
    </xf>
    <xf numFmtId="0" fontId="11" fillId="0" borderId="34" xfId="0" applyFont="1" applyBorder="1" applyAlignment="1">
      <alignment horizontal="center" vertical="top" wrapText="1"/>
    </xf>
    <xf numFmtId="0" fontId="3" fillId="0" borderId="0" xfId="1" applyFont="1" applyFill="1" applyBorder="1" applyProtection="1"/>
    <xf numFmtId="0" fontId="9" fillId="0" borderId="0" xfId="1" applyFont="1" applyBorder="1" applyAlignment="1" applyProtection="1">
      <alignment horizontal="center"/>
      <protection locked="0"/>
    </xf>
    <xf numFmtId="0" fontId="11" fillId="0" borderId="35" xfId="0" applyFont="1" applyFill="1" applyBorder="1" applyAlignment="1">
      <alignment horizontal="center" vertical="top" wrapText="1"/>
    </xf>
    <xf numFmtId="0" fontId="9" fillId="0" borderId="7" xfId="1" applyFont="1" applyFill="1" applyBorder="1" applyAlignment="1" applyProtection="1">
      <alignment wrapText="1"/>
    </xf>
    <xf numFmtId="0" fontId="0" fillId="0" borderId="8" xfId="0" applyBorder="1" applyAlignment="1">
      <alignment horizontal="center"/>
    </xf>
    <xf numFmtId="0" fontId="0" fillId="0" borderId="8" xfId="0" applyBorder="1"/>
    <xf numFmtId="0" fontId="11" fillId="0" borderId="36" xfId="0" applyFont="1" applyBorder="1" applyAlignment="1">
      <alignment horizontal="center" vertical="top" wrapText="1"/>
    </xf>
    <xf numFmtId="0" fontId="11" fillId="0" borderId="37" xfId="0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11" fillId="0" borderId="38" xfId="0" applyFont="1" applyBorder="1" applyAlignment="1">
      <alignment horizontal="center" vertical="top" wrapText="1"/>
    </xf>
    <xf numFmtId="0" fontId="9" fillId="0" borderId="9" xfId="1" applyFont="1" applyFill="1" applyBorder="1" applyProtection="1"/>
    <xf numFmtId="0" fontId="0" fillId="0" borderId="10" xfId="0" applyBorder="1"/>
    <xf numFmtId="0" fontId="11" fillId="0" borderId="39" xfId="0" applyFont="1" applyFill="1" applyBorder="1" applyAlignment="1">
      <alignment horizontal="center" vertical="top" wrapText="1"/>
    </xf>
    <xf numFmtId="0" fontId="11" fillId="0" borderId="40" xfId="0" applyFont="1" applyBorder="1" applyAlignment="1">
      <alignment horizontal="center" vertical="top" wrapText="1"/>
    </xf>
    <xf numFmtId="0" fontId="12" fillId="0" borderId="11" xfId="0" applyFont="1" applyBorder="1"/>
    <xf numFmtId="0" fontId="12" fillId="0" borderId="12" xfId="0" applyFont="1" applyBorder="1"/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6" fillId="0" borderId="14" xfId="2" applyFont="1" applyBorder="1"/>
    <xf numFmtId="0" fontId="0" fillId="0" borderId="15" xfId="0" applyBorder="1"/>
    <xf numFmtId="0" fontId="0" fillId="0" borderId="16" xfId="0" applyBorder="1"/>
    <xf numFmtId="0" fontId="12" fillId="0" borderId="14" xfId="0" applyFont="1" applyBorder="1"/>
    <xf numFmtId="0" fontId="8" fillId="3" borderId="17" xfId="1" applyFont="1" applyFill="1" applyBorder="1" applyAlignment="1" applyProtection="1">
      <alignment wrapText="1"/>
    </xf>
    <xf numFmtId="0" fontId="8" fillId="0" borderId="8" xfId="1" applyFont="1" applyBorder="1" applyAlignment="1" applyProtection="1">
      <alignment horizontal="center" wrapText="1"/>
    </xf>
    <xf numFmtId="0" fontId="8" fillId="0" borderId="18" xfId="1" applyFont="1" applyBorder="1" applyAlignment="1" applyProtection="1">
      <alignment horizontal="center" wrapText="1"/>
    </xf>
    <xf numFmtId="0" fontId="9" fillId="0" borderId="8" xfId="1" applyFont="1" applyBorder="1" applyAlignment="1" applyProtection="1">
      <alignment horizontal="center" wrapText="1"/>
    </xf>
    <xf numFmtId="0" fontId="9" fillId="0" borderId="8" xfId="1" applyFont="1" applyBorder="1" applyAlignment="1" applyProtection="1">
      <alignment horizontal="center" wrapText="1"/>
      <protection locked="0"/>
    </xf>
    <xf numFmtId="0" fontId="9" fillId="0" borderId="10" xfId="1" applyFont="1" applyBorder="1" applyAlignment="1" applyProtection="1">
      <alignment horizontal="center"/>
    </xf>
    <xf numFmtId="0" fontId="9" fillId="0" borderId="10" xfId="1" applyFont="1" applyBorder="1" applyAlignment="1" applyProtection="1">
      <alignment horizontal="center"/>
      <protection locked="0"/>
    </xf>
    <xf numFmtId="0" fontId="5" fillId="0" borderId="19" xfId="1" applyFont="1" applyFill="1" applyBorder="1" applyAlignment="1" applyProtection="1">
      <alignment horizontal="left"/>
    </xf>
    <xf numFmtId="0" fontId="4" fillId="0" borderId="18" xfId="1" applyFont="1" applyBorder="1" applyAlignment="1" applyProtection="1">
      <alignment horizontal="center"/>
    </xf>
    <xf numFmtId="0" fontId="4" fillId="0" borderId="20" xfId="1" applyFont="1" applyBorder="1" applyAlignment="1" applyProtection="1">
      <alignment horizontal="center"/>
    </xf>
    <xf numFmtId="0" fontId="4" fillId="0" borderId="21" xfId="1" applyFont="1" applyBorder="1" applyAlignment="1" applyProtection="1">
      <alignment horizontal="center"/>
    </xf>
    <xf numFmtId="0" fontId="0" fillId="0" borderId="22" xfId="0" applyBorder="1"/>
    <xf numFmtId="0" fontId="0" fillId="0" borderId="23" xfId="0" applyBorder="1"/>
    <xf numFmtId="0" fontId="12" fillId="0" borderId="24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2" fillId="0" borderId="24" xfId="0" applyFont="1" applyFill="1" applyBorder="1" applyAlignment="1">
      <alignment horizontal="center"/>
    </xf>
    <xf numFmtId="0" fontId="12" fillId="0" borderId="14" xfId="0" applyFont="1" applyBorder="1"/>
    <xf numFmtId="0" fontId="6" fillId="0" borderId="15" xfId="2" applyFont="1" applyBorder="1"/>
    <xf numFmtId="0" fontId="0" fillId="0" borderId="24" xfId="0" applyBorder="1"/>
    <xf numFmtId="0" fontId="12" fillId="0" borderId="24" xfId="0" applyFont="1" applyBorder="1"/>
    <xf numFmtId="0" fontId="6" fillId="0" borderId="24" xfId="2" applyFon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3" fillId="0" borderId="28" xfId="1" applyFont="1" applyFill="1" applyBorder="1" applyAlignment="1" applyProtection="1">
      <alignment horizontal="left"/>
    </xf>
    <xf numFmtId="0" fontId="3" fillId="0" borderId="29" xfId="1" applyFont="1" applyFill="1" applyBorder="1" applyAlignment="1" applyProtection="1">
      <alignment horizontal="left"/>
    </xf>
    <xf numFmtId="164" fontId="13" fillId="0" borderId="30" xfId="3" applyNumberFormat="1" applyFont="1" applyBorder="1" applyAlignment="1">
      <alignment horizontal="center"/>
    </xf>
    <xf numFmtId="164" fontId="13" fillId="0" borderId="30" xfId="0" applyNumberFormat="1" applyFont="1" applyBorder="1" applyAlignment="1">
      <alignment horizontal="center"/>
    </xf>
    <xf numFmtId="164" fontId="14" fillId="0" borderId="31" xfId="0" applyNumberFormat="1" applyFont="1" applyBorder="1" applyAlignment="1">
      <alignment horizontal="center"/>
    </xf>
    <xf numFmtId="164" fontId="15" fillId="0" borderId="32" xfId="0" applyNumberFormat="1" applyFont="1" applyBorder="1" applyAlignment="1">
      <alignment horizontal="center"/>
    </xf>
    <xf numFmtId="164" fontId="16" fillId="0" borderId="31" xfId="0" applyNumberFormat="1" applyFont="1" applyBorder="1" applyAlignment="1">
      <alignment horizontal="center"/>
    </xf>
    <xf numFmtId="164" fontId="17" fillId="0" borderId="32" xfId="0" applyNumberFormat="1" applyFont="1" applyBorder="1" applyAlignment="1">
      <alignment horizontal="center"/>
    </xf>
    <xf numFmtId="0" fontId="0" fillId="0" borderId="33" xfId="0" applyBorder="1" applyAlignment="1">
      <alignment horizontal="center"/>
    </xf>
    <xf numFmtId="165" fontId="9" fillId="0" borderId="0" xfId="1" applyNumberFormat="1" applyFont="1" applyBorder="1" applyAlignment="1" applyProtection="1">
      <alignment horizontal="center"/>
      <protection locked="0"/>
    </xf>
    <xf numFmtId="0" fontId="3" fillId="0" borderId="0" xfId="1" applyFont="1" applyBorder="1" applyAlignment="1" applyProtection="1">
      <alignment horizontal="center"/>
      <protection locked="0"/>
    </xf>
    <xf numFmtId="0" fontId="18" fillId="0" borderId="0" xfId="0" applyFont="1" applyProtection="1">
      <protection hidden="1"/>
    </xf>
    <xf numFmtId="0" fontId="0" fillId="0" borderId="0" xfId="0" applyBorder="1" applyAlignment="1">
      <alignment horizontal="center" wrapText="1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0" xfId="1" applyFont="1" applyFill="1" applyBorder="1" applyProtection="1"/>
    <xf numFmtId="0" fontId="0" fillId="0" borderId="26" xfId="0" applyBorder="1" applyAlignment="1">
      <alignment horizontal="center"/>
    </xf>
    <xf numFmtId="0" fontId="1" fillId="0" borderId="0" xfId="1" applyBorder="1" applyAlignment="1" applyProtection="1">
      <alignment horizontal="center"/>
    </xf>
  </cellXfs>
  <cellStyles count="6">
    <cellStyle name="Normal 2" xfId="1" xr:uid="{00000000-0005-0000-0000-000001000000}"/>
    <cellStyle name="Normal 3" xfId="2" xr:uid="{00000000-0005-0000-0000-000002000000}"/>
    <cellStyle name="Percent 2" xfId="4" xr:uid="{00000000-0005-0000-0000-000004000000}"/>
    <cellStyle name="Percent 3" xfId="5" xr:uid="{00000000-0005-0000-0000-000005000000}"/>
    <cellStyle name="Prozent" xfId="3" builtinId="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60567242527537E-2"/>
          <c:y val="0.17384370015948974"/>
          <c:w val="0.75346652563951888"/>
          <c:h val="0.67464114832536104"/>
        </c:manualLayout>
      </c:layout>
      <c:barChart>
        <c:barDir val="bar"/>
        <c:grouping val="clustered"/>
        <c:varyColors val="0"/>
        <c:ser>
          <c:idx val="1"/>
          <c:order val="0"/>
          <c:tx>
            <c:v>OPTIMAL</c:v>
          </c:tx>
          <c:spPr>
            <a:solidFill>
              <a:srgbClr val="F8A96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Sheet2!$F$25</c:f>
              <c:numCache>
                <c:formatCode>General</c:formatCode>
                <c:ptCount val="1"/>
                <c:pt idx="0">
                  <c:v>4.1995554387240785E-3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F-4DD0-B758-D1D0C91440B1}"/>
            </c:ext>
          </c:extLst>
        </c:ser>
        <c:ser>
          <c:idx val="2"/>
          <c:order val="1"/>
          <c:tx>
            <c:v>NORMAL</c:v>
          </c:tx>
          <c:spPr>
            <a:solidFill>
              <a:schemeClr val="accent6">
                <a:lumMod val="75000"/>
              </a:scheme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Sheet2!$F$24</c:f>
              <c:numCache>
                <c:formatCode>General</c:formatCode>
                <c:ptCount val="1"/>
                <c:pt idx="0">
                  <c:v>4.7213557471453838E-3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F-4DD0-B758-D1D0C91440B1}"/>
            </c:ext>
          </c:extLst>
        </c:ser>
        <c:ser>
          <c:idx val="0"/>
          <c:order val="2"/>
          <c:tx>
            <c:v>YOUR RISK SCORE</c:v>
          </c:tx>
          <c:spPr>
            <a:solidFill>
              <a:srgbClr val="FF0000"/>
            </a:solidFill>
            <a:ln>
              <a:solidFill>
                <a:prstClr val="black"/>
              </a:solidFill>
            </a:ln>
          </c:spPr>
          <c:invertIfNegative val="0"/>
          <c:val>
            <c:numRef>
              <c:f>Sheet2!$F$23</c:f>
              <c:numCache>
                <c:formatCode>General</c:formatCode>
                <c:ptCount val="1"/>
                <c:pt idx="0">
                  <c:v>4.8146878555654915E-3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6F-4DD0-B758-D1D0C9144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83928960"/>
        <c:axId val="83930496"/>
      </c:barChart>
      <c:catAx>
        <c:axId val="83928960"/>
        <c:scaling>
          <c:orientation val="minMax"/>
        </c:scaling>
        <c:delete val="0"/>
        <c:axPos val="l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83930496"/>
        <c:crosses val="autoZero"/>
        <c:auto val="1"/>
        <c:lblAlgn val="ctr"/>
        <c:lblOffset val="100"/>
        <c:tickMarkSkip val="1"/>
        <c:noMultiLvlLbl val="0"/>
      </c:catAx>
      <c:valAx>
        <c:axId val="839304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3928960"/>
        <c:crosses val="autoZero"/>
        <c:crossBetween val="between"/>
        <c:majorUnit val="0.1"/>
        <c:minorUnit val="5.0000000000000096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legendEntry>
      <c:legendEntry>
        <c:idx val="2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legendEntry>
      <c:layout>
        <c:manualLayout>
          <c:xMode val="edge"/>
          <c:yMode val="edge"/>
          <c:x val="0.7975222313628707"/>
          <c:y val="3.6874809253494477E-2"/>
          <c:w val="0.19999020644807464"/>
          <c:h val="0.6418348287859365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12700" cmpd="sng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178" r="0.75000000000000178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018557449598105E-2"/>
          <c:y val="0"/>
          <c:w val="0.75093720790150165"/>
          <c:h val="0.67464114832536126"/>
        </c:manualLayout>
      </c:layout>
      <c:barChart>
        <c:barDir val="bar"/>
        <c:grouping val="clustered"/>
        <c:varyColors val="0"/>
        <c:ser>
          <c:idx val="1"/>
          <c:order val="0"/>
          <c:tx>
            <c:v>OPTIMAL</c:v>
          </c:tx>
          <c:spPr>
            <a:solidFill>
              <a:srgbClr val="B2434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Sheet2!$G$25</c:f>
              <c:numCache>
                <c:formatCode>General</c:formatCode>
                <c:ptCount val="1"/>
                <c:pt idx="0">
                  <c:v>4.2019295240164345E-3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E-40C3-9213-4F35A53F95DE}"/>
            </c:ext>
          </c:extLst>
        </c:ser>
        <c:ser>
          <c:idx val="2"/>
          <c:order val="1"/>
          <c:tx>
            <c:v>NORMAL</c:v>
          </c:tx>
          <c:spPr>
            <a:solidFill>
              <a:srgbClr val="7C2E2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Sheet2!$G$24</c:f>
              <c:numCache>
                <c:formatCode>General</c:formatCode>
                <c:ptCount val="1"/>
                <c:pt idx="0">
                  <c:v>4.703183428428015E-3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E-40C3-9213-4F35A53F95DE}"/>
            </c:ext>
          </c:extLst>
        </c:ser>
        <c:ser>
          <c:idx val="0"/>
          <c:order val="2"/>
          <c:tx>
            <c:v>YOUR RISK SCORE</c:v>
          </c:tx>
          <c:spPr>
            <a:solidFill>
              <a:srgbClr val="FF0000"/>
            </a:solidFill>
            <a:ln>
              <a:solidFill>
                <a:prstClr val="black"/>
              </a:solidFill>
            </a:ln>
          </c:spPr>
          <c:invertIfNegative val="0"/>
          <c:val>
            <c:numRef>
              <c:f>Sheet2!$G$23</c:f>
              <c:numCache>
                <c:formatCode>General</c:formatCode>
                <c:ptCount val="1"/>
                <c:pt idx="0">
                  <c:v>4.8192163506431962E-3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1E-40C3-9213-4F35A53F9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83974784"/>
        <c:axId val="83980672"/>
      </c:barChart>
      <c:catAx>
        <c:axId val="83974784"/>
        <c:scaling>
          <c:orientation val="minMax"/>
        </c:scaling>
        <c:delete val="0"/>
        <c:axPos val="l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83980672"/>
        <c:crosses val="autoZero"/>
        <c:auto val="1"/>
        <c:lblAlgn val="ctr"/>
        <c:lblOffset val="100"/>
        <c:tickMarkSkip val="1"/>
        <c:noMultiLvlLbl val="0"/>
      </c:catAx>
      <c:valAx>
        <c:axId val="839806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83974784"/>
        <c:crosses val="autoZero"/>
        <c:crossBetween val="between"/>
        <c:majorUnit val="0.1"/>
        <c:minorUnit val="5.0000000000000096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legendEntry>
      <c:legendEntry>
        <c:idx val="1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legendEntry>
      <c:legendEntry>
        <c:idx val="2"/>
        <c:txPr>
          <a:bodyPr/>
          <a:lstStyle/>
          <a:p>
            <a:pPr>
              <a:defRPr sz="73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</c:legendEntry>
      <c:layout>
        <c:manualLayout>
          <c:xMode val="edge"/>
          <c:yMode val="edge"/>
          <c:x val="0.79280595512153151"/>
          <c:y val="3.6874528614957616E-2"/>
          <c:w val="0.19974505980048585"/>
          <c:h val="0.626687181343711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12700" cmpd="sng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1" l="0.750000000000002" r="0.750000000000002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419100</xdr:colOff>
      <xdr:row>1</xdr:row>
      <xdr:rowOff>0</xdr:rowOff>
    </xdr:to>
    <xdr:sp macro="" textlink="">
      <xdr:nvSpPr>
        <xdr:cNvPr id="1027" name="AutoShape 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4171950" y="219075"/>
          <a:ext cx="419100" cy="0"/>
        </a:xfrm>
        <a:prstGeom prst="downArrow">
          <a:avLst>
            <a:gd name="adj1" fmla="val 50000"/>
            <a:gd name="adj2" fmla="val -2147483648"/>
          </a:avLst>
        </a:prstGeom>
        <a:solidFill>
          <a:srgbClr val="FF0000"/>
        </a:solidFill>
        <a:ln w="9525">
          <a:noFill/>
          <a:round/>
          <a:headEnd/>
          <a:tailEnd/>
        </a:ln>
      </xdr:spPr>
    </xdr:sp>
    <xdr:clientData/>
  </xdr:twoCellAnchor>
  <xdr:twoCellAnchor>
    <xdr:from>
      <xdr:col>2</xdr:col>
      <xdr:colOff>733425</xdr:colOff>
      <xdr:row>1</xdr:row>
      <xdr:rowOff>9525</xdr:rowOff>
    </xdr:from>
    <xdr:to>
      <xdr:col>2</xdr:col>
      <xdr:colOff>1076325</xdr:colOff>
      <xdr:row>3</xdr:row>
      <xdr:rowOff>304800</xdr:rowOff>
    </xdr:to>
    <xdr:sp macro="" textlink="">
      <xdr:nvSpPr>
        <xdr:cNvPr id="1028" name="AutoShape 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rrowheads="1"/>
        </xdr:cNvSpPr>
      </xdr:nvSpPr>
      <xdr:spPr bwMode="auto">
        <a:xfrm>
          <a:off x="4905375" y="219075"/>
          <a:ext cx="342900" cy="304800"/>
        </a:xfrm>
        <a:prstGeom prst="downArrow">
          <a:avLst>
            <a:gd name="adj1" fmla="val 50000"/>
            <a:gd name="adj2" fmla="val 25000"/>
          </a:avLst>
        </a:prstGeom>
        <a:solidFill>
          <a:srgbClr val="FF0000"/>
        </a:solidFill>
        <a:ln w="9525">
          <a:noFill/>
          <a:round/>
          <a:headEnd/>
          <a:tailEnd/>
        </a:ln>
      </xdr:spPr>
    </xdr:sp>
    <xdr:clientData/>
  </xdr:twoCellAnchor>
  <xdr:twoCellAnchor>
    <xdr:from>
      <xdr:col>2</xdr:col>
      <xdr:colOff>57150</xdr:colOff>
      <xdr:row>18</xdr:row>
      <xdr:rowOff>66675</xdr:rowOff>
    </xdr:from>
    <xdr:to>
      <xdr:col>4</xdr:col>
      <xdr:colOff>476250</xdr:colOff>
      <xdr:row>22</xdr:row>
      <xdr:rowOff>9525</xdr:rowOff>
    </xdr:to>
    <xdr:graphicFrame macro="">
      <xdr:nvGraphicFramePr>
        <xdr:cNvPr id="1029" name="Chart 2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22</xdr:row>
      <xdr:rowOff>200025</xdr:rowOff>
    </xdr:from>
    <xdr:to>
      <xdr:col>4</xdr:col>
      <xdr:colOff>476250</xdr:colOff>
      <xdr:row>26</xdr:row>
      <xdr:rowOff>19050</xdr:rowOff>
    </xdr:to>
    <xdr:graphicFrame macro="">
      <xdr:nvGraphicFramePr>
        <xdr:cNvPr id="1030" name="Chart 2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0.49533</cdr:x>
      <cdr:y>0.50652</cdr:y>
    </cdr:from>
    <cdr:to>
      <cdr:x>0.58098</cdr:x>
      <cdr:y>0.61035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70322" y="813615"/>
          <a:ext cx="497395" cy="1676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0.49533</cdr:x>
      <cdr:y>0.50652</cdr:y>
    </cdr:from>
    <cdr:to>
      <cdr:x>0.58098</cdr:x>
      <cdr:y>0.61035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70322" y="813615"/>
          <a:ext cx="497395" cy="1676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90" zoomScaleNormal="90" workbookViewId="0">
      <selection activeCell="C10" sqref="C10"/>
    </sheetView>
  </sheetViews>
  <sheetFormatPr baseColWidth="10" defaultColWidth="9.140625" defaultRowHeight="15" x14ac:dyDescent="0.25"/>
  <cols>
    <col min="1" max="1" width="40.42578125" customWidth="1"/>
    <col min="2" max="2" width="22.140625" customWidth="1"/>
    <col min="3" max="3" width="26.85546875" customWidth="1"/>
    <col min="4" max="4" width="43.42578125" customWidth="1"/>
    <col min="7" max="7" width="14.7109375" customWidth="1"/>
    <col min="8" max="8" width="10.42578125" customWidth="1"/>
  </cols>
  <sheetData>
    <row r="1" spans="1:8" ht="17.25" customHeight="1" x14ac:dyDescent="0.25">
      <c r="A1" s="1"/>
      <c r="B1" s="2"/>
      <c r="C1" s="3" t="s">
        <v>0</v>
      </c>
      <c r="D1" s="4"/>
    </row>
    <row r="2" spans="1:8" ht="16.5" hidden="1" thickBot="1" x14ac:dyDescent="0.3">
      <c r="A2" s="5" t="s">
        <v>1</v>
      </c>
      <c r="B2" s="6"/>
      <c r="C2" s="80"/>
      <c r="D2" s="6" t="s">
        <v>2</v>
      </c>
    </row>
    <row r="3" spans="1:8" ht="16.5" hidden="1" thickBot="1" x14ac:dyDescent="0.3">
      <c r="A3" s="8" t="s">
        <v>2</v>
      </c>
      <c r="B3" s="9"/>
      <c r="C3" s="80"/>
      <c r="D3" s="10" t="s">
        <v>2</v>
      </c>
    </row>
    <row r="4" spans="1:8" ht="25.5" customHeight="1" thickBot="1" x14ac:dyDescent="0.3">
      <c r="A4" s="12" t="s">
        <v>11</v>
      </c>
      <c r="B4" s="9"/>
      <c r="C4" s="7"/>
      <c r="D4" s="10"/>
    </row>
    <row r="5" spans="1:8" ht="29.25" customHeight="1" thickBot="1" x14ac:dyDescent="0.3">
      <c r="A5" s="39" t="s">
        <v>3</v>
      </c>
      <c r="B5" s="40" t="s">
        <v>4</v>
      </c>
      <c r="C5" s="40" t="s">
        <v>5</v>
      </c>
      <c r="D5" s="41" t="s">
        <v>6</v>
      </c>
    </row>
    <row r="6" spans="1:8" x14ac:dyDescent="0.25">
      <c r="A6" s="19" t="s">
        <v>12</v>
      </c>
      <c r="B6" s="42" t="s">
        <v>7</v>
      </c>
      <c r="C6" s="43">
        <v>46</v>
      </c>
      <c r="D6" s="47" t="str">
        <f>IF(C6="","",IF(C6&lt;46,"Enter a Value Between 46-94",IF(C6&gt;94,"Enter A Value Between 46-94"," ")))</f>
        <v xml:space="preserve"> </v>
      </c>
      <c r="G6" s="75" t="s">
        <v>56</v>
      </c>
      <c r="H6" s="75" t="s">
        <v>56</v>
      </c>
    </row>
    <row r="7" spans="1:8" x14ac:dyDescent="0.25">
      <c r="A7" s="13" t="s">
        <v>20</v>
      </c>
      <c r="B7" s="14" t="s">
        <v>8</v>
      </c>
      <c r="C7" s="17" t="s">
        <v>45</v>
      </c>
      <c r="D7" s="48" t="str">
        <f>IF(C7="","",IF(C7="y"," ",IF(C7="n"," ",IF(C7="yes"," ",IF(C7="no"," ","Enter 'y' or 'yes' for yes,' n ' or 'no' for no!")))))</f>
        <v xml:space="preserve"> </v>
      </c>
      <c r="G7" s="75" t="s">
        <v>54</v>
      </c>
      <c r="H7" s="75" t="s">
        <v>57</v>
      </c>
    </row>
    <row r="8" spans="1:8" x14ac:dyDescent="0.25">
      <c r="A8" s="13" t="s">
        <v>13</v>
      </c>
      <c r="B8" s="74" t="s">
        <v>55</v>
      </c>
      <c r="C8" s="73">
        <v>187</v>
      </c>
      <c r="D8" s="48" t="str">
        <f>IF(B8="inches", IF(C8="","",IF(C8&lt;48,"Enter a Value Between 48-95",IF(C8&gt;95,"Enter A Value Between 48-95"," "))), IF(B8="centimeters", IF(C8="","",IF(C8&lt;122,"Enter a Value Between 122-239",IF(C8&gt;239,"Enter A Value Between 122-239"," "))), "Please Select Unit"))</f>
        <v xml:space="preserve"> </v>
      </c>
      <c r="G8" s="75" t="s">
        <v>55</v>
      </c>
      <c r="H8" s="75" t="s">
        <v>58</v>
      </c>
    </row>
    <row r="9" spans="1:8" x14ac:dyDescent="0.25">
      <c r="A9" s="13" t="s">
        <v>41</v>
      </c>
      <c r="B9" s="74" t="s">
        <v>58</v>
      </c>
      <c r="C9" s="73">
        <v>85</v>
      </c>
      <c r="D9" s="48" t="str">
        <f>IF(B9="pounds", IF(C9="","",IF(C9&lt;70,"Enter a Value Between 70-408",IF(C9&gt;408,"Enter A Value Between 70-408"," "))), IF(B9="kilograms", IF(C9="","",IF(C9&lt;32,"Enter a Value Between 32-185",IF(C9&gt;185,"Enter A Value Between 32-185"," "))), "Please Select Unit"))</f>
        <v xml:space="preserve"> </v>
      </c>
    </row>
    <row r="10" spans="1:8" x14ac:dyDescent="0.25">
      <c r="A10" s="13" t="s">
        <v>9</v>
      </c>
      <c r="B10" s="14" t="s">
        <v>8</v>
      </c>
      <c r="C10" s="77" t="s">
        <v>51</v>
      </c>
      <c r="D10" s="48" t="str">
        <f>IF(C10="","",IF(C10="yes"," ",IF(C10="y"," ",IF(C10="no"," ",IF(C10="n"," ","ERROR - Enter yes or no!")))))</f>
        <v xml:space="preserve"> </v>
      </c>
    </row>
    <row r="11" spans="1:8" x14ac:dyDescent="0.25">
      <c r="A11" s="13" t="s">
        <v>48</v>
      </c>
      <c r="B11" s="14" t="s">
        <v>52</v>
      </c>
      <c r="C11" s="17">
        <v>120</v>
      </c>
      <c r="D11" s="48" t="str">
        <f>IF(C11="","",IF(C11&lt;71,"Enter a Value Between 71-248",IF(C11&gt;248,"Enter A Value Between 71-248"," ")))</f>
        <v xml:space="preserve"> </v>
      </c>
    </row>
    <row r="12" spans="1:8" x14ac:dyDescent="0.25">
      <c r="A12" s="13" t="s">
        <v>49</v>
      </c>
      <c r="B12" s="14" t="s">
        <v>52</v>
      </c>
      <c r="C12" s="17">
        <v>80</v>
      </c>
      <c r="D12" s="48" t="str">
        <f>IF(C12="","",IF(C12&lt;23,"Enter a Value Between 23-136",IF(C12&gt;136,"Enter A Value Between 23-136"," ")))</f>
        <v xml:space="preserve"> </v>
      </c>
    </row>
    <row r="13" spans="1:8" x14ac:dyDescent="0.25">
      <c r="A13" s="13" t="s">
        <v>14</v>
      </c>
      <c r="B13" s="14" t="s">
        <v>8</v>
      </c>
      <c r="C13" s="17" t="s">
        <v>51</v>
      </c>
      <c r="D13" s="48" t="str">
        <f>IF(C13="","",IF(C13="yes"," ",IF(C13="y"," ",IF(C13="no"," ",IF(C13="n"," ","ERROR - Enter yes or no!")))))</f>
        <v xml:space="preserve"> </v>
      </c>
    </row>
    <row r="14" spans="1:8" x14ac:dyDescent="0.25">
      <c r="A14" s="13" t="s">
        <v>10</v>
      </c>
      <c r="B14" s="14" t="s">
        <v>8</v>
      </c>
      <c r="C14" s="17" t="s">
        <v>51</v>
      </c>
      <c r="D14" s="48" t="str">
        <f>IF(C14="","",IF(C14="yes"," ",IF(C14="y"," ",IF(C14="no"," ",IF(C14="n"," ","ERROR - Enter yes or no!")))))</f>
        <v xml:space="preserve"> </v>
      </c>
    </row>
    <row r="15" spans="1:8" x14ac:dyDescent="0.25">
      <c r="A15" s="13" t="s">
        <v>46</v>
      </c>
      <c r="B15" s="14" t="s">
        <v>8</v>
      </c>
      <c r="C15" s="17" t="s">
        <v>38</v>
      </c>
      <c r="D15" s="48" t="str">
        <f>IF(C15="","",IF(C15="yes"," ",IF(C15="y"," ",IF(C15="no"," ",IF(C15="n"," ","ERROR - Enter yes or no!")))))</f>
        <v xml:space="preserve"> </v>
      </c>
    </row>
    <row r="16" spans="1:8" x14ac:dyDescent="0.25">
      <c r="A16" s="13" t="s">
        <v>47</v>
      </c>
      <c r="B16" s="14" t="s">
        <v>8</v>
      </c>
      <c r="C16" s="17" t="s">
        <v>38</v>
      </c>
      <c r="D16" s="48" t="str">
        <f>IF(C16="","",IF(C16="yes"," ",IF(C16="y"," ",IF(C16="no"," ",IF(C16="n"," ","ERROR - Enter yes or no!")))))</f>
        <v xml:space="preserve"> </v>
      </c>
    </row>
    <row r="17" spans="1:4" x14ac:dyDescent="0.25">
      <c r="A17" s="13" t="s">
        <v>50</v>
      </c>
      <c r="B17" s="14" t="s">
        <v>8</v>
      </c>
      <c r="C17" s="77" t="s">
        <v>51</v>
      </c>
      <c r="D17" s="48" t="str">
        <f>IF(C17="","",IF(C17="yes"," ",IF(C17="y"," ",IF(C17="no"," ",IF(C17="n"," ","ERROR - Enter yes or no!")))))</f>
        <v xml:space="preserve"> </v>
      </c>
    </row>
    <row r="18" spans="1:4" ht="15.75" thickBot="1" x14ac:dyDescent="0.3">
      <c r="A18" s="27" t="s">
        <v>53</v>
      </c>
      <c r="B18" s="44" t="s">
        <v>21</v>
      </c>
      <c r="C18" s="45">
        <v>150</v>
      </c>
      <c r="D18" s="49" t="str">
        <f>IF(C18="","",IF(C18&lt;56,"Enter a Value Between 56-481",IF(C18&gt;481,"Enter A Value Between 56-481"," ")))</f>
        <v xml:space="preserve"> </v>
      </c>
    </row>
    <row r="19" spans="1:4" ht="6" customHeight="1" thickBot="1" x14ac:dyDescent="0.3">
      <c r="A19" s="13"/>
      <c r="B19" s="11"/>
      <c r="C19" s="11"/>
    </row>
    <row r="20" spans="1:4" ht="21" customHeight="1" thickTop="1" x14ac:dyDescent="0.3">
      <c r="A20" s="46" t="s">
        <v>43</v>
      </c>
      <c r="B20" s="66">
        <f>IF(Sheet2!F23=0.264, "&gt;26%", Sheet2!F23)</f>
        <v>4.8146878555654915E-3</v>
      </c>
    </row>
    <row r="21" spans="1:4" ht="21" customHeight="1" x14ac:dyDescent="0.25">
      <c r="A21" s="64" t="s">
        <v>39</v>
      </c>
      <c r="B21" s="68">
        <f>IF(Sheet2!F24=0.264, "&gt;26%", Sheet2!F24)</f>
        <v>4.7213557471453838E-3</v>
      </c>
    </row>
    <row r="22" spans="1:4" ht="21" customHeight="1" thickBot="1" x14ac:dyDescent="0.3">
      <c r="A22" s="65" t="s">
        <v>40</v>
      </c>
      <c r="B22" s="69">
        <f>IF(Sheet2!F25=0.264, "&gt;26%", Sheet2!F25)</f>
        <v>4.1995554387240785E-3</v>
      </c>
    </row>
    <row r="23" spans="1:4" ht="16.5" thickTop="1" thickBot="1" x14ac:dyDescent="0.3"/>
    <row r="24" spans="1:4" ht="21.75" customHeight="1" thickTop="1" x14ac:dyDescent="0.3">
      <c r="A24" s="46" t="s">
        <v>44</v>
      </c>
      <c r="B24" s="67">
        <f>IF(Sheet2!G23=0.269, "&gt;26%", Sheet2!G23)</f>
        <v>4.8192163506431962E-3</v>
      </c>
    </row>
    <row r="25" spans="1:4" ht="20.25" customHeight="1" x14ac:dyDescent="0.25">
      <c r="A25" s="64" t="s">
        <v>39</v>
      </c>
      <c r="B25" s="70">
        <f>IF(Sheet2!G24=0.269, "&gt;26%", Sheet2!G24)</f>
        <v>4.703183428428015E-3</v>
      </c>
    </row>
    <row r="26" spans="1:4" ht="21" customHeight="1" thickBot="1" x14ac:dyDescent="0.3">
      <c r="A26" s="65" t="s">
        <v>40</v>
      </c>
      <c r="B26" s="71">
        <f>IF(Sheet2!G25=0.269, "&gt;26%", Sheet2!G25)</f>
        <v>4.2019295240164345E-3</v>
      </c>
    </row>
    <row r="27" spans="1:4" ht="15.75" thickTop="1" x14ac:dyDescent="0.25"/>
  </sheetData>
  <mergeCells count="1">
    <mergeCell ref="C2:C3"/>
  </mergeCells>
  <dataValidations xWindow="351" yWindow="356" count="2">
    <dataValidation type="list" showInputMessage="1" showErrorMessage="1" promptTitle="Select Unit" prompt="Please Select Unit of Measure" sqref="B8" xr:uid="{00000000-0002-0000-0000-000000000000}">
      <formula1>$G$6:$G$8</formula1>
    </dataValidation>
    <dataValidation type="list" showInputMessage="1" showErrorMessage="1" promptTitle="Select Unit" prompt="Please Select Unit of Measure" sqref="B9" xr:uid="{00000000-0002-0000-0000-000001000000}">
      <formula1>$H$6:$H$8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5"/>
  <sheetViews>
    <sheetView zoomScale="115" zoomScaleNormal="115" workbookViewId="0">
      <selection activeCell="G23" sqref="G23"/>
    </sheetView>
  </sheetViews>
  <sheetFormatPr baseColWidth="10" defaultColWidth="9.140625" defaultRowHeight="15" x14ac:dyDescent="0.25"/>
  <cols>
    <col min="1" max="1" width="21.42578125" customWidth="1"/>
    <col min="2" max="3" width="7.140625" customWidth="1"/>
    <col min="4" max="4" width="9" customWidth="1"/>
    <col min="5" max="5" width="12.85546875" customWidth="1"/>
    <col min="6" max="6" width="14" customWidth="1"/>
    <col min="7" max="7" width="13.5703125" customWidth="1"/>
    <col min="8" max="8" width="6.140625" customWidth="1"/>
    <col min="9" max="9" width="13.42578125" customWidth="1"/>
    <col min="10" max="10" width="12.42578125" customWidth="1"/>
    <col min="11" max="11" width="12" customWidth="1"/>
    <col min="12" max="12" width="9.28515625" customWidth="1"/>
    <col min="13" max="13" width="10" customWidth="1"/>
    <col min="14" max="14" width="9.7109375" customWidth="1"/>
    <col min="15" max="15" width="9.5703125" customWidth="1"/>
  </cols>
  <sheetData>
    <row r="1" spans="1:11" ht="15.75" thickBot="1" x14ac:dyDescent="0.3">
      <c r="A1" s="31" t="s">
        <v>29</v>
      </c>
      <c r="B1" s="32" t="s">
        <v>22</v>
      </c>
      <c r="C1" s="32"/>
      <c r="D1" s="32" t="s">
        <v>23</v>
      </c>
      <c r="E1" s="32"/>
      <c r="F1" s="33" t="s">
        <v>27</v>
      </c>
      <c r="G1" s="34" t="s">
        <v>28</v>
      </c>
      <c r="I1" s="52" t="s">
        <v>31</v>
      </c>
      <c r="J1" s="55" t="s">
        <v>32</v>
      </c>
      <c r="K1" s="55" t="s">
        <v>33</v>
      </c>
    </row>
    <row r="2" spans="1:11" ht="15.75" thickBot="1" x14ac:dyDescent="0.3">
      <c r="A2" s="19" t="s">
        <v>12</v>
      </c>
      <c r="B2" s="72">
        <f>Sheet1!C6</f>
        <v>46</v>
      </c>
      <c r="C2" s="20"/>
      <c r="D2" s="76">
        <f>IF(AND(B2&gt;=46,B2&lt;=94),B2,"")</f>
        <v>46</v>
      </c>
      <c r="E2" s="21"/>
      <c r="F2" s="22">
        <v>0.10166</v>
      </c>
      <c r="G2" s="23">
        <v>0.10025000000000001</v>
      </c>
      <c r="I2" s="50">
        <v>65.096356999999998</v>
      </c>
      <c r="J2" s="50">
        <f>D2</f>
        <v>46</v>
      </c>
      <c r="K2" s="50">
        <f>D2</f>
        <v>46</v>
      </c>
    </row>
    <row r="3" spans="1:11" ht="15.75" thickBot="1" x14ac:dyDescent="0.3">
      <c r="A3" s="13" t="s">
        <v>20</v>
      </c>
      <c r="B3" s="24" t="str">
        <f>Sheet1!C7</f>
        <v>yes</v>
      </c>
      <c r="C3" s="24" t="str">
        <f>IF(B3="yes","y",IF(B3="no","n",B3))</f>
        <v>y</v>
      </c>
      <c r="D3" s="24">
        <f>IF(C3="y",1,IF(C3="n",0,ERROR))</f>
        <v>1</v>
      </c>
      <c r="E3" s="25"/>
      <c r="F3" s="15">
        <v>0.46490999999999999</v>
      </c>
      <c r="G3" s="26">
        <v>0.48565999999999998</v>
      </c>
      <c r="I3" s="50">
        <v>0.83353089999999996</v>
      </c>
      <c r="J3" s="50">
        <f>D3</f>
        <v>1</v>
      </c>
      <c r="K3" s="50">
        <f>D3</f>
        <v>1</v>
      </c>
    </row>
    <row r="4" spans="1:11" ht="15" customHeight="1" thickBot="1" x14ac:dyDescent="0.3">
      <c r="A4" s="13" t="s">
        <v>13</v>
      </c>
      <c r="B4" s="24">
        <f>IF(Sheet1!B8="inches",(Sheet1!C8)/0.393700787,IF(Sheet1!B8="centimeters",Sheet1!C8,""))</f>
        <v>187</v>
      </c>
      <c r="C4" s="24"/>
      <c r="D4" s="76">
        <f>IF(AND(B4&gt;=121.9,B4&lt;=241.4),B4,"")</f>
        <v>187</v>
      </c>
      <c r="E4" s="25"/>
      <c r="F4" s="15">
        <v>2.478E-2</v>
      </c>
      <c r="G4" s="26">
        <v>2.435E-2</v>
      </c>
      <c r="I4" s="50">
        <v>166.65494000000001</v>
      </c>
      <c r="J4" s="50">
        <f>B4</f>
        <v>187</v>
      </c>
      <c r="K4" s="50">
        <f>B4</f>
        <v>187</v>
      </c>
    </row>
    <row r="5" spans="1:11" ht="15.75" thickBot="1" x14ac:dyDescent="0.3">
      <c r="A5" s="13" t="s">
        <v>41</v>
      </c>
      <c r="B5" s="24">
        <f>IF(Sheet1!B9="pounds",(Sheet1!C9)/2.20462262,IF(Sheet1!B9="kilograms",Sheet1!C9,""))</f>
        <v>85</v>
      </c>
      <c r="C5" s="24"/>
      <c r="D5" s="76">
        <f>IF(AND(B5&gt;=31.75,B5&lt;=185.1),B5,"")</f>
        <v>85</v>
      </c>
      <c r="E5" s="25"/>
      <c r="F5" s="15">
        <v>7.7000000000000002E-3</v>
      </c>
      <c r="G5" s="26">
        <v>8.0999999999999996E-3</v>
      </c>
      <c r="I5" s="50">
        <v>78.268133399999996</v>
      </c>
      <c r="J5" s="50">
        <f>22.5*((D4/100)^2)</f>
        <v>78.680250000000015</v>
      </c>
      <c r="K5" s="50">
        <f>21*((D4/100)^2)</f>
        <v>73.434900000000013</v>
      </c>
    </row>
    <row r="6" spans="1:11" ht="15.75" thickBot="1" x14ac:dyDescent="0.3">
      <c r="A6" s="13" t="s">
        <v>15</v>
      </c>
      <c r="B6" s="24">
        <f>Sheet1!C11</f>
        <v>120</v>
      </c>
      <c r="C6" s="24"/>
      <c r="D6" s="76">
        <f>IF(AND(B6&gt;=71,B6&lt;=248),B6,"")</f>
        <v>120</v>
      </c>
      <c r="E6" s="25"/>
      <c r="F6" s="15">
        <v>9.8600000000000007E-3</v>
      </c>
      <c r="G6" s="26">
        <v>9.2800000000000001E-3</v>
      </c>
      <c r="I6" s="50">
        <v>130.2194169</v>
      </c>
      <c r="J6" s="50">
        <v>125</v>
      </c>
      <c r="K6" s="50">
        <v>110</v>
      </c>
    </row>
    <row r="7" spans="1:11" ht="15.75" thickBot="1" x14ac:dyDescent="0.3">
      <c r="A7" s="13" t="s">
        <v>16</v>
      </c>
      <c r="B7" s="24">
        <f>Sheet1!C12</f>
        <v>80</v>
      </c>
      <c r="C7" s="24"/>
      <c r="D7" s="76">
        <f>IF(AND(B7&gt;=23,B7&lt;=136),B7,"")</f>
        <v>80</v>
      </c>
      <c r="E7" s="25"/>
      <c r="F7" s="15">
        <v>-1.013E-2</v>
      </c>
      <c r="G7" s="26">
        <v>-9.8200000000000006E-3</v>
      </c>
      <c r="I7" s="50">
        <v>71.704947200000007</v>
      </c>
      <c r="J7" s="50">
        <v>82</v>
      </c>
      <c r="K7" s="50">
        <v>75</v>
      </c>
    </row>
    <row r="8" spans="1:11" ht="15.75" thickBot="1" x14ac:dyDescent="0.3">
      <c r="A8" s="13" t="s">
        <v>9</v>
      </c>
      <c r="B8" s="24" t="str">
        <f>Sheet1!C10</f>
        <v>no</v>
      </c>
      <c r="C8" s="24"/>
      <c r="D8" s="24">
        <f>IF(OR(B8="y",B8="yes"),1,IF(OR(B8="n",B8="no"),0,ERROR))</f>
        <v>0</v>
      </c>
      <c r="E8" s="25"/>
      <c r="F8" s="15">
        <v>0.35931000000000002</v>
      </c>
      <c r="G8" s="26">
        <v>0.36464000000000002</v>
      </c>
      <c r="I8" s="50">
        <v>0.1336495</v>
      </c>
      <c r="J8" s="50">
        <v>0</v>
      </c>
      <c r="K8" s="50">
        <v>0</v>
      </c>
    </row>
    <row r="9" spans="1:11" ht="15.75" thickBot="1" x14ac:dyDescent="0.3">
      <c r="A9" s="13" t="s">
        <v>14</v>
      </c>
      <c r="B9" s="24" t="str">
        <f>Sheet1!C13</f>
        <v>no</v>
      </c>
      <c r="C9" s="24"/>
      <c r="D9" s="24">
        <f>IF(OR(B9="y",B9="yes"),1,IF(OR(B9="n",B9="no"),0,ERROR))</f>
        <v>0</v>
      </c>
      <c r="E9" s="25"/>
      <c r="F9" s="15">
        <v>0.34888999999999998</v>
      </c>
      <c r="G9" s="26">
        <v>0.34116999999999997</v>
      </c>
      <c r="I9" s="50">
        <v>0.41576849999999999</v>
      </c>
      <c r="J9" s="50">
        <v>0</v>
      </c>
      <c r="K9" s="50">
        <v>0</v>
      </c>
    </row>
    <row r="10" spans="1:11" ht="15.75" thickBot="1" x14ac:dyDescent="0.3">
      <c r="A10" s="13" t="s">
        <v>10</v>
      </c>
      <c r="B10" s="24" t="str">
        <f>Sheet1!C14</f>
        <v>no</v>
      </c>
      <c r="C10" s="24"/>
      <c r="D10" s="24">
        <f>IF(OR(B10="y",B10="yes"),1,IF(OR(B10="n",B10="no"),0,ERROR))</f>
        <v>0</v>
      </c>
      <c r="E10" s="25"/>
      <c r="F10" s="15">
        <v>0.23666000000000001</v>
      </c>
      <c r="G10" s="26">
        <v>0.24245</v>
      </c>
      <c r="I10" s="50">
        <v>0.15288860000000001</v>
      </c>
      <c r="J10" s="50">
        <v>0</v>
      </c>
      <c r="K10" s="50">
        <v>0</v>
      </c>
    </row>
    <row r="11" spans="1:11" ht="15.75" thickBot="1" x14ac:dyDescent="0.3">
      <c r="A11" s="13" t="s">
        <v>17</v>
      </c>
      <c r="B11" s="24" t="str">
        <f>Sheet1!C15</f>
        <v>n</v>
      </c>
      <c r="C11" s="24"/>
      <c r="D11" s="24">
        <f>IF(OR(B11="y",B11="yes"),1,IF(OR(B11="n",B11="no"),0,ERROR))</f>
        <v>0</v>
      </c>
      <c r="E11" s="25"/>
      <c r="F11" s="15">
        <v>0.70126999999999995</v>
      </c>
      <c r="G11" s="26">
        <v>0.67784</v>
      </c>
      <c r="I11" s="50">
        <v>3.7831400000000001E-2</v>
      </c>
      <c r="J11" s="50">
        <v>0</v>
      </c>
      <c r="K11" s="50">
        <v>0</v>
      </c>
    </row>
    <row r="12" spans="1:11" ht="15.75" thickBot="1" x14ac:dyDescent="0.3">
      <c r="A12" s="13" t="s">
        <v>18</v>
      </c>
      <c r="B12" s="24" t="str">
        <f>Sheet1!C16</f>
        <v>n</v>
      </c>
      <c r="C12" s="24"/>
      <c r="D12" s="24">
        <f>IF(OR(B12="y",B12="yes"),1,IF(OR(B12="n",B12="no"),0,ERROR))</f>
        <v>0</v>
      </c>
      <c r="E12" s="25"/>
      <c r="F12" s="15">
        <v>0.49596000000000001</v>
      </c>
      <c r="G12" s="26">
        <v>0.46864</v>
      </c>
      <c r="I12" s="50">
        <v>5.94417E-2</v>
      </c>
      <c r="J12" s="50">
        <v>0</v>
      </c>
      <c r="K12" s="50">
        <v>0</v>
      </c>
    </row>
    <row r="13" spans="1:11" ht="15.75" thickBot="1" x14ac:dyDescent="0.3">
      <c r="A13" s="13" t="s">
        <v>19</v>
      </c>
      <c r="B13" s="24" t="str">
        <f>Sheet1!C17</f>
        <v>no</v>
      </c>
      <c r="C13" s="24"/>
      <c r="D13" s="24">
        <f>IF(OR(B13="y",B13="yes"),1,IF(OR(B13="n",B13="no"),0,ERROR))</f>
        <v>0</v>
      </c>
      <c r="E13" s="25"/>
      <c r="F13" s="18">
        <v>0</v>
      </c>
      <c r="G13" s="26">
        <v>0.40083999999999997</v>
      </c>
      <c r="I13" s="50">
        <v>2.65682E-2</v>
      </c>
      <c r="J13" s="50">
        <v>0</v>
      </c>
      <c r="K13" s="50">
        <v>0</v>
      </c>
    </row>
    <row r="14" spans="1:11" ht="15.75" thickBot="1" x14ac:dyDescent="0.3">
      <c r="A14" s="13" t="s">
        <v>24</v>
      </c>
      <c r="B14" s="24">
        <f>Sheet1!C18</f>
        <v>150</v>
      </c>
      <c r="C14" s="76"/>
      <c r="D14" s="24">
        <f>IF(AND(B14&lt;120, B14 &gt;= 56),1,IF(AND(B14&gt;0,B14&lt;56),"",0))</f>
        <v>0</v>
      </c>
      <c r="E14" s="25"/>
      <c r="F14" s="18">
        <v>0</v>
      </c>
      <c r="G14" s="26">
        <v>0.64451999999999998</v>
      </c>
      <c r="I14" s="50">
        <v>1.39577E-2</v>
      </c>
      <c r="J14" s="50">
        <v>0</v>
      </c>
      <c r="K14" s="50">
        <v>0</v>
      </c>
    </row>
    <row r="15" spans="1:11" ht="15.75" thickBot="1" x14ac:dyDescent="0.3">
      <c r="A15" s="27" t="s">
        <v>25</v>
      </c>
      <c r="B15" s="28"/>
      <c r="C15" s="28"/>
      <c r="D15" s="79">
        <f>IF(AND(B14&gt;199, B14&lt;=481),1,IF(B14&gt;481,"",0))</f>
        <v>0</v>
      </c>
      <c r="E15" s="28"/>
      <c r="F15" s="29">
        <v>0</v>
      </c>
      <c r="G15" s="30">
        <v>0.11813</v>
      </c>
      <c r="I15" s="51">
        <v>0.1195301</v>
      </c>
      <c r="J15" s="51">
        <v>0</v>
      </c>
      <c r="K15" s="51">
        <v>0</v>
      </c>
    </row>
    <row r="16" spans="1:11" ht="15.75" thickBot="1" x14ac:dyDescent="0.3"/>
    <row r="17" spans="1:11" ht="15.75" thickBot="1" x14ac:dyDescent="0.3">
      <c r="A17" s="78"/>
      <c r="E17" s="35" t="s">
        <v>42</v>
      </c>
      <c r="F17" s="53">
        <f>I2*F2+I3*F3+I4*F4+I5*F5+I6*F6+I7*F7+I8*F8+I9*F9+I10*F10+I11*F11+I12*F12</f>
        <v>12.580451300512998</v>
      </c>
      <c r="G17" s="54">
        <f>I2*G2+I3*G3+I4*G4+I5*G5+I6*G6+I7*G7+I8*G8+I9*G9+I10*G10+I11*G11+I12*G12+I13*G13+I14*G14+I15*G15</f>
        <v>12.441951316175997</v>
      </c>
      <c r="I17" s="58"/>
      <c r="J17" s="57" t="s">
        <v>26</v>
      </c>
      <c r="K17" s="60" t="s">
        <v>26</v>
      </c>
    </row>
    <row r="18" spans="1:11" ht="15.75" thickBot="1" x14ac:dyDescent="0.3">
      <c r="A18" s="16"/>
      <c r="E18" s="35" t="s">
        <v>26</v>
      </c>
      <c r="F18" s="36">
        <f>D2*F2+D3*F3+D4*F4+D5*F5+D6*F6+D7*F7+D8*F8+D9*F9+D10*F10+D11*F11+D12*F12</f>
        <v>10.802430000000001</v>
      </c>
      <c r="G18" s="37">
        <f>D2*G2+D3*G3+D4*G4+D5*G5+D6*G6+D7*G7+D8*G8+D9*G9+D10*G10+D11*G11+D12*G12+D13*G13+D14*G14+D15*G15</f>
        <v>10.667109999999999</v>
      </c>
      <c r="I18" s="59" t="s">
        <v>36</v>
      </c>
      <c r="J18" s="25">
        <f>J2*F2+J3*F3+J4*F4+J5*F5+J6*F6+J7*F7+J8*F8+J9*F9+J10*F10+J11*F11+J12*F12</f>
        <v>10.782807925</v>
      </c>
      <c r="K18" s="61">
        <f>K2*F2+K3*F3+K4*F4+K5*F5+K6*F6+K7*F7+K8*F8+K9*F9+K10*F10+K11*F11+K12*F12</f>
        <v>10.66542873</v>
      </c>
    </row>
    <row r="19" spans="1:11" ht="15.75" thickBot="1" x14ac:dyDescent="0.3">
      <c r="E19" s="38" t="s">
        <v>30</v>
      </c>
      <c r="F19" s="36">
        <f>IF(OR(B2=0,B3=0,B4=0,B5=0,B6=0,B7=0,B8=0,B9=0,B10=0,B11=0,B12=0),"",1-POWER(0.9718412736,EXP(F18-F17)))</f>
        <v>4.8146878555654915E-3</v>
      </c>
      <c r="G19" s="37">
        <f>IF(OR(B2=0,B3=0,B4=0,B5=0,B6=0,B7=0,B8=0,B9=0,B10=0,B11=0,B12=0,B13=0,B14=0),"",1-POWER(0.9719033184,EXP(G18-G17)))</f>
        <v>4.8192163506431962E-3</v>
      </c>
      <c r="I19" s="59" t="s">
        <v>37</v>
      </c>
      <c r="J19" s="62">
        <f>J2*G2+J3*G3+J4*G4+J5*G5+J6*G6+J7*G7+J8*G8+J9*G9+J10*G10+J11*G11+J12*G12+J13*G13+J14*G14+J15*G15</f>
        <v>10.642680025000001</v>
      </c>
      <c r="K19" s="63">
        <f>K2*G2+K3*G3+K4*G4+K5*G5+K6*G6+K7*G7+K8*G8+K9*G9+K10*G10+K11*G11+K12*G12+K13*G13+K14*G14+K15*G15</f>
        <v>10.529732690000001</v>
      </c>
    </row>
    <row r="20" spans="1:11" ht="15.75" thickBot="1" x14ac:dyDescent="0.3">
      <c r="E20" s="56" t="s">
        <v>34</v>
      </c>
      <c r="F20" s="53">
        <f>IF(OR(B2=0,B3=0,B4=0,B5=0,B6=0,B7=0,B8=0,B9=0,B10=0,B11=0,B12=0),"",1-POWER(0.9718412736,EXP(J18-F17)))</f>
        <v>4.7213557471453838E-3</v>
      </c>
      <c r="G20" s="54">
        <f>IF(OR(B2=0,B3=0,B4=0,B5=0,B6=0,B7=0,B8=0,B9=0,B10=0,B11=0,B12=0,B13=0,B14=0),"",1-POWER(0.9719033184,EXP(J19-G17)))</f>
        <v>4.703183428428015E-3</v>
      </c>
    </row>
    <row r="21" spans="1:11" ht="15.75" thickBot="1" x14ac:dyDescent="0.3">
      <c r="E21" s="56" t="s">
        <v>35</v>
      </c>
      <c r="F21" s="53">
        <f>IF(OR(B2=0,B3=0,B4=0,B5=0,B6=0,B7=0,B8=0,B9=0,B10=0,B11=0,B12=0),"",1-POWER(0.9718412736,EXP(K18-F17)))</f>
        <v>4.1995554387240785E-3</v>
      </c>
      <c r="G21" s="54">
        <f>IF(OR(B2=0,B3=0,B4=0,B5=0,B6=0,B7=0,B8=0,B9=0,B10=0,B11=0,B12=0,B13=0,B14=0),"",1-POWER(0.9719033184,EXP(K19-G17)))</f>
        <v>4.2019295240164345E-3</v>
      </c>
      <c r="K21" s="54"/>
    </row>
    <row r="22" spans="1:11" ht="15.75" thickBot="1" x14ac:dyDescent="0.3"/>
    <row r="23" spans="1:11" ht="15.75" thickBot="1" x14ac:dyDescent="0.3">
      <c r="E23" s="56" t="s">
        <v>30</v>
      </c>
      <c r="F23" s="53">
        <f>IF(F19&gt;0.2638808, 0.264, F19)</f>
        <v>4.8146878555654915E-3</v>
      </c>
      <c r="G23" s="53">
        <f>IF(AND(G19&lt;&gt;"",G19&gt;0.2689686), 0.269, G19)</f>
        <v>4.8192163506431962E-3</v>
      </c>
    </row>
    <row r="24" spans="1:11" ht="15.75" thickBot="1" x14ac:dyDescent="0.3">
      <c r="E24" s="56" t="s">
        <v>34</v>
      </c>
      <c r="F24" s="53">
        <f>IF(F20&gt;0.2638808, 0.264, F20)</f>
        <v>4.7213557471453838E-3</v>
      </c>
      <c r="G24" s="53">
        <f>IF(AND(G20&lt;&gt;"",G20&gt;0.2689686), 0.269, G20)</f>
        <v>4.703183428428015E-3</v>
      </c>
    </row>
    <row r="25" spans="1:11" ht="15.75" thickBot="1" x14ac:dyDescent="0.3">
      <c r="E25" s="56" t="s">
        <v>35</v>
      </c>
      <c r="F25" s="53">
        <f>IF(F21&gt;0.2638808, 0.264, F21)</f>
        <v>4.1995554387240785E-3</v>
      </c>
      <c r="G25" s="53">
        <f>IF(AND(G21&lt;&gt;"",G21&gt;0.2689686), 0.269, G21)</f>
        <v>4.2019295240164345E-3</v>
      </c>
    </row>
  </sheetData>
  <sheetProtection password="882D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Philipp Goos</cp:lastModifiedBy>
  <dcterms:created xsi:type="dcterms:W3CDTF">2011-02-16T15:22:58Z</dcterms:created>
  <dcterms:modified xsi:type="dcterms:W3CDTF">2024-12-16T09:02:53Z</dcterms:modified>
</cp:coreProperties>
</file>