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slicers/slicer1.xml" ContentType="application/vnd.ms-excel.slicer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ERMES CHICLAYO\"/>
    </mc:Choice>
  </mc:AlternateContent>
  <xr:revisionPtr revIDLastSave="0" documentId="13_ncr:1_{423D6BA6-E74F-4F37-90C1-E4E738838A86}" xr6:coauthVersionLast="47" xr6:coauthVersionMax="47" xr10:uidLastSave="{00000000-0000-0000-0000-000000000000}"/>
  <bookViews>
    <workbookView xWindow="-110" yWindow="-110" windowWidth="19420" windowHeight="11500" firstSheet="23" activeTab="24" xr2:uid="{5AAD3550-FB9B-4C1F-B692-B4ED642FE72C}"/>
  </bookViews>
  <sheets>
    <sheet name="VAL 24 - 07" sheetId="5" r:id="rId1"/>
    <sheet name="VAL 30-07" sheetId="6" r:id="rId2"/>
    <sheet name="VAL 02- 08" sheetId="7" r:id="rId3"/>
    <sheet name="VAL 05-08" sheetId="8" r:id="rId4"/>
    <sheet name="VAL 07 -08" sheetId="9" r:id="rId5"/>
    <sheet name="VAL 11-08" sheetId="1" r:id="rId6"/>
    <sheet name="VAL 15 - 08" sheetId="4" r:id="rId7"/>
    <sheet name="VAL 19- 08" sheetId="17" r:id="rId8"/>
    <sheet name="VAL 26  - 08" sheetId="18" r:id="rId9"/>
    <sheet name="VAL 03- 09" sheetId="19" r:id="rId10"/>
    <sheet name="VAL 04 - 09" sheetId="23" r:id="rId11"/>
    <sheet name="VAL 11 - 09" sheetId="24" r:id="rId12"/>
    <sheet name="VAL 15 - 09" sheetId="34" r:id="rId13"/>
    <sheet name="VAL 18 - 09" sheetId="35" r:id="rId14"/>
    <sheet name="VAL 22 -09" sheetId="36" r:id="rId15"/>
    <sheet name="VAL 26 - 09" sheetId="37" r:id="rId16"/>
    <sheet name="VAL 02 - 10" sheetId="38" r:id="rId17"/>
    <sheet name="VAL 09 - 10" sheetId="39" r:id="rId18"/>
    <sheet name="VAL C - 10" sheetId="43" r:id="rId19"/>
    <sheet name="VAL D - 10" sheetId="44" r:id="rId20"/>
    <sheet name="VAL F - 10" sheetId="45" r:id="rId21"/>
    <sheet name="VL 13 - 10" sheetId="40" r:id="rId22"/>
    <sheet name="VAL 17 - 10" sheetId="41" r:id="rId23"/>
    <sheet name="VAL 20 - 10" sheetId="42" r:id="rId24"/>
    <sheet name="DATOS VAL TOTALES" sheetId="22" r:id="rId25"/>
    <sheet name="VAL-REAL" sheetId="10" r:id="rId26"/>
    <sheet name="GANACIA" sheetId="2" r:id="rId27"/>
    <sheet name="PAGO CURRIER" sheetId="46" r:id="rId28"/>
    <sheet name="R CANT. VALZ" sheetId="32" r:id="rId29"/>
    <sheet name="CLAVE" sheetId="26" r:id="rId30"/>
    <sheet name="CUADRO RESUMEN TOTAL" sheetId="15" r:id="rId31"/>
    <sheet name="Hoja2" sheetId="33" r:id="rId32"/>
    <sheet name="GRAFICO DE ACTIV." sheetId="14" r:id="rId33"/>
    <sheet name="GRAF. PUEB COOP" sheetId="21" r:id="rId34"/>
  </sheets>
  <definedNames>
    <definedName name="SegmentaciónDeDatos_LUGAR1">#N/A</definedName>
  </definedNames>
  <calcPr calcId="191029"/>
  <pivotCaches>
    <pivotCache cacheId="0" r:id="rId3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5" i="22" l="1"/>
  <c r="W36" i="22"/>
  <c r="W34" i="22"/>
  <c r="X33" i="22"/>
  <c r="X37" i="22" s="1"/>
  <c r="W33" i="22"/>
  <c r="V33" i="22"/>
  <c r="U33" i="22"/>
  <c r="U37" i="22" s="1"/>
  <c r="T33" i="22"/>
  <c r="S33" i="22"/>
  <c r="R33" i="22"/>
  <c r="Q33" i="22"/>
  <c r="X35" i="22"/>
  <c r="X36" i="22"/>
  <c r="X34" i="22"/>
  <c r="V35" i="22"/>
  <c r="V36" i="22"/>
  <c r="V34" i="22"/>
  <c r="U35" i="22"/>
  <c r="U36" i="22"/>
  <c r="U34" i="22"/>
  <c r="T35" i="22"/>
  <c r="T37" i="22" s="1"/>
  <c r="T36" i="22"/>
  <c r="T34" i="22"/>
  <c r="S35" i="22"/>
  <c r="S36" i="22"/>
  <c r="S34" i="22"/>
  <c r="R35" i="22"/>
  <c r="R36" i="22"/>
  <c r="R34" i="22"/>
  <c r="Q35" i="22"/>
  <c r="Q36" i="22"/>
  <c r="Q34" i="22"/>
  <c r="P35" i="22"/>
  <c r="P37" i="22" s="1"/>
  <c r="P36" i="22"/>
  <c r="P34" i="22"/>
  <c r="O35" i="22"/>
  <c r="O37" i="22" s="1"/>
  <c r="O36" i="22"/>
  <c r="O34" i="22"/>
  <c r="N36" i="22"/>
  <c r="N35" i="22"/>
  <c r="N34" i="22"/>
  <c r="M35" i="22"/>
  <c r="M34" i="22"/>
  <c r="M36" i="22"/>
  <c r="M22" i="22"/>
  <c r="M23" i="22"/>
  <c r="M24" i="22"/>
  <c r="M25" i="22"/>
  <c r="M26" i="22"/>
  <c r="M27" i="22"/>
  <c r="M21" i="22"/>
  <c r="D33" i="22"/>
  <c r="Q37" i="22"/>
  <c r="S37" i="22"/>
  <c r="P33" i="22"/>
  <c r="O33" i="22"/>
  <c r="N33" i="22"/>
  <c r="M33" i="22"/>
  <c r="X22" i="22"/>
  <c r="X23" i="22"/>
  <c r="X24" i="22"/>
  <c r="X25" i="22"/>
  <c r="X26" i="22"/>
  <c r="X27" i="22"/>
  <c r="X21" i="22"/>
  <c r="W22" i="22"/>
  <c r="W23" i="22"/>
  <c r="W24" i="22"/>
  <c r="W25" i="22"/>
  <c r="W26" i="22"/>
  <c r="W27" i="22"/>
  <c r="W21" i="22"/>
  <c r="V22" i="22"/>
  <c r="V23" i="22"/>
  <c r="V24" i="22"/>
  <c r="V25" i="22"/>
  <c r="V26" i="22"/>
  <c r="V27" i="22"/>
  <c r="V21" i="22"/>
  <c r="U22" i="22"/>
  <c r="U23" i="22"/>
  <c r="U24" i="22"/>
  <c r="U25" i="22"/>
  <c r="U26" i="22"/>
  <c r="U27" i="22"/>
  <c r="U21" i="22"/>
  <c r="T22" i="22"/>
  <c r="T23" i="22"/>
  <c r="T24" i="22"/>
  <c r="T25" i="22"/>
  <c r="T26" i="22"/>
  <c r="T27" i="22"/>
  <c r="T21" i="22"/>
  <c r="S22" i="22"/>
  <c r="S23" i="22"/>
  <c r="S24" i="22"/>
  <c r="S25" i="22"/>
  <c r="S26" i="22"/>
  <c r="S27" i="22"/>
  <c r="S21" i="22"/>
  <c r="R22" i="22"/>
  <c r="R23" i="22"/>
  <c r="R24" i="22"/>
  <c r="R25" i="22"/>
  <c r="R26" i="22"/>
  <c r="R27" i="22"/>
  <c r="R21" i="22"/>
  <c r="Q22" i="22"/>
  <c r="Q23" i="22"/>
  <c r="Q24" i="22"/>
  <c r="Q25" i="22"/>
  <c r="Q26" i="22"/>
  <c r="Q27" i="22"/>
  <c r="Q21" i="22"/>
  <c r="P22" i="22"/>
  <c r="P23" i="22"/>
  <c r="P24" i="22"/>
  <c r="P25" i="22"/>
  <c r="P26" i="22"/>
  <c r="P27" i="22"/>
  <c r="P21" i="22"/>
  <c r="O22" i="22"/>
  <c r="O23" i="22"/>
  <c r="O24" i="22"/>
  <c r="O25" i="22"/>
  <c r="O26" i="22"/>
  <c r="O27" i="22"/>
  <c r="O21" i="22"/>
  <c r="N22" i="22"/>
  <c r="N23" i="22"/>
  <c r="N24" i="22"/>
  <c r="N25" i="22"/>
  <c r="N26" i="22"/>
  <c r="N27" i="22"/>
  <c r="N21" i="22"/>
  <c r="J10" i="44"/>
  <c r="J10" i="43"/>
  <c r="AT8" i="22"/>
  <c r="AT9" i="22"/>
  <c r="AT10" i="22"/>
  <c r="AT11" i="22"/>
  <c r="AT12" i="22"/>
  <c r="AT13" i="22"/>
  <c r="AT7" i="22"/>
  <c r="AS8" i="22"/>
  <c r="AS9" i="22"/>
  <c r="AS10" i="22"/>
  <c r="AS11" i="22"/>
  <c r="AS12" i="22"/>
  <c r="AS13" i="22"/>
  <c r="AS7" i="22"/>
  <c r="J10" i="42"/>
  <c r="AR8" i="22"/>
  <c r="AR9" i="22"/>
  <c r="AR10" i="22"/>
  <c r="AR11" i="22"/>
  <c r="AR12" i="22"/>
  <c r="AR13" i="22"/>
  <c r="AR7" i="22"/>
  <c r="AQ8" i="22"/>
  <c r="AQ9" i="22"/>
  <c r="AQ10" i="22"/>
  <c r="AQ11" i="22"/>
  <c r="AQ12" i="22"/>
  <c r="AQ13" i="22"/>
  <c r="AQ7" i="22"/>
  <c r="J10" i="41"/>
  <c r="AP8" i="22"/>
  <c r="AP9" i="22"/>
  <c r="AP10" i="22"/>
  <c r="AP11" i="22"/>
  <c r="AP12" i="22"/>
  <c r="AP13" i="22"/>
  <c r="AP7" i="22"/>
  <c r="AO8" i="22"/>
  <c r="AO9" i="22"/>
  <c r="AO10" i="22"/>
  <c r="AO11" i="22"/>
  <c r="AO12" i="22"/>
  <c r="AO13" i="22"/>
  <c r="AO7" i="22"/>
  <c r="J10" i="40"/>
  <c r="J10" i="45"/>
  <c r="AN8" i="22"/>
  <c r="AN9" i="22"/>
  <c r="AN10" i="22"/>
  <c r="AN11" i="22"/>
  <c r="AN12" i="22"/>
  <c r="AN13" i="22"/>
  <c r="AN7" i="22"/>
  <c r="AM8" i="22"/>
  <c r="AM9" i="22"/>
  <c r="AM10" i="22"/>
  <c r="AM11" i="22"/>
  <c r="AM12" i="22"/>
  <c r="AM13" i="22"/>
  <c r="AM7" i="22"/>
  <c r="AL8" i="22"/>
  <c r="AL9" i="22"/>
  <c r="AL10" i="22"/>
  <c r="AL11" i="22"/>
  <c r="AL12" i="22"/>
  <c r="AL13" i="22"/>
  <c r="AL7" i="22"/>
  <c r="J11" i="36"/>
  <c r="J10" i="36"/>
  <c r="J10" i="37"/>
  <c r="AI12" i="22" s="1"/>
  <c r="J10" i="38"/>
  <c r="AK12" i="22" s="1"/>
  <c r="AK8" i="22"/>
  <c r="AK9" i="22"/>
  <c r="AK10" i="22"/>
  <c r="AK11" i="22"/>
  <c r="AK7" i="22"/>
  <c r="AJ8" i="22"/>
  <c r="AJ9" i="22"/>
  <c r="AJ10" i="22"/>
  <c r="AJ11" i="22"/>
  <c r="AJ12" i="22"/>
  <c r="AJ13" i="22"/>
  <c r="AJ7" i="22"/>
  <c r="AI8" i="22"/>
  <c r="AI9" i="22"/>
  <c r="AI10" i="22"/>
  <c r="AI11" i="22"/>
  <c r="AI7" i="22"/>
  <c r="AH8" i="22"/>
  <c r="AH9" i="22"/>
  <c r="AH10" i="22"/>
  <c r="AH11" i="22"/>
  <c r="AH12" i="22"/>
  <c r="AH13" i="22"/>
  <c r="AH7" i="22"/>
  <c r="AG8" i="22"/>
  <c r="AG9" i="22"/>
  <c r="AG10" i="22"/>
  <c r="AG11" i="22"/>
  <c r="AG12" i="22"/>
  <c r="AG7" i="22"/>
  <c r="AF8" i="22"/>
  <c r="AF9" i="22"/>
  <c r="AF10" i="22"/>
  <c r="AF11" i="22"/>
  <c r="AF12" i="22"/>
  <c r="AF13" i="22"/>
  <c r="AF7" i="22"/>
  <c r="AE8" i="22"/>
  <c r="AE9" i="22"/>
  <c r="AE10" i="22"/>
  <c r="AE11" i="22"/>
  <c r="AE12" i="22"/>
  <c r="AE13" i="22"/>
  <c r="AE7" i="22"/>
  <c r="AD8" i="22"/>
  <c r="AD9" i="22"/>
  <c r="AD10" i="22"/>
  <c r="AD11" i="22"/>
  <c r="AD12" i="22"/>
  <c r="AD13" i="22"/>
  <c r="AD7" i="22"/>
  <c r="AC8" i="22"/>
  <c r="AC9" i="22"/>
  <c r="AC10" i="22"/>
  <c r="AC11" i="22"/>
  <c r="AC12" i="22"/>
  <c r="AC13" i="22"/>
  <c r="AC7" i="22"/>
  <c r="J10" i="34"/>
  <c r="J9" i="34"/>
  <c r="I10" i="34"/>
  <c r="I9" i="34"/>
  <c r="J8" i="34"/>
  <c r="I8" i="34"/>
  <c r="J7" i="34"/>
  <c r="I7" i="34"/>
  <c r="J6" i="34"/>
  <c r="I6" i="34"/>
  <c r="J5" i="34"/>
  <c r="I5" i="34"/>
  <c r="I11" i="34" s="1"/>
  <c r="AB8" i="22"/>
  <c r="AB9" i="22"/>
  <c r="AB10" i="22"/>
  <c r="AB11" i="22"/>
  <c r="AB12" i="22"/>
  <c r="AB13" i="22"/>
  <c r="AB7" i="22"/>
  <c r="AA8" i="22"/>
  <c r="AA9" i="22"/>
  <c r="AA10" i="22"/>
  <c r="AA11" i="22"/>
  <c r="AA12" i="22"/>
  <c r="AA13" i="22"/>
  <c r="AA7" i="22"/>
  <c r="Z8" i="22"/>
  <c r="Z9" i="22"/>
  <c r="Z10" i="22"/>
  <c r="Z11" i="22"/>
  <c r="Z12" i="22"/>
  <c r="Z13" i="22"/>
  <c r="Z7" i="22"/>
  <c r="Y8" i="22"/>
  <c r="Y9" i="22"/>
  <c r="Y10" i="22"/>
  <c r="Y11" i="22"/>
  <c r="Y12" i="22"/>
  <c r="Y13" i="22"/>
  <c r="Y7" i="22"/>
  <c r="X8" i="22"/>
  <c r="X9" i="22"/>
  <c r="X10" i="22"/>
  <c r="X11" i="22"/>
  <c r="X12" i="22"/>
  <c r="X13" i="22"/>
  <c r="X7" i="22"/>
  <c r="W8" i="22"/>
  <c r="W9" i="22"/>
  <c r="W10" i="22"/>
  <c r="W11" i="22"/>
  <c r="W12" i="22"/>
  <c r="W13" i="22"/>
  <c r="W7" i="22"/>
  <c r="C10" i="15"/>
  <c r="X44" i="32"/>
  <c r="Z51" i="10"/>
  <c r="Z52" i="10"/>
  <c r="Z53" i="10"/>
  <c r="Z54" i="10"/>
  <c r="Z50" i="10"/>
  <c r="Z44" i="10"/>
  <c r="Z45" i="10"/>
  <c r="Z46" i="10"/>
  <c r="Z47" i="10"/>
  <c r="Z48" i="10"/>
  <c r="Z43" i="10"/>
  <c r="Z37" i="10"/>
  <c r="Z38" i="10"/>
  <c r="Z39" i="10"/>
  <c r="Z40" i="10"/>
  <c r="Z41" i="10"/>
  <c r="Z36" i="10"/>
  <c r="Z29" i="10"/>
  <c r="Z30" i="10"/>
  <c r="Z31" i="10"/>
  <c r="Z32" i="10"/>
  <c r="Z33" i="10"/>
  <c r="Z34" i="10"/>
  <c r="Z28" i="10"/>
  <c r="Z17" i="10"/>
  <c r="Z18" i="10"/>
  <c r="Z19" i="10"/>
  <c r="Z20" i="10"/>
  <c r="Z21" i="10"/>
  <c r="Z22" i="10"/>
  <c r="Z23" i="10"/>
  <c r="Z24" i="10"/>
  <c r="Z25" i="10"/>
  <c r="Z26" i="10"/>
  <c r="Z16" i="10"/>
  <c r="Z12" i="10"/>
  <c r="Z13" i="10"/>
  <c r="Z14" i="10"/>
  <c r="Z11" i="10"/>
  <c r="P5" i="41"/>
  <c r="P6" i="41"/>
  <c r="P7" i="41"/>
  <c r="P8" i="41"/>
  <c r="P9" i="41"/>
  <c r="X8" i="32" s="1"/>
  <c r="P10" i="41"/>
  <c r="X9" i="32" s="1"/>
  <c r="P11" i="41"/>
  <c r="X10" i="32" s="1"/>
  <c r="P12" i="41"/>
  <c r="X11" i="32" s="1"/>
  <c r="P13" i="41"/>
  <c r="P14" i="41"/>
  <c r="P15" i="41"/>
  <c r="P16" i="41"/>
  <c r="X15" i="32" s="1"/>
  <c r="P17" i="41"/>
  <c r="X16" i="32" s="1"/>
  <c r="P18" i="41"/>
  <c r="X17" i="32" s="1"/>
  <c r="P19" i="41"/>
  <c r="X18" i="32" s="1"/>
  <c r="P20" i="41"/>
  <c r="X19" i="32" s="1"/>
  <c r="P21" i="41"/>
  <c r="P22" i="41"/>
  <c r="P23" i="41"/>
  <c r="P24" i="41"/>
  <c r="P25" i="41"/>
  <c r="X24" i="32" s="1"/>
  <c r="P26" i="41"/>
  <c r="X25" i="32" s="1"/>
  <c r="P27" i="41"/>
  <c r="X26" i="32" s="1"/>
  <c r="P28" i="41"/>
  <c r="X27" i="32" s="1"/>
  <c r="P29" i="41"/>
  <c r="P30" i="41"/>
  <c r="P31" i="41"/>
  <c r="P32" i="41"/>
  <c r="P33" i="41"/>
  <c r="P34" i="41"/>
  <c r="X33" i="32" s="1"/>
  <c r="P35" i="41"/>
  <c r="P36" i="41"/>
  <c r="X35" i="32" s="1"/>
  <c r="P37" i="41"/>
  <c r="P38" i="41"/>
  <c r="P39" i="41"/>
  <c r="P40" i="41"/>
  <c r="P41" i="41"/>
  <c r="P42" i="41"/>
  <c r="P43" i="41"/>
  <c r="Y19" i="46"/>
  <c r="Z19" i="46"/>
  <c r="AA19" i="46"/>
  <c r="Y18" i="46"/>
  <c r="Z18" i="46"/>
  <c r="AA18" i="46"/>
  <c r="Y17" i="46"/>
  <c r="Z17" i="46"/>
  <c r="AA17" i="46"/>
  <c r="Y16" i="46"/>
  <c r="Z16" i="46"/>
  <c r="AA16" i="46"/>
  <c r="Y12" i="46"/>
  <c r="Z12" i="46"/>
  <c r="AA12" i="46"/>
  <c r="Y11" i="46"/>
  <c r="Z11" i="46"/>
  <c r="AA11" i="46"/>
  <c r="Y10" i="46"/>
  <c r="Z10" i="46"/>
  <c r="AA10" i="46"/>
  <c r="Y9" i="46"/>
  <c r="Z9" i="46"/>
  <c r="AA9" i="46"/>
  <c r="Y8" i="46"/>
  <c r="Z8" i="46"/>
  <c r="AA8" i="46"/>
  <c r="Y7" i="46"/>
  <c r="Z7" i="46"/>
  <c r="AA7" i="46"/>
  <c r="Y6" i="46"/>
  <c r="Z6" i="46"/>
  <c r="AA6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D21" i="46"/>
  <c r="E21" i="46"/>
  <c r="F21" i="46"/>
  <c r="C21" i="46"/>
  <c r="F46" i="45"/>
  <c r="F47" i="45"/>
  <c r="F48" i="45"/>
  <c r="F49" i="45"/>
  <c r="F39" i="45"/>
  <c r="F40" i="45"/>
  <c r="F41" i="45"/>
  <c r="F42" i="45"/>
  <c r="F43" i="45"/>
  <c r="AD48" i="10" s="1"/>
  <c r="F32" i="45"/>
  <c r="F33" i="45"/>
  <c r="F34" i="45"/>
  <c r="AD39" i="10" s="1"/>
  <c r="F35" i="45"/>
  <c r="AD40" i="10" s="1"/>
  <c r="F36" i="45"/>
  <c r="AD41" i="10" s="1"/>
  <c r="F24" i="45"/>
  <c r="F25" i="45"/>
  <c r="F26" i="45"/>
  <c r="F27" i="45"/>
  <c r="AD32" i="10" s="1"/>
  <c r="F28" i="45"/>
  <c r="AD33" i="10" s="1"/>
  <c r="F29" i="45"/>
  <c r="AD34" i="10" s="1"/>
  <c r="AD27" i="10" s="1"/>
  <c r="BE13" i="10" s="1"/>
  <c r="F12" i="45"/>
  <c r="F13" i="45"/>
  <c r="F14" i="45"/>
  <c r="F15" i="45"/>
  <c r="AD20" i="10" s="1"/>
  <c r="F16" i="45"/>
  <c r="AD21" i="10" s="1"/>
  <c r="F17" i="45"/>
  <c r="AD22" i="10" s="1"/>
  <c r="F18" i="45"/>
  <c r="AD23" i="10" s="1"/>
  <c r="F19" i="45"/>
  <c r="AD24" i="10" s="1"/>
  <c r="F20" i="45"/>
  <c r="F21" i="45"/>
  <c r="F7" i="45"/>
  <c r="F8" i="45"/>
  <c r="F9" i="45"/>
  <c r="F46" i="44"/>
  <c r="F47" i="44"/>
  <c r="F48" i="44"/>
  <c r="F49" i="44"/>
  <c r="F39" i="44"/>
  <c r="F40" i="44"/>
  <c r="F41" i="44"/>
  <c r="F42" i="44"/>
  <c r="AC47" i="10" s="1"/>
  <c r="F43" i="44"/>
  <c r="AC48" i="10" s="1"/>
  <c r="F32" i="44"/>
  <c r="F33" i="44"/>
  <c r="F34" i="44"/>
  <c r="F35" i="44"/>
  <c r="F36" i="44"/>
  <c r="F24" i="44"/>
  <c r="F25" i="44"/>
  <c r="F26" i="44"/>
  <c r="F27" i="44"/>
  <c r="F28" i="44"/>
  <c r="F29" i="44"/>
  <c r="F12" i="44"/>
  <c r="F13" i="44"/>
  <c r="F14" i="44"/>
  <c r="F15" i="44"/>
  <c r="AC20" i="10" s="1"/>
  <c r="F16" i="44"/>
  <c r="AC21" i="10" s="1"/>
  <c r="F17" i="44"/>
  <c r="AC22" i="10" s="1"/>
  <c r="F18" i="44"/>
  <c r="AC23" i="10" s="1"/>
  <c r="F19" i="44"/>
  <c r="AC24" i="10" s="1"/>
  <c r="F20" i="44"/>
  <c r="F21" i="44"/>
  <c r="F7" i="44"/>
  <c r="F8" i="44"/>
  <c r="F9" i="44"/>
  <c r="F46" i="43"/>
  <c r="F47" i="43"/>
  <c r="F48" i="43"/>
  <c r="F49" i="43"/>
  <c r="AB54" i="10" s="1"/>
  <c r="AB49" i="10" s="1"/>
  <c r="BC16" i="10" s="1"/>
  <c r="F39" i="43"/>
  <c r="F40" i="43"/>
  <c r="F41" i="43"/>
  <c r="F42" i="43"/>
  <c r="F43" i="43"/>
  <c r="AB48" i="10" s="1"/>
  <c r="F32" i="43"/>
  <c r="F33" i="43"/>
  <c r="F34" i="43"/>
  <c r="F35" i="43"/>
  <c r="F36" i="43"/>
  <c r="F24" i="43"/>
  <c r="F25" i="43"/>
  <c r="F26" i="43"/>
  <c r="F27" i="43"/>
  <c r="F28" i="43"/>
  <c r="F29" i="43"/>
  <c r="F12" i="43"/>
  <c r="F13" i="43"/>
  <c r="F14" i="43"/>
  <c r="F15" i="43"/>
  <c r="F16" i="43"/>
  <c r="F17" i="43"/>
  <c r="F18" i="43"/>
  <c r="F19" i="43"/>
  <c r="AB24" i="10" s="1"/>
  <c r="F20" i="43"/>
  <c r="F21" i="43"/>
  <c r="F7" i="43"/>
  <c r="F8" i="43"/>
  <c r="F9" i="43"/>
  <c r="AB14" i="10" s="1"/>
  <c r="AB10" i="10" s="1"/>
  <c r="BC11" i="10" s="1"/>
  <c r="F40" i="42"/>
  <c r="AA45" i="10" s="1"/>
  <c r="F41" i="42"/>
  <c r="AA46" i="10" s="1"/>
  <c r="F42" i="42"/>
  <c r="AA47" i="10" s="1"/>
  <c r="F36" i="42"/>
  <c r="AA41" i="10" s="1"/>
  <c r="F24" i="42"/>
  <c r="AA29" i="10" s="1"/>
  <c r="F25" i="42"/>
  <c r="AA30" i="10" s="1"/>
  <c r="F12" i="42"/>
  <c r="F13" i="42"/>
  <c r="F15" i="42"/>
  <c r="AA20" i="10" s="1"/>
  <c r="F20" i="42"/>
  <c r="AA25" i="10" s="1"/>
  <c r="F21" i="42"/>
  <c r="AA26" i="10" s="1"/>
  <c r="F7" i="42"/>
  <c r="AA12" i="10" s="1"/>
  <c r="F8" i="42"/>
  <c r="AA13" i="10" s="1"/>
  <c r="F46" i="41"/>
  <c r="F47" i="41"/>
  <c r="F48" i="41"/>
  <c r="F39" i="41"/>
  <c r="F32" i="41"/>
  <c r="F33" i="41"/>
  <c r="F27" i="41"/>
  <c r="F28" i="41"/>
  <c r="F12" i="41"/>
  <c r="F18" i="41"/>
  <c r="F20" i="41"/>
  <c r="F7" i="40"/>
  <c r="F8" i="40"/>
  <c r="F9" i="40"/>
  <c r="F12" i="40"/>
  <c r="F13" i="40"/>
  <c r="F14" i="40"/>
  <c r="F15" i="40"/>
  <c r="F16" i="40"/>
  <c r="F17" i="40"/>
  <c r="F18" i="40"/>
  <c r="F19" i="40"/>
  <c r="F20" i="40"/>
  <c r="F21" i="40"/>
  <c r="F24" i="40"/>
  <c r="F25" i="40"/>
  <c r="F26" i="40"/>
  <c r="F27" i="40"/>
  <c r="F28" i="40"/>
  <c r="F29" i="40"/>
  <c r="F32" i="40"/>
  <c r="F33" i="40"/>
  <c r="Y38" i="10" s="1"/>
  <c r="F34" i="40"/>
  <c r="F35" i="40"/>
  <c r="Y40" i="10" s="1"/>
  <c r="F39" i="40"/>
  <c r="F40" i="40"/>
  <c r="F41" i="40"/>
  <c r="F42" i="40"/>
  <c r="F43" i="40"/>
  <c r="F46" i="40"/>
  <c r="F47" i="40"/>
  <c r="F48" i="40"/>
  <c r="F49" i="40"/>
  <c r="Y51" i="10"/>
  <c r="Y49" i="10" s="1"/>
  <c r="Y52" i="10"/>
  <c r="Y53" i="10"/>
  <c r="Y54" i="10"/>
  <c r="Y50" i="10"/>
  <c r="Y37" i="10"/>
  <c r="Y35" i="10" s="1"/>
  <c r="Y39" i="10"/>
  <c r="Y41" i="10"/>
  <c r="Z44" i="32"/>
  <c r="AA44" i="32"/>
  <c r="AB44" i="32"/>
  <c r="AB4" i="32"/>
  <c r="AB5" i="32"/>
  <c r="AB6" i="32"/>
  <c r="AB7" i="32"/>
  <c r="AB8" i="32"/>
  <c r="AB9" i="32"/>
  <c r="AB10" i="32"/>
  <c r="AB11" i="32"/>
  <c r="AB12" i="32"/>
  <c r="AB13" i="32"/>
  <c r="AB14" i="32"/>
  <c r="AB15" i="32"/>
  <c r="AB16" i="32"/>
  <c r="AB17" i="32"/>
  <c r="AB18" i="32"/>
  <c r="AB19" i="32"/>
  <c r="AB20" i="32"/>
  <c r="AB21" i="32"/>
  <c r="AB22" i="32"/>
  <c r="AB23" i="32"/>
  <c r="AB24" i="32"/>
  <c r="AB25" i="32"/>
  <c r="AB26" i="32"/>
  <c r="AB27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AB41" i="32"/>
  <c r="AB42" i="32"/>
  <c r="AB43" i="32"/>
  <c r="AA4" i="32"/>
  <c r="AA5" i="32"/>
  <c r="AA6" i="32"/>
  <c r="AA7" i="32"/>
  <c r="AA8" i="32"/>
  <c r="AA9" i="32"/>
  <c r="AA10" i="32"/>
  <c r="AA11" i="32"/>
  <c r="AA12" i="32"/>
  <c r="AA13" i="32"/>
  <c r="AA14" i="32"/>
  <c r="AA15" i="32"/>
  <c r="AA16" i="32"/>
  <c r="AA17" i="32"/>
  <c r="AA18" i="32"/>
  <c r="AA19" i="32"/>
  <c r="AA20" i="32"/>
  <c r="AA21" i="32"/>
  <c r="AA22" i="32"/>
  <c r="AA23" i="32"/>
  <c r="AA24" i="32"/>
  <c r="AA25" i="32"/>
  <c r="AA26" i="32"/>
  <c r="AA27" i="32"/>
  <c r="AA28" i="32"/>
  <c r="AA29" i="32"/>
  <c r="AA30" i="32"/>
  <c r="AA31" i="32"/>
  <c r="AA32" i="32"/>
  <c r="AA33" i="32"/>
  <c r="AA34" i="32"/>
  <c r="AA35" i="32"/>
  <c r="AA36" i="32"/>
  <c r="AA37" i="32"/>
  <c r="AA38" i="32"/>
  <c r="AA39" i="32"/>
  <c r="AA40" i="32"/>
  <c r="AA41" i="32"/>
  <c r="AA42" i="32"/>
  <c r="AA43" i="32"/>
  <c r="Z4" i="32"/>
  <c r="Z5" i="32"/>
  <c r="Z6" i="32"/>
  <c r="Z7" i="32"/>
  <c r="Z8" i="32"/>
  <c r="Z9" i="32"/>
  <c r="Z10" i="32"/>
  <c r="Z11" i="32"/>
  <c r="Z12" i="32"/>
  <c r="Z13" i="32"/>
  <c r="Z14" i="32"/>
  <c r="Z15" i="32"/>
  <c r="Z16" i="32"/>
  <c r="Z17" i="32"/>
  <c r="Z18" i="32"/>
  <c r="Z19" i="32"/>
  <c r="Z20" i="32"/>
  <c r="Z21" i="32"/>
  <c r="Z22" i="32"/>
  <c r="Z23" i="32"/>
  <c r="Z24" i="32"/>
  <c r="Z25" i="32"/>
  <c r="Z26" i="32"/>
  <c r="Z27" i="32"/>
  <c r="Z28" i="32"/>
  <c r="Z29" i="32"/>
  <c r="Z30" i="32"/>
  <c r="Z31" i="32"/>
  <c r="Z32" i="32"/>
  <c r="Z33" i="32"/>
  <c r="Z34" i="32"/>
  <c r="Z35" i="32"/>
  <c r="Z36" i="32"/>
  <c r="Z37" i="32"/>
  <c r="Z38" i="32"/>
  <c r="Z39" i="32"/>
  <c r="Z40" i="32"/>
  <c r="Z41" i="32"/>
  <c r="Z42" i="32"/>
  <c r="Z43" i="32"/>
  <c r="Y5" i="32"/>
  <c r="Y10" i="32"/>
  <c r="Y11" i="32"/>
  <c r="Y13" i="32"/>
  <c r="Y18" i="32"/>
  <c r="Y19" i="32"/>
  <c r="Y21" i="32"/>
  <c r="Y27" i="32"/>
  <c r="Y28" i="32"/>
  <c r="AC28" i="32" s="1"/>
  <c r="Y35" i="32"/>
  <c r="Y36" i="32"/>
  <c r="X4" i="32"/>
  <c r="X5" i="32"/>
  <c r="X6" i="32"/>
  <c r="X7" i="32"/>
  <c r="X12" i="32"/>
  <c r="X13" i="32"/>
  <c r="X14" i="32"/>
  <c r="X20" i="32"/>
  <c r="X21" i="32"/>
  <c r="X22" i="32"/>
  <c r="X23" i="32"/>
  <c r="X28" i="32"/>
  <c r="X29" i="32"/>
  <c r="X30" i="32"/>
  <c r="X31" i="32"/>
  <c r="X32" i="32"/>
  <c r="X34" i="32"/>
  <c r="X36" i="32"/>
  <c r="X37" i="32"/>
  <c r="X38" i="32"/>
  <c r="X39" i="32"/>
  <c r="X40" i="32"/>
  <c r="X41" i="32"/>
  <c r="X42" i="32"/>
  <c r="BC11" i="2"/>
  <c r="BD11" i="2"/>
  <c r="BE11" i="2"/>
  <c r="BC10" i="2"/>
  <c r="BD10" i="2"/>
  <c r="BE10" i="2"/>
  <c r="BC9" i="2"/>
  <c r="BD9" i="2"/>
  <c r="BE9" i="2"/>
  <c r="BC8" i="2"/>
  <c r="BD8" i="2"/>
  <c r="BE8" i="2"/>
  <c r="AZ8" i="2"/>
  <c r="AD46" i="2"/>
  <c r="AD47" i="2"/>
  <c r="AD48" i="2"/>
  <c r="AD49" i="2"/>
  <c r="AC46" i="2"/>
  <c r="AC47" i="2"/>
  <c r="AC48" i="2"/>
  <c r="AC49" i="2"/>
  <c r="AB46" i="2"/>
  <c r="AB47" i="2"/>
  <c r="AB48" i="2"/>
  <c r="AB49" i="2"/>
  <c r="AA46" i="2"/>
  <c r="AA47" i="2"/>
  <c r="AA48" i="2"/>
  <c r="Z48" i="2"/>
  <c r="Z49" i="2"/>
  <c r="AD45" i="2"/>
  <c r="AC45" i="2"/>
  <c r="AB45" i="2"/>
  <c r="AA45" i="2"/>
  <c r="AD39" i="2"/>
  <c r="AD40" i="2"/>
  <c r="AD41" i="2"/>
  <c r="AD42" i="2"/>
  <c r="AD43" i="2"/>
  <c r="AC39" i="2"/>
  <c r="AC40" i="2"/>
  <c r="AC37" i="2" s="1"/>
  <c r="AC41" i="2"/>
  <c r="AC42" i="2"/>
  <c r="AC43" i="2"/>
  <c r="AB39" i="2"/>
  <c r="AB40" i="2"/>
  <c r="AB41" i="2"/>
  <c r="AB42" i="2"/>
  <c r="AB43" i="2"/>
  <c r="AB37" i="2" s="1"/>
  <c r="AA40" i="2"/>
  <c r="AD38" i="2"/>
  <c r="AC38" i="2"/>
  <c r="AB38" i="2"/>
  <c r="AA38" i="2"/>
  <c r="Z38" i="2"/>
  <c r="AD32" i="2"/>
  <c r="AD30" i="2" s="1"/>
  <c r="AD33" i="2"/>
  <c r="AD34" i="2"/>
  <c r="AD35" i="2"/>
  <c r="AD36" i="2"/>
  <c r="AC32" i="2"/>
  <c r="AC33" i="2"/>
  <c r="AC34" i="2"/>
  <c r="AC35" i="2"/>
  <c r="AC30" i="2" s="1"/>
  <c r="AC36" i="2"/>
  <c r="AB32" i="2"/>
  <c r="AB33" i="2"/>
  <c r="AB34" i="2"/>
  <c r="AB35" i="2"/>
  <c r="AB36" i="2"/>
  <c r="AA32" i="2"/>
  <c r="Z32" i="2"/>
  <c r="Z33" i="2"/>
  <c r="AD31" i="2"/>
  <c r="AC31" i="2"/>
  <c r="AB31" i="2"/>
  <c r="Z31" i="2"/>
  <c r="AB30" i="2"/>
  <c r="AD24" i="2"/>
  <c r="AD25" i="2"/>
  <c r="AD26" i="2"/>
  <c r="AD27" i="2"/>
  <c r="AD28" i="2"/>
  <c r="AD29" i="2"/>
  <c r="AC24" i="2"/>
  <c r="AC25" i="2"/>
  <c r="AC26" i="2"/>
  <c r="AC27" i="2"/>
  <c r="AC28" i="2"/>
  <c r="AC29" i="2"/>
  <c r="AB24" i="2"/>
  <c r="AB25" i="2"/>
  <c r="AB26" i="2"/>
  <c r="AB27" i="2"/>
  <c r="AB28" i="2"/>
  <c r="AB29" i="2"/>
  <c r="AA24" i="2"/>
  <c r="AA25" i="2"/>
  <c r="Z24" i="2"/>
  <c r="Z28" i="2"/>
  <c r="Z29" i="2"/>
  <c r="AD23" i="2"/>
  <c r="AC23" i="2"/>
  <c r="AB23" i="2"/>
  <c r="AD12" i="2"/>
  <c r="AD13" i="2"/>
  <c r="AD14" i="2"/>
  <c r="AD15" i="2"/>
  <c r="AD16" i="2"/>
  <c r="AD17" i="2"/>
  <c r="AD18" i="2"/>
  <c r="AD19" i="2"/>
  <c r="AD20" i="2"/>
  <c r="AD21" i="2"/>
  <c r="AC12" i="2"/>
  <c r="AC13" i="2"/>
  <c r="AC14" i="2"/>
  <c r="AC15" i="2"/>
  <c r="AC16" i="2"/>
  <c r="AC17" i="2"/>
  <c r="AC18" i="2"/>
  <c r="AC19" i="2"/>
  <c r="AC20" i="2"/>
  <c r="AC21" i="2"/>
  <c r="AB12" i="2"/>
  <c r="AB13" i="2"/>
  <c r="AB14" i="2"/>
  <c r="AB15" i="2"/>
  <c r="AB16" i="2"/>
  <c r="AB17" i="2"/>
  <c r="AB18" i="2"/>
  <c r="AB19" i="2"/>
  <c r="AB20" i="2"/>
  <c r="AB21" i="2"/>
  <c r="AA16" i="2"/>
  <c r="AA17" i="2"/>
  <c r="AA18" i="2"/>
  <c r="Z13" i="2"/>
  <c r="Z14" i="2"/>
  <c r="Z15" i="2"/>
  <c r="Z21" i="2"/>
  <c r="AD11" i="2"/>
  <c r="AC11" i="2"/>
  <c r="AB11" i="2"/>
  <c r="AD7" i="2"/>
  <c r="AD8" i="2"/>
  <c r="AD9" i="2"/>
  <c r="AC7" i="2"/>
  <c r="AC8" i="2"/>
  <c r="AC9" i="2"/>
  <c r="AB7" i="2"/>
  <c r="AB8" i="2"/>
  <c r="AB9" i="2"/>
  <c r="AA7" i="2"/>
  <c r="AA8" i="2"/>
  <c r="Z9" i="2"/>
  <c r="AD6" i="2"/>
  <c r="AC6" i="2"/>
  <c r="AB6" i="2"/>
  <c r="Z6" i="2"/>
  <c r="BE11" i="10"/>
  <c r="AD51" i="10"/>
  <c r="AD52" i="10"/>
  <c r="AD53" i="10"/>
  <c r="AD54" i="10"/>
  <c r="AC51" i="10"/>
  <c r="AC52" i="10"/>
  <c r="AC53" i="10"/>
  <c r="AC54" i="10"/>
  <c r="AB51" i="10"/>
  <c r="AB52" i="10"/>
  <c r="AB53" i="10"/>
  <c r="AD50" i="10"/>
  <c r="AC50" i="10"/>
  <c r="AB50" i="10"/>
  <c r="AD44" i="10"/>
  <c r="AD45" i="10"/>
  <c r="AD46" i="10"/>
  <c r="AD42" i="10" s="1"/>
  <c r="BE15" i="10" s="1"/>
  <c r="AD47" i="10"/>
  <c r="AC44" i="10"/>
  <c r="AC45" i="10"/>
  <c r="AC42" i="10" s="1"/>
  <c r="BD15" i="10" s="1"/>
  <c r="AC46" i="10"/>
  <c r="AB44" i="10"/>
  <c r="AB45" i="10"/>
  <c r="AB46" i="10"/>
  <c r="AB47" i="10"/>
  <c r="AD43" i="10"/>
  <c r="AC43" i="10"/>
  <c r="AB43" i="10"/>
  <c r="AD37" i="10"/>
  <c r="AD35" i="10" s="1"/>
  <c r="BE14" i="10" s="1"/>
  <c r="AD38" i="10"/>
  <c r="AC37" i="10"/>
  <c r="AC38" i="10"/>
  <c r="AC35" i="10" s="1"/>
  <c r="BD14" i="10" s="1"/>
  <c r="AC39" i="10"/>
  <c r="AC40" i="10"/>
  <c r="AC41" i="10"/>
  <c r="AB37" i="10"/>
  <c r="AB38" i="10"/>
  <c r="AB39" i="10"/>
  <c r="AB40" i="10"/>
  <c r="AB41" i="10"/>
  <c r="AD36" i="10"/>
  <c r="AC36" i="10"/>
  <c r="AB36" i="10"/>
  <c r="AD29" i="10"/>
  <c r="AD30" i="10"/>
  <c r="AD31" i="10"/>
  <c r="AC29" i="10"/>
  <c r="AC30" i="10"/>
  <c r="AC31" i="10"/>
  <c r="AC32" i="10"/>
  <c r="AC33" i="10"/>
  <c r="AC34" i="10"/>
  <c r="AB29" i="10"/>
  <c r="AB30" i="10"/>
  <c r="AB27" i="10" s="1"/>
  <c r="BC13" i="10" s="1"/>
  <c r="AB31" i="10"/>
  <c r="AB32" i="10"/>
  <c r="AB33" i="10"/>
  <c r="AB34" i="10"/>
  <c r="AD28" i="10"/>
  <c r="AC28" i="10"/>
  <c r="AC27" i="10" s="1"/>
  <c r="BD13" i="10" s="1"/>
  <c r="AB28" i="10"/>
  <c r="AD17" i="10"/>
  <c r="AD18" i="10"/>
  <c r="AD19" i="10"/>
  <c r="AD25" i="10"/>
  <c r="AD26" i="10"/>
  <c r="AC17" i="10"/>
  <c r="AC18" i="10"/>
  <c r="AC19" i="10"/>
  <c r="AC25" i="10"/>
  <c r="AC26" i="10"/>
  <c r="AB17" i="10"/>
  <c r="AB18" i="10"/>
  <c r="AB19" i="10"/>
  <c r="AB20" i="10"/>
  <c r="AB21" i="10"/>
  <c r="AB22" i="10"/>
  <c r="AB23" i="10"/>
  <c r="AB25" i="10"/>
  <c r="AB26" i="10"/>
  <c r="AD16" i="10"/>
  <c r="AC16" i="10"/>
  <c r="AB16" i="10"/>
  <c r="AD12" i="10"/>
  <c r="AD13" i="10"/>
  <c r="AD14" i="10"/>
  <c r="AD11" i="10"/>
  <c r="AC12" i="10"/>
  <c r="AC13" i="10"/>
  <c r="AC14" i="10"/>
  <c r="AC11" i="10"/>
  <c r="AB12" i="10"/>
  <c r="AB13" i="10"/>
  <c r="AB11" i="10"/>
  <c r="AD49" i="10"/>
  <c r="BE16" i="10" s="1"/>
  <c r="AD10" i="10"/>
  <c r="AA17" i="10"/>
  <c r="AA18" i="10"/>
  <c r="AC10" i="10"/>
  <c r="BD11" i="10" s="1"/>
  <c r="E49" i="45"/>
  <c r="E48" i="45"/>
  <c r="E47" i="45"/>
  <c r="E46" i="45"/>
  <c r="E45" i="45"/>
  <c r="F45" i="45" s="1"/>
  <c r="P43" i="45"/>
  <c r="E43" i="45"/>
  <c r="P42" i="45"/>
  <c r="E42" i="45"/>
  <c r="P41" i="45"/>
  <c r="E41" i="45"/>
  <c r="P40" i="45"/>
  <c r="E40" i="45"/>
  <c r="P39" i="45"/>
  <c r="E39" i="45"/>
  <c r="E37" i="45" s="1"/>
  <c r="J9" i="45" s="1"/>
  <c r="P38" i="45"/>
  <c r="F38" i="45"/>
  <c r="E38" i="45"/>
  <c r="P37" i="45"/>
  <c r="P36" i="45"/>
  <c r="E36" i="45"/>
  <c r="P35" i="45"/>
  <c r="E35" i="45"/>
  <c r="P34" i="45"/>
  <c r="E34" i="45"/>
  <c r="P33" i="45"/>
  <c r="E33" i="45"/>
  <c r="P32" i="45"/>
  <c r="E32" i="45"/>
  <c r="P31" i="45"/>
  <c r="E31" i="45"/>
  <c r="E30" i="45" s="1"/>
  <c r="J8" i="45" s="1"/>
  <c r="P30" i="45"/>
  <c r="P29" i="45"/>
  <c r="E29" i="45"/>
  <c r="P28" i="45"/>
  <c r="E28" i="45"/>
  <c r="P27" i="45"/>
  <c r="E27" i="45"/>
  <c r="P26" i="45"/>
  <c r="E26" i="45"/>
  <c r="P25" i="45"/>
  <c r="E25" i="45"/>
  <c r="P24" i="45"/>
  <c r="E24" i="45"/>
  <c r="P23" i="45"/>
  <c r="E23" i="45"/>
  <c r="E22" i="45" s="1"/>
  <c r="J7" i="45" s="1"/>
  <c r="P22" i="45"/>
  <c r="P21" i="45"/>
  <c r="E21" i="45"/>
  <c r="P20" i="45"/>
  <c r="E20" i="45"/>
  <c r="P19" i="45"/>
  <c r="E19" i="45"/>
  <c r="P18" i="45"/>
  <c r="E18" i="45"/>
  <c r="P17" i="45"/>
  <c r="E17" i="45"/>
  <c r="P16" i="45"/>
  <c r="E16" i="45"/>
  <c r="P15" i="45"/>
  <c r="E15" i="45"/>
  <c r="P14" i="45"/>
  <c r="E14" i="45"/>
  <c r="P13" i="45"/>
  <c r="E13" i="45"/>
  <c r="P12" i="45"/>
  <c r="E12" i="45"/>
  <c r="P11" i="45"/>
  <c r="E11" i="45"/>
  <c r="E10" i="45" s="1"/>
  <c r="J6" i="45" s="1"/>
  <c r="P10" i="45"/>
  <c r="P9" i="45"/>
  <c r="E9" i="45"/>
  <c r="P8" i="45"/>
  <c r="E8" i="45"/>
  <c r="P7" i="45"/>
  <c r="E7" i="45"/>
  <c r="P6" i="45"/>
  <c r="E6" i="45"/>
  <c r="E5" i="45" s="1"/>
  <c r="J5" i="45" s="1"/>
  <c r="P5" i="45"/>
  <c r="P44" i="45" s="1"/>
  <c r="E49" i="44"/>
  <c r="E48" i="44"/>
  <c r="E47" i="44"/>
  <c r="E44" i="44" s="1"/>
  <c r="E46" i="44"/>
  <c r="F45" i="44"/>
  <c r="E45" i="44"/>
  <c r="P43" i="44"/>
  <c r="E43" i="44"/>
  <c r="P42" i="44"/>
  <c r="E42" i="44"/>
  <c r="P41" i="44"/>
  <c r="E41" i="44"/>
  <c r="P40" i="44"/>
  <c r="E40" i="44"/>
  <c r="P39" i="44"/>
  <c r="E39" i="44"/>
  <c r="E37" i="44" s="1"/>
  <c r="J9" i="44" s="1"/>
  <c r="P38" i="44"/>
  <c r="F38" i="44"/>
  <c r="E38" i="44"/>
  <c r="P37" i="44"/>
  <c r="P36" i="44"/>
  <c r="E36" i="44"/>
  <c r="P35" i="44"/>
  <c r="E35" i="44"/>
  <c r="P34" i="44"/>
  <c r="E34" i="44"/>
  <c r="P33" i="44"/>
  <c r="E33" i="44"/>
  <c r="P32" i="44"/>
  <c r="E32" i="44"/>
  <c r="P31" i="44"/>
  <c r="E31" i="44"/>
  <c r="E30" i="44" s="1"/>
  <c r="J8" i="44" s="1"/>
  <c r="P30" i="44"/>
  <c r="P29" i="44"/>
  <c r="E29" i="44"/>
  <c r="P28" i="44"/>
  <c r="E28" i="44"/>
  <c r="P27" i="44"/>
  <c r="E27" i="44"/>
  <c r="P26" i="44"/>
  <c r="E26" i="44"/>
  <c r="P25" i="44"/>
  <c r="E25" i="44"/>
  <c r="P24" i="44"/>
  <c r="E24" i="44"/>
  <c r="P23" i="44"/>
  <c r="E23" i="44"/>
  <c r="E22" i="44" s="1"/>
  <c r="J7" i="44" s="1"/>
  <c r="P22" i="44"/>
  <c r="P21" i="44"/>
  <c r="E21" i="44"/>
  <c r="P20" i="44"/>
  <c r="E20" i="44"/>
  <c r="P19" i="44"/>
  <c r="E19" i="44"/>
  <c r="P18" i="44"/>
  <c r="E18" i="44"/>
  <c r="P17" i="44"/>
  <c r="E17" i="44"/>
  <c r="P16" i="44"/>
  <c r="E16" i="44"/>
  <c r="P15" i="44"/>
  <c r="E15" i="44"/>
  <c r="P14" i="44"/>
  <c r="E14" i="44"/>
  <c r="P13" i="44"/>
  <c r="E13" i="44"/>
  <c r="P12" i="44"/>
  <c r="E12" i="44"/>
  <c r="E10" i="44" s="1"/>
  <c r="J6" i="44" s="1"/>
  <c r="P11" i="44"/>
  <c r="F11" i="44"/>
  <c r="E11" i="44"/>
  <c r="P10" i="44"/>
  <c r="P9" i="44"/>
  <c r="E9" i="44"/>
  <c r="P8" i="44"/>
  <c r="E8" i="44"/>
  <c r="P7" i="44"/>
  <c r="E7" i="44"/>
  <c r="P6" i="44"/>
  <c r="E6" i="44"/>
  <c r="E5" i="44" s="1"/>
  <c r="J5" i="44" s="1"/>
  <c r="P5" i="44"/>
  <c r="P44" i="44" s="1"/>
  <c r="E49" i="43"/>
  <c r="E48" i="43"/>
  <c r="E47" i="43"/>
  <c r="E46" i="43"/>
  <c r="E45" i="43"/>
  <c r="F45" i="43" s="1"/>
  <c r="P43" i="43"/>
  <c r="E43" i="43"/>
  <c r="P42" i="43"/>
  <c r="E42" i="43"/>
  <c r="P41" i="43"/>
  <c r="E41" i="43"/>
  <c r="P40" i="43"/>
  <c r="E40" i="43"/>
  <c r="P39" i="43"/>
  <c r="E39" i="43"/>
  <c r="P38" i="43"/>
  <c r="F38" i="43"/>
  <c r="E38" i="43"/>
  <c r="P37" i="43"/>
  <c r="P36" i="43"/>
  <c r="E36" i="43"/>
  <c r="P35" i="43"/>
  <c r="E35" i="43"/>
  <c r="P34" i="43"/>
  <c r="E34" i="43"/>
  <c r="P33" i="43"/>
  <c r="E33" i="43"/>
  <c r="P32" i="43"/>
  <c r="E32" i="43"/>
  <c r="P31" i="43"/>
  <c r="E31" i="43"/>
  <c r="E30" i="43" s="1"/>
  <c r="J8" i="43" s="1"/>
  <c r="P30" i="43"/>
  <c r="P29" i="43"/>
  <c r="E29" i="43"/>
  <c r="P28" i="43"/>
  <c r="E28" i="43"/>
  <c r="P27" i="43"/>
  <c r="E27" i="43"/>
  <c r="P26" i="43"/>
  <c r="E26" i="43"/>
  <c r="P25" i="43"/>
  <c r="E25" i="43"/>
  <c r="P24" i="43"/>
  <c r="E24" i="43"/>
  <c r="P23" i="43"/>
  <c r="E23" i="43"/>
  <c r="E22" i="43" s="1"/>
  <c r="J7" i="43" s="1"/>
  <c r="P22" i="43"/>
  <c r="P21" i="43"/>
  <c r="E21" i="43"/>
  <c r="P20" i="43"/>
  <c r="E20" i="43"/>
  <c r="P19" i="43"/>
  <c r="E19" i="43"/>
  <c r="P18" i="43"/>
  <c r="E18" i="43"/>
  <c r="P17" i="43"/>
  <c r="E17" i="43"/>
  <c r="P16" i="43"/>
  <c r="E16" i="43"/>
  <c r="P15" i="43"/>
  <c r="E15" i="43"/>
  <c r="P14" i="43"/>
  <c r="E14" i="43"/>
  <c r="P13" i="43"/>
  <c r="E13" i="43"/>
  <c r="P12" i="43"/>
  <c r="E12" i="43"/>
  <c r="P11" i="43"/>
  <c r="E11" i="43"/>
  <c r="E10" i="43" s="1"/>
  <c r="J6" i="43" s="1"/>
  <c r="P10" i="43"/>
  <c r="P9" i="43"/>
  <c r="E9" i="43"/>
  <c r="P8" i="43"/>
  <c r="E8" i="43"/>
  <c r="P7" i="43"/>
  <c r="E7" i="43"/>
  <c r="P6" i="43"/>
  <c r="E6" i="43"/>
  <c r="E5" i="43" s="1"/>
  <c r="J5" i="43" s="1"/>
  <c r="P5" i="43"/>
  <c r="P44" i="43" s="1"/>
  <c r="E49" i="42"/>
  <c r="AA49" i="2" s="1"/>
  <c r="E48" i="42"/>
  <c r="F48" i="42" s="1"/>
  <c r="AA53" i="10" s="1"/>
  <c r="E47" i="42"/>
  <c r="F47" i="42" s="1"/>
  <c r="AA52" i="10" s="1"/>
  <c r="E46" i="42"/>
  <c r="F46" i="42" s="1"/>
  <c r="AA51" i="10" s="1"/>
  <c r="E45" i="42"/>
  <c r="F45" i="42" s="1"/>
  <c r="AA50" i="10" s="1"/>
  <c r="P43" i="42"/>
  <c r="Y42" i="32" s="1"/>
  <c r="E43" i="42"/>
  <c r="F43" i="42" s="1"/>
  <c r="AA48" i="10" s="1"/>
  <c r="P42" i="42"/>
  <c r="Y41" i="32" s="1"/>
  <c r="E42" i="42"/>
  <c r="AA42" i="2" s="1"/>
  <c r="P41" i="42"/>
  <c r="Y40" i="32" s="1"/>
  <c r="E41" i="42"/>
  <c r="AA41" i="2" s="1"/>
  <c r="P40" i="42"/>
  <c r="Y39" i="32" s="1"/>
  <c r="E40" i="42"/>
  <c r="P39" i="42"/>
  <c r="Y38" i="32" s="1"/>
  <c r="E39" i="42"/>
  <c r="E37" i="42" s="1"/>
  <c r="J9" i="42" s="1"/>
  <c r="P38" i="42"/>
  <c r="Y37" i="32" s="1"/>
  <c r="E38" i="42"/>
  <c r="F38" i="42" s="1"/>
  <c r="AA43" i="10" s="1"/>
  <c r="P37" i="42"/>
  <c r="P36" i="42"/>
  <c r="E36" i="42"/>
  <c r="AA36" i="2" s="1"/>
  <c r="P35" i="42"/>
  <c r="Y34" i="32" s="1"/>
  <c r="E35" i="42"/>
  <c r="F35" i="42" s="1"/>
  <c r="AA40" i="10" s="1"/>
  <c r="P34" i="42"/>
  <c r="Y33" i="32" s="1"/>
  <c r="E34" i="42"/>
  <c r="AA34" i="2" s="1"/>
  <c r="P33" i="42"/>
  <c r="Y32" i="32" s="1"/>
  <c r="E33" i="42"/>
  <c r="AA33" i="2" s="1"/>
  <c r="P32" i="42"/>
  <c r="Y31" i="32" s="1"/>
  <c r="E32" i="42"/>
  <c r="F32" i="42" s="1"/>
  <c r="AA37" i="10" s="1"/>
  <c r="P31" i="42"/>
  <c r="Y30" i="32" s="1"/>
  <c r="E31" i="42"/>
  <c r="AA31" i="2" s="1"/>
  <c r="P30" i="42"/>
  <c r="Y29" i="32" s="1"/>
  <c r="P29" i="42"/>
  <c r="E29" i="42"/>
  <c r="F29" i="42" s="1"/>
  <c r="AA34" i="10" s="1"/>
  <c r="P28" i="42"/>
  <c r="E28" i="42"/>
  <c r="F28" i="42" s="1"/>
  <c r="AA33" i="10" s="1"/>
  <c r="P27" i="42"/>
  <c r="Y26" i="32" s="1"/>
  <c r="E27" i="42"/>
  <c r="F27" i="42" s="1"/>
  <c r="AA32" i="10" s="1"/>
  <c r="P26" i="42"/>
  <c r="Y25" i="32" s="1"/>
  <c r="E26" i="42"/>
  <c r="F26" i="42" s="1"/>
  <c r="AA31" i="10" s="1"/>
  <c r="P25" i="42"/>
  <c r="Y24" i="32" s="1"/>
  <c r="E25" i="42"/>
  <c r="P24" i="42"/>
  <c r="Y23" i="32" s="1"/>
  <c r="E24" i="42"/>
  <c r="P23" i="42"/>
  <c r="Y22" i="32" s="1"/>
  <c r="E23" i="42"/>
  <c r="P22" i="42"/>
  <c r="P21" i="42"/>
  <c r="Y20" i="32" s="1"/>
  <c r="E21" i="42"/>
  <c r="AA21" i="2" s="1"/>
  <c r="P20" i="42"/>
  <c r="E20" i="42"/>
  <c r="AA20" i="2" s="1"/>
  <c r="P19" i="42"/>
  <c r="E19" i="42"/>
  <c r="AA19" i="2" s="1"/>
  <c r="P18" i="42"/>
  <c r="Y17" i="32" s="1"/>
  <c r="E18" i="42"/>
  <c r="F18" i="42" s="1"/>
  <c r="AA23" i="10" s="1"/>
  <c r="P17" i="42"/>
  <c r="Y16" i="32" s="1"/>
  <c r="E17" i="42"/>
  <c r="F17" i="42" s="1"/>
  <c r="AA22" i="10" s="1"/>
  <c r="P16" i="42"/>
  <c r="Y15" i="32" s="1"/>
  <c r="E16" i="42"/>
  <c r="F16" i="42" s="1"/>
  <c r="AA21" i="10" s="1"/>
  <c r="P15" i="42"/>
  <c r="Y14" i="32" s="1"/>
  <c r="E15" i="42"/>
  <c r="AA15" i="2" s="1"/>
  <c r="P14" i="42"/>
  <c r="E14" i="42"/>
  <c r="AA14" i="2" s="1"/>
  <c r="P13" i="42"/>
  <c r="Y12" i="32" s="1"/>
  <c r="E13" i="42"/>
  <c r="AA13" i="2" s="1"/>
  <c r="P12" i="42"/>
  <c r="E12" i="42"/>
  <c r="AA12" i="2" s="1"/>
  <c r="P11" i="42"/>
  <c r="E11" i="42"/>
  <c r="AA11" i="2" s="1"/>
  <c r="P10" i="42"/>
  <c r="Y9" i="32" s="1"/>
  <c r="P9" i="42"/>
  <c r="Y8" i="32" s="1"/>
  <c r="E9" i="42"/>
  <c r="F9" i="42" s="1"/>
  <c r="AA14" i="10" s="1"/>
  <c r="P8" i="42"/>
  <c r="Y7" i="32" s="1"/>
  <c r="E8" i="42"/>
  <c r="P7" i="42"/>
  <c r="Y6" i="32" s="1"/>
  <c r="E7" i="42"/>
  <c r="P6" i="42"/>
  <c r="E6" i="42"/>
  <c r="AA6" i="2" s="1"/>
  <c r="P5" i="42"/>
  <c r="E49" i="41"/>
  <c r="E48" i="41"/>
  <c r="E47" i="41"/>
  <c r="E46" i="41"/>
  <c r="Z46" i="2" s="1"/>
  <c r="E45" i="41"/>
  <c r="F45" i="41" s="1"/>
  <c r="E43" i="41"/>
  <c r="E42" i="41"/>
  <c r="Z42" i="2" s="1"/>
  <c r="E41" i="41"/>
  <c r="Z41" i="2" s="1"/>
  <c r="E40" i="41"/>
  <c r="F40" i="41" s="1"/>
  <c r="E39" i="41"/>
  <c r="Z39" i="2" s="1"/>
  <c r="F38" i="41"/>
  <c r="E38" i="41"/>
  <c r="E36" i="41"/>
  <c r="F36" i="41" s="1"/>
  <c r="E35" i="41"/>
  <c r="E34" i="41"/>
  <c r="E33" i="41"/>
  <c r="E32" i="41"/>
  <c r="E31" i="41"/>
  <c r="E29" i="41"/>
  <c r="E28" i="41"/>
  <c r="E27" i="41"/>
  <c r="Z27" i="2" s="1"/>
  <c r="E26" i="41"/>
  <c r="Z26" i="2" s="1"/>
  <c r="E25" i="41"/>
  <c r="Z25" i="2" s="1"/>
  <c r="E24" i="41"/>
  <c r="F24" i="41" s="1"/>
  <c r="E23" i="41"/>
  <c r="Z23" i="2" s="1"/>
  <c r="E21" i="41"/>
  <c r="F21" i="41" s="1"/>
  <c r="E20" i="41"/>
  <c r="E19" i="41"/>
  <c r="E18" i="41"/>
  <c r="Z18" i="2" s="1"/>
  <c r="E17" i="41"/>
  <c r="F17" i="41" s="1"/>
  <c r="E16" i="41"/>
  <c r="F16" i="41" s="1"/>
  <c r="E15" i="41"/>
  <c r="F15" i="41" s="1"/>
  <c r="E14" i="41"/>
  <c r="F14" i="41" s="1"/>
  <c r="E13" i="41"/>
  <c r="F13" i="41" s="1"/>
  <c r="E12" i="41"/>
  <c r="E11" i="41"/>
  <c r="Z11" i="2" s="1"/>
  <c r="E9" i="41"/>
  <c r="F9" i="41" s="1"/>
  <c r="E8" i="41"/>
  <c r="F8" i="41" s="1"/>
  <c r="E7" i="41"/>
  <c r="F7" i="41" s="1"/>
  <c r="E6" i="41"/>
  <c r="F6" i="41" s="1"/>
  <c r="X46" i="2"/>
  <c r="X47" i="2"/>
  <c r="X48" i="2"/>
  <c r="X49" i="2"/>
  <c r="X39" i="2"/>
  <c r="X40" i="2"/>
  <c r="X41" i="2"/>
  <c r="X42" i="2"/>
  <c r="X43" i="2"/>
  <c r="X32" i="2"/>
  <c r="X33" i="2"/>
  <c r="X34" i="2"/>
  <c r="X35" i="2"/>
  <c r="X36" i="2"/>
  <c r="X24" i="2"/>
  <c r="X25" i="2"/>
  <c r="X26" i="2"/>
  <c r="X27" i="2"/>
  <c r="X28" i="2"/>
  <c r="X29" i="2"/>
  <c r="X7" i="2"/>
  <c r="X8" i="2"/>
  <c r="X9" i="2"/>
  <c r="X12" i="2"/>
  <c r="X13" i="2"/>
  <c r="X14" i="2"/>
  <c r="X15" i="2"/>
  <c r="X16" i="2"/>
  <c r="X17" i="2"/>
  <c r="X18" i="2"/>
  <c r="X19" i="2"/>
  <c r="X20" i="2"/>
  <c r="X21" i="2"/>
  <c r="X37" i="10"/>
  <c r="X38" i="10"/>
  <c r="X39" i="10"/>
  <c r="X40" i="10"/>
  <c r="X41" i="10"/>
  <c r="X36" i="10"/>
  <c r="X11" i="10"/>
  <c r="I8" i="15"/>
  <c r="X45" i="2"/>
  <c r="V39" i="2"/>
  <c r="V40" i="2"/>
  <c r="V41" i="2"/>
  <c r="V42" i="2"/>
  <c r="V43" i="2"/>
  <c r="V38" i="2"/>
  <c r="W46" i="2"/>
  <c r="W47" i="2"/>
  <c r="W48" i="2"/>
  <c r="W49" i="2"/>
  <c r="W39" i="2"/>
  <c r="W40" i="2"/>
  <c r="W41" i="2"/>
  <c r="W42" i="2"/>
  <c r="W43" i="2"/>
  <c r="W32" i="2"/>
  <c r="W33" i="2"/>
  <c r="W34" i="2"/>
  <c r="W35" i="2"/>
  <c r="W36" i="2"/>
  <c r="W24" i="2"/>
  <c r="W25" i="2"/>
  <c r="W26" i="2"/>
  <c r="W27" i="2"/>
  <c r="W28" i="2"/>
  <c r="W29" i="2"/>
  <c r="W7" i="2"/>
  <c r="W8" i="2"/>
  <c r="W9" i="2"/>
  <c r="W12" i="2"/>
  <c r="W13" i="2"/>
  <c r="W14" i="2"/>
  <c r="W15" i="2"/>
  <c r="W16" i="2"/>
  <c r="W17" i="2"/>
  <c r="W18" i="2"/>
  <c r="W19" i="2"/>
  <c r="W20" i="2"/>
  <c r="W21" i="2"/>
  <c r="V46" i="2"/>
  <c r="V47" i="2"/>
  <c r="V48" i="2"/>
  <c r="V49" i="2"/>
  <c r="V45" i="2"/>
  <c r="W45" i="2"/>
  <c r="W38" i="2"/>
  <c r="W37" i="10"/>
  <c r="W38" i="10"/>
  <c r="W39" i="10"/>
  <c r="W40" i="10"/>
  <c r="W41" i="10"/>
  <c r="W36" i="10"/>
  <c r="V37" i="10"/>
  <c r="V38" i="10"/>
  <c r="V39" i="10"/>
  <c r="V40" i="10"/>
  <c r="V41" i="10"/>
  <c r="U11" i="10"/>
  <c r="U46" i="2"/>
  <c r="U47" i="2"/>
  <c r="U48" i="2"/>
  <c r="U49" i="2"/>
  <c r="U39" i="2"/>
  <c r="U40" i="2"/>
  <c r="U41" i="2"/>
  <c r="U42" i="2"/>
  <c r="U43" i="2"/>
  <c r="U32" i="2"/>
  <c r="U33" i="2"/>
  <c r="U34" i="2"/>
  <c r="U35" i="2"/>
  <c r="U36" i="2"/>
  <c r="U24" i="2"/>
  <c r="U25" i="2"/>
  <c r="U26" i="2"/>
  <c r="U27" i="2"/>
  <c r="U28" i="2"/>
  <c r="U29" i="2"/>
  <c r="U12" i="2"/>
  <c r="U13" i="2"/>
  <c r="U14" i="2"/>
  <c r="U15" i="2"/>
  <c r="U16" i="2"/>
  <c r="U17" i="2"/>
  <c r="U18" i="2"/>
  <c r="U19" i="2"/>
  <c r="U20" i="2"/>
  <c r="U21" i="2"/>
  <c r="U7" i="2"/>
  <c r="U8" i="2"/>
  <c r="U9" i="2"/>
  <c r="X46" i="10"/>
  <c r="W46" i="10"/>
  <c r="W47" i="10"/>
  <c r="V45" i="10"/>
  <c r="U37" i="10"/>
  <c r="U38" i="10"/>
  <c r="U39" i="10"/>
  <c r="U40" i="10"/>
  <c r="U41" i="10"/>
  <c r="W41" i="32"/>
  <c r="V12" i="32"/>
  <c r="V13" i="32"/>
  <c r="V15" i="32"/>
  <c r="V17" i="32"/>
  <c r="V19" i="32"/>
  <c r="V23" i="32"/>
  <c r="V25" i="32"/>
  <c r="V27" i="32"/>
  <c r="V29" i="32"/>
  <c r="V31" i="32"/>
  <c r="V37" i="32"/>
  <c r="V39" i="32"/>
  <c r="U5" i="32"/>
  <c r="U6" i="32"/>
  <c r="U10" i="32"/>
  <c r="U11" i="32"/>
  <c r="U14" i="32"/>
  <c r="U16" i="32"/>
  <c r="U18" i="32"/>
  <c r="U19" i="32"/>
  <c r="U22" i="32"/>
  <c r="U24" i="32"/>
  <c r="U26" i="32"/>
  <c r="U27" i="32"/>
  <c r="U30" i="32"/>
  <c r="U32" i="32"/>
  <c r="U34" i="32"/>
  <c r="U35" i="32"/>
  <c r="U37" i="32"/>
  <c r="T9" i="32"/>
  <c r="T10" i="32"/>
  <c r="T12" i="32"/>
  <c r="T13" i="32"/>
  <c r="T17" i="32"/>
  <c r="T18" i="32"/>
  <c r="T20" i="32"/>
  <c r="T21" i="32"/>
  <c r="T25" i="32"/>
  <c r="T26" i="32"/>
  <c r="T28" i="32"/>
  <c r="T29" i="32"/>
  <c r="T33" i="32"/>
  <c r="T34" i="32"/>
  <c r="T36" i="32"/>
  <c r="T37" i="32"/>
  <c r="T41" i="32"/>
  <c r="T42" i="32"/>
  <c r="S14" i="32"/>
  <c r="S19" i="32"/>
  <c r="S21" i="32"/>
  <c r="S22" i="32"/>
  <c r="S27" i="32"/>
  <c r="S29" i="32"/>
  <c r="S30" i="32"/>
  <c r="S33" i="32"/>
  <c r="S35" i="32"/>
  <c r="S38" i="32"/>
  <c r="S4" i="32"/>
  <c r="U6" i="2"/>
  <c r="T12" i="2"/>
  <c r="V11" i="2"/>
  <c r="T46" i="2"/>
  <c r="T47" i="2"/>
  <c r="T48" i="2"/>
  <c r="T49" i="2"/>
  <c r="T39" i="2"/>
  <c r="T40" i="2"/>
  <c r="T41" i="2"/>
  <c r="T42" i="2"/>
  <c r="T43" i="2"/>
  <c r="T32" i="2"/>
  <c r="T33" i="2"/>
  <c r="T34" i="2"/>
  <c r="T35" i="2"/>
  <c r="T36" i="2"/>
  <c r="T24" i="2"/>
  <c r="T25" i="2"/>
  <c r="T26" i="2"/>
  <c r="T27" i="2"/>
  <c r="T28" i="2"/>
  <c r="T29" i="2"/>
  <c r="T13" i="2"/>
  <c r="T14" i="2"/>
  <c r="T15" i="2"/>
  <c r="T16" i="2"/>
  <c r="T17" i="2"/>
  <c r="T18" i="2"/>
  <c r="T19" i="2"/>
  <c r="T20" i="2"/>
  <c r="T21" i="2"/>
  <c r="T7" i="2"/>
  <c r="T8" i="2"/>
  <c r="T9" i="2"/>
  <c r="E49" i="36"/>
  <c r="F49" i="36" s="1"/>
  <c r="U54" i="10" s="1"/>
  <c r="E48" i="36"/>
  <c r="F48" i="36" s="1"/>
  <c r="U53" i="10" s="1"/>
  <c r="E47" i="36"/>
  <c r="E46" i="36"/>
  <c r="F46" i="36" s="1"/>
  <c r="U51" i="10" s="1"/>
  <c r="E45" i="36"/>
  <c r="F45" i="36" s="1"/>
  <c r="P43" i="36"/>
  <c r="S42" i="32" s="1"/>
  <c r="E43" i="36"/>
  <c r="F43" i="36" s="1"/>
  <c r="U48" i="10" s="1"/>
  <c r="P42" i="36"/>
  <c r="S41" i="32" s="1"/>
  <c r="E42" i="36"/>
  <c r="P41" i="36"/>
  <c r="S40" i="32" s="1"/>
  <c r="E41" i="36"/>
  <c r="P40" i="36"/>
  <c r="S39" i="32" s="1"/>
  <c r="E40" i="36"/>
  <c r="F40" i="36" s="1"/>
  <c r="U45" i="10" s="1"/>
  <c r="P39" i="36"/>
  <c r="E39" i="36"/>
  <c r="P38" i="36"/>
  <c r="S37" i="32" s="1"/>
  <c r="E38" i="36"/>
  <c r="F38" i="36" s="1"/>
  <c r="P37" i="36"/>
  <c r="S36" i="32" s="1"/>
  <c r="P36" i="36"/>
  <c r="E36" i="36"/>
  <c r="F36" i="36" s="1"/>
  <c r="P35" i="36"/>
  <c r="S34" i="32" s="1"/>
  <c r="E35" i="36"/>
  <c r="F35" i="36" s="1"/>
  <c r="P34" i="36"/>
  <c r="E34" i="36"/>
  <c r="F34" i="36" s="1"/>
  <c r="P33" i="36"/>
  <c r="S32" i="32" s="1"/>
  <c r="E33" i="36"/>
  <c r="P32" i="36"/>
  <c r="S31" i="32" s="1"/>
  <c r="E32" i="36"/>
  <c r="F32" i="36" s="1"/>
  <c r="P31" i="36"/>
  <c r="E31" i="36"/>
  <c r="U31" i="2" s="1"/>
  <c r="P30" i="36"/>
  <c r="P29" i="36"/>
  <c r="S28" i="32" s="1"/>
  <c r="E29" i="36"/>
  <c r="F29" i="36" s="1"/>
  <c r="U34" i="10" s="1"/>
  <c r="P28" i="36"/>
  <c r="E28" i="36"/>
  <c r="F28" i="36" s="1"/>
  <c r="U33" i="10" s="1"/>
  <c r="P27" i="36"/>
  <c r="S26" i="32" s="1"/>
  <c r="E27" i="36"/>
  <c r="F27" i="36" s="1"/>
  <c r="U32" i="10" s="1"/>
  <c r="P26" i="36"/>
  <c r="S25" i="32" s="1"/>
  <c r="F26" i="36"/>
  <c r="U31" i="10" s="1"/>
  <c r="E26" i="36"/>
  <c r="P25" i="36"/>
  <c r="S24" i="32" s="1"/>
  <c r="E25" i="36"/>
  <c r="F25" i="36" s="1"/>
  <c r="U30" i="10" s="1"/>
  <c r="P24" i="36"/>
  <c r="S23" i="32" s="1"/>
  <c r="E24" i="36"/>
  <c r="F24" i="36" s="1"/>
  <c r="U29" i="10" s="1"/>
  <c r="P23" i="36"/>
  <c r="E23" i="36"/>
  <c r="U23" i="2" s="1"/>
  <c r="P22" i="36"/>
  <c r="P21" i="36"/>
  <c r="S20" i="32" s="1"/>
  <c r="E21" i="36"/>
  <c r="F21" i="36" s="1"/>
  <c r="U26" i="10" s="1"/>
  <c r="P20" i="36"/>
  <c r="E20" i="36"/>
  <c r="F20" i="36" s="1"/>
  <c r="U25" i="10" s="1"/>
  <c r="P19" i="36"/>
  <c r="S18" i="32" s="1"/>
  <c r="E19" i="36"/>
  <c r="F19" i="36" s="1"/>
  <c r="U24" i="10" s="1"/>
  <c r="P18" i="36"/>
  <c r="S17" i="32" s="1"/>
  <c r="E18" i="36"/>
  <c r="F18" i="36" s="1"/>
  <c r="U23" i="10" s="1"/>
  <c r="P17" i="36"/>
  <c r="S16" i="32" s="1"/>
  <c r="E17" i="36"/>
  <c r="P16" i="36"/>
  <c r="S15" i="32" s="1"/>
  <c r="E16" i="36"/>
  <c r="F16" i="36" s="1"/>
  <c r="U21" i="10" s="1"/>
  <c r="P15" i="36"/>
  <c r="E15" i="36"/>
  <c r="F15" i="36" s="1"/>
  <c r="U20" i="10" s="1"/>
  <c r="P14" i="36"/>
  <c r="S13" i="32" s="1"/>
  <c r="E14" i="36"/>
  <c r="F14" i="36" s="1"/>
  <c r="U19" i="10" s="1"/>
  <c r="P13" i="36"/>
  <c r="S12" i="32" s="1"/>
  <c r="E13" i="36"/>
  <c r="F13" i="36" s="1"/>
  <c r="U18" i="10" s="1"/>
  <c r="P12" i="36"/>
  <c r="S11" i="32" s="1"/>
  <c r="E12" i="36"/>
  <c r="F12" i="36" s="1"/>
  <c r="U17" i="10" s="1"/>
  <c r="P11" i="36"/>
  <c r="S10" i="32" s="1"/>
  <c r="E11" i="36"/>
  <c r="U11" i="2" s="1"/>
  <c r="P10" i="36"/>
  <c r="S9" i="32" s="1"/>
  <c r="P9" i="36"/>
  <c r="S8" i="32" s="1"/>
  <c r="E9" i="36"/>
  <c r="P8" i="36"/>
  <c r="S7" i="32" s="1"/>
  <c r="E8" i="36"/>
  <c r="F8" i="36" s="1"/>
  <c r="U13" i="10" s="1"/>
  <c r="P7" i="36"/>
  <c r="S6" i="32" s="1"/>
  <c r="E7" i="36"/>
  <c r="F7" i="36" s="1"/>
  <c r="U12" i="10" s="1"/>
  <c r="P6" i="36"/>
  <c r="S5" i="32" s="1"/>
  <c r="E6" i="36"/>
  <c r="P5" i="36"/>
  <c r="P44" i="32"/>
  <c r="E49" i="40"/>
  <c r="E48" i="40"/>
  <c r="E47" i="40"/>
  <c r="E46" i="40"/>
  <c r="E45" i="40"/>
  <c r="F45" i="40" s="1"/>
  <c r="P43" i="40"/>
  <c r="W42" i="32" s="1"/>
  <c r="E43" i="40"/>
  <c r="P42" i="40"/>
  <c r="E42" i="40"/>
  <c r="P41" i="40"/>
  <c r="W40" i="32" s="1"/>
  <c r="E41" i="40"/>
  <c r="Y41" i="2" s="1"/>
  <c r="P40" i="40"/>
  <c r="W39" i="32" s="1"/>
  <c r="E40" i="40"/>
  <c r="Y45" i="10" s="1"/>
  <c r="P39" i="40"/>
  <c r="W38" i="32" s="1"/>
  <c r="E39" i="40"/>
  <c r="Y44" i="10" s="1"/>
  <c r="P38" i="40"/>
  <c r="W37" i="32" s="1"/>
  <c r="E38" i="40"/>
  <c r="F38" i="40" s="1"/>
  <c r="Y43" i="10" s="1"/>
  <c r="P37" i="40"/>
  <c r="W36" i="32" s="1"/>
  <c r="P36" i="40"/>
  <c r="W35" i="32" s="1"/>
  <c r="E36" i="40"/>
  <c r="F36" i="40" s="1"/>
  <c r="P35" i="40"/>
  <c r="W34" i="32" s="1"/>
  <c r="E35" i="40"/>
  <c r="P34" i="40"/>
  <c r="W33" i="32" s="1"/>
  <c r="E34" i="40"/>
  <c r="P33" i="40"/>
  <c r="W32" i="32" s="1"/>
  <c r="E33" i="40"/>
  <c r="Y33" i="2" s="1"/>
  <c r="P32" i="40"/>
  <c r="W31" i="32" s="1"/>
  <c r="E32" i="40"/>
  <c r="P31" i="40"/>
  <c r="W30" i="32" s="1"/>
  <c r="E31" i="40"/>
  <c r="P30" i="40"/>
  <c r="W29" i="32" s="1"/>
  <c r="P29" i="40"/>
  <c r="W28" i="32" s="1"/>
  <c r="E29" i="40"/>
  <c r="P28" i="40"/>
  <c r="W27" i="32" s="1"/>
  <c r="E28" i="40"/>
  <c r="P27" i="40"/>
  <c r="W26" i="32" s="1"/>
  <c r="E27" i="40"/>
  <c r="Y32" i="10" s="1"/>
  <c r="P26" i="40"/>
  <c r="W25" i="32" s="1"/>
  <c r="Y31" i="10"/>
  <c r="E26" i="40"/>
  <c r="P25" i="40"/>
  <c r="W24" i="32" s="1"/>
  <c r="E25" i="40"/>
  <c r="Y30" i="10" s="1"/>
  <c r="P24" i="40"/>
  <c r="W23" i="32" s="1"/>
  <c r="E24" i="40"/>
  <c r="Y29" i="10" s="1"/>
  <c r="P23" i="40"/>
  <c r="W22" i="32" s="1"/>
  <c r="E23" i="40"/>
  <c r="P22" i="40"/>
  <c r="W21" i="32" s="1"/>
  <c r="P21" i="40"/>
  <c r="W20" i="32" s="1"/>
  <c r="E21" i="40"/>
  <c r="P20" i="40"/>
  <c r="W19" i="32" s="1"/>
  <c r="E20" i="40"/>
  <c r="Y25" i="10" s="1"/>
  <c r="P19" i="40"/>
  <c r="W18" i="32" s="1"/>
  <c r="E19" i="40"/>
  <c r="Y24" i="10" s="1"/>
  <c r="P18" i="40"/>
  <c r="W17" i="32" s="1"/>
  <c r="E18" i="40"/>
  <c r="P17" i="40"/>
  <c r="W16" i="32" s="1"/>
  <c r="E17" i="40"/>
  <c r="P16" i="40"/>
  <c r="W15" i="32" s="1"/>
  <c r="E16" i="40"/>
  <c r="Y21" i="10" s="1"/>
  <c r="P15" i="40"/>
  <c r="W14" i="32" s="1"/>
  <c r="E15" i="40"/>
  <c r="Y20" i="10" s="1"/>
  <c r="P14" i="40"/>
  <c r="W13" i="32" s="1"/>
  <c r="E14" i="40"/>
  <c r="Y19" i="10" s="1"/>
  <c r="P13" i="40"/>
  <c r="W12" i="32" s="1"/>
  <c r="E13" i="40"/>
  <c r="Y18" i="10" s="1"/>
  <c r="P12" i="40"/>
  <c r="W11" i="32" s="1"/>
  <c r="E12" i="40"/>
  <c r="Y17" i="10" s="1"/>
  <c r="P11" i="40"/>
  <c r="W10" i="32" s="1"/>
  <c r="E11" i="40"/>
  <c r="Y11" i="2" s="1"/>
  <c r="P10" i="40"/>
  <c r="W9" i="32" s="1"/>
  <c r="P9" i="40"/>
  <c r="W8" i="32" s="1"/>
  <c r="E9" i="40"/>
  <c r="Y14" i="10" s="1"/>
  <c r="P8" i="40"/>
  <c r="W7" i="32" s="1"/>
  <c r="E8" i="40"/>
  <c r="Y8" i="2" s="1"/>
  <c r="P7" i="40"/>
  <c r="W6" i="32" s="1"/>
  <c r="E7" i="40"/>
  <c r="Y12" i="10" s="1"/>
  <c r="P6" i="40"/>
  <c r="W5" i="32" s="1"/>
  <c r="E6" i="40"/>
  <c r="F6" i="40" s="1"/>
  <c r="P5" i="40"/>
  <c r="W4" i="32" s="1"/>
  <c r="E49" i="39"/>
  <c r="F49" i="39" s="1"/>
  <c r="E48" i="39"/>
  <c r="F48" i="39" s="1"/>
  <c r="E47" i="39"/>
  <c r="F47" i="39" s="1"/>
  <c r="X52" i="10" s="1"/>
  <c r="E46" i="39"/>
  <c r="F46" i="39" s="1"/>
  <c r="E45" i="39"/>
  <c r="F45" i="39" s="1"/>
  <c r="P43" i="39"/>
  <c r="V42" i="32" s="1"/>
  <c r="E43" i="39"/>
  <c r="F43" i="39" s="1"/>
  <c r="X48" i="10" s="1"/>
  <c r="P42" i="39"/>
  <c r="V41" i="32" s="1"/>
  <c r="E42" i="39"/>
  <c r="P41" i="39"/>
  <c r="V40" i="32" s="1"/>
  <c r="E41" i="39"/>
  <c r="F41" i="39" s="1"/>
  <c r="P40" i="39"/>
  <c r="E40" i="39"/>
  <c r="F40" i="39" s="1"/>
  <c r="X45" i="10" s="1"/>
  <c r="P39" i="39"/>
  <c r="V38" i="32" s="1"/>
  <c r="E39" i="39"/>
  <c r="F39" i="39" s="1"/>
  <c r="X44" i="10" s="1"/>
  <c r="P38" i="39"/>
  <c r="E38" i="39"/>
  <c r="F38" i="39" s="1"/>
  <c r="X43" i="10" s="1"/>
  <c r="P37" i="39"/>
  <c r="V36" i="32" s="1"/>
  <c r="P36" i="39"/>
  <c r="V35" i="32" s="1"/>
  <c r="E36" i="39"/>
  <c r="P35" i="39"/>
  <c r="V34" i="32" s="1"/>
  <c r="E35" i="39"/>
  <c r="F35" i="39" s="1"/>
  <c r="P34" i="39"/>
  <c r="V33" i="32" s="1"/>
  <c r="E34" i="39"/>
  <c r="F34" i="39" s="1"/>
  <c r="P33" i="39"/>
  <c r="V32" i="32" s="1"/>
  <c r="E33" i="39"/>
  <c r="F33" i="39" s="1"/>
  <c r="P32" i="39"/>
  <c r="E32" i="39"/>
  <c r="F32" i="39" s="1"/>
  <c r="P31" i="39"/>
  <c r="V30" i="32" s="1"/>
  <c r="E31" i="39"/>
  <c r="P30" i="39"/>
  <c r="P29" i="39"/>
  <c r="V28" i="32" s="1"/>
  <c r="E29" i="39"/>
  <c r="F29" i="39" s="1"/>
  <c r="X34" i="10" s="1"/>
  <c r="P28" i="39"/>
  <c r="E28" i="39"/>
  <c r="F28" i="39" s="1"/>
  <c r="X33" i="10" s="1"/>
  <c r="P27" i="39"/>
  <c r="V26" i="32" s="1"/>
  <c r="E27" i="39"/>
  <c r="F27" i="39" s="1"/>
  <c r="X32" i="10" s="1"/>
  <c r="P26" i="39"/>
  <c r="F26" i="39"/>
  <c r="X31" i="10" s="1"/>
  <c r="E26" i="39"/>
  <c r="P25" i="39"/>
  <c r="V24" i="32" s="1"/>
  <c r="E25" i="39"/>
  <c r="F25" i="39" s="1"/>
  <c r="X30" i="10" s="1"/>
  <c r="P24" i="39"/>
  <c r="E24" i="39"/>
  <c r="F24" i="39" s="1"/>
  <c r="P23" i="39"/>
  <c r="V22" i="32" s="1"/>
  <c r="E23" i="39"/>
  <c r="P22" i="39"/>
  <c r="V21" i="32" s="1"/>
  <c r="P21" i="39"/>
  <c r="V20" i="32" s="1"/>
  <c r="E21" i="39"/>
  <c r="F21" i="39" s="1"/>
  <c r="X26" i="10" s="1"/>
  <c r="P20" i="39"/>
  <c r="E20" i="39"/>
  <c r="P19" i="39"/>
  <c r="V18" i="32" s="1"/>
  <c r="E19" i="39"/>
  <c r="F19" i="39" s="1"/>
  <c r="X24" i="10" s="1"/>
  <c r="P18" i="39"/>
  <c r="E18" i="39"/>
  <c r="P17" i="39"/>
  <c r="V16" i="32" s="1"/>
  <c r="E17" i="39"/>
  <c r="F17" i="39" s="1"/>
  <c r="X22" i="10" s="1"/>
  <c r="P16" i="39"/>
  <c r="E16" i="39"/>
  <c r="F16" i="39" s="1"/>
  <c r="P15" i="39"/>
  <c r="V14" i="32" s="1"/>
  <c r="E15" i="39"/>
  <c r="P14" i="39"/>
  <c r="E14" i="39"/>
  <c r="F14" i="39" s="1"/>
  <c r="X19" i="10" s="1"/>
  <c r="P13" i="39"/>
  <c r="E13" i="39"/>
  <c r="F13" i="39" s="1"/>
  <c r="X18" i="10" s="1"/>
  <c r="P12" i="39"/>
  <c r="V11" i="32" s="1"/>
  <c r="E12" i="39"/>
  <c r="F12" i="39" s="1"/>
  <c r="X17" i="10" s="1"/>
  <c r="P11" i="39"/>
  <c r="V10" i="32" s="1"/>
  <c r="E11" i="39"/>
  <c r="X11" i="2" s="1"/>
  <c r="P10" i="39"/>
  <c r="V9" i="32" s="1"/>
  <c r="P9" i="39"/>
  <c r="V8" i="32" s="1"/>
  <c r="E9" i="39"/>
  <c r="F9" i="39" s="1"/>
  <c r="X14" i="10" s="1"/>
  <c r="P8" i="39"/>
  <c r="V7" i="32" s="1"/>
  <c r="E8" i="39"/>
  <c r="P7" i="39"/>
  <c r="V6" i="32" s="1"/>
  <c r="E7" i="39"/>
  <c r="P6" i="39"/>
  <c r="V5" i="32" s="1"/>
  <c r="E6" i="39"/>
  <c r="X6" i="2" s="1"/>
  <c r="P5" i="39"/>
  <c r="V4" i="32" s="1"/>
  <c r="E49" i="38"/>
  <c r="F49" i="38" s="1"/>
  <c r="W54" i="10" s="1"/>
  <c r="E48" i="38"/>
  <c r="F48" i="38" s="1"/>
  <c r="W53" i="10" s="1"/>
  <c r="E47" i="38"/>
  <c r="F47" i="38" s="1"/>
  <c r="W52" i="10" s="1"/>
  <c r="E46" i="38"/>
  <c r="F46" i="38" s="1"/>
  <c r="W51" i="10" s="1"/>
  <c r="E45" i="38"/>
  <c r="F45" i="38" s="1"/>
  <c r="P43" i="38"/>
  <c r="U42" i="32" s="1"/>
  <c r="E43" i="38"/>
  <c r="F43" i="38" s="1"/>
  <c r="W48" i="10" s="1"/>
  <c r="P42" i="38"/>
  <c r="U41" i="32" s="1"/>
  <c r="E42" i="38"/>
  <c r="F42" i="38" s="1"/>
  <c r="P41" i="38"/>
  <c r="U40" i="32" s="1"/>
  <c r="E41" i="38"/>
  <c r="F41" i="38" s="1"/>
  <c r="P40" i="38"/>
  <c r="U39" i="32" s="1"/>
  <c r="E40" i="38"/>
  <c r="F40" i="38" s="1"/>
  <c r="P39" i="38"/>
  <c r="U38" i="32" s="1"/>
  <c r="E39" i="38"/>
  <c r="P38" i="38"/>
  <c r="E38" i="38"/>
  <c r="F38" i="38" s="1"/>
  <c r="P37" i="38"/>
  <c r="U36" i="32" s="1"/>
  <c r="P36" i="38"/>
  <c r="E36" i="38"/>
  <c r="F36" i="38" s="1"/>
  <c r="P35" i="38"/>
  <c r="E35" i="38"/>
  <c r="F35" i="38" s="1"/>
  <c r="P34" i="38"/>
  <c r="U33" i="32" s="1"/>
  <c r="E34" i="38"/>
  <c r="P33" i="38"/>
  <c r="E33" i="38"/>
  <c r="P32" i="38"/>
  <c r="U31" i="32" s="1"/>
  <c r="E32" i="38"/>
  <c r="F32" i="38" s="1"/>
  <c r="P31" i="38"/>
  <c r="E31" i="38"/>
  <c r="P30" i="38"/>
  <c r="U29" i="32" s="1"/>
  <c r="P29" i="38"/>
  <c r="U28" i="32" s="1"/>
  <c r="E29" i="38"/>
  <c r="F29" i="38" s="1"/>
  <c r="W34" i="10" s="1"/>
  <c r="P28" i="38"/>
  <c r="E28" i="38"/>
  <c r="F28" i="38" s="1"/>
  <c r="W33" i="10" s="1"/>
  <c r="P27" i="38"/>
  <c r="E27" i="38"/>
  <c r="F27" i="38" s="1"/>
  <c r="W32" i="10" s="1"/>
  <c r="P26" i="38"/>
  <c r="U25" i="32" s="1"/>
  <c r="F26" i="38"/>
  <c r="W31" i="10" s="1"/>
  <c r="E26" i="38"/>
  <c r="P25" i="38"/>
  <c r="E25" i="38"/>
  <c r="P24" i="38"/>
  <c r="U23" i="32" s="1"/>
  <c r="E24" i="38"/>
  <c r="F24" i="38" s="1"/>
  <c r="P23" i="38"/>
  <c r="E23" i="38"/>
  <c r="P22" i="38"/>
  <c r="U21" i="32" s="1"/>
  <c r="P21" i="38"/>
  <c r="U20" i="32" s="1"/>
  <c r="E21" i="38"/>
  <c r="P20" i="38"/>
  <c r="E20" i="38"/>
  <c r="F20" i="38" s="1"/>
  <c r="W25" i="10" s="1"/>
  <c r="P19" i="38"/>
  <c r="E19" i="38"/>
  <c r="F19" i="38" s="1"/>
  <c r="W24" i="10" s="1"/>
  <c r="P18" i="38"/>
  <c r="U17" i="32" s="1"/>
  <c r="E18" i="38"/>
  <c r="F18" i="38" s="1"/>
  <c r="P17" i="38"/>
  <c r="E17" i="38"/>
  <c r="F17" i="38" s="1"/>
  <c r="W22" i="10" s="1"/>
  <c r="P16" i="38"/>
  <c r="U15" i="32" s="1"/>
  <c r="E16" i="38"/>
  <c r="F16" i="38" s="1"/>
  <c r="W21" i="10" s="1"/>
  <c r="P15" i="38"/>
  <c r="E15" i="38"/>
  <c r="P14" i="38"/>
  <c r="U13" i="32" s="1"/>
  <c r="E14" i="38"/>
  <c r="F14" i="38" s="1"/>
  <c r="W19" i="10" s="1"/>
  <c r="P13" i="38"/>
  <c r="U12" i="32" s="1"/>
  <c r="E13" i="38"/>
  <c r="F13" i="38" s="1"/>
  <c r="W18" i="10" s="1"/>
  <c r="P12" i="38"/>
  <c r="E12" i="38"/>
  <c r="F12" i="38" s="1"/>
  <c r="W17" i="10" s="1"/>
  <c r="P11" i="38"/>
  <c r="E11" i="38"/>
  <c r="W11" i="2" s="1"/>
  <c r="P10" i="38"/>
  <c r="U9" i="32" s="1"/>
  <c r="P9" i="38"/>
  <c r="U8" i="32" s="1"/>
  <c r="E9" i="38"/>
  <c r="F9" i="38" s="1"/>
  <c r="W14" i="10" s="1"/>
  <c r="P8" i="38"/>
  <c r="U7" i="32" s="1"/>
  <c r="E8" i="38"/>
  <c r="F8" i="38" s="1"/>
  <c r="P7" i="38"/>
  <c r="E7" i="38"/>
  <c r="P6" i="38"/>
  <c r="E6" i="38"/>
  <c r="W6" i="2" s="1"/>
  <c r="P5" i="38"/>
  <c r="U4" i="32" s="1"/>
  <c r="E49" i="37"/>
  <c r="F49" i="37" s="1"/>
  <c r="V54" i="10" s="1"/>
  <c r="E48" i="37"/>
  <c r="F48" i="37" s="1"/>
  <c r="V53" i="10" s="1"/>
  <c r="E47" i="37"/>
  <c r="E46" i="37"/>
  <c r="F46" i="37" s="1"/>
  <c r="V51" i="10" s="1"/>
  <c r="E45" i="37"/>
  <c r="F45" i="37" s="1"/>
  <c r="P43" i="37"/>
  <c r="E43" i="37"/>
  <c r="F43" i="37" s="1"/>
  <c r="V48" i="10" s="1"/>
  <c r="P42" i="37"/>
  <c r="E42" i="37"/>
  <c r="F42" i="37" s="1"/>
  <c r="P41" i="37"/>
  <c r="T40" i="32" s="1"/>
  <c r="E41" i="37"/>
  <c r="F41" i="37" s="1"/>
  <c r="V46" i="10" s="1"/>
  <c r="P40" i="37"/>
  <c r="T39" i="32" s="1"/>
  <c r="E40" i="37"/>
  <c r="F40" i="37" s="1"/>
  <c r="P39" i="37"/>
  <c r="T38" i="32" s="1"/>
  <c r="E39" i="37"/>
  <c r="P38" i="37"/>
  <c r="E38" i="37"/>
  <c r="F38" i="37" s="1"/>
  <c r="V43" i="10" s="1"/>
  <c r="P37" i="37"/>
  <c r="P36" i="37"/>
  <c r="T35" i="32" s="1"/>
  <c r="E36" i="37"/>
  <c r="F36" i="37" s="1"/>
  <c r="P35" i="37"/>
  <c r="E35" i="37"/>
  <c r="F35" i="37" s="1"/>
  <c r="P34" i="37"/>
  <c r="E34" i="37"/>
  <c r="F34" i="37" s="1"/>
  <c r="P33" i="37"/>
  <c r="T32" i="32" s="1"/>
  <c r="E33" i="37"/>
  <c r="V33" i="2" s="1"/>
  <c r="P32" i="37"/>
  <c r="T31" i="32" s="1"/>
  <c r="E32" i="37"/>
  <c r="F32" i="37" s="1"/>
  <c r="P31" i="37"/>
  <c r="T30" i="32" s="1"/>
  <c r="E31" i="37"/>
  <c r="P30" i="37"/>
  <c r="P29" i="37"/>
  <c r="E29" i="37"/>
  <c r="V29" i="2" s="1"/>
  <c r="P28" i="37"/>
  <c r="T27" i="32" s="1"/>
  <c r="E28" i="37"/>
  <c r="F28" i="37" s="1"/>
  <c r="V33" i="10" s="1"/>
  <c r="P27" i="37"/>
  <c r="E27" i="37"/>
  <c r="F27" i="37" s="1"/>
  <c r="V32" i="10" s="1"/>
  <c r="P26" i="37"/>
  <c r="F26" i="37"/>
  <c r="V31" i="10" s="1"/>
  <c r="E26" i="37"/>
  <c r="P25" i="37"/>
  <c r="T24" i="32" s="1"/>
  <c r="E25" i="37"/>
  <c r="F25" i="37" s="1"/>
  <c r="V30" i="10" s="1"/>
  <c r="P24" i="37"/>
  <c r="T23" i="32" s="1"/>
  <c r="E24" i="37"/>
  <c r="F24" i="37" s="1"/>
  <c r="V29" i="10" s="1"/>
  <c r="P23" i="37"/>
  <c r="T22" i="32" s="1"/>
  <c r="E23" i="37"/>
  <c r="P22" i="37"/>
  <c r="P21" i="37"/>
  <c r="E21" i="37"/>
  <c r="F21" i="37" s="1"/>
  <c r="V26" i="10" s="1"/>
  <c r="P20" i="37"/>
  <c r="T19" i="32" s="1"/>
  <c r="E20" i="37"/>
  <c r="F20" i="37" s="1"/>
  <c r="V25" i="10" s="1"/>
  <c r="P19" i="37"/>
  <c r="E19" i="37"/>
  <c r="F19" i="37" s="1"/>
  <c r="V24" i="10" s="1"/>
  <c r="P18" i="37"/>
  <c r="E18" i="37"/>
  <c r="F18" i="37" s="1"/>
  <c r="V23" i="10" s="1"/>
  <c r="P17" i="37"/>
  <c r="T16" i="32" s="1"/>
  <c r="E17" i="37"/>
  <c r="V17" i="2" s="1"/>
  <c r="P16" i="37"/>
  <c r="T15" i="32" s="1"/>
  <c r="E16" i="37"/>
  <c r="F16" i="37" s="1"/>
  <c r="P15" i="37"/>
  <c r="T14" i="32" s="1"/>
  <c r="E15" i="37"/>
  <c r="V15" i="2" s="1"/>
  <c r="P14" i="37"/>
  <c r="E14" i="37"/>
  <c r="F14" i="37" s="1"/>
  <c r="V19" i="10" s="1"/>
  <c r="P13" i="37"/>
  <c r="E13" i="37"/>
  <c r="F13" i="37" s="1"/>
  <c r="V18" i="10" s="1"/>
  <c r="P12" i="37"/>
  <c r="T11" i="32" s="1"/>
  <c r="E12" i="37"/>
  <c r="F12" i="37" s="1"/>
  <c r="V17" i="10" s="1"/>
  <c r="P11" i="37"/>
  <c r="E11" i="37"/>
  <c r="P10" i="37"/>
  <c r="P9" i="37"/>
  <c r="T8" i="32" s="1"/>
  <c r="E9" i="37"/>
  <c r="F9" i="37" s="1"/>
  <c r="V14" i="10" s="1"/>
  <c r="P8" i="37"/>
  <c r="T7" i="32" s="1"/>
  <c r="E8" i="37"/>
  <c r="F8" i="37" s="1"/>
  <c r="V13" i="10" s="1"/>
  <c r="P7" i="37"/>
  <c r="T6" i="32" s="1"/>
  <c r="E7" i="37"/>
  <c r="V7" i="2" s="1"/>
  <c r="P6" i="37"/>
  <c r="T5" i="32" s="1"/>
  <c r="E6" i="37"/>
  <c r="V6" i="2" s="1"/>
  <c r="P5" i="37"/>
  <c r="T4" i="32" s="1"/>
  <c r="P27" i="35"/>
  <c r="P43" i="35"/>
  <c r="P42" i="35"/>
  <c r="P41" i="35"/>
  <c r="R40" i="32" s="1"/>
  <c r="P40" i="35"/>
  <c r="R39" i="32" s="1"/>
  <c r="P39" i="35"/>
  <c r="R38" i="32" s="1"/>
  <c r="P38" i="35"/>
  <c r="R37" i="32" s="1"/>
  <c r="P37" i="35"/>
  <c r="P36" i="35"/>
  <c r="P35" i="35"/>
  <c r="P34" i="35"/>
  <c r="P33" i="35"/>
  <c r="R32" i="32" s="1"/>
  <c r="P32" i="35"/>
  <c r="R31" i="32" s="1"/>
  <c r="P31" i="35"/>
  <c r="R30" i="32" s="1"/>
  <c r="P30" i="35"/>
  <c r="R29" i="32" s="1"/>
  <c r="P28" i="35"/>
  <c r="R27" i="32" s="1"/>
  <c r="P29" i="35"/>
  <c r="R28" i="32" s="1"/>
  <c r="R26" i="32"/>
  <c r="P26" i="35"/>
  <c r="R25" i="32" s="1"/>
  <c r="P25" i="35"/>
  <c r="R24" i="32" s="1"/>
  <c r="P24" i="35"/>
  <c r="R23" i="32" s="1"/>
  <c r="P23" i="35"/>
  <c r="R22" i="32" s="1"/>
  <c r="P22" i="35"/>
  <c r="R21" i="32" s="1"/>
  <c r="P21" i="35"/>
  <c r="R20" i="32" s="1"/>
  <c r="P20" i="35"/>
  <c r="R19" i="32" s="1"/>
  <c r="P19" i="35"/>
  <c r="R18" i="32" s="1"/>
  <c r="P18" i="35"/>
  <c r="P17" i="35"/>
  <c r="P13" i="35"/>
  <c r="R12" i="32" s="1"/>
  <c r="P12" i="35"/>
  <c r="R11" i="32" s="1"/>
  <c r="P11" i="35"/>
  <c r="R10" i="32" s="1"/>
  <c r="F26" i="35"/>
  <c r="P9" i="35"/>
  <c r="R8" i="32" s="1"/>
  <c r="P7" i="35"/>
  <c r="R6" i="32" s="1"/>
  <c r="P5" i="35"/>
  <c r="P44" i="35" s="1"/>
  <c r="E49" i="35"/>
  <c r="F49" i="35" s="1"/>
  <c r="T54" i="10" s="1"/>
  <c r="E48" i="35"/>
  <c r="F48" i="35" s="1"/>
  <c r="T53" i="10" s="1"/>
  <c r="E47" i="35"/>
  <c r="E46" i="35"/>
  <c r="F46" i="35" s="1"/>
  <c r="T51" i="10" s="1"/>
  <c r="E45" i="35"/>
  <c r="F45" i="35" s="1"/>
  <c r="T50" i="10" s="1"/>
  <c r="E43" i="35"/>
  <c r="F43" i="35" s="1"/>
  <c r="T48" i="10" s="1"/>
  <c r="E42" i="35"/>
  <c r="F42" i="35" s="1"/>
  <c r="T47" i="10" s="1"/>
  <c r="E41" i="35"/>
  <c r="F41" i="35" s="1"/>
  <c r="T46" i="10" s="1"/>
  <c r="E40" i="35"/>
  <c r="F40" i="35" s="1"/>
  <c r="T45" i="10" s="1"/>
  <c r="E39" i="35"/>
  <c r="E38" i="35"/>
  <c r="E36" i="35"/>
  <c r="E35" i="35"/>
  <c r="F35" i="35" s="1"/>
  <c r="G13" i="15"/>
  <c r="Y24" i="2"/>
  <c r="Y27" i="2"/>
  <c r="Y16" i="2"/>
  <c r="Y20" i="2"/>
  <c r="V26" i="2"/>
  <c r="V18" i="2"/>
  <c r="Y32" i="2"/>
  <c r="R42" i="32"/>
  <c r="R41" i="32"/>
  <c r="R36" i="32"/>
  <c r="R35" i="32"/>
  <c r="R34" i="32"/>
  <c r="R33" i="32"/>
  <c r="R17" i="32"/>
  <c r="R16" i="32"/>
  <c r="P16" i="35"/>
  <c r="R15" i="32" s="1"/>
  <c r="P15" i="35"/>
  <c r="R14" i="32" s="1"/>
  <c r="P10" i="35"/>
  <c r="R9" i="32" s="1"/>
  <c r="P8" i="35"/>
  <c r="R7" i="32" s="1"/>
  <c r="P14" i="35"/>
  <c r="R13" i="32" s="1"/>
  <c r="P6" i="35"/>
  <c r="R5" i="32" s="1"/>
  <c r="R4" i="32"/>
  <c r="F38" i="35"/>
  <c r="T43" i="10" s="1"/>
  <c r="F36" i="35"/>
  <c r="T41" i="10" s="1"/>
  <c r="E34" i="35"/>
  <c r="F34" i="35" s="1"/>
  <c r="T39" i="10" s="1"/>
  <c r="E33" i="35"/>
  <c r="F33" i="35" s="1"/>
  <c r="T38" i="10" s="1"/>
  <c r="E32" i="35"/>
  <c r="F32" i="35" s="1"/>
  <c r="T37" i="10" s="1"/>
  <c r="E31" i="35"/>
  <c r="F31" i="35" s="1"/>
  <c r="T36" i="10" s="1"/>
  <c r="E29" i="35"/>
  <c r="F29" i="35" s="1"/>
  <c r="E28" i="35"/>
  <c r="F28" i="35" s="1"/>
  <c r="E27" i="35"/>
  <c r="F27" i="35" s="1"/>
  <c r="E26" i="35"/>
  <c r="E25" i="35"/>
  <c r="F25" i="35" s="1"/>
  <c r="T30" i="10" s="1"/>
  <c r="E24" i="35"/>
  <c r="F24" i="35" s="1"/>
  <c r="E23" i="35"/>
  <c r="F23" i="35" s="1"/>
  <c r="E21" i="35"/>
  <c r="F21" i="35" s="1"/>
  <c r="T26" i="10" s="1"/>
  <c r="E20" i="35"/>
  <c r="F20" i="35" s="1"/>
  <c r="T25" i="10" s="1"/>
  <c r="E19" i="35"/>
  <c r="F19" i="35" s="1"/>
  <c r="T24" i="10" s="1"/>
  <c r="E18" i="35"/>
  <c r="F18" i="35" s="1"/>
  <c r="T23" i="10" s="1"/>
  <c r="E17" i="35"/>
  <c r="F17" i="35" s="1"/>
  <c r="T22" i="10" s="1"/>
  <c r="E16" i="35"/>
  <c r="F16" i="35" s="1"/>
  <c r="T21" i="10" s="1"/>
  <c r="E15" i="35"/>
  <c r="F15" i="35" s="1"/>
  <c r="T20" i="10" s="1"/>
  <c r="E14" i="35"/>
  <c r="F14" i="35" s="1"/>
  <c r="T19" i="10" s="1"/>
  <c r="E13" i="35"/>
  <c r="F13" i="35" s="1"/>
  <c r="T18" i="10" s="1"/>
  <c r="E12" i="35"/>
  <c r="F12" i="35" s="1"/>
  <c r="T17" i="10" s="1"/>
  <c r="E11" i="35"/>
  <c r="T11" i="2" s="1"/>
  <c r="E9" i="35"/>
  <c r="F9" i="35" s="1"/>
  <c r="T14" i="10" s="1"/>
  <c r="E8" i="35"/>
  <c r="F8" i="35" s="1"/>
  <c r="T13" i="10" s="1"/>
  <c r="E7" i="35"/>
  <c r="F7" i="35" s="1"/>
  <c r="T12" i="10" s="1"/>
  <c r="E6" i="35"/>
  <c r="F6" i="35" s="1"/>
  <c r="T11" i="10" s="1"/>
  <c r="Q37" i="32"/>
  <c r="Q42" i="32"/>
  <c r="Q41" i="32"/>
  <c r="Q40" i="32"/>
  <c r="Q39" i="32"/>
  <c r="G44" i="32"/>
  <c r="H44" i="32"/>
  <c r="I44" i="32"/>
  <c r="J44" i="32"/>
  <c r="K44" i="32"/>
  <c r="L44" i="32"/>
  <c r="M44" i="32"/>
  <c r="N44" i="32"/>
  <c r="O44" i="32"/>
  <c r="Q38" i="32"/>
  <c r="Q4" i="32"/>
  <c r="Q5" i="32"/>
  <c r="Q6" i="32"/>
  <c r="Q7" i="32"/>
  <c r="Q8" i="32"/>
  <c r="Q9" i="32"/>
  <c r="Q10" i="32"/>
  <c r="Q11" i="32"/>
  <c r="Q12" i="32"/>
  <c r="Q13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AD36" i="32" s="1"/>
  <c r="E23" i="34"/>
  <c r="S23" i="2" s="1"/>
  <c r="S48" i="2"/>
  <c r="E35" i="34"/>
  <c r="S35" i="2" s="1"/>
  <c r="E36" i="34"/>
  <c r="F36" i="34" s="1"/>
  <c r="S41" i="10" s="1"/>
  <c r="E34" i="34"/>
  <c r="F34" i="34" s="1"/>
  <c r="S39" i="10" s="1"/>
  <c r="E49" i="34"/>
  <c r="F49" i="34" s="1"/>
  <c r="S54" i="10" s="1"/>
  <c r="E48" i="34"/>
  <c r="F48" i="34" s="1"/>
  <c r="S53" i="10" s="1"/>
  <c r="E47" i="34"/>
  <c r="S47" i="2" s="1"/>
  <c r="E46" i="34"/>
  <c r="F46" i="34" s="1"/>
  <c r="S51" i="10" s="1"/>
  <c r="E45" i="34"/>
  <c r="F45" i="34" s="1"/>
  <c r="S50" i="10" s="1"/>
  <c r="E43" i="34"/>
  <c r="F43" i="34" s="1"/>
  <c r="S48" i="10" s="1"/>
  <c r="E42" i="34"/>
  <c r="F42" i="34" s="1"/>
  <c r="S47" i="10" s="1"/>
  <c r="E41" i="34"/>
  <c r="F41" i="34" s="1"/>
  <c r="S46" i="10" s="1"/>
  <c r="E40" i="34"/>
  <c r="F40" i="34" s="1"/>
  <c r="S45" i="10" s="1"/>
  <c r="E39" i="34"/>
  <c r="S39" i="2" s="1"/>
  <c r="E38" i="34"/>
  <c r="F38" i="34" s="1"/>
  <c r="S43" i="10" s="1"/>
  <c r="E33" i="34"/>
  <c r="F33" i="34" s="1"/>
  <c r="S38" i="10" s="1"/>
  <c r="E32" i="34"/>
  <c r="F32" i="34" s="1"/>
  <c r="S37" i="10" s="1"/>
  <c r="E31" i="34"/>
  <c r="F31" i="34" s="1"/>
  <c r="E29" i="34"/>
  <c r="F29" i="34" s="1"/>
  <c r="S34" i="10" s="1"/>
  <c r="E28" i="34"/>
  <c r="F28" i="34" s="1"/>
  <c r="S33" i="10" s="1"/>
  <c r="E27" i="34"/>
  <c r="F27" i="34" s="1"/>
  <c r="S32" i="10" s="1"/>
  <c r="E26" i="34"/>
  <c r="F26" i="34" s="1"/>
  <c r="S31" i="10" s="1"/>
  <c r="E25" i="34"/>
  <c r="F25" i="34" s="1"/>
  <c r="S30" i="10" s="1"/>
  <c r="E24" i="34"/>
  <c r="F24" i="34" s="1"/>
  <c r="S29" i="10" s="1"/>
  <c r="F23" i="34"/>
  <c r="E21" i="34"/>
  <c r="F21" i="34" s="1"/>
  <c r="S26" i="10" s="1"/>
  <c r="E20" i="34"/>
  <c r="F20" i="34" s="1"/>
  <c r="S25" i="10" s="1"/>
  <c r="E19" i="34"/>
  <c r="F19" i="34" s="1"/>
  <c r="S24" i="10" s="1"/>
  <c r="E18" i="34"/>
  <c r="F18" i="34" s="1"/>
  <c r="S23" i="10" s="1"/>
  <c r="E17" i="34"/>
  <c r="F17" i="34" s="1"/>
  <c r="S22" i="10" s="1"/>
  <c r="E16" i="34"/>
  <c r="F16" i="34" s="1"/>
  <c r="S21" i="10" s="1"/>
  <c r="E15" i="34"/>
  <c r="F15" i="34" s="1"/>
  <c r="S20" i="10" s="1"/>
  <c r="E14" i="34"/>
  <c r="F14" i="34" s="1"/>
  <c r="S19" i="10" s="1"/>
  <c r="E13" i="34"/>
  <c r="F13" i="34" s="1"/>
  <c r="S18" i="10" s="1"/>
  <c r="E12" i="34"/>
  <c r="F12" i="34" s="1"/>
  <c r="S17" i="10" s="1"/>
  <c r="E11" i="34"/>
  <c r="S11" i="2" s="1"/>
  <c r="E9" i="34"/>
  <c r="F9" i="34" s="1"/>
  <c r="S14" i="10" s="1"/>
  <c r="E8" i="34"/>
  <c r="F8" i="34" s="1"/>
  <c r="S13" i="10" s="1"/>
  <c r="E7" i="34"/>
  <c r="F7" i="34" s="1"/>
  <c r="S12" i="10" s="1"/>
  <c r="E6" i="34"/>
  <c r="F6" i="34" s="1"/>
  <c r="F44" i="32"/>
  <c r="C44" i="32"/>
  <c r="D44" i="32"/>
  <c r="E44" i="32"/>
  <c r="E5" i="24"/>
  <c r="J5" i="24" s="1"/>
  <c r="E6" i="1"/>
  <c r="E5" i="1" s="1"/>
  <c r="E8" i="1"/>
  <c r="E10" i="1"/>
  <c r="E22" i="1"/>
  <c r="E30" i="1"/>
  <c r="E36" i="1"/>
  <c r="E43" i="1"/>
  <c r="E49" i="1" s="1"/>
  <c r="AG12" i="2"/>
  <c r="AG17" i="10"/>
  <c r="I6" i="24"/>
  <c r="E30" i="24"/>
  <c r="R47" i="2"/>
  <c r="R48" i="2"/>
  <c r="R49" i="2"/>
  <c r="R45" i="2"/>
  <c r="R39" i="2"/>
  <c r="R40" i="2"/>
  <c r="R32" i="2"/>
  <c r="R33" i="2"/>
  <c r="R36" i="2"/>
  <c r="R26" i="2"/>
  <c r="R27" i="2"/>
  <c r="R28" i="2"/>
  <c r="R15" i="2"/>
  <c r="R16" i="2"/>
  <c r="R18" i="2"/>
  <c r="R19" i="2"/>
  <c r="R11" i="2"/>
  <c r="R8" i="2"/>
  <c r="R9" i="2"/>
  <c r="R45" i="10"/>
  <c r="R48" i="10"/>
  <c r="R36" i="10"/>
  <c r="R19" i="10"/>
  <c r="R14" i="10"/>
  <c r="E48" i="24"/>
  <c r="F48" i="24" s="1"/>
  <c r="R54" i="10" s="1"/>
  <c r="E47" i="24"/>
  <c r="F47" i="24" s="1"/>
  <c r="R53" i="10" s="1"/>
  <c r="E46" i="24"/>
  <c r="F46" i="24" s="1"/>
  <c r="R52" i="10" s="1"/>
  <c r="E45" i="24"/>
  <c r="F45" i="24" s="1"/>
  <c r="R51" i="10" s="1"/>
  <c r="E44" i="24"/>
  <c r="F44" i="24" s="1"/>
  <c r="R50" i="10" s="1"/>
  <c r="E42" i="24"/>
  <c r="F42" i="24" s="1"/>
  <c r="E41" i="24"/>
  <c r="R42" i="2" s="1"/>
  <c r="E40" i="24"/>
  <c r="R41" i="2" s="1"/>
  <c r="E39" i="24"/>
  <c r="F39" i="24" s="1"/>
  <c r="E38" i="24"/>
  <c r="E37" i="24"/>
  <c r="R38" i="2" s="1"/>
  <c r="E35" i="24"/>
  <c r="F35" i="24" s="1"/>
  <c r="R41" i="10" s="1"/>
  <c r="E34" i="24"/>
  <c r="F34" i="24" s="1"/>
  <c r="R39" i="10" s="1"/>
  <c r="E33" i="24"/>
  <c r="F33" i="24" s="1"/>
  <c r="R38" i="10" s="1"/>
  <c r="E32" i="24"/>
  <c r="F32" i="24" s="1"/>
  <c r="R37" i="10" s="1"/>
  <c r="E31" i="24"/>
  <c r="F31" i="24" s="1"/>
  <c r="E29" i="24"/>
  <c r="F29" i="24" s="1"/>
  <c r="R34" i="10" s="1"/>
  <c r="F28" i="24"/>
  <c r="R33" i="10" s="1"/>
  <c r="E28" i="24"/>
  <c r="E27" i="24"/>
  <c r="F27" i="24" s="1"/>
  <c r="R32" i="10" s="1"/>
  <c r="E26" i="24"/>
  <c r="F26" i="24" s="1"/>
  <c r="R31" i="10" s="1"/>
  <c r="E25" i="24"/>
  <c r="R25" i="2" s="1"/>
  <c r="E24" i="24"/>
  <c r="R24" i="2" s="1"/>
  <c r="E23" i="24"/>
  <c r="F23" i="24" s="1"/>
  <c r="R28" i="10" s="1"/>
  <c r="E21" i="24"/>
  <c r="F21" i="24" s="1"/>
  <c r="R26" i="10" s="1"/>
  <c r="E20" i="24"/>
  <c r="R20" i="2" s="1"/>
  <c r="E19" i="24"/>
  <c r="F19" i="24" s="1"/>
  <c r="R24" i="10" s="1"/>
  <c r="E18" i="24"/>
  <c r="F18" i="24" s="1"/>
  <c r="R23" i="10" s="1"/>
  <c r="E17" i="24"/>
  <c r="R17" i="2" s="1"/>
  <c r="E16" i="24"/>
  <c r="F16" i="24" s="1"/>
  <c r="R21" i="10" s="1"/>
  <c r="E15" i="24"/>
  <c r="F15" i="24" s="1"/>
  <c r="R20" i="10" s="1"/>
  <c r="E14" i="24"/>
  <c r="F14" i="24" s="1"/>
  <c r="E13" i="24"/>
  <c r="R13" i="2" s="1"/>
  <c r="E12" i="24"/>
  <c r="R12" i="2" s="1"/>
  <c r="E11" i="24"/>
  <c r="E9" i="24"/>
  <c r="F9" i="24" s="1"/>
  <c r="E8" i="24"/>
  <c r="F8" i="24" s="1"/>
  <c r="R13" i="10" s="1"/>
  <c r="E7" i="24"/>
  <c r="F7" i="24" s="1"/>
  <c r="R12" i="10" s="1"/>
  <c r="E6" i="24"/>
  <c r="R6" i="2" s="1"/>
  <c r="O46" i="2"/>
  <c r="O47" i="2"/>
  <c r="O48" i="2"/>
  <c r="O49" i="2"/>
  <c r="O45" i="2"/>
  <c r="Q46" i="2"/>
  <c r="Q47" i="2"/>
  <c r="Q48" i="2"/>
  <c r="Q49" i="2"/>
  <c r="Q45" i="2"/>
  <c r="Q38" i="2"/>
  <c r="Q32" i="2"/>
  <c r="Q33" i="2"/>
  <c r="Q34" i="2"/>
  <c r="Q36" i="2"/>
  <c r="Q31" i="2"/>
  <c r="Q24" i="2"/>
  <c r="Q25" i="2"/>
  <c r="Q26" i="2"/>
  <c r="Q27" i="2"/>
  <c r="Q28" i="2"/>
  <c r="Q29" i="2"/>
  <c r="Q23" i="2"/>
  <c r="Q12" i="2"/>
  <c r="Q13" i="2"/>
  <c r="Q14" i="2"/>
  <c r="Q15" i="2"/>
  <c r="Q16" i="2"/>
  <c r="Q17" i="2"/>
  <c r="Q18" i="2"/>
  <c r="Q19" i="2"/>
  <c r="Q20" i="2"/>
  <c r="Q21" i="2"/>
  <c r="Q11" i="2"/>
  <c r="Q7" i="2"/>
  <c r="Q8" i="2"/>
  <c r="Q9" i="2"/>
  <c r="P46" i="2"/>
  <c r="P47" i="2"/>
  <c r="P48" i="2"/>
  <c r="P49" i="2"/>
  <c r="P45" i="2"/>
  <c r="P39" i="2"/>
  <c r="P40" i="2"/>
  <c r="P41" i="2"/>
  <c r="P42" i="2"/>
  <c r="P43" i="2"/>
  <c r="P38" i="2"/>
  <c r="P32" i="2"/>
  <c r="P33" i="2"/>
  <c r="P34" i="2"/>
  <c r="P36" i="2"/>
  <c r="P31" i="2"/>
  <c r="P24" i="2"/>
  <c r="P25" i="2"/>
  <c r="P26" i="2"/>
  <c r="P27" i="2"/>
  <c r="P28" i="2"/>
  <c r="P29" i="2"/>
  <c r="P23" i="2"/>
  <c r="P12" i="2"/>
  <c r="P13" i="2"/>
  <c r="P14" i="2"/>
  <c r="P15" i="2"/>
  <c r="P16" i="2"/>
  <c r="P17" i="2"/>
  <c r="P18" i="2"/>
  <c r="P19" i="2"/>
  <c r="P20" i="2"/>
  <c r="P21" i="2"/>
  <c r="P11" i="2"/>
  <c r="P7" i="2"/>
  <c r="P8" i="2"/>
  <c r="P9" i="2"/>
  <c r="P6" i="2"/>
  <c r="O6" i="2"/>
  <c r="U17" i="21"/>
  <c r="U18" i="21"/>
  <c r="U19" i="21"/>
  <c r="T17" i="21"/>
  <c r="T19" i="21"/>
  <c r="T16" i="21"/>
  <c r="AD7" i="21"/>
  <c r="AD9" i="21"/>
  <c r="AD11" i="21"/>
  <c r="AC11" i="21"/>
  <c r="AC9" i="21"/>
  <c r="AC10" i="21"/>
  <c r="AC7" i="21"/>
  <c r="AC8" i="21"/>
  <c r="P45" i="21"/>
  <c r="P46" i="21"/>
  <c r="P47" i="21"/>
  <c r="P48" i="21"/>
  <c r="P44" i="21"/>
  <c r="P38" i="21"/>
  <c r="P39" i="21"/>
  <c r="P40" i="21"/>
  <c r="P41" i="21"/>
  <c r="P42" i="21"/>
  <c r="P37" i="21"/>
  <c r="P32" i="21"/>
  <c r="P33" i="21"/>
  <c r="P34" i="21"/>
  <c r="P35" i="21"/>
  <c r="P31" i="21"/>
  <c r="P24" i="21"/>
  <c r="P25" i="21"/>
  <c r="P26" i="21"/>
  <c r="P27" i="21"/>
  <c r="P28" i="21"/>
  <c r="P29" i="21"/>
  <c r="P23" i="21"/>
  <c r="P12" i="21"/>
  <c r="P10" i="21" s="1"/>
  <c r="P13" i="21"/>
  <c r="P14" i="21"/>
  <c r="P15" i="21"/>
  <c r="P16" i="21"/>
  <c r="P17" i="21"/>
  <c r="P18" i="21"/>
  <c r="P19" i="21"/>
  <c r="P20" i="21"/>
  <c r="P21" i="21"/>
  <c r="P11" i="21"/>
  <c r="P7" i="21"/>
  <c r="P8" i="21"/>
  <c r="P9" i="21"/>
  <c r="O12" i="21"/>
  <c r="O13" i="21"/>
  <c r="O14" i="21"/>
  <c r="O15" i="21"/>
  <c r="O16" i="21"/>
  <c r="O17" i="21"/>
  <c r="O18" i="21"/>
  <c r="O19" i="21"/>
  <c r="O20" i="21"/>
  <c r="O21" i="21"/>
  <c r="O11" i="21"/>
  <c r="O7" i="21"/>
  <c r="O8" i="21"/>
  <c r="O9" i="21"/>
  <c r="O6" i="21"/>
  <c r="P30" i="21"/>
  <c r="Q39" i="2"/>
  <c r="Q40" i="2"/>
  <c r="Q41" i="2"/>
  <c r="Q42" i="2"/>
  <c r="Q43" i="2"/>
  <c r="Q51" i="10"/>
  <c r="Q52" i="10"/>
  <c r="Q53" i="10"/>
  <c r="Q54" i="10"/>
  <c r="Q50" i="10"/>
  <c r="Q44" i="10"/>
  <c r="Q45" i="10"/>
  <c r="Q46" i="10"/>
  <c r="Q47" i="10"/>
  <c r="Q48" i="10"/>
  <c r="Q43" i="10"/>
  <c r="Q37" i="10"/>
  <c r="Q38" i="10"/>
  <c r="Q39" i="10"/>
  <c r="Q41" i="10"/>
  <c r="Q36" i="10"/>
  <c r="Q29" i="10"/>
  <c r="Q30" i="10"/>
  <c r="Q31" i="10"/>
  <c r="Q32" i="10"/>
  <c r="Q33" i="10"/>
  <c r="Q34" i="10"/>
  <c r="Q28" i="10"/>
  <c r="Q17" i="10"/>
  <c r="Q18" i="10"/>
  <c r="Q19" i="10"/>
  <c r="Q20" i="10"/>
  <c r="Q21" i="10"/>
  <c r="Q22" i="10"/>
  <c r="Q23" i="10"/>
  <c r="Q24" i="10"/>
  <c r="Q25" i="10"/>
  <c r="Q26" i="10"/>
  <c r="Q16" i="10"/>
  <c r="Q12" i="10"/>
  <c r="Q13" i="10"/>
  <c r="Q14" i="10"/>
  <c r="F45" i="23"/>
  <c r="F46" i="23"/>
  <c r="F47" i="23"/>
  <c r="F48" i="23"/>
  <c r="F44" i="23"/>
  <c r="F38" i="23"/>
  <c r="F39" i="23"/>
  <c r="F40" i="23"/>
  <c r="F41" i="23"/>
  <c r="F42" i="23"/>
  <c r="F36" i="23" s="1"/>
  <c r="I9" i="23" s="1"/>
  <c r="F37" i="23"/>
  <c r="F32" i="23"/>
  <c r="F33" i="23"/>
  <c r="F34" i="23"/>
  <c r="F35" i="23"/>
  <c r="F31" i="23"/>
  <c r="F24" i="23"/>
  <c r="F25" i="23"/>
  <c r="F26" i="23"/>
  <c r="F27" i="23"/>
  <c r="F22" i="23" s="1"/>
  <c r="I7" i="23" s="1"/>
  <c r="F28" i="23"/>
  <c r="F29" i="23"/>
  <c r="F23" i="23"/>
  <c r="F12" i="23"/>
  <c r="F13" i="23"/>
  <c r="F14" i="23"/>
  <c r="F15" i="23"/>
  <c r="F16" i="23"/>
  <c r="F17" i="23"/>
  <c r="F10" i="23" s="1"/>
  <c r="I6" i="23" s="1"/>
  <c r="F18" i="23"/>
  <c r="F19" i="23"/>
  <c r="F20" i="23"/>
  <c r="F21" i="23"/>
  <c r="F11" i="23"/>
  <c r="F7" i="23"/>
  <c r="F8" i="23"/>
  <c r="F9" i="23"/>
  <c r="E29" i="23"/>
  <c r="E28" i="23"/>
  <c r="E48" i="23"/>
  <c r="E47" i="23"/>
  <c r="E46" i="23"/>
  <c r="E45" i="23"/>
  <c r="E44" i="23"/>
  <c r="E43" i="23" s="1"/>
  <c r="J10" i="23" s="1"/>
  <c r="E42" i="23"/>
  <c r="E41" i="23"/>
  <c r="E40" i="23"/>
  <c r="E36" i="23" s="1"/>
  <c r="J9" i="23" s="1"/>
  <c r="E39" i="23"/>
  <c r="E38" i="23"/>
  <c r="E37" i="23"/>
  <c r="E35" i="23"/>
  <c r="E34" i="23"/>
  <c r="E33" i="23"/>
  <c r="E32" i="23"/>
  <c r="E31" i="23"/>
  <c r="E27" i="23"/>
  <c r="E26" i="23"/>
  <c r="E25" i="23"/>
  <c r="E24" i="23"/>
  <c r="E23" i="23"/>
  <c r="E21" i="23"/>
  <c r="E20" i="23"/>
  <c r="E19" i="23"/>
  <c r="E18" i="23"/>
  <c r="E17" i="23"/>
  <c r="E16" i="23"/>
  <c r="E15" i="23"/>
  <c r="E14" i="23"/>
  <c r="E13" i="23"/>
  <c r="E12" i="23"/>
  <c r="E11" i="23"/>
  <c r="E9" i="23"/>
  <c r="E8" i="23"/>
  <c r="E7" i="23"/>
  <c r="E6" i="23"/>
  <c r="F6" i="23" s="1"/>
  <c r="F43" i="23"/>
  <c r="I10" i="23" s="1"/>
  <c r="F30" i="23"/>
  <c r="I8" i="23" s="1"/>
  <c r="E10" i="23"/>
  <c r="J6" i="23" s="1"/>
  <c r="E37" i="22"/>
  <c r="F37" i="22"/>
  <c r="G37" i="22"/>
  <c r="H37" i="22"/>
  <c r="I37" i="22"/>
  <c r="J37" i="22"/>
  <c r="K37" i="22"/>
  <c r="L37" i="22"/>
  <c r="D37" i="22"/>
  <c r="G22" i="22"/>
  <c r="L22" i="22"/>
  <c r="J22" i="22"/>
  <c r="I22" i="22"/>
  <c r="F22" i="22"/>
  <c r="E22" i="22"/>
  <c r="D22" i="22"/>
  <c r="U7" i="22"/>
  <c r="U8" i="22"/>
  <c r="U9" i="22"/>
  <c r="U10" i="22"/>
  <c r="U11" i="22"/>
  <c r="U12" i="22"/>
  <c r="U13" i="22"/>
  <c r="V13" i="22"/>
  <c r="E13" i="22"/>
  <c r="D13" i="22"/>
  <c r="V12" i="22"/>
  <c r="T12" i="22"/>
  <c r="S12" i="22"/>
  <c r="R12" i="22"/>
  <c r="Q12" i="22"/>
  <c r="P12" i="22"/>
  <c r="O12" i="22"/>
  <c r="N12" i="22"/>
  <c r="M12" i="22"/>
  <c r="L12" i="22"/>
  <c r="K12" i="22"/>
  <c r="H12" i="22"/>
  <c r="G12" i="22"/>
  <c r="F12" i="22"/>
  <c r="E12" i="22"/>
  <c r="V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F11" i="22"/>
  <c r="E11" i="22"/>
  <c r="V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F10" i="22"/>
  <c r="E10" i="22"/>
  <c r="V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V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V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F19" i="14"/>
  <c r="F20" i="14"/>
  <c r="F21" i="14"/>
  <c r="F18" i="14"/>
  <c r="C20" i="14"/>
  <c r="C19" i="14"/>
  <c r="C18" i="14"/>
  <c r="V8" i="14"/>
  <c r="V9" i="14"/>
  <c r="V10" i="14"/>
  <c r="V11" i="14"/>
  <c r="V12" i="14"/>
  <c r="V13" i="14"/>
  <c r="V7" i="14"/>
  <c r="U13" i="14"/>
  <c r="U8" i="14"/>
  <c r="U9" i="14"/>
  <c r="U10" i="14"/>
  <c r="U11" i="14"/>
  <c r="U12" i="14"/>
  <c r="U7" i="14"/>
  <c r="C8" i="15"/>
  <c r="E30" i="5"/>
  <c r="E30" i="7"/>
  <c r="E30" i="8"/>
  <c r="E30" i="9"/>
  <c r="E30" i="4"/>
  <c r="E30" i="17"/>
  <c r="E30" i="18"/>
  <c r="O48" i="21"/>
  <c r="N48" i="21"/>
  <c r="M48" i="21"/>
  <c r="L48" i="21"/>
  <c r="K48" i="21"/>
  <c r="J48" i="21"/>
  <c r="I48" i="21"/>
  <c r="H48" i="21"/>
  <c r="G48" i="21"/>
  <c r="F48" i="21"/>
  <c r="O47" i="21"/>
  <c r="N47" i="21"/>
  <c r="M47" i="21"/>
  <c r="L47" i="21"/>
  <c r="K47" i="21"/>
  <c r="J47" i="21"/>
  <c r="I47" i="21"/>
  <c r="H47" i="21"/>
  <c r="G47" i="21"/>
  <c r="F47" i="21"/>
  <c r="O46" i="21"/>
  <c r="N46" i="21"/>
  <c r="M46" i="21"/>
  <c r="L46" i="21"/>
  <c r="K46" i="21"/>
  <c r="J46" i="21"/>
  <c r="I46" i="21"/>
  <c r="H46" i="21"/>
  <c r="H43" i="21" s="1"/>
  <c r="U11" i="21" s="1"/>
  <c r="G46" i="21"/>
  <c r="F46" i="21"/>
  <c r="O45" i="21"/>
  <c r="N45" i="21"/>
  <c r="M45" i="21"/>
  <c r="L45" i="21"/>
  <c r="K45" i="21"/>
  <c r="J45" i="21"/>
  <c r="J43" i="21" s="1"/>
  <c r="W11" i="21" s="1"/>
  <c r="I45" i="21"/>
  <c r="H45" i="21"/>
  <c r="G45" i="21"/>
  <c r="F45" i="21"/>
  <c r="O44" i="21"/>
  <c r="N44" i="21"/>
  <c r="M44" i="21"/>
  <c r="M43" i="21" s="1"/>
  <c r="Z11" i="21" s="1"/>
  <c r="L44" i="21"/>
  <c r="L43" i="21" s="1"/>
  <c r="Y11" i="21" s="1"/>
  <c r="K44" i="21"/>
  <c r="J44" i="21"/>
  <c r="I44" i="21"/>
  <c r="H44" i="21"/>
  <c r="G44" i="21"/>
  <c r="F44" i="21"/>
  <c r="F43" i="21"/>
  <c r="S11" i="21" s="1"/>
  <c r="O42" i="21"/>
  <c r="N42" i="21"/>
  <c r="M42" i="21"/>
  <c r="L42" i="21"/>
  <c r="K42" i="21"/>
  <c r="J42" i="21"/>
  <c r="I42" i="21"/>
  <c r="H42" i="21"/>
  <c r="G42" i="21"/>
  <c r="F42" i="21"/>
  <c r="O41" i="21"/>
  <c r="N41" i="21"/>
  <c r="M41" i="21"/>
  <c r="L41" i="21"/>
  <c r="K41" i="21"/>
  <c r="J41" i="21"/>
  <c r="I41" i="21"/>
  <c r="H41" i="21"/>
  <c r="G41" i="21"/>
  <c r="F41" i="21"/>
  <c r="O40" i="21"/>
  <c r="N40" i="21"/>
  <c r="M40" i="21"/>
  <c r="L40" i="21"/>
  <c r="K40" i="21"/>
  <c r="J40" i="21"/>
  <c r="I40" i="21"/>
  <c r="H40" i="21"/>
  <c r="G40" i="21"/>
  <c r="F40" i="21"/>
  <c r="O39" i="21"/>
  <c r="N39" i="21"/>
  <c r="M39" i="21"/>
  <c r="L39" i="21"/>
  <c r="K39" i="21"/>
  <c r="J39" i="21"/>
  <c r="I39" i="21"/>
  <c r="H39" i="21"/>
  <c r="G39" i="21"/>
  <c r="F39" i="21"/>
  <c r="F36" i="21" s="1"/>
  <c r="S10" i="21" s="1"/>
  <c r="O38" i="21"/>
  <c r="N38" i="21"/>
  <c r="M38" i="21"/>
  <c r="L38" i="21"/>
  <c r="K38" i="21"/>
  <c r="J38" i="21"/>
  <c r="I38" i="21"/>
  <c r="H38" i="21"/>
  <c r="H36" i="21" s="1"/>
  <c r="U10" i="21" s="1"/>
  <c r="G38" i="21"/>
  <c r="F38" i="21"/>
  <c r="O37" i="21"/>
  <c r="N37" i="21"/>
  <c r="M37" i="21"/>
  <c r="L37" i="21"/>
  <c r="L36" i="21" s="1"/>
  <c r="Y10" i="21" s="1"/>
  <c r="K37" i="21"/>
  <c r="K36" i="21" s="1"/>
  <c r="X10" i="21" s="1"/>
  <c r="J37" i="21"/>
  <c r="J36" i="21" s="1"/>
  <c r="W10" i="21" s="1"/>
  <c r="I37" i="21"/>
  <c r="H37" i="21"/>
  <c r="G37" i="21"/>
  <c r="F37" i="21"/>
  <c r="O35" i="21"/>
  <c r="N35" i="21"/>
  <c r="M35" i="21"/>
  <c r="L35" i="21"/>
  <c r="K35" i="21"/>
  <c r="J35" i="21"/>
  <c r="I35" i="21"/>
  <c r="H35" i="21"/>
  <c r="G35" i="21"/>
  <c r="F35" i="21"/>
  <c r="O34" i="21"/>
  <c r="N34" i="21"/>
  <c r="M34" i="21"/>
  <c r="L34" i="21"/>
  <c r="K34" i="21"/>
  <c r="J34" i="21"/>
  <c r="I34" i="21"/>
  <c r="H34" i="21"/>
  <c r="G34" i="21"/>
  <c r="F34" i="21"/>
  <c r="O33" i="21"/>
  <c r="N33" i="21"/>
  <c r="M33" i="21"/>
  <c r="L33" i="21"/>
  <c r="K33" i="21"/>
  <c r="J33" i="21"/>
  <c r="J30" i="21" s="1"/>
  <c r="W9" i="21" s="1"/>
  <c r="I33" i="21"/>
  <c r="H33" i="21"/>
  <c r="G33" i="21"/>
  <c r="F33" i="21"/>
  <c r="O32" i="21"/>
  <c r="N32" i="21"/>
  <c r="M32" i="21"/>
  <c r="L32" i="21"/>
  <c r="L30" i="21" s="1"/>
  <c r="Y9" i="21" s="1"/>
  <c r="K32" i="21"/>
  <c r="J32" i="21"/>
  <c r="I32" i="21"/>
  <c r="H32" i="21"/>
  <c r="G32" i="21"/>
  <c r="F32" i="21"/>
  <c r="O31" i="21"/>
  <c r="O30" i="21" s="1"/>
  <c r="AB9" i="21" s="1"/>
  <c r="N31" i="21"/>
  <c r="M31" i="21"/>
  <c r="L31" i="21"/>
  <c r="K31" i="21"/>
  <c r="J31" i="21"/>
  <c r="I31" i="21"/>
  <c r="H31" i="21"/>
  <c r="H30" i="21" s="1"/>
  <c r="U9" i="21" s="1"/>
  <c r="G31" i="21"/>
  <c r="G30" i="21" s="1"/>
  <c r="T9" i="21" s="1"/>
  <c r="F31" i="21"/>
  <c r="F30" i="21" s="1"/>
  <c r="S9" i="21" s="1"/>
  <c r="O29" i="21"/>
  <c r="N29" i="21"/>
  <c r="M29" i="21"/>
  <c r="L29" i="21"/>
  <c r="K29" i="21"/>
  <c r="J29" i="21"/>
  <c r="I29" i="21"/>
  <c r="H29" i="21"/>
  <c r="G29" i="21"/>
  <c r="F29" i="21"/>
  <c r="O28" i="21"/>
  <c r="N28" i="21"/>
  <c r="M28" i="21"/>
  <c r="L28" i="21"/>
  <c r="K28" i="21"/>
  <c r="J28" i="21"/>
  <c r="I28" i="21"/>
  <c r="H28" i="21"/>
  <c r="G28" i="21"/>
  <c r="F28" i="21"/>
  <c r="O27" i="21"/>
  <c r="N27" i="21"/>
  <c r="M27" i="21"/>
  <c r="L27" i="21"/>
  <c r="K27" i="21"/>
  <c r="J27" i="21"/>
  <c r="I27" i="21"/>
  <c r="H27" i="21"/>
  <c r="G27" i="21"/>
  <c r="F27" i="21"/>
  <c r="O26" i="21"/>
  <c r="N26" i="21"/>
  <c r="M26" i="21"/>
  <c r="L26" i="21"/>
  <c r="K26" i="21"/>
  <c r="J26" i="21"/>
  <c r="I26" i="21"/>
  <c r="H26" i="21"/>
  <c r="G26" i="21"/>
  <c r="F26" i="21"/>
  <c r="O25" i="21"/>
  <c r="N25" i="21"/>
  <c r="M25" i="21"/>
  <c r="L25" i="21"/>
  <c r="K25" i="21"/>
  <c r="J25" i="21"/>
  <c r="I25" i="21"/>
  <c r="H25" i="21"/>
  <c r="G25" i="21"/>
  <c r="F25" i="21"/>
  <c r="O24" i="21"/>
  <c r="N24" i="21"/>
  <c r="M24" i="21"/>
  <c r="L24" i="21"/>
  <c r="K24" i="21"/>
  <c r="J24" i="21"/>
  <c r="I24" i="21"/>
  <c r="H24" i="21"/>
  <c r="G24" i="21"/>
  <c r="F24" i="21"/>
  <c r="O23" i="21"/>
  <c r="O22" i="21" s="1"/>
  <c r="AB8" i="21" s="1"/>
  <c r="N23" i="21"/>
  <c r="M23" i="21"/>
  <c r="L23" i="21"/>
  <c r="K23" i="21"/>
  <c r="J23" i="21"/>
  <c r="I23" i="21"/>
  <c r="H23" i="21"/>
  <c r="H22" i="21" s="1"/>
  <c r="U8" i="21" s="1"/>
  <c r="G23" i="21"/>
  <c r="G22" i="21" s="1"/>
  <c r="T8" i="21" s="1"/>
  <c r="F23" i="21"/>
  <c r="N21" i="21"/>
  <c r="M21" i="21"/>
  <c r="L21" i="21"/>
  <c r="K21" i="21"/>
  <c r="J21" i="21"/>
  <c r="I21" i="21"/>
  <c r="H21" i="21"/>
  <c r="G21" i="21"/>
  <c r="F21" i="21"/>
  <c r="N20" i="21"/>
  <c r="M20" i="21"/>
  <c r="L20" i="21"/>
  <c r="K20" i="21"/>
  <c r="J20" i="21"/>
  <c r="I20" i="21"/>
  <c r="H20" i="21"/>
  <c r="G20" i="21"/>
  <c r="F20" i="21"/>
  <c r="N19" i="21"/>
  <c r="M19" i="21"/>
  <c r="L19" i="21"/>
  <c r="K19" i="21"/>
  <c r="J19" i="21"/>
  <c r="I19" i="21"/>
  <c r="H19" i="21"/>
  <c r="G19" i="21"/>
  <c r="F19" i="21"/>
  <c r="N18" i="21"/>
  <c r="M18" i="21"/>
  <c r="L18" i="21"/>
  <c r="K18" i="21"/>
  <c r="J18" i="21"/>
  <c r="I18" i="21"/>
  <c r="H18" i="21"/>
  <c r="G18" i="21"/>
  <c r="F18" i="21"/>
  <c r="N17" i="21"/>
  <c r="M17" i="21"/>
  <c r="L17" i="21"/>
  <c r="K17" i="21"/>
  <c r="J17" i="21"/>
  <c r="I17" i="21"/>
  <c r="H17" i="21"/>
  <c r="G17" i="21"/>
  <c r="F17" i="21"/>
  <c r="N16" i="21"/>
  <c r="M16" i="21"/>
  <c r="L16" i="21"/>
  <c r="K16" i="21"/>
  <c r="J16" i="21"/>
  <c r="I16" i="21"/>
  <c r="H16" i="21"/>
  <c r="G16" i="21"/>
  <c r="F16" i="21"/>
  <c r="N15" i="21"/>
  <c r="M15" i="21"/>
  <c r="L15" i="21"/>
  <c r="K15" i="21"/>
  <c r="J15" i="21"/>
  <c r="I15" i="21"/>
  <c r="H15" i="21"/>
  <c r="G15" i="21"/>
  <c r="F15" i="21"/>
  <c r="N14" i="21"/>
  <c r="M14" i="21"/>
  <c r="L14" i="21"/>
  <c r="K14" i="21"/>
  <c r="J14" i="21"/>
  <c r="I14" i="21"/>
  <c r="H14" i="21"/>
  <c r="G14" i="21"/>
  <c r="F14" i="21"/>
  <c r="N13" i="21"/>
  <c r="M13" i="21"/>
  <c r="L13" i="21"/>
  <c r="K13" i="21"/>
  <c r="J13" i="21"/>
  <c r="I13" i="21"/>
  <c r="H13" i="21"/>
  <c r="G13" i="21"/>
  <c r="F13" i="21"/>
  <c r="N12" i="21"/>
  <c r="M12" i="21"/>
  <c r="L12" i="21"/>
  <c r="K12" i="21"/>
  <c r="J12" i="21"/>
  <c r="I12" i="21"/>
  <c r="H12" i="21"/>
  <c r="G12" i="21"/>
  <c r="F12" i="21"/>
  <c r="AB11" i="21"/>
  <c r="AA11" i="21"/>
  <c r="N11" i="21"/>
  <c r="M11" i="21"/>
  <c r="L11" i="21"/>
  <c r="K11" i="21"/>
  <c r="J11" i="21"/>
  <c r="I11" i="21"/>
  <c r="H11" i="21"/>
  <c r="H10" i="21" s="1"/>
  <c r="U7" i="21" s="1"/>
  <c r="G11" i="21"/>
  <c r="F11" i="21"/>
  <c r="N9" i="21"/>
  <c r="M9" i="21"/>
  <c r="L9" i="21"/>
  <c r="K9" i="21"/>
  <c r="J9" i="21"/>
  <c r="I9" i="21"/>
  <c r="H9" i="21"/>
  <c r="G9" i="21"/>
  <c r="F9" i="21"/>
  <c r="N8" i="21"/>
  <c r="M8" i="21"/>
  <c r="L8" i="21"/>
  <c r="K8" i="21"/>
  <c r="K5" i="21" s="1"/>
  <c r="X6" i="21" s="1"/>
  <c r="J8" i="21"/>
  <c r="I8" i="21"/>
  <c r="H8" i="21"/>
  <c r="G8" i="21"/>
  <c r="F8" i="21"/>
  <c r="N7" i="21"/>
  <c r="M7" i="21"/>
  <c r="L7" i="21"/>
  <c r="K7" i="21"/>
  <c r="J7" i="21"/>
  <c r="I7" i="21"/>
  <c r="H7" i="21"/>
  <c r="G7" i="21"/>
  <c r="F7" i="21"/>
  <c r="N6" i="21"/>
  <c r="M6" i="21"/>
  <c r="M5" i="21" s="1"/>
  <c r="Z6" i="21" s="1"/>
  <c r="L6" i="21"/>
  <c r="K6" i="21"/>
  <c r="J6" i="21"/>
  <c r="I6" i="21"/>
  <c r="H6" i="21"/>
  <c r="G6" i="21"/>
  <c r="F6" i="21"/>
  <c r="F5" i="21"/>
  <c r="S6" i="21" s="1"/>
  <c r="I11" i="9"/>
  <c r="F30" i="9"/>
  <c r="F5" i="9"/>
  <c r="T13" i="14"/>
  <c r="T8" i="14"/>
  <c r="T9" i="14"/>
  <c r="T10" i="14"/>
  <c r="T11" i="14"/>
  <c r="T12" i="14"/>
  <c r="T7" i="14"/>
  <c r="R13" i="14"/>
  <c r="P13" i="14"/>
  <c r="L13" i="14"/>
  <c r="S8" i="14"/>
  <c r="S9" i="14"/>
  <c r="S11" i="14"/>
  <c r="S12" i="14"/>
  <c r="S7" i="14"/>
  <c r="E5" i="17"/>
  <c r="J5" i="17" s="1"/>
  <c r="N13" i="10"/>
  <c r="O39" i="2"/>
  <c r="O40" i="2"/>
  <c r="O41" i="2"/>
  <c r="O42" i="2"/>
  <c r="O43" i="2"/>
  <c r="O38" i="2"/>
  <c r="O32" i="2"/>
  <c r="O33" i="2"/>
  <c r="O34" i="2"/>
  <c r="O36" i="2"/>
  <c r="O31" i="2"/>
  <c r="O24" i="2"/>
  <c r="O25" i="2"/>
  <c r="O26" i="2"/>
  <c r="O27" i="2"/>
  <c r="O28" i="2"/>
  <c r="O29" i="2"/>
  <c r="O23" i="2"/>
  <c r="O12" i="2"/>
  <c r="O13" i="2"/>
  <c r="O14" i="2"/>
  <c r="O15" i="2"/>
  <c r="O16" i="2"/>
  <c r="O17" i="2"/>
  <c r="O18" i="2"/>
  <c r="O19" i="2"/>
  <c r="O20" i="2"/>
  <c r="O21" i="2"/>
  <c r="O11" i="2"/>
  <c r="O7" i="2"/>
  <c r="O8" i="2"/>
  <c r="O9" i="2"/>
  <c r="N46" i="2"/>
  <c r="N47" i="2"/>
  <c r="N48" i="2"/>
  <c r="N49" i="2"/>
  <c r="N45" i="2"/>
  <c r="N39" i="2"/>
  <c r="N40" i="2"/>
  <c r="N41" i="2"/>
  <c r="N42" i="2"/>
  <c r="N43" i="2"/>
  <c r="N38" i="2"/>
  <c r="N32" i="2"/>
  <c r="N33" i="2"/>
  <c r="N34" i="2"/>
  <c r="N36" i="2"/>
  <c r="N31" i="2"/>
  <c r="N24" i="2"/>
  <c r="N25" i="2"/>
  <c r="N26" i="2"/>
  <c r="N27" i="2"/>
  <c r="N28" i="2"/>
  <c r="N29" i="2"/>
  <c r="N23" i="2"/>
  <c r="N12" i="2"/>
  <c r="N13" i="2"/>
  <c r="N14" i="2"/>
  <c r="N15" i="2"/>
  <c r="N16" i="2"/>
  <c r="N17" i="2"/>
  <c r="N18" i="2"/>
  <c r="N19" i="2"/>
  <c r="N20" i="2"/>
  <c r="N21" i="2"/>
  <c r="N11" i="2"/>
  <c r="N7" i="2"/>
  <c r="N8" i="2"/>
  <c r="N9" i="2"/>
  <c r="N6" i="2"/>
  <c r="P51" i="10"/>
  <c r="P52" i="10"/>
  <c r="P53" i="10"/>
  <c r="P54" i="10"/>
  <c r="P50" i="10"/>
  <c r="P44" i="10"/>
  <c r="P45" i="10"/>
  <c r="P46" i="10"/>
  <c r="P47" i="10"/>
  <c r="P48" i="10"/>
  <c r="P43" i="10"/>
  <c r="P37" i="10"/>
  <c r="P38" i="10"/>
  <c r="P39" i="10"/>
  <c r="P41" i="10"/>
  <c r="P36" i="10"/>
  <c r="P29" i="10"/>
  <c r="P30" i="10"/>
  <c r="P31" i="10"/>
  <c r="P32" i="10"/>
  <c r="P33" i="10"/>
  <c r="P34" i="10"/>
  <c r="P28" i="10"/>
  <c r="P17" i="10"/>
  <c r="P18" i="10"/>
  <c r="P19" i="10"/>
  <c r="P20" i="10"/>
  <c r="P21" i="10"/>
  <c r="P22" i="10"/>
  <c r="P23" i="10"/>
  <c r="P24" i="10"/>
  <c r="P25" i="10"/>
  <c r="P26" i="10"/>
  <c r="P16" i="10"/>
  <c r="P12" i="10"/>
  <c r="P13" i="10"/>
  <c r="P14" i="10"/>
  <c r="P11" i="10"/>
  <c r="O51" i="10"/>
  <c r="O52" i="10"/>
  <c r="O53" i="10"/>
  <c r="O54" i="10"/>
  <c r="O50" i="10"/>
  <c r="O44" i="10"/>
  <c r="O45" i="10"/>
  <c r="O46" i="10"/>
  <c r="O47" i="10"/>
  <c r="O48" i="10"/>
  <c r="O43" i="10"/>
  <c r="O37" i="10"/>
  <c r="O38" i="10"/>
  <c r="O39" i="10"/>
  <c r="O41" i="10"/>
  <c r="O36" i="10"/>
  <c r="O29" i="10"/>
  <c r="O30" i="10"/>
  <c r="O31" i="10"/>
  <c r="O32" i="10"/>
  <c r="O33" i="10"/>
  <c r="O34" i="10"/>
  <c r="O28" i="10"/>
  <c r="O17" i="10"/>
  <c r="O18" i="10"/>
  <c r="O19" i="10"/>
  <c r="O20" i="10"/>
  <c r="O21" i="10"/>
  <c r="O22" i="10"/>
  <c r="O23" i="10"/>
  <c r="O24" i="10"/>
  <c r="O25" i="10"/>
  <c r="O26" i="10"/>
  <c r="O16" i="10"/>
  <c r="O12" i="10"/>
  <c r="O13" i="10"/>
  <c r="O14" i="10"/>
  <c r="O11" i="10"/>
  <c r="N51" i="10"/>
  <c r="N52" i="10"/>
  <c r="N53" i="10"/>
  <c r="N54" i="10"/>
  <c r="N50" i="10"/>
  <c r="N44" i="10"/>
  <c r="N45" i="10"/>
  <c r="N46" i="10"/>
  <c r="N47" i="10"/>
  <c r="N48" i="10"/>
  <c r="N43" i="10"/>
  <c r="N37" i="10"/>
  <c r="N38" i="10"/>
  <c r="N39" i="10"/>
  <c r="N41" i="10"/>
  <c r="N36" i="10"/>
  <c r="N29" i="10"/>
  <c r="N30" i="10"/>
  <c r="N31" i="10"/>
  <c r="N32" i="10"/>
  <c r="N33" i="10"/>
  <c r="N34" i="10"/>
  <c r="N28" i="10"/>
  <c r="N17" i="10"/>
  <c r="N18" i="10"/>
  <c r="N19" i="10"/>
  <c r="N20" i="10"/>
  <c r="N21" i="10"/>
  <c r="N22" i="10"/>
  <c r="N23" i="10"/>
  <c r="N24" i="10"/>
  <c r="N25" i="10"/>
  <c r="N26" i="10"/>
  <c r="N16" i="10"/>
  <c r="N12" i="10"/>
  <c r="N14" i="10"/>
  <c r="N11" i="10"/>
  <c r="F48" i="19"/>
  <c r="F47" i="19"/>
  <c r="F46" i="19"/>
  <c r="F45" i="19"/>
  <c r="F44" i="19"/>
  <c r="F43" i="19"/>
  <c r="I10" i="19" s="1"/>
  <c r="E43" i="19"/>
  <c r="J10" i="19" s="1"/>
  <c r="F42" i="19"/>
  <c r="F41" i="19"/>
  <c r="F40" i="19"/>
  <c r="F39" i="19"/>
  <c r="F38" i="19"/>
  <c r="F37" i="19"/>
  <c r="F36" i="19"/>
  <c r="I9" i="19" s="1"/>
  <c r="E36" i="19"/>
  <c r="J9" i="19" s="1"/>
  <c r="F35" i="19"/>
  <c r="F34" i="19"/>
  <c r="F33" i="19"/>
  <c r="F32" i="19"/>
  <c r="F31" i="19"/>
  <c r="F30" i="19"/>
  <c r="I8" i="19" s="1"/>
  <c r="E30" i="19"/>
  <c r="J8" i="19" s="1"/>
  <c r="F29" i="19"/>
  <c r="F28" i="19"/>
  <c r="F27" i="19"/>
  <c r="F26" i="19"/>
  <c r="F25" i="19"/>
  <c r="F24" i="19"/>
  <c r="F23" i="19"/>
  <c r="F22" i="19"/>
  <c r="I7" i="19" s="1"/>
  <c r="E22" i="19"/>
  <c r="J7" i="19" s="1"/>
  <c r="F21" i="19"/>
  <c r="F20" i="19"/>
  <c r="F19" i="19"/>
  <c r="F18" i="19"/>
  <c r="F17" i="19"/>
  <c r="F16" i="19"/>
  <c r="F15" i="19"/>
  <c r="F14" i="19"/>
  <c r="F13" i="19"/>
  <c r="F12" i="19"/>
  <c r="F11" i="19"/>
  <c r="F10" i="19" s="1"/>
  <c r="I6" i="19" s="1"/>
  <c r="E10" i="19"/>
  <c r="F9" i="19"/>
  <c r="F8" i="19"/>
  <c r="F7" i="19"/>
  <c r="J6" i="19"/>
  <c r="F6" i="19"/>
  <c r="F5" i="19" s="1"/>
  <c r="I5" i="19" s="1"/>
  <c r="E5" i="19"/>
  <c r="J5" i="19" s="1"/>
  <c r="F48" i="18"/>
  <c r="F47" i="18"/>
  <c r="F46" i="18"/>
  <c r="F45" i="18"/>
  <c r="F44" i="18"/>
  <c r="F43" i="18" s="1"/>
  <c r="I10" i="18" s="1"/>
  <c r="E43" i="18"/>
  <c r="J10" i="18" s="1"/>
  <c r="F42" i="18"/>
  <c r="F41" i="18"/>
  <c r="F36" i="18" s="1"/>
  <c r="I9" i="18" s="1"/>
  <c r="F40" i="18"/>
  <c r="F39" i="18"/>
  <c r="F38" i="18"/>
  <c r="F37" i="18"/>
  <c r="E36" i="18"/>
  <c r="J8" i="18" s="1"/>
  <c r="F35" i="18"/>
  <c r="F30" i="18" s="1"/>
  <c r="I8" i="18" s="1"/>
  <c r="F34" i="18"/>
  <c r="F33" i="18"/>
  <c r="F32" i="18"/>
  <c r="F31" i="18"/>
  <c r="F29" i="18"/>
  <c r="F28" i="18"/>
  <c r="F27" i="18"/>
  <c r="F26" i="18"/>
  <c r="F25" i="18"/>
  <c r="F24" i="18"/>
  <c r="F22" i="18" s="1"/>
  <c r="I7" i="18" s="1"/>
  <c r="F23" i="18"/>
  <c r="E22" i="18"/>
  <c r="J7" i="18" s="1"/>
  <c r="F21" i="18"/>
  <c r="F20" i="18"/>
  <c r="F19" i="18"/>
  <c r="F18" i="18"/>
  <c r="F17" i="18"/>
  <c r="F16" i="18"/>
  <c r="F15" i="18"/>
  <c r="F14" i="18"/>
  <c r="F13" i="18"/>
  <c r="F12" i="18"/>
  <c r="F11" i="18"/>
  <c r="E10" i="18"/>
  <c r="J6" i="18" s="1"/>
  <c r="F9" i="18"/>
  <c r="F8" i="18"/>
  <c r="F7" i="18"/>
  <c r="F6" i="18"/>
  <c r="F5" i="18" s="1"/>
  <c r="I5" i="18" s="1"/>
  <c r="E5" i="18"/>
  <c r="J5" i="18" s="1"/>
  <c r="F48" i="17"/>
  <c r="F47" i="17"/>
  <c r="F46" i="17"/>
  <c r="F45" i="17"/>
  <c r="F44" i="17"/>
  <c r="E43" i="17"/>
  <c r="J10" i="17" s="1"/>
  <c r="F42" i="17"/>
  <c r="F41" i="17"/>
  <c r="F40" i="17"/>
  <c r="E36" i="17"/>
  <c r="F38" i="17"/>
  <c r="F37" i="17"/>
  <c r="F35" i="17"/>
  <c r="F34" i="17"/>
  <c r="F33" i="17"/>
  <c r="F32" i="17"/>
  <c r="F31" i="17"/>
  <c r="F29" i="17"/>
  <c r="F28" i="17"/>
  <c r="F27" i="17"/>
  <c r="F26" i="17"/>
  <c r="F25" i="17"/>
  <c r="F24" i="17"/>
  <c r="F23" i="17"/>
  <c r="E22" i="17"/>
  <c r="J7" i="17" s="1"/>
  <c r="F21" i="17"/>
  <c r="F20" i="17"/>
  <c r="F19" i="17"/>
  <c r="F18" i="17"/>
  <c r="F17" i="17"/>
  <c r="F16" i="17"/>
  <c r="F15" i="17"/>
  <c r="F14" i="17"/>
  <c r="F13" i="17"/>
  <c r="F12" i="17"/>
  <c r="F11" i="17"/>
  <c r="E10" i="17"/>
  <c r="J6" i="17" s="1"/>
  <c r="F9" i="17"/>
  <c r="F8" i="17"/>
  <c r="F7" i="17"/>
  <c r="F6" i="17"/>
  <c r="D13" i="14"/>
  <c r="M49" i="2"/>
  <c r="L49" i="2"/>
  <c r="K49" i="2"/>
  <c r="J49" i="2"/>
  <c r="Y49" i="2" s="1"/>
  <c r="I49" i="2"/>
  <c r="H49" i="2"/>
  <c r="G49" i="2"/>
  <c r="M48" i="2"/>
  <c r="L48" i="2"/>
  <c r="K48" i="2"/>
  <c r="J48" i="2"/>
  <c r="Y48" i="2" s="1"/>
  <c r="I48" i="2"/>
  <c r="H48" i="2"/>
  <c r="G48" i="2"/>
  <c r="M47" i="2"/>
  <c r="L47" i="2"/>
  <c r="K47" i="2"/>
  <c r="J47" i="2"/>
  <c r="Y47" i="2" s="1"/>
  <c r="I47" i="2"/>
  <c r="H47" i="2"/>
  <c r="G47" i="2"/>
  <c r="M46" i="2"/>
  <c r="L46" i="2"/>
  <c r="K46" i="2"/>
  <c r="J46" i="2"/>
  <c r="Y46" i="2" s="1"/>
  <c r="I46" i="2"/>
  <c r="H46" i="2"/>
  <c r="G46" i="2"/>
  <c r="M45" i="2"/>
  <c r="L45" i="2"/>
  <c r="K45" i="2"/>
  <c r="J45" i="2"/>
  <c r="I45" i="2"/>
  <c r="H45" i="2"/>
  <c r="G45" i="2"/>
  <c r="M43" i="2"/>
  <c r="L43" i="2"/>
  <c r="K43" i="2"/>
  <c r="J43" i="2"/>
  <c r="I43" i="2"/>
  <c r="H43" i="2"/>
  <c r="G43" i="2"/>
  <c r="M42" i="2"/>
  <c r="L42" i="2"/>
  <c r="K42" i="2"/>
  <c r="J42" i="2"/>
  <c r="I42" i="2"/>
  <c r="H42" i="2"/>
  <c r="G42" i="2"/>
  <c r="M41" i="2"/>
  <c r="L41" i="2"/>
  <c r="K41" i="2"/>
  <c r="J41" i="2"/>
  <c r="I41" i="2"/>
  <c r="H41" i="2"/>
  <c r="G41" i="2"/>
  <c r="L40" i="2"/>
  <c r="K40" i="2"/>
  <c r="J40" i="2"/>
  <c r="I40" i="2"/>
  <c r="H40" i="2"/>
  <c r="G40" i="2"/>
  <c r="M39" i="2"/>
  <c r="L39" i="2"/>
  <c r="K39" i="2"/>
  <c r="J39" i="2"/>
  <c r="I39" i="2"/>
  <c r="H39" i="2"/>
  <c r="G39" i="2"/>
  <c r="M38" i="2"/>
  <c r="L38" i="2"/>
  <c r="K38" i="2"/>
  <c r="J38" i="2"/>
  <c r="I38" i="2"/>
  <c r="H38" i="2"/>
  <c r="G38" i="2"/>
  <c r="M36" i="2"/>
  <c r="L36" i="2"/>
  <c r="K36" i="2"/>
  <c r="J36" i="2"/>
  <c r="I36" i="2"/>
  <c r="H36" i="2"/>
  <c r="G36" i="2"/>
  <c r="M34" i="2"/>
  <c r="L34" i="2"/>
  <c r="K34" i="2"/>
  <c r="J34" i="2"/>
  <c r="I34" i="2"/>
  <c r="H34" i="2"/>
  <c r="G34" i="2"/>
  <c r="M33" i="2"/>
  <c r="L33" i="2"/>
  <c r="K33" i="2"/>
  <c r="J33" i="2"/>
  <c r="I33" i="2"/>
  <c r="H33" i="2"/>
  <c r="G33" i="2"/>
  <c r="M32" i="2"/>
  <c r="L32" i="2"/>
  <c r="K32" i="2"/>
  <c r="J32" i="2"/>
  <c r="I32" i="2"/>
  <c r="H32" i="2"/>
  <c r="G32" i="2"/>
  <c r="M31" i="2"/>
  <c r="L31" i="2"/>
  <c r="K31" i="2"/>
  <c r="J31" i="2"/>
  <c r="I31" i="2"/>
  <c r="H31" i="2"/>
  <c r="G31" i="2"/>
  <c r="M29" i="2"/>
  <c r="L29" i="2"/>
  <c r="K29" i="2"/>
  <c r="J29" i="2"/>
  <c r="I29" i="2"/>
  <c r="H29" i="2"/>
  <c r="G29" i="2"/>
  <c r="M28" i="2"/>
  <c r="L28" i="2"/>
  <c r="K28" i="2"/>
  <c r="J28" i="2"/>
  <c r="I28" i="2"/>
  <c r="H28" i="2"/>
  <c r="G28" i="2"/>
  <c r="M27" i="2"/>
  <c r="L27" i="2"/>
  <c r="K27" i="2"/>
  <c r="J27" i="2"/>
  <c r="I27" i="2"/>
  <c r="H27" i="2"/>
  <c r="G27" i="2"/>
  <c r="M26" i="2"/>
  <c r="L26" i="2"/>
  <c r="K26" i="2"/>
  <c r="J26" i="2"/>
  <c r="I26" i="2"/>
  <c r="H26" i="2"/>
  <c r="G26" i="2"/>
  <c r="M25" i="2"/>
  <c r="L25" i="2"/>
  <c r="K25" i="2"/>
  <c r="J25" i="2"/>
  <c r="I25" i="2"/>
  <c r="H25" i="2"/>
  <c r="G25" i="2"/>
  <c r="M24" i="2"/>
  <c r="L24" i="2"/>
  <c r="K24" i="2"/>
  <c r="J24" i="2"/>
  <c r="I24" i="2"/>
  <c r="H24" i="2"/>
  <c r="G24" i="2"/>
  <c r="M23" i="2"/>
  <c r="L23" i="2"/>
  <c r="K23" i="2"/>
  <c r="J23" i="2"/>
  <c r="I23" i="2"/>
  <c r="H23" i="2"/>
  <c r="G23" i="2"/>
  <c r="M21" i="2"/>
  <c r="L21" i="2"/>
  <c r="K21" i="2"/>
  <c r="J21" i="2"/>
  <c r="I21" i="2"/>
  <c r="H21" i="2"/>
  <c r="G21" i="2"/>
  <c r="M20" i="2"/>
  <c r="L20" i="2"/>
  <c r="K20" i="2"/>
  <c r="J20" i="2"/>
  <c r="I20" i="2"/>
  <c r="H20" i="2"/>
  <c r="G20" i="2"/>
  <c r="M19" i="2"/>
  <c r="L19" i="2"/>
  <c r="K19" i="2"/>
  <c r="J19" i="2"/>
  <c r="I19" i="2"/>
  <c r="H19" i="2"/>
  <c r="G19" i="2"/>
  <c r="M18" i="2"/>
  <c r="L18" i="2"/>
  <c r="K18" i="2"/>
  <c r="J18" i="2"/>
  <c r="I18" i="2"/>
  <c r="H18" i="2"/>
  <c r="G18" i="2"/>
  <c r="M17" i="2"/>
  <c r="L17" i="2"/>
  <c r="K17" i="2"/>
  <c r="J17" i="2"/>
  <c r="I17" i="2"/>
  <c r="H17" i="2"/>
  <c r="G17" i="2"/>
  <c r="M16" i="2"/>
  <c r="L16" i="2"/>
  <c r="K16" i="2"/>
  <c r="J16" i="2"/>
  <c r="I16" i="2"/>
  <c r="H16" i="2"/>
  <c r="G16" i="2"/>
  <c r="M15" i="2"/>
  <c r="L15" i="2"/>
  <c r="K15" i="2"/>
  <c r="J15" i="2"/>
  <c r="I15" i="2"/>
  <c r="H15" i="2"/>
  <c r="G15" i="2"/>
  <c r="M14" i="2"/>
  <c r="L14" i="2"/>
  <c r="K14" i="2"/>
  <c r="J14" i="2"/>
  <c r="I14" i="2"/>
  <c r="H14" i="2"/>
  <c r="G14" i="2"/>
  <c r="M13" i="2"/>
  <c r="L13" i="2"/>
  <c r="K13" i="2"/>
  <c r="J13" i="2"/>
  <c r="I13" i="2"/>
  <c r="H13" i="2"/>
  <c r="G13" i="2"/>
  <c r="M12" i="2"/>
  <c r="L12" i="2"/>
  <c r="K12" i="2"/>
  <c r="J12" i="2"/>
  <c r="I12" i="2"/>
  <c r="H12" i="2"/>
  <c r="G12" i="2"/>
  <c r="AN11" i="2"/>
  <c r="M11" i="2"/>
  <c r="L11" i="2"/>
  <c r="K11" i="2"/>
  <c r="J11" i="2"/>
  <c r="I11" i="2"/>
  <c r="H11" i="2"/>
  <c r="G11" i="2"/>
  <c r="M9" i="2"/>
  <c r="L9" i="2"/>
  <c r="K9" i="2"/>
  <c r="J9" i="2"/>
  <c r="I9" i="2"/>
  <c r="H9" i="2"/>
  <c r="G9" i="2"/>
  <c r="M8" i="2"/>
  <c r="K8" i="2"/>
  <c r="J8" i="2"/>
  <c r="I8" i="2"/>
  <c r="H8" i="2"/>
  <c r="G8" i="2"/>
  <c r="L7" i="2"/>
  <c r="K7" i="2"/>
  <c r="J7" i="2"/>
  <c r="I7" i="2"/>
  <c r="H7" i="2"/>
  <c r="G7" i="2"/>
  <c r="K6" i="2"/>
  <c r="J6" i="2"/>
  <c r="M54" i="10"/>
  <c r="K54" i="10"/>
  <c r="J54" i="10"/>
  <c r="I54" i="10"/>
  <c r="G54" i="10"/>
  <c r="M53" i="10"/>
  <c r="K53" i="10"/>
  <c r="J53" i="10"/>
  <c r="I53" i="10"/>
  <c r="H53" i="10"/>
  <c r="G53" i="10"/>
  <c r="M52" i="10"/>
  <c r="K52" i="10"/>
  <c r="J52" i="10"/>
  <c r="I52" i="10"/>
  <c r="G52" i="10"/>
  <c r="M51" i="10"/>
  <c r="K51" i="10"/>
  <c r="J51" i="10"/>
  <c r="I51" i="10"/>
  <c r="G51" i="10"/>
  <c r="M50" i="10"/>
  <c r="K50" i="10"/>
  <c r="J50" i="10"/>
  <c r="I50" i="10"/>
  <c r="G50" i="10"/>
  <c r="M48" i="10"/>
  <c r="K48" i="10"/>
  <c r="J48" i="10"/>
  <c r="I48" i="10"/>
  <c r="G48" i="10"/>
  <c r="M47" i="10"/>
  <c r="K47" i="10"/>
  <c r="J47" i="10"/>
  <c r="I47" i="10"/>
  <c r="G47" i="10"/>
  <c r="M46" i="10"/>
  <c r="K46" i="10"/>
  <c r="J46" i="10"/>
  <c r="I46" i="10"/>
  <c r="G46" i="10"/>
  <c r="K45" i="10"/>
  <c r="J45" i="10"/>
  <c r="I45" i="10"/>
  <c r="G45" i="10"/>
  <c r="M44" i="10"/>
  <c r="K44" i="10"/>
  <c r="J44" i="10"/>
  <c r="I44" i="10"/>
  <c r="G44" i="10"/>
  <c r="M43" i="10"/>
  <c r="K43" i="10"/>
  <c r="J43" i="10"/>
  <c r="I43" i="10"/>
  <c r="G43" i="10"/>
  <c r="M41" i="10"/>
  <c r="K41" i="10"/>
  <c r="J41" i="10"/>
  <c r="I41" i="10"/>
  <c r="G41" i="10"/>
  <c r="M39" i="10"/>
  <c r="K39" i="10"/>
  <c r="J39" i="10"/>
  <c r="I39" i="10"/>
  <c r="G39" i="10"/>
  <c r="M38" i="10"/>
  <c r="K38" i="10"/>
  <c r="J38" i="10"/>
  <c r="I38" i="10"/>
  <c r="G38" i="10"/>
  <c r="M37" i="10"/>
  <c r="K37" i="10"/>
  <c r="J37" i="10"/>
  <c r="I37" i="10"/>
  <c r="G37" i="10"/>
  <c r="M36" i="10"/>
  <c r="L36" i="10"/>
  <c r="K36" i="10"/>
  <c r="J36" i="10"/>
  <c r="I36" i="10"/>
  <c r="H36" i="10"/>
  <c r="G36" i="10"/>
  <c r="M34" i="10"/>
  <c r="L34" i="10"/>
  <c r="K34" i="10"/>
  <c r="J34" i="10"/>
  <c r="I34" i="10"/>
  <c r="G34" i="10"/>
  <c r="M33" i="10"/>
  <c r="K33" i="10"/>
  <c r="J33" i="10"/>
  <c r="I33" i="10"/>
  <c r="G33" i="10"/>
  <c r="M32" i="10"/>
  <c r="K32" i="10"/>
  <c r="J32" i="10"/>
  <c r="I32" i="10"/>
  <c r="G32" i="10"/>
  <c r="M31" i="10"/>
  <c r="K31" i="10"/>
  <c r="J31" i="10"/>
  <c r="I31" i="10"/>
  <c r="G31" i="10"/>
  <c r="M30" i="10"/>
  <c r="K30" i="10"/>
  <c r="J30" i="10"/>
  <c r="I30" i="10"/>
  <c r="G30" i="10"/>
  <c r="M29" i="10"/>
  <c r="K29" i="10"/>
  <c r="J29" i="10"/>
  <c r="I29" i="10"/>
  <c r="G29" i="10"/>
  <c r="M28" i="10"/>
  <c r="K28" i="10"/>
  <c r="J28" i="10"/>
  <c r="I28" i="10"/>
  <c r="G28" i="10"/>
  <c r="M26" i="10"/>
  <c r="K26" i="10"/>
  <c r="J26" i="10"/>
  <c r="I26" i="10"/>
  <c r="G26" i="10"/>
  <c r="M25" i="10"/>
  <c r="L25" i="10"/>
  <c r="K25" i="10"/>
  <c r="J25" i="10"/>
  <c r="I25" i="10"/>
  <c r="G25" i="10"/>
  <c r="M24" i="10"/>
  <c r="L24" i="10"/>
  <c r="K24" i="10"/>
  <c r="J24" i="10"/>
  <c r="I24" i="10"/>
  <c r="G24" i="10"/>
  <c r="M23" i="10"/>
  <c r="K23" i="10"/>
  <c r="J23" i="10"/>
  <c r="I23" i="10"/>
  <c r="G23" i="10"/>
  <c r="M22" i="10"/>
  <c r="L22" i="10"/>
  <c r="K22" i="10"/>
  <c r="J22" i="10"/>
  <c r="I22" i="10"/>
  <c r="G22" i="10"/>
  <c r="M21" i="10"/>
  <c r="K21" i="10"/>
  <c r="J21" i="10"/>
  <c r="I21" i="10"/>
  <c r="G21" i="10"/>
  <c r="M20" i="10"/>
  <c r="K20" i="10"/>
  <c r="J20" i="10"/>
  <c r="I20" i="10"/>
  <c r="G20" i="10"/>
  <c r="M19" i="10"/>
  <c r="K19" i="10"/>
  <c r="J19" i="10"/>
  <c r="I19" i="10"/>
  <c r="G19" i="10"/>
  <c r="M18" i="10"/>
  <c r="K18" i="10"/>
  <c r="J18" i="10"/>
  <c r="I18" i="10"/>
  <c r="G18" i="10"/>
  <c r="M17" i="10"/>
  <c r="K17" i="10"/>
  <c r="J17" i="10"/>
  <c r="I17" i="10"/>
  <c r="G17" i="10"/>
  <c r="M16" i="10"/>
  <c r="L16" i="10"/>
  <c r="K16" i="10"/>
  <c r="J16" i="10"/>
  <c r="I16" i="10"/>
  <c r="G16" i="10"/>
  <c r="M14" i="10"/>
  <c r="K14" i="10"/>
  <c r="J14" i="10"/>
  <c r="I14" i="10"/>
  <c r="H14" i="10"/>
  <c r="G14" i="10"/>
  <c r="M13" i="10"/>
  <c r="L13" i="10"/>
  <c r="K13" i="10"/>
  <c r="J13" i="10"/>
  <c r="I13" i="10"/>
  <c r="G13" i="10"/>
  <c r="M12" i="10"/>
  <c r="L12" i="10"/>
  <c r="K12" i="10"/>
  <c r="J12" i="10"/>
  <c r="I12" i="10"/>
  <c r="G12" i="10"/>
  <c r="K11" i="10"/>
  <c r="J11" i="10"/>
  <c r="F48" i="4"/>
  <c r="F47" i="4"/>
  <c r="F46" i="4"/>
  <c r="F45" i="4"/>
  <c r="F44" i="4"/>
  <c r="F43" i="4" s="1"/>
  <c r="E43" i="4"/>
  <c r="Q12" i="14" s="1"/>
  <c r="F42" i="4"/>
  <c r="F41" i="4"/>
  <c r="F40" i="4"/>
  <c r="E39" i="4"/>
  <c r="F38" i="4"/>
  <c r="F37" i="4"/>
  <c r="E36" i="4"/>
  <c r="F35" i="4"/>
  <c r="F34" i="4"/>
  <c r="F33" i="4"/>
  <c r="F30" i="4" s="1"/>
  <c r="I8" i="4" s="1"/>
  <c r="F32" i="4"/>
  <c r="F31" i="4"/>
  <c r="F29" i="4"/>
  <c r="F28" i="4"/>
  <c r="F27" i="4"/>
  <c r="F26" i="4"/>
  <c r="F25" i="4"/>
  <c r="F24" i="4"/>
  <c r="F23" i="4"/>
  <c r="E22" i="4"/>
  <c r="F21" i="4"/>
  <c r="F20" i="4"/>
  <c r="F19" i="4"/>
  <c r="F18" i="4"/>
  <c r="F17" i="4"/>
  <c r="F16" i="4"/>
  <c r="F15" i="4"/>
  <c r="F14" i="4"/>
  <c r="F13" i="4"/>
  <c r="F12" i="4"/>
  <c r="F11" i="4"/>
  <c r="F10" i="4" s="1"/>
  <c r="I6" i="4" s="1"/>
  <c r="J10" i="4"/>
  <c r="E10" i="4"/>
  <c r="Q8" i="14" s="1"/>
  <c r="F9" i="4"/>
  <c r="F8" i="4"/>
  <c r="F7" i="4"/>
  <c r="E7" i="4"/>
  <c r="M7" i="2" s="1"/>
  <c r="J6" i="4"/>
  <c r="E6" i="4"/>
  <c r="M11" i="10" s="1"/>
  <c r="F48" i="1"/>
  <c r="L54" i="10" s="1"/>
  <c r="F47" i="1"/>
  <c r="L53" i="10" s="1"/>
  <c r="F46" i="1"/>
  <c r="L52" i="10" s="1"/>
  <c r="F45" i="1"/>
  <c r="L51" i="10" s="1"/>
  <c r="F44" i="1"/>
  <c r="L50" i="10" s="1"/>
  <c r="F42" i="1"/>
  <c r="L48" i="10" s="1"/>
  <c r="F41" i="1"/>
  <c r="L47" i="10" s="1"/>
  <c r="F40" i="1"/>
  <c r="L46" i="10" s="1"/>
  <c r="F39" i="1"/>
  <c r="L45" i="10" s="1"/>
  <c r="F38" i="1"/>
  <c r="L44" i="10" s="1"/>
  <c r="F37" i="1"/>
  <c r="L43" i="10" s="1"/>
  <c r="F35" i="1"/>
  <c r="L41" i="10" s="1"/>
  <c r="F34" i="1"/>
  <c r="L39" i="10" s="1"/>
  <c r="F33" i="1"/>
  <c r="L38" i="10" s="1"/>
  <c r="F32" i="1"/>
  <c r="L37" i="10" s="1"/>
  <c r="F31" i="1"/>
  <c r="F29" i="1"/>
  <c r="F28" i="1"/>
  <c r="L33" i="10" s="1"/>
  <c r="F27" i="1"/>
  <c r="L32" i="10" s="1"/>
  <c r="F26" i="1"/>
  <c r="L31" i="10" s="1"/>
  <c r="F25" i="1"/>
  <c r="L30" i="10" s="1"/>
  <c r="F24" i="1"/>
  <c r="L29" i="10" s="1"/>
  <c r="F23" i="1"/>
  <c r="L28" i="10" s="1"/>
  <c r="F21" i="1"/>
  <c r="L26" i="10" s="1"/>
  <c r="F20" i="1"/>
  <c r="F19" i="1"/>
  <c r="F18" i="1"/>
  <c r="L23" i="10" s="1"/>
  <c r="F17" i="1"/>
  <c r="F16" i="1"/>
  <c r="L21" i="10" s="1"/>
  <c r="F15" i="1"/>
  <c r="L20" i="10" s="1"/>
  <c r="F14" i="1"/>
  <c r="L19" i="10" s="1"/>
  <c r="F13" i="1"/>
  <c r="L18" i="10" s="1"/>
  <c r="F12" i="1"/>
  <c r="L17" i="10" s="1"/>
  <c r="F11" i="1"/>
  <c r="J10" i="1"/>
  <c r="J9" i="1"/>
  <c r="F9" i="1"/>
  <c r="L14" i="10" s="1"/>
  <c r="F8" i="1"/>
  <c r="L8" i="2"/>
  <c r="J7" i="1"/>
  <c r="F7" i="1"/>
  <c r="F6" i="1"/>
  <c r="L11" i="10" s="1"/>
  <c r="L6" i="2"/>
  <c r="F48" i="9"/>
  <c r="F47" i="9"/>
  <c r="F46" i="9"/>
  <c r="F45" i="9"/>
  <c r="F44" i="9"/>
  <c r="F43" i="9"/>
  <c r="E43" i="9"/>
  <c r="F42" i="9"/>
  <c r="F41" i="9"/>
  <c r="F40" i="9"/>
  <c r="F39" i="9"/>
  <c r="F38" i="9"/>
  <c r="F37" i="9"/>
  <c r="F36" i="9"/>
  <c r="I9" i="9" s="1"/>
  <c r="E36" i="9"/>
  <c r="F35" i="9"/>
  <c r="F34" i="9"/>
  <c r="F33" i="9"/>
  <c r="F32" i="9"/>
  <c r="F31" i="9"/>
  <c r="I8" i="9" s="1"/>
  <c r="J8" i="9"/>
  <c r="F29" i="9"/>
  <c r="F28" i="9"/>
  <c r="F27" i="9"/>
  <c r="F26" i="9"/>
  <c r="F25" i="9"/>
  <c r="F24" i="9"/>
  <c r="F23" i="9"/>
  <c r="F22" i="9"/>
  <c r="I7" i="9" s="1"/>
  <c r="E22" i="9"/>
  <c r="F21" i="9"/>
  <c r="F20" i="9"/>
  <c r="F19" i="9"/>
  <c r="F18" i="9"/>
  <c r="F17" i="9"/>
  <c r="F16" i="9"/>
  <c r="F15" i="9"/>
  <c r="F14" i="9"/>
  <c r="F13" i="9"/>
  <c r="F12" i="9"/>
  <c r="F11" i="9"/>
  <c r="F10" i="9" s="1"/>
  <c r="I6" i="9" s="1"/>
  <c r="J10" i="9"/>
  <c r="I10" i="9"/>
  <c r="E10" i="9"/>
  <c r="J6" i="9" s="1"/>
  <c r="J9" i="9"/>
  <c r="F9" i="9"/>
  <c r="F8" i="9"/>
  <c r="J7" i="9"/>
  <c r="F7" i="9"/>
  <c r="F6" i="9"/>
  <c r="I5" i="9" s="1"/>
  <c r="E5" i="9"/>
  <c r="J5" i="9" s="1"/>
  <c r="E49" i="8"/>
  <c r="F48" i="8"/>
  <c r="F47" i="8"/>
  <c r="F46" i="8"/>
  <c r="F45" i="8"/>
  <c r="F43" i="8" s="1"/>
  <c r="F44" i="8"/>
  <c r="E43" i="8"/>
  <c r="J10" i="8" s="1"/>
  <c r="F42" i="8"/>
  <c r="F41" i="8"/>
  <c r="F40" i="8"/>
  <c r="F39" i="8"/>
  <c r="F38" i="8"/>
  <c r="F36" i="8" s="1"/>
  <c r="I9" i="8" s="1"/>
  <c r="F37" i="8"/>
  <c r="E36" i="8"/>
  <c r="J9" i="8" s="1"/>
  <c r="F35" i="8"/>
  <c r="F34" i="8"/>
  <c r="F33" i="8"/>
  <c r="F32" i="8"/>
  <c r="F31" i="8"/>
  <c r="F30" i="8" s="1"/>
  <c r="I8" i="8" s="1"/>
  <c r="F29" i="8"/>
  <c r="F28" i="8"/>
  <c r="F27" i="8"/>
  <c r="F26" i="8"/>
  <c r="F25" i="8"/>
  <c r="F24" i="8"/>
  <c r="F22" i="8" s="1"/>
  <c r="I7" i="8" s="1"/>
  <c r="F23" i="8"/>
  <c r="E22" i="8"/>
  <c r="F21" i="8"/>
  <c r="F20" i="8"/>
  <c r="F19" i="8"/>
  <c r="F18" i="8"/>
  <c r="F17" i="8"/>
  <c r="F16" i="8"/>
  <c r="F15" i="8"/>
  <c r="F14" i="8"/>
  <c r="F13" i="8"/>
  <c r="F12" i="8"/>
  <c r="F11" i="8"/>
  <c r="F10" i="8" s="1"/>
  <c r="I6" i="8" s="1"/>
  <c r="E10" i="8"/>
  <c r="F9" i="8"/>
  <c r="J8" i="8"/>
  <c r="F8" i="8"/>
  <c r="J7" i="8"/>
  <c r="F7" i="8"/>
  <c r="J6" i="8"/>
  <c r="F6" i="8"/>
  <c r="F5" i="8" s="1"/>
  <c r="I5" i="8" s="1"/>
  <c r="E5" i="8"/>
  <c r="J5" i="8" s="1"/>
  <c r="F48" i="7"/>
  <c r="F47" i="7"/>
  <c r="F46" i="7"/>
  <c r="F45" i="7"/>
  <c r="F44" i="7"/>
  <c r="F43" i="7" s="1"/>
  <c r="E43" i="7"/>
  <c r="F42" i="7"/>
  <c r="F41" i="7"/>
  <c r="F40" i="7"/>
  <c r="F39" i="7"/>
  <c r="F38" i="7"/>
  <c r="F37" i="7"/>
  <c r="F36" i="7" s="1"/>
  <c r="I9" i="7" s="1"/>
  <c r="E36" i="7"/>
  <c r="F35" i="7"/>
  <c r="F34" i="7"/>
  <c r="F33" i="7"/>
  <c r="F30" i="7" s="1"/>
  <c r="I8" i="7" s="1"/>
  <c r="F32" i="7"/>
  <c r="F31" i="7"/>
  <c r="F29" i="7"/>
  <c r="F28" i="7"/>
  <c r="F27" i="7"/>
  <c r="F26" i="7"/>
  <c r="F25" i="7"/>
  <c r="F24" i="7"/>
  <c r="F23" i="7"/>
  <c r="F22" i="7" s="1"/>
  <c r="I7" i="7" s="1"/>
  <c r="E22" i="7"/>
  <c r="F21" i="7"/>
  <c r="F20" i="7"/>
  <c r="F19" i="7"/>
  <c r="F10" i="7" s="1"/>
  <c r="I6" i="7" s="1"/>
  <c r="F18" i="7"/>
  <c r="F17" i="7"/>
  <c r="F16" i="7"/>
  <c r="F15" i="7"/>
  <c r="F14" i="7"/>
  <c r="F13" i="7"/>
  <c r="F12" i="7"/>
  <c r="F11" i="7"/>
  <c r="E10" i="7"/>
  <c r="F9" i="7"/>
  <c r="F8" i="7"/>
  <c r="J7" i="7"/>
  <c r="I9" i="14" s="1"/>
  <c r="F7" i="7"/>
  <c r="J6" i="7"/>
  <c r="I8" i="14" s="1"/>
  <c r="E6" i="7"/>
  <c r="I6" i="2" s="1"/>
  <c r="F48" i="6"/>
  <c r="H54" i="10" s="1"/>
  <c r="F47" i="6"/>
  <c r="F46" i="6"/>
  <c r="H52" i="10" s="1"/>
  <c r="F45" i="6"/>
  <c r="H51" i="10" s="1"/>
  <c r="F44" i="6"/>
  <c r="H50" i="10" s="1"/>
  <c r="E43" i="6"/>
  <c r="F42" i="6"/>
  <c r="H48" i="10" s="1"/>
  <c r="F41" i="6"/>
  <c r="H47" i="10" s="1"/>
  <c r="F40" i="6"/>
  <c r="H46" i="10" s="1"/>
  <c r="F39" i="6"/>
  <c r="H45" i="10" s="1"/>
  <c r="F38" i="6"/>
  <c r="H44" i="10" s="1"/>
  <c r="F37" i="6"/>
  <c r="H43" i="10" s="1"/>
  <c r="E36" i="6"/>
  <c r="F35" i="6"/>
  <c r="H41" i="10" s="1"/>
  <c r="F34" i="6"/>
  <c r="H39" i="10" s="1"/>
  <c r="F33" i="6"/>
  <c r="H38" i="10" s="1"/>
  <c r="F32" i="6"/>
  <c r="H37" i="10" s="1"/>
  <c r="F31" i="6"/>
  <c r="F30" i="6" s="1"/>
  <c r="I8" i="6" s="1"/>
  <c r="F29" i="6"/>
  <c r="H34" i="10" s="1"/>
  <c r="F28" i="6"/>
  <c r="H33" i="10" s="1"/>
  <c r="F27" i="6"/>
  <c r="H32" i="10" s="1"/>
  <c r="F26" i="6"/>
  <c r="H31" i="10" s="1"/>
  <c r="F25" i="6"/>
  <c r="H30" i="10" s="1"/>
  <c r="F24" i="6"/>
  <c r="H29" i="10" s="1"/>
  <c r="F23" i="6"/>
  <c r="H28" i="10" s="1"/>
  <c r="E22" i="6"/>
  <c r="F21" i="6"/>
  <c r="H26" i="10" s="1"/>
  <c r="F20" i="6"/>
  <c r="H25" i="10" s="1"/>
  <c r="F19" i="6"/>
  <c r="H24" i="10" s="1"/>
  <c r="F18" i="6"/>
  <c r="H23" i="10" s="1"/>
  <c r="F17" i="6"/>
  <c r="H22" i="10" s="1"/>
  <c r="F16" i="6"/>
  <c r="H21" i="10" s="1"/>
  <c r="F15" i="6"/>
  <c r="H20" i="10" s="1"/>
  <c r="F14" i="6"/>
  <c r="H19" i="10" s="1"/>
  <c r="F13" i="6"/>
  <c r="H18" i="10" s="1"/>
  <c r="F12" i="6"/>
  <c r="H17" i="10" s="1"/>
  <c r="F11" i="6"/>
  <c r="H16" i="10" s="1"/>
  <c r="F10" i="6"/>
  <c r="I6" i="6" s="1"/>
  <c r="E10" i="6"/>
  <c r="F9" i="6"/>
  <c r="F8" i="6"/>
  <c r="H13" i="10" s="1"/>
  <c r="J7" i="6"/>
  <c r="F7" i="6"/>
  <c r="H12" i="10" s="1"/>
  <c r="J6" i="6"/>
  <c r="F6" i="6"/>
  <c r="H11" i="10" s="1"/>
  <c r="E6" i="6"/>
  <c r="H6" i="2" s="1"/>
  <c r="E5" i="6"/>
  <c r="F48" i="5"/>
  <c r="F47" i="5"/>
  <c r="F46" i="5"/>
  <c r="F45" i="5"/>
  <c r="F43" i="5" s="1"/>
  <c r="F44" i="5"/>
  <c r="E43" i="5"/>
  <c r="J10" i="5" s="1"/>
  <c r="F42" i="5"/>
  <c r="F41" i="5"/>
  <c r="F40" i="5"/>
  <c r="F39" i="5"/>
  <c r="F38" i="5"/>
  <c r="F36" i="5" s="1"/>
  <c r="I9" i="5" s="1"/>
  <c r="F37" i="5"/>
  <c r="E36" i="5"/>
  <c r="F35" i="5"/>
  <c r="F34" i="5"/>
  <c r="F33" i="5"/>
  <c r="F32" i="5"/>
  <c r="F31" i="5"/>
  <c r="F30" i="5" s="1"/>
  <c r="I8" i="5" s="1"/>
  <c r="F29" i="5"/>
  <c r="F28" i="5"/>
  <c r="F27" i="5"/>
  <c r="F26" i="5"/>
  <c r="F25" i="5"/>
  <c r="F24" i="5"/>
  <c r="F22" i="5" s="1"/>
  <c r="I7" i="5" s="1"/>
  <c r="F23" i="5"/>
  <c r="E22" i="5"/>
  <c r="F21" i="5"/>
  <c r="F20" i="5"/>
  <c r="F19" i="5"/>
  <c r="F18" i="5"/>
  <c r="F17" i="5"/>
  <c r="F16" i="5"/>
  <c r="F15" i="5"/>
  <c r="F14" i="5"/>
  <c r="F13" i="5"/>
  <c r="F12" i="5"/>
  <c r="F11" i="5"/>
  <c r="F10" i="5" s="1"/>
  <c r="I6" i="5" s="1"/>
  <c r="E10" i="5"/>
  <c r="J9" i="5"/>
  <c r="F9" i="5"/>
  <c r="F8" i="5"/>
  <c r="F7" i="5"/>
  <c r="J6" i="5"/>
  <c r="F6" i="5"/>
  <c r="F5" i="5" s="1"/>
  <c r="I5" i="5" s="1"/>
  <c r="E6" i="5"/>
  <c r="G11" i="10" s="1"/>
  <c r="E5" i="5"/>
  <c r="W37" i="22" l="1"/>
  <c r="V37" i="22"/>
  <c r="R37" i="22"/>
  <c r="N37" i="22"/>
  <c r="M37" i="22"/>
  <c r="J11" i="34"/>
  <c r="F22" i="34"/>
  <c r="L7" i="34" s="1"/>
  <c r="S29" i="2"/>
  <c r="F35" i="34"/>
  <c r="S40" i="10" s="1"/>
  <c r="S15" i="2"/>
  <c r="S40" i="2"/>
  <c r="S49" i="2"/>
  <c r="F5" i="34"/>
  <c r="L5" i="34" s="1"/>
  <c r="S25" i="2"/>
  <c r="AD6" i="32"/>
  <c r="S36" i="2"/>
  <c r="S7" i="2"/>
  <c r="S38" i="2"/>
  <c r="AD20" i="32"/>
  <c r="S19" i="2"/>
  <c r="S41" i="2"/>
  <c r="S14" i="2"/>
  <c r="S20" i="2"/>
  <c r="S12" i="2"/>
  <c r="S31" i="2"/>
  <c r="S42" i="2"/>
  <c r="S46" i="2"/>
  <c r="S18" i="2"/>
  <c r="S9" i="2"/>
  <c r="S17" i="2"/>
  <c r="S28" i="2"/>
  <c r="S34" i="2"/>
  <c r="S8" i="2"/>
  <c r="S16" i="2"/>
  <c r="S27" i="2"/>
  <c r="S33" i="2"/>
  <c r="S45" i="2"/>
  <c r="S26" i="2"/>
  <c r="S32" i="2"/>
  <c r="AC29" i="32"/>
  <c r="AC36" i="32"/>
  <c r="AD5" i="32"/>
  <c r="S6" i="2"/>
  <c r="S21" i="2"/>
  <c r="S13" i="2"/>
  <c r="S24" i="2"/>
  <c r="S43" i="2"/>
  <c r="P44" i="42"/>
  <c r="Y43" i="32" s="1"/>
  <c r="F14" i="42"/>
  <c r="AA19" i="10" s="1"/>
  <c r="AC20" i="32"/>
  <c r="AA29" i="2"/>
  <c r="AD40" i="32"/>
  <c r="AD30" i="32"/>
  <c r="AD13" i="32"/>
  <c r="F19" i="42"/>
  <c r="AA24" i="10" s="1"/>
  <c r="F34" i="42"/>
  <c r="AA39" i="10" s="1"/>
  <c r="F49" i="42"/>
  <c r="AA54" i="10" s="1"/>
  <c r="AD26" i="32"/>
  <c r="AD18" i="32"/>
  <c r="AD10" i="32"/>
  <c r="AA39" i="2"/>
  <c r="AA37" i="2" s="1"/>
  <c r="AD21" i="32"/>
  <c r="Y4" i="32"/>
  <c r="Y44" i="32" s="1"/>
  <c r="E5" i="42"/>
  <c r="J5" i="42" s="1"/>
  <c r="E22" i="42"/>
  <c r="J7" i="42" s="1"/>
  <c r="AD32" i="32"/>
  <c r="AA23" i="2"/>
  <c r="AA28" i="2"/>
  <c r="AA35" i="2"/>
  <c r="AA30" i="2" s="1"/>
  <c r="BB9" i="2" s="1"/>
  <c r="X17" i="46" s="1"/>
  <c r="AA43" i="2"/>
  <c r="AC39" i="32"/>
  <c r="AD29" i="32"/>
  <c r="AD12" i="32"/>
  <c r="F33" i="42"/>
  <c r="AA38" i="10" s="1"/>
  <c r="AD33" i="32"/>
  <c r="AD25" i="32"/>
  <c r="AD17" i="32"/>
  <c r="AD9" i="32"/>
  <c r="AC22" i="32"/>
  <c r="AD42" i="32"/>
  <c r="AD41" i="32"/>
  <c r="AD14" i="32"/>
  <c r="AA27" i="2"/>
  <c r="AD38" i="32"/>
  <c r="AD28" i="32"/>
  <c r="AC7" i="32"/>
  <c r="AD24" i="32"/>
  <c r="AD16" i="32"/>
  <c r="AD8" i="32"/>
  <c r="E30" i="42"/>
  <c r="J8" i="42" s="1"/>
  <c r="AA9" i="2"/>
  <c r="AA5" i="2" s="1"/>
  <c r="BB6" i="2" s="1"/>
  <c r="AD34" i="32"/>
  <c r="E10" i="42"/>
  <c r="J6" i="42" s="1"/>
  <c r="AD31" i="32"/>
  <c r="F39" i="42"/>
  <c r="AA44" i="10" s="1"/>
  <c r="AA26" i="2"/>
  <c r="AD37" i="32"/>
  <c r="AD23" i="32"/>
  <c r="AC6" i="32"/>
  <c r="AC15" i="32"/>
  <c r="Z17" i="2"/>
  <c r="Z35" i="2"/>
  <c r="Z30" i="2" s="1"/>
  <c r="BA9" i="2" s="1"/>
  <c r="W17" i="46" s="1"/>
  <c r="Z40" i="2"/>
  <c r="Z37" i="2" s="1"/>
  <c r="BA10" i="2" s="1"/>
  <c r="W18" i="46" s="1"/>
  <c r="AC31" i="32"/>
  <c r="AC5" i="32"/>
  <c r="F35" i="41"/>
  <c r="P44" i="41"/>
  <c r="AD43" i="32" s="1"/>
  <c r="Z42" i="10"/>
  <c r="BA15" i="10" s="1"/>
  <c r="W10" i="46" s="1"/>
  <c r="Z8" i="2"/>
  <c r="Z5" i="2" s="1"/>
  <c r="BA6" i="2" s="1"/>
  <c r="Z16" i="2"/>
  <c r="Z10" i="2" s="1"/>
  <c r="BA7" i="2" s="1"/>
  <c r="W15" i="46" s="1"/>
  <c r="Z34" i="2"/>
  <c r="AC30" i="32"/>
  <c r="AC4" i="32"/>
  <c r="AD7" i="32"/>
  <c r="F19" i="41"/>
  <c r="F29" i="41"/>
  <c r="F34" i="41"/>
  <c r="F49" i="41"/>
  <c r="F44" i="41" s="1"/>
  <c r="I10" i="41" s="1"/>
  <c r="Z7" i="2"/>
  <c r="Z35" i="10"/>
  <c r="BA14" i="10" s="1"/>
  <c r="Z10" i="10"/>
  <c r="BA11" i="10" s="1"/>
  <c r="W6" i="46" s="1"/>
  <c r="Z27" i="10"/>
  <c r="BA13" i="10" s="1"/>
  <c r="W8" i="46" s="1"/>
  <c r="Z49" i="10"/>
  <c r="AC21" i="32"/>
  <c r="Z20" i="2"/>
  <c r="Z12" i="2"/>
  <c r="Z43" i="2"/>
  <c r="Z47" i="2"/>
  <c r="F25" i="41"/>
  <c r="F42" i="41"/>
  <c r="F37" i="41" s="1"/>
  <c r="F26" i="41"/>
  <c r="F43" i="41"/>
  <c r="Z19" i="2"/>
  <c r="Z45" i="2"/>
  <c r="AD22" i="32"/>
  <c r="F41" i="41"/>
  <c r="E37" i="41"/>
  <c r="J9" i="41" s="1"/>
  <c r="Z36" i="2"/>
  <c r="AD35" i="32"/>
  <c r="AC35" i="32"/>
  <c r="AD27" i="32"/>
  <c r="AC27" i="32"/>
  <c r="AC43" i="32"/>
  <c r="AC11" i="32"/>
  <c r="AD11" i="32"/>
  <c r="AD19" i="32"/>
  <c r="AC19" i="32"/>
  <c r="AC14" i="32"/>
  <c r="AD15" i="32"/>
  <c r="AC38" i="32"/>
  <c r="AC13" i="32"/>
  <c r="AD39" i="32"/>
  <c r="AC37" i="32"/>
  <c r="AC23" i="32"/>
  <c r="AC12" i="32"/>
  <c r="AC42" i="32"/>
  <c r="AC34" i="32"/>
  <c r="AC26" i="32"/>
  <c r="AC18" i="32"/>
  <c r="AC10" i="32"/>
  <c r="AC41" i="32"/>
  <c r="AC33" i="32"/>
  <c r="AC25" i="32"/>
  <c r="AC17" i="32"/>
  <c r="AC9" i="32"/>
  <c r="AC40" i="32"/>
  <c r="AC32" i="32"/>
  <c r="AC24" i="32"/>
  <c r="AC16" i="32"/>
  <c r="AC8" i="32"/>
  <c r="F44" i="45"/>
  <c r="AD15" i="10"/>
  <c r="BE12" i="10" s="1"/>
  <c r="BE17" i="10" s="1"/>
  <c r="AC49" i="10"/>
  <c r="BD16" i="10" s="1"/>
  <c r="AC15" i="10"/>
  <c r="BD12" i="10" s="1"/>
  <c r="BD17" i="10"/>
  <c r="AB42" i="10"/>
  <c r="BC15" i="10" s="1"/>
  <c r="AB35" i="10"/>
  <c r="BC14" i="10" s="1"/>
  <c r="AB15" i="10"/>
  <c r="BC12" i="10" s="1"/>
  <c r="BC17" i="10"/>
  <c r="Y22" i="10"/>
  <c r="Y23" i="10"/>
  <c r="Y33" i="10"/>
  <c r="Y47" i="10"/>
  <c r="Y48" i="10"/>
  <c r="Q44" i="32"/>
  <c r="AD44" i="32" s="1"/>
  <c r="R44" i="32"/>
  <c r="AA44" i="2"/>
  <c r="BB11" i="2" s="1"/>
  <c r="X19" i="46" s="1"/>
  <c r="AB22" i="2"/>
  <c r="Z22" i="2"/>
  <c r="BA8" i="2" s="1"/>
  <c r="W16" i="46" s="1"/>
  <c r="AD37" i="2"/>
  <c r="AD10" i="2"/>
  <c r="BE7" i="2" s="1"/>
  <c r="AB5" i="2"/>
  <c r="AA10" i="2"/>
  <c r="BB7" i="2" s="1"/>
  <c r="X15" i="46" s="1"/>
  <c r="AC5" i="2"/>
  <c r="BD6" i="2" s="1"/>
  <c r="Z14" i="46" s="1"/>
  <c r="Z20" i="46" s="1"/>
  <c r="Z21" i="46" s="1"/>
  <c r="AD5" i="2"/>
  <c r="BE6" i="2" s="1"/>
  <c r="AA14" i="46" s="1"/>
  <c r="AB10" i="2"/>
  <c r="BC7" i="2" s="1"/>
  <c r="AC22" i="2"/>
  <c r="AD22" i="2"/>
  <c r="AD44" i="2"/>
  <c r="AB44" i="2"/>
  <c r="AC44" i="2"/>
  <c r="AC10" i="2"/>
  <c r="BD7" i="2" s="1"/>
  <c r="Z15" i="46" s="1"/>
  <c r="AD55" i="10"/>
  <c r="AB55" i="10"/>
  <c r="AC55" i="10"/>
  <c r="AA49" i="10"/>
  <c r="BB16" i="10" s="1"/>
  <c r="X11" i="46" s="1"/>
  <c r="Z15" i="10"/>
  <c r="BA12" i="10" s="1"/>
  <c r="W7" i="46" s="1"/>
  <c r="AA42" i="10"/>
  <c r="BB15" i="10" s="1"/>
  <c r="X10" i="46" s="1"/>
  <c r="I10" i="45"/>
  <c r="E44" i="45"/>
  <c r="F23" i="45"/>
  <c r="F22" i="45" s="1"/>
  <c r="I7" i="45" s="1"/>
  <c r="F31" i="45"/>
  <c r="F30" i="45" s="1"/>
  <c r="I8" i="45" s="1"/>
  <c r="F37" i="45"/>
  <c r="F6" i="45"/>
  <c r="F5" i="45" s="1"/>
  <c r="I5" i="45" s="1"/>
  <c r="F11" i="45"/>
  <c r="F10" i="45" s="1"/>
  <c r="I6" i="45" s="1"/>
  <c r="E50" i="44"/>
  <c r="F37" i="44"/>
  <c r="I9" i="44" s="1"/>
  <c r="J11" i="44"/>
  <c r="F44" i="44"/>
  <c r="F10" i="44"/>
  <c r="I6" i="44" s="1"/>
  <c r="F23" i="44"/>
  <c r="F22" i="44" s="1"/>
  <c r="I7" i="44" s="1"/>
  <c r="F31" i="44"/>
  <c r="F30" i="44" s="1"/>
  <c r="I8" i="44" s="1"/>
  <c r="F6" i="44"/>
  <c r="F5" i="44" s="1"/>
  <c r="I5" i="44" s="1"/>
  <c r="F44" i="43"/>
  <c r="F37" i="43"/>
  <c r="I9" i="43" s="1"/>
  <c r="E44" i="43"/>
  <c r="E37" i="43"/>
  <c r="J9" i="43" s="1"/>
  <c r="F11" i="43"/>
  <c r="F10" i="43" s="1"/>
  <c r="I6" i="43" s="1"/>
  <c r="F23" i="43"/>
  <c r="F22" i="43" s="1"/>
  <c r="I7" i="43" s="1"/>
  <c r="F31" i="43"/>
  <c r="F30" i="43" s="1"/>
  <c r="I8" i="43" s="1"/>
  <c r="F6" i="43"/>
  <c r="F5" i="43" s="1"/>
  <c r="I5" i="43" s="1"/>
  <c r="F44" i="42"/>
  <c r="F11" i="42"/>
  <c r="E44" i="42"/>
  <c r="F23" i="42"/>
  <c r="F31" i="42"/>
  <c r="F37" i="42"/>
  <c r="I9" i="42" s="1"/>
  <c r="F6" i="42"/>
  <c r="E30" i="41"/>
  <c r="J8" i="41" s="1"/>
  <c r="E22" i="41"/>
  <c r="J7" i="41" s="1"/>
  <c r="E10" i="41"/>
  <c r="J6" i="41" s="1"/>
  <c r="F5" i="41"/>
  <c r="I5" i="41" s="1"/>
  <c r="E44" i="41"/>
  <c r="F31" i="41"/>
  <c r="F11" i="41"/>
  <c r="F23" i="41"/>
  <c r="E5" i="41"/>
  <c r="J5" i="41" s="1"/>
  <c r="Y7" i="2"/>
  <c r="Y45" i="2"/>
  <c r="Y6" i="2"/>
  <c r="Y13" i="2"/>
  <c r="Y9" i="2"/>
  <c r="E22" i="39"/>
  <c r="J7" i="39" s="1"/>
  <c r="E30" i="39"/>
  <c r="J8" i="39" s="1"/>
  <c r="W45" i="10"/>
  <c r="E22" i="37"/>
  <c r="J7" i="37" s="1"/>
  <c r="V9" i="2"/>
  <c r="E10" i="37"/>
  <c r="J6" i="37" s="1"/>
  <c r="V8" i="2"/>
  <c r="V47" i="10"/>
  <c r="V16" i="2"/>
  <c r="U45" i="2"/>
  <c r="U38" i="2"/>
  <c r="E22" i="36"/>
  <c r="J7" i="36" s="1"/>
  <c r="E30" i="36"/>
  <c r="J8" i="36" s="1"/>
  <c r="P44" i="40"/>
  <c r="Y21" i="2"/>
  <c r="E44" i="40"/>
  <c r="E10" i="40"/>
  <c r="J6" i="40" s="1"/>
  <c r="E22" i="40"/>
  <c r="J7" i="40" s="1"/>
  <c r="E30" i="40"/>
  <c r="J8" i="40" s="1"/>
  <c r="Y29" i="2"/>
  <c r="F8" i="39"/>
  <c r="X13" i="10" s="1"/>
  <c r="P44" i="39"/>
  <c r="F44" i="39"/>
  <c r="I10" i="39" s="1"/>
  <c r="E5" i="39"/>
  <c r="J5" i="39" s="1"/>
  <c r="X23" i="2"/>
  <c r="E10" i="39"/>
  <c r="J6" i="39" s="1"/>
  <c r="E10" i="38"/>
  <c r="J6" i="38" s="1"/>
  <c r="E30" i="38"/>
  <c r="J8" i="38" s="1"/>
  <c r="E5" i="38"/>
  <c r="J5" i="38" s="1"/>
  <c r="E22" i="38"/>
  <c r="J7" i="38" s="1"/>
  <c r="E37" i="38"/>
  <c r="J9" i="38" s="1"/>
  <c r="E30" i="37"/>
  <c r="J8" i="37" s="1"/>
  <c r="V34" i="2"/>
  <c r="E44" i="37"/>
  <c r="E37" i="37"/>
  <c r="J9" i="37" s="1"/>
  <c r="E5" i="37"/>
  <c r="J5" i="37" s="1"/>
  <c r="P44" i="36"/>
  <c r="E44" i="36"/>
  <c r="E5" i="36"/>
  <c r="J5" i="36" s="1"/>
  <c r="E10" i="36"/>
  <c r="J6" i="36" s="1"/>
  <c r="U50" i="10"/>
  <c r="F41" i="36"/>
  <c r="U46" i="10" s="1"/>
  <c r="U43" i="10"/>
  <c r="F17" i="36"/>
  <c r="U22" i="10" s="1"/>
  <c r="F33" i="36"/>
  <c r="F47" i="36"/>
  <c r="F44" i="36" s="1"/>
  <c r="F9" i="36"/>
  <c r="U14" i="10" s="1"/>
  <c r="F23" i="36"/>
  <c r="F31" i="36"/>
  <c r="F39" i="36"/>
  <c r="F37" i="36" s="1"/>
  <c r="I9" i="36" s="1"/>
  <c r="F6" i="36"/>
  <c r="E37" i="36"/>
  <c r="J9" i="36" s="1"/>
  <c r="F42" i="36"/>
  <c r="U47" i="10" s="1"/>
  <c r="F11" i="36"/>
  <c r="Y11" i="10"/>
  <c r="F11" i="40"/>
  <c r="F10" i="40" s="1"/>
  <c r="I6" i="40" s="1"/>
  <c r="F44" i="40"/>
  <c r="E37" i="40"/>
  <c r="J9" i="40" s="1"/>
  <c r="E5" i="40"/>
  <c r="J5" i="40" s="1"/>
  <c r="Y13" i="10"/>
  <c r="F23" i="40"/>
  <c r="F31" i="40"/>
  <c r="X51" i="10"/>
  <c r="F7" i="39"/>
  <c r="X12" i="10" s="1"/>
  <c r="E44" i="39"/>
  <c r="F36" i="39"/>
  <c r="X31" i="2"/>
  <c r="F6" i="39"/>
  <c r="E37" i="39"/>
  <c r="J9" i="39" s="1"/>
  <c r="F11" i="39"/>
  <c r="F37" i="39"/>
  <c r="I9" i="39" s="1"/>
  <c r="F20" i="39"/>
  <c r="X25" i="10" s="1"/>
  <c r="F15" i="39"/>
  <c r="X20" i="10" s="1"/>
  <c r="F23" i="39"/>
  <c r="F31" i="39"/>
  <c r="F18" i="39"/>
  <c r="X23" i="10" s="1"/>
  <c r="F42" i="39"/>
  <c r="X47" i="10" s="1"/>
  <c r="F44" i="38"/>
  <c r="W50" i="10"/>
  <c r="W49" i="10"/>
  <c r="AX16" i="10" s="1"/>
  <c r="F7" i="38"/>
  <c r="W12" i="10" s="1"/>
  <c r="F25" i="38"/>
  <c r="W30" i="10" s="1"/>
  <c r="F33" i="38"/>
  <c r="E44" i="38"/>
  <c r="P44" i="38"/>
  <c r="F34" i="38"/>
  <c r="F11" i="38"/>
  <c r="F21" i="38"/>
  <c r="W26" i="10" s="1"/>
  <c r="F37" i="38"/>
  <c r="I9" i="38" s="1"/>
  <c r="W43" i="10"/>
  <c r="F15" i="38"/>
  <c r="W20" i="10" s="1"/>
  <c r="F23" i="38"/>
  <c r="F31" i="38"/>
  <c r="F39" i="38"/>
  <c r="W44" i="10" s="1"/>
  <c r="F6" i="38"/>
  <c r="F5" i="38" s="1"/>
  <c r="I5" i="38" s="1"/>
  <c r="V50" i="10"/>
  <c r="F7" i="37"/>
  <c r="V12" i="10" s="1"/>
  <c r="F33" i="37"/>
  <c r="F47" i="37"/>
  <c r="V52" i="10" s="1"/>
  <c r="F15" i="37"/>
  <c r="V20" i="10" s="1"/>
  <c r="F23" i="37"/>
  <c r="F31" i="37"/>
  <c r="F39" i="37"/>
  <c r="F6" i="37"/>
  <c r="F11" i="37"/>
  <c r="F29" i="37"/>
  <c r="V34" i="10" s="1"/>
  <c r="F17" i="37"/>
  <c r="V22" i="10" s="1"/>
  <c r="P44" i="37"/>
  <c r="V23" i="2"/>
  <c r="T31" i="10"/>
  <c r="T40" i="10"/>
  <c r="Y15" i="2"/>
  <c r="Y43" i="2"/>
  <c r="Y26" i="2"/>
  <c r="Y31" i="2"/>
  <c r="Y12" i="2"/>
  <c r="Y26" i="10"/>
  <c r="Y14" i="2"/>
  <c r="Y38" i="2"/>
  <c r="Y34" i="10"/>
  <c r="Y19" i="2"/>
  <c r="Y18" i="2"/>
  <c r="Y35" i="2"/>
  <c r="Y40" i="2"/>
  <c r="W43" i="32"/>
  <c r="W44" i="32" s="1"/>
  <c r="Y25" i="2"/>
  <c r="Y42" i="2"/>
  <c r="Y23" i="2"/>
  <c r="Y17" i="2"/>
  <c r="Y28" i="2"/>
  <c r="Y34" i="2"/>
  <c r="Y39" i="2"/>
  <c r="X5" i="2"/>
  <c r="AY6" i="2" s="1"/>
  <c r="X53" i="10"/>
  <c r="X38" i="2"/>
  <c r="X21" i="10"/>
  <c r="X29" i="10"/>
  <c r="V43" i="32"/>
  <c r="V44" i="32" s="1"/>
  <c r="X50" i="10"/>
  <c r="X54" i="10"/>
  <c r="W29" i="10"/>
  <c r="W31" i="2"/>
  <c r="W23" i="2"/>
  <c r="W13" i="10"/>
  <c r="U43" i="32"/>
  <c r="U44" i="32" s="1"/>
  <c r="W23" i="10"/>
  <c r="V19" i="2"/>
  <c r="V35" i="2"/>
  <c r="V32" i="2"/>
  <c r="V14" i="2"/>
  <c r="V25" i="2"/>
  <c r="V21" i="10"/>
  <c r="V28" i="2"/>
  <c r="V27" i="2"/>
  <c r="V21" i="2"/>
  <c r="V13" i="2"/>
  <c r="V24" i="2"/>
  <c r="T43" i="32"/>
  <c r="T44" i="32" s="1"/>
  <c r="V20" i="2"/>
  <c r="V12" i="2"/>
  <c r="V31" i="2"/>
  <c r="T32" i="10"/>
  <c r="T29" i="10"/>
  <c r="T45" i="2"/>
  <c r="T28" i="10"/>
  <c r="T38" i="2"/>
  <c r="T34" i="10"/>
  <c r="T33" i="10"/>
  <c r="T31" i="2"/>
  <c r="T23" i="2"/>
  <c r="T10" i="10"/>
  <c r="AU11" i="10" s="1"/>
  <c r="T6" i="2"/>
  <c r="W44" i="2"/>
  <c r="AX11" i="2" s="1"/>
  <c r="S43" i="32"/>
  <c r="S44" i="32" s="1"/>
  <c r="E44" i="35"/>
  <c r="J10" i="35" s="1"/>
  <c r="E10" i="35"/>
  <c r="J6" i="35" s="1"/>
  <c r="E37" i="35"/>
  <c r="E22" i="35"/>
  <c r="J7" i="35" s="1"/>
  <c r="E30" i="35"/>
  <c r="J8" i="35" s="1"/>
  <c r="F5" i="35"/>
  <c r="I5" i="35" s="1"/>
  <c r="F22" i="35"/>
  <c r="I7" i="35" s="1"/>
  <c r="F30" i="35"/>
  <c r="I8" i="35" s="1"/>
  <c r="E5" i="35"/>
  <c r="J5" i="35" s="1"/>
  <c r="F11" i="35"/>
  <c r="F39" i="35"/>
  <c r="F47" i="35"/>
  <c r="F30" i="34"/>
  <c r="L8" i="34" s="1"/>
  <c r="S28" i="10"/>
  <c r="S27" i="10" s="1"/>
  <c r="AT13" i="10" s="1"/>
  <c r="S11" i="10"/>
  <c r="S10" i="10" s="1"/>
  <c r="AT11" i="10" s="1"/>
  <c r="S36" i="10"/>
  <c r="S35" i="10" s="1"/>
  <c r="AT14" i="10" s="1"/>
  <c r="E10" i="34"/>
  <c r="M6" i="34" s="1"/>
  <c r="E44" i="34"/>
  <c r="M10" i="34" s="1"/>
  <c r="E37" i="34"/>
  <c r="M9" i="34" s="1"/>
  <c r="E22" i="34"/>
  <c r="M7" i="34" s="1"/>
  <c r="E30" i="34"/>
  <c r="M8" i="34" s="1"/>
  <c r="E5" i="34"/>
  <c r="M5" i="34" s="1"/>
  <c r="F11" i="34"/>
  <c r="F39" i="34"/>
  <c r="F47" i="34"/>
  <c r="S52" i="10" s="1"/>
  <c r="S49" i="10" s="1"/>
  <c r="AT16" i="10" s="1"/>
  <c r="R49" i="10"/>
  <c r="R35" i="10"/>
  <c r="AS14" i="10" s="1"/>
  <c r="R23" i="2"/>
  <c r="F17" i="24"/>
  <c r="R22" i="10" s="1"/>
  <c r="F41" i="24"/>
  <c r="R47" i="10" s="1"/>
  <c r="R29" i="2"/>
  <c r="F6" i="24"/>
  <c r="R11" i="10" s="1"/>
  <c r="R10" i="10" s="1"/>
  <c r="F24" i="24"/>
  <c r="R29" i="10" s="1"/>
  <c r="F13" i="24"/>
  <c r="R18" i="10" s="1"/>
  <c r="F30" i="24"/>
  <c r="I8" i="24" s="1"/>
  <c r="F37" i="24"/>
  <c r="R43" i="10" s="1"/>
  <c r="F25" i="24"/>
  <c r="R30" i="10" s="1"/>
  <c r="R7" i="2"/>
  <c r="R5" i="2" s="1"/>
  <c r="AS6" i="2" s="1"/>
  <c r="R21" i="2"/>
  <c r="R46" i="2"/>
  <c r="R44" i="2" s="1"/>
  <c r="AS11" i="2" s="1"/>
  <c r="F12" i="24"/>
  <c r="R17" i="10" s="1"/>
  <c r="R34" i="2"/>
  <c r="E43" i="24"/>
  <c r="J10" i="24" s="1"/>
  <c r="E36" i="24"/>
  <c r="J9" i="24" s="1"/>
  <c r="F20" i="24"/>
  <c r="R25" i="10" s="1"/>
  <c r="R14" i="2"/>
  <c r="R43" i="2"/>
  <c r="R37" i="2" s="1"/>
  <c r="AS10" i="2" s="1"/>
  <c r="E10" i="24"/>
  <c r="J6" i="24" s="1"/>
  <c r="F40" i="24"/>
  <c r="R46" i="10" s="1"/>
  <c r="R31" i="2"/>
  <c r="F5" i="23"/>
  <c r="I5" i="23" s="1"/>
  <c r="Q11" i="10"/>
  <c r="Q10" i="10" s="1"/>
  <c r="E5" i="23"/>
  <c r="J5" i="23" s="1"/>
  <c r="Q6" i="2"/>
  <c r="Q5" i="2" s="1"/>
  <c r="AR6" i="2" s="1"/>
  <c r="P6" i="21"/>
  <c r="P5" i="21" s="1"/>
  <c r="AC6" i="21" s="1"/>
  <c r="I35" i="10"/>
  <c r="AJ14" i="10" s="1"/>
  <c r="Q49" i="10"/>
  <c r="F43" i="24"/>
  <c r="F22" i="24"/>
  <c r="I7" i="24" s="1"/>
  <c r="E22" i="24"/>
  <c r="J7" i="24" s="1"/>
  <c r="J8" i="24"/>
  <c r="F11" i="24"/>
  <c r="F38" i="24"/>
  <c r="E49" i="24"/>
  <c r="P10" i="2"/>
  <c r="AQ7" i="2" s="1"/>
  <c r="P35" i="10"/>
  <c r="AQ14" i="10" s="1"/>
  <c r="Q35" i="10"/>
  <c r="AR14" i="10" s="1"/>
  <c r="Q37" i="2"/>
  <c r="AR10" i="2" s="1"/>
  <c r="Q22" i="2"/>
  <c r="AR8" i="2" s="1"/>
  <c r="Q10" i="2"/>
  <c r="AR7" i="2" s="1"/>
  <c r="S19" i="21"/>
  <c r="S17" i="21"/>
  <c r="N5" i="21"/>
  <c r="AA6" i="21" s="1"/>
  <c r="O10" i="21"/>
  <c r="AB7" i="21" s="1"/>
  <c r="K22" i="21"/>
  <c r="X8" i="21" s="1"/>
  <c r="J5" i="21"/>
  <c r="W6" i="21" s="1"/>
  <c r="I5" i="21"/>
  <c r="V6" i="21" s="1"/>
  <c r="AA17" i="21" s="1"/>
  <c r="AA19" i="21" s="1"/>
  <c r="L10" i="21"/>
  <c r="Y7" i="21" s="1"/>
  <c r="K30" i="21"/>
  <c r="X9" i="21" s="1"/>
  <c r="G36" i="21"/>
  <c r="T10" i="21" s="1"/>
  <c r="AD10" i="21" s="1"/>
  <c r="O36" i="21"/>
  <c r="AB10" i="21" s="1"/>
  <c r="I43" i="21"/>
  <c r="V11" i="21" s="1"/>
  <c r="H5" i="21"/>
  <c r="U6" i="21" s="1"/>
  <c r="K10" i="21"/>
  <c r="X7" i="21" s="1"/>
  <c r="M10" i="21"/>
  <c r="Z7" i="21" s="1"/>
  <c r="Z12" i="21" s="1"/>
  <c r="I10" i="21"/>
  <c r="V7" i="21" s="1"/>
  <c r="V12" i="21" s="1"/>
  <c r="M22" i="21"/>
  <c r="Z8" i="21" s="1"/>
  <c r="I22" i="21"/>
  <c r="V8" i="21" s="1"/>
  <c r="P43" i="21"/>
  <c r="G5" i="21"/>
  <c r="T6" i="21" s="1"/>
  <c r="T12" i="21" s="1"/>
  <c r="G10" i="21"/>
  <c r="T7" i="21" s="1"/>
  <c r="N43" i="21"/>
  <c r="P22" i="21"/>
  <c r="L5" i="21"/>
  <c r="Y6" i="21" s="1"/>
  <c r="Y12" i="21" s="1"/>
  <c r="F10" i="21"/>
  <c r="S7" i="21" s="1"/>
  <c r="S16" i="21" s="1"/>
  <c r="J10" i="21"/>
  <c r="W7" i="21" s="1"/>
  <c r="F22" i="21"/>
  <c r="S8" i="21" s="1"/>
  <c r="AA18" i="21" s="1"/>
  <c r="L22" i="21"/>
  <c r="Y8" i="21" s="1"/>
  <c r="M30" i="21"/>
  <c r="Z9" i="21" s="1"/>
  <c r="I30" i="21"/>
  <c r="V9" i="21" s="1"/>
  <c r="I36" i="21"/>
  <c r="V10" i="21" s="1"/>
  <c r="S18" i="21" s="1"/>
  <c r="M36" i="21"/>
  <c r="Z10" i="21" s="1"/>
  <c r="K43" i="21"/>
  <c r="X11" i="21" s="1"/>
  <c r="G43" i="21"/>
  <c r="T11" i="21" s="1"/>
  <c r="O43" i="21"/>
  <c r="P36" i="21"/>
  <c r="Q44" i="2"/>
  <c r="AR11" i="2" s="1"/>
  <c r="P49" i="21"/>
  <c r="Q30" i="2"/>
  <c r="AR9" i="2" s="1"/>
  <c r="H44" i="2"/>
  <c r="AI11" i="2" s="1"/>
  <c r="J5" i="2"/>
  <c r="AK6" i="2" s="1"/>
  <c r="M30" i="2"/>
  <c r="AN9" i="2" s="1"/>
  <c r="J22" i="21"/>
  <c r="W8" i="21" s="1"/>
  <c r="G10" i="2"/>
  <c r="AH7" i="2" s="1"/>
  <c r="K37" i="2"/>
  <c r="AL10" i="2" s="1"/>
  <c r="K5" i="2"/>
  <c r="AL6" i="2" s="1"/>
  <c r="M22" i="2"/>
  <c r="AN8" i="2" s="1"/>
  <c r="P22" i="2"/>
  <c r="AQ8" i="2" s="1"/>
  <c r="P44" i="2"/>
  <c r="AQ11" i="2" s="1"/>
  <c r="K35" i="10"/>
  <c r="AL14" i="10" s="1"/>
  <c r="O27" i="10"/>
  <c r="AP13" i="10" s="1"/>
  <c r="Q27" i="10"/>
  <c r="AR13" i="10" s="1"/>
  <c r="Q42" i="10"/>
  <c r="AR15" i="10" s="1"/>
  <c r="J35" i="10"/>
  <c r="AK14" i="10" s="1"/>
  <c r="M49" i="10"/>
  <c r="J10" i="10"/>
  <c r="AK11" i="10" s="1"/>
  <c r="Q15" i="10"/>
  <c r="AR12" i="10" s="1"/>
  <c r="O10" i="10"/>
  <c r="AP11" i="10" s="1"/>
  <c r="G10" i="10"/>
  <c r="P10" i="10"/>
  <c r="AQ11" i="10" s="1"/>
  <c r="P15" i="10"/>
  <c r="AQ12" i="10" s="1"/>
  <c r="P42" i="10"/>
  <c r="AQ15" i="10" s="1"/>
  <c r="P49" i="10"/>
  <c r="E22" i="23"/>
  <c r="J7" i="23" s="1"/>
  <c r="E30" i="23"/>
  <c r="J8" i="23" s="1"/>
  <c r="F49" i="23"/>
  <c r="I11" i="23"/>
  <c r="P5" i="2"/>
  <c r="AQ6" i="2" s="1"/>
  <c r="E49" i="19"/>
  <c r="O5" i="21"/>
  <c r="AB6" i="21" s="1"/>
  <c r="F49" i="19"/>
  <c r="O13" i="22"/>
  <c r="J13" i="22"/>
  <c r="R13" i="22"/>
  <c r="P13" i="22"/>
  <c r="L13" i="22"/>
  <c r="T13" i="22"/>
  <c r="N13" i="22"/>
  <c r="M13" i="22"/>
  <c r="S13" i="22"/>
  <c r="Q13" i="22"/>
  <c r="K13" i="22"/>
  <c r="F13" i="22"/>
  <c r="O49" i="10"/>
  <c r="N36" i="21"/>
  <c r="AA10" i="21" s="1"/>
  <c r="O42" i="10"/>
  <c r="AP15" i="10" s="1"/>
  <c r="J9" i="18"/>
  <c r="J11" i="18" s="1"/>
  <c r="N30" i="21"/>
  <c r="AA9" i="21" s="1"/>
  <c r="O30" i="2"/>
  <c r="AP9" i="2" s="1"/>
  <c r="O35" i="10"/>
  <c r="AP14" i="10" s="1"/>
  <c r="N22" i="21"/>
  <c r="AA8" i="21" s="1"/>
  <c r="O22" i="2"/>
  <c r="AP8" i="2" s="1"/>
  <c r="N10" i="21"/>
  <c r="AA7" i="21" s="1"/>
  <c r="O5" i="2"/>
  <c r="AP6" i="2" s="1"/>
  <c r="G49" i="21"/>
  <c r="L49" i="21"/>
  <c r="X12" i="21"/>
  <c r="U12" i="21"/>
  <c r="F43" i="17"/>
  <c r="I10" i="17" s="1"/>
  <c r="N49" i="10"/>
  <c r="N42" i="10"/>
  <c r="AO15" i="10" s="1"/>
  <c r="N37" i="2"/>
  <c r="AO10" i="2" s="1"/>
  <c r="N35" i="10"/>
  <c r="AO14" i="10" s="1"/>
  <c r="F30" i="17"/>
  <c r="I8" i="17" s="1"/>
  <c r="N30" i="2"/>
  <c r="AO9" i="2" s="1"/>
  <c r="N27" i="10"/>
  <c r="AO13" i="10" s="1"/>
  <c r="N10" i="2"/>
  <c r="AO7" i="2" s="1"/>
  <c r="N15" i="10"/>
  <c r="AO12" i="10" s="1"/>
  <c r="N10" i="10"/>
  <c r="AO11" i="10" s="1"/>
  <c r="F5" i="17"/>
  <c r="I5" i="17" s="1"/>
  <c r="N5" i="2"/>
  <c r="AO6" i="2" s="1"/>
  <c r="E49" i="18"/>
  <c r="F10" i="18"/>
  <c r="I6" i="18" s="1"/>
  <c r="I11" i="18" s="1"/>
  <c r="O15" i="10"/>
  <c r="AP12" i="10" s="1"/>
  <c r="P30" i="2"/>
  <c r="AQ9" i="2" s="1"/>
  <c r="N44" i="2"/>
  <c r="AO11" i="2" s="1"/>
  <c r="K30" i="2"/>
  <c r="AL9" i="2" s="1"/>
  <c r="I44" i="2"/>
  <c r="AJ11" i="2" s="1"/>
  <c r="O44" i="2"/>
  <c r="AP11" i="2" s="1"/>
  <c r="J44" i="2"/>
  <c r="AK11" i="2" s="1"/>
  <c r="O37" i="2"/>
  <c r="AP10" i="2" s="1"/>
  <c r="N22" i="2"/>
  <c r="AO8" i="2" s="1"/>
  <c r="P37" i="2"/>
  <c r="AQ10" i="2" s="1"/>
  <c r="G44" i="2"/>
  <c r="AH11" i="2" s="1"/>
  <c r="O10" i="2"/>
  <c r="AP7" i="2" s="1"/>
  <c r="K10" i="2"/>
  <c r="AL7" i="2" s="1"/>
  <c r="I22" i="2"/>
  <c r="AJ8" i="2" s="1"/>
  <c r="K22" i="2"/>
  <c r="AL8" i="2" s="1"/>
  <c r="G30" i="2"/>
  <c r="AH9" i="2" s="1"/>
  <c r="I30" i="2"/>
  <c r="AJ9" i="2" s="1"/>
  <c r="J30" i="2"/>
  <c r="AK9" i="2" s="1"/>
  <c r="J37" i="2"/>
  <c r="AK10" i="2" s="1"/>
  <c r="L10" i="2"/>
  <c r="AM7" i="2" s="1"/>
  <c r="K44" i="2"/>
  <c r="AL11" i="2" s="1"/>
  <c r="L44" i="2"/>
  <c r="AM11" i="2" s="1"/>
  <c r="G22" i="2"/>
  <c r="AH8" i="2" s="1"/>
  <c r="J22" i="2"/>
  <c r="AK8" i="2" s="1"/>
  <c r="L30" i="2"/>
  <c r="AM9" i="2" s="1"/>
  <c r="I5" i="2"/>
  <c r="AJ6" i="2" s="1"/>
  <c r="L5" i="2"/>
  <c r="AM6" i="2" s="1"/>
  <c r="H10" i="2"/>
  <c r="AI7" i="2" s="1"/>
  <c r="H5" i="2"/>
  <c r="AI6" i="2" s="1"/>
  <c r="J10" i="2"/>
  <c r="AK7" i="2" s="1"/>
  <c r="I10" i="2"/>
  <c r="AJ7" i="2" s="1"/>
  <c r="G37" i="2"/>
  <c r="AH10" i="2" s="1"/>
  <c r="H37" i="2"/>
  <c r="AI10" i="2" s="1"/>
  <c r="I37" i="2"/>
  <c r="AJ10" i="2" s="1"/>
  <c r="P27" i="10"/>
  <c r="L27" i="10"/>
  <c r="AM13" i="10" s="1"/>
  <c r="K10" i="10"/>
  <c r="AL11" i="10" s="1"/>
  <c r="I15" i="10"/>
  <c r="AJ12" i="10" s="1"/>
  <c r="G27" i="10"/>
  <c r="L42" i="10"/>
  <c r="AM15" i="10" s="1"/>
  <c r="I27" i="10"/>
  <c r="AJ13" i="10" s="1"/>
  <c r="G15" i="10"/>
  <c r="M10" i="10"/>
  <c r="AN11" i="10" s="1"/>
  <c r="M27" i="10"/>
  <c r="AN13" i="10" s="1"/>
  <c r="J42" i="10"/>
  <c r="AK15" i="10" s="1"/>
  <c r="L10" i="10"/>
  <c r="AM11" i="10" s="1"/>
  <c r="H10" i="10"/>
  <c r="AI11" i="10" s="1"/>
  <c r="L49" i="10"/>
  <c r="AM16" i="10" s="1"/>
  <c r="K27" i="10"/>
  <c r="AL13" i="10" s="1"/>
  <c r="K49" i="10"/>
  <c r="K15" i="10"/>
  <c r="AL12" i="10" s="1"/>
  <c r="J15" i="10"/>
  <c r="AK12" i="10" s="1"/>
  <c r="M35" i="10"/>
  <c r="AN14" i="10" s="1"/>
  <c r="M15" i="10"/>
  <c r="AN12" i="10" s="1"/>
  <c r="I42" i="10"/>
  <c r="AJ15" i="10" s="1"/>
  <c r="J11" i="19"/>
  <c r="I11" i="19"/>
  <c r="F22" i="17"/>
  <c r="I7" i="17" s="1"/>
  <c r="F10" i="17"/>
  <c r="I6" i="17" s="1"/>
  <c r="J8" i="17"/>
  <c r="S10" i="14" s="1"/>
  <c r="S13" i="14" s="1"/>
  <c r="E49" i="17"/>
  <c r="J9" i="17"/>
  <c r="F39" i="17"/>
  <c r="F36" i="17" s="1"/>
  <c r="F7" i="14"/>
  <c r="AH11" i="10"/>
  <c r="I10" i="5"/>
  <c r="F49" i="5"/>
  <c r="L7" i="14"/>
  <c r="L8" i="14"/>
  <c r="N7" i="14"/>
  <c r="R10" i="14"/>
  <c r="AH14" i="10"/>
  <c r="F10" i="14"/>
  <c r="H27" i="10"/>
  <c r="AI13" i="10" s="1"/>
  <c r="J8" i="14"/>
  <c r="I10" i="7"/>
  <c r="J12" i="22" s="1"/>
  <c r="I10" i="8"/>
  <c r="F49" i="8"/>
  <c r="F11" i="14"/>
  <c r="AH15" i="10"/>
  <c r="L11" i="14"/>
  <c r="R8" i="14"/>
  <c r="I10" i="4"/>
  <c r="H10" i="14"/>
  <c r="J11" i="14"/>
  <c r="L10" i="14"/>
  <c r="N11" i="14"/>
  <c r="F49" i="9"/>
  <c r="F9" i="14"/>
  <c r="AH13" i="10"/>
  <c r="H8" i="14"/>
  <c r="L9" i="14"/>
  <c r="N9" i="14"/>
  <c r="J9" i="14"/>
  <c r="N10" i="14"/>
  <c r="N8" i="14"/>
  <c r="E12" i="14"/>
  <c r="H15" i="10"/>
  <c r="AI12" i="10" s="1"/>
  <c r="F8" i="14"/>
  <c r="AH12" i="10"/>
  <c r="H42" i="10"/>
  <c r="AI15" i="10" s="1"/>
  <c r="J10" i="14"/>
  <c r="J11" i="8"/>
  <c r="J11" i="9"/>
  <c r="H35" i="10"/>
  <c r="AI14" i="10" s="1"/>
  <c r="E49" i="4"/>
  <c r="Q11" i="14"/>
  <c r="E11" i="14"/>
  <c r="J5" i="5"/>
  <c r="J9" i="6"/>
  <c r="G11" i="22" s="1"/>
  <c r="F5" i="6"/>
  <c r="I5" i="6" s="1"/>
  <c r="E49" i="6"/>
  <c r="M9" i="14"/>
  <c r="M11" i="14"/>
  <c r="M12" i="14"/>
  <c r="I11" i="10"/>
  <c r="I10" i="10" s="1"/>
  <c r="AJ11" i="10" s="1"/>
  <c r="J27" i="10"/>
  <c r="AK13" i="10" s="1"/>
  <c r="G42" i="10"/>
  <c r="I49" i="10"/>
  <c r="J49" i="10"/>
  <c r="J5" i="6"/>
  <c r="F22" i="6"/>
  <c r="I7" i="6" s="1"/>
  <c r="E30" i="6"/>
  <c r="F36" i="6"/>
  <c r="I9" i="6" s="1"/>
  <c r="H11" i="22" s="1"/>
  <c r="H13" i="22" s="1"/>
  <c r="F43" i="6"/>
  <c r="E5" i="7"/>
  <c r="J9" i="7"/>
  <c r="I11" i="14" s="1"/>
  <c r="F5" i="1"/>
  <c r="I5" i="1" s="1"/>
  <c r="F10" i="1"/>
  <c r="I6" i="1" s="1"/>
  <c r="O9" i="14"/>
  <c r="O11" i="14"/>
  <c r="O12" i="14"/>
  <c r="J9" i="4"/>
  <c r="L15" i="10"/>
  <c r="AM12" i="10" s="1"/>
  <c r="G6" i="2"/>
  <c r="G5" i="2" s="1"/>
  <c r="AH6" i="2" s="1"/>
  <c r="E8" i="14"/>
  <c r="J10" i="6"/>
  <c r="H49" i="10"/>
  <c r="E49" i="7"/>
  <c r="F22" i="1"/>
  <c r="I7" i="1" s="1"/>
  <c r="J8" i="1"/>
  <c r="O10" i="14"/>
  <c r="F36" i="1"/>
  <c r="I9" i="1" s="1"/>
  <c r="F43" i="1"/>
  <c r="E5" i="4"/>
  <c r="Q9" i="14"/>
  <c r="H22" i="2"/>
  <c r="AI8" i="2" s="1"/>
  <c r="M44" i="2"/>
  <c r="M10" i="14"/>
  <c r="O7" i="14"/>
  <c r="J5" i="1"/>
  <c r="F30" i="1"/>
  <c r="I8" i="1" s="1"/>
  <c r="J7" i="4"/>
  <c r="F22" i="4"/>
  <c r="I7" i="4" s="1"/>
  <c r="M45" i="10"/>
  <c r="M42" i="10" s="1"/>
  <c r="AN15" i="10" s="1"/>
  <c r="M40" i="2"/>
  <c r="M37" i="2" s="1"/>
  <c r="AN10" i="2" s="1"/>
  <c r="E49" i="5"/>
  <c r="K7" i="14"/>
  <c r="K8" i="14"/>
  <c r="F39" i="4"/>
  <c r="F36" i="4" s="1"/>
  <c r="L35" i="10"/>
  <c r="AM14" i="10" s="1"/>
  <c r="K42" i="10"/>
  <c r="AL15" i="10" s="1"/>
  <c r="J10" i="7"/>
  <c r="K9" i="14"/>
  <c r="K11" i="14"/>
  <c r="K12" i="14"/>
  <c r="M6" i="2"/>
  <c r="M5" i="2" s="1"/>
  <c r="AN6" i="2" s="1"/>
  <c r="M10" i="2"/>
  <c r="AN7" i="2" s="1"/>
  <c r="H30" i="2"/>
  <c r="AI9" i="2" s="1"/>
  <c r="G9" i="14"/>
  <c r="N12" i="14"/>
  <c r="O8" i="14"/>
  <c r="J7" i="5"/>
  <c r="G49" i="10"/>
  <c r="G8" i="14"/>
  <c r="F6" i="7"/>
  <c r="F5" i="7" s="1"/>
  <c r="I5" i="7" s="1"/>
  <c r="K10" i="14"/>
  <c r="M7" i="14"/>
  <c r="M8" i="14"/>
  <c r="E49" i="9"/>
  <c r="J6" i="1"/>
  <c r="F6" i="4"/>
  <c r="F5" i="4" s="1"/>
  <c r="I5" i="4" s="1"/>
  <c r="L22" i="2"/>
  <c r="AM8" i="2" s="1"/>
  <c r="L37" i="2"/>
  <c r="AM10" i="2" s="1"/>
  <c r="S10" i="2" l="1"/>
  <c r="AT7" i="2" s="1"/>
  <c r="S5" i="2"/>
  <c r="AT6" i="2" s="1"/>
  <c r="S22" i="2"/>
  <c r="AT8" i="2" s="1"/>
  <c r="S30" i="2"/>
  <c r="AT9" i="2" s="1"/>
  <c r="S44" i="2"/>
  <c r="AT11" i="2" s="1"/>
  <c r="S37" i="2"/>
  <c r="AT10" i="2" s="1"/>
  <c r="AB50" i="2"/>
  <c r="BC6" i="2"/>
  <c r="Y14" i="46" s="1"/>
  <c r="AA15" i="46"/>
  <c r="AA20" i="46" s="1"/>
  <c r="AA21" i="46" s="1"/>
  <c r="BE12" i="2"/>
  <c r="BD12" i="2"/>
  <c r="Y15" i="46"/>
  <c r="Y20" i="46" s="1"/>
  <c r="Y21" i="46" s="1"/>
  <c r="BC12" i="2"/>
  <c r="BB10" i="2"/>
  <c r="X18" i="46" s="1"/>
  <c r="AB18" i="46" s="1"/>
  <c r="AA50" i="2"/>
  <c r="X14" i="46"/>
  <c r="F5" i="42"/>
  <c r="I5" i="42" s="1"/>
  <c r="I11" i="42" s="1"/>
  <c r="AA11" i="10"/>
  <c r="AA10" i="10" s="1"/>
  <c r="BB11" i="10" s="1"/>
  <c r="X6" i="46" s="1"/>
  <c r="F30" i="42"/>
  <c r="I8" i="42" s="1"/>
  <c r="AA36" i="10"/>
  <c r="AA35" i="10" s="1"/>
  <c r="BB14" i="10" s="1"/>
  <c r="X9" i="46" s="1"/>
  <c r="AD4" i="32"/>
  <c r="F10" i="42"/>
  <c r="I6" i="42" s="1"/>
  <c r="AA16" i="10"/>
  <c r="AA15" i="10" s="1"/>
  <c r="BB12" i="10" s="1"/>
  <c r="AA22" i="2"/>
  <c r="BB8" i="2" s="1"/>
  <c r="X16" i="46" s="1"/>
  <c r="AC16" i="46" s="1"/>
  <c r="AB16" i="46"/>
  <c r="F22" i="42"/>
  <c r="I7" i="42" s="1"/>
  <c r="AA28" i="10"/>
  <c r="AA27" i="10" s="1"/>
  <c r="BB13" i="10" s="1"/>
  <c r="X8" i="46" s="1"/>
  <c r="W14" i="46"/>
  <c r="AC18" i="46"/>
  <c r="BA16" i="10"/>
  <c r="W11" i="46" s="1"/>
  <c r="Z55" i="10"/>
  <c r="AC17" i="46"/>
  <c r="AB17" i="46"/>
  <c r="AB8" i="46"/>
  <c r="AC8" i="46"/>
  <c r="AB15" i="46"/>
  <c r="AC15" i="46"/>
  <c r="F30" i="41"/>
  <c r="I8" i="41" s="1"/>
  <c r="Z44" i="2"/>
  <c r="BA11" i="2" s="1"/>
  <c r="W19" i="46" s="1"/>
  <c r="AB10" i="46"/>
  <c r="AC10" i="46"/>
  <c r="F22" i="41"/>
  <c r="I7" i="41" s="1"/>
  <c r="BA17" i="10"/>
  <c r="W9" i="46"/>
  <c r="W12" i="46" s="1"/>
  <c r="F10" i="41"/>
  <c r="I6" i="41" s="1"/>
  <c r="AA55" i="10"/>
  <c r="C9" i="15"/>
  <c r="AD50" i="2"/>
  <c r="AC50" i="2"/>
  <c r="V5" i="2"/>
  <c r="AW6" i="2" s="1"/>
  <c r="I9" i="45"/>
  <c r="I11" i="45" s="1"/>
  <c r="F50" i="45"/>
  <c r="J11" i="45"/>
  <c r="E50" i="45"/>
  <c r="F50" i="44"/>
  <c r="I10" i="44"/>
  <c r="I11" i="44" s="1"/>
  <c r="J11" i="43"/>
  <c r="E50" i="43"/>
  <c r="F50" i="43"/>
  <c r="I10" i="43"/>
  <c r="I11" i="43"/>
  <c r="E50" i="42"/>
  <c r="J11" i="42"/>
  <c r="F50" i="42"/>
  <c r="I10" i="42"/>
  <c r="I9" i="41"/>
  <c r="E50" i="41"/>
  <c r="J11" i="41"/>
  <c r="Y16" i="10"/>
  <c r="Y15" i="10" s="1"/>
  <c r="AZ12" i="10" s="1"/>
  <c r="F37" i="40"/>
  <c r="I9" i="40" s="1"/>
  <c r="Y46" i="10"/>
  <c r="F37" i="37"/>
  <c r="I9" i="37" s="1"/>
  <c r="V44" i="10"/>
  <c r="E50" i="37"/>
  <c r="X37" i="2"/>
  <c r="AY10" i="2" s="1"/>
  <c r="X22" i="2"/>
  <c r="AY8" i="2" s="1"/>
  <c r="W5" i="2"/>
  <c r="AX6" i="2" s="1"/>
  <c r="E50" i="36"/>
  <c r="AG13" i="22"/>
  <c r="J11" i="40"/>
  <c r="Y37" i="2"/>
  <c r="AZ10" i="2" s="1"/>
  <c r="X44" i="2"/>
  <c r="AY11" i="2" s="1"/>
  <c r="X42" i="10"/>
  <c r="AY15" i="10" s="1"/>
  <c r="W22" i="2"/>
  <c r="AX8" i="2" s="1"/>
  <c r="W10" i="2"/>
  <c r="AX7" i="2" s="1"/>
  <c r="J11" i="37"/>
  <c r="AI13" i="22" s="1"/>
  <c r="V49" i="10"/>
  <c r="AW16" i="10" s="1"/>
  <c r="I10" i="36"/>
  <c r="U28" i="10"/>
  <c r="U27" i="10" s="1"/>
  <c r="AV13" i="10" s="1"/>
  <c r="F22" i="36"/>
  <c r="I7" i="36" s="1"/>
  <c r="F5" i="36"/>
  <c r="I5" i="36" s="1"/>
  <c r="U10" i="10"/>
  <c r="AV11" i="10" s="1"/>
  <c r="U16" i="10"/>
  <c r="U15" i="10" s="1"/>
  <c r="AV12" i="10" s="1"/>
  <c r="F10" i="36"/>
  <c r="I6" i="36" s="1"/>
  <c r="U36" i="10"/>
  <c r="F30" i="36"/>
  <c r="I8" i="36" s="1"/>
  <c r="I10" i="40"/>
  <c r="Y28" i="10"/>
  <c r="Y27" i="10" s="1"/>
  <c r="AZ13" i="10" s="1"/>
  <c r="F22" i="40"/>
  <c r="I7" i="40" s="1"/>
  <c r="E50" i="40"/>
  <c r="Y10" i="10"/>
  <c r="AZ11" i="10" s="1"/>
  <c r="Y44" i="2"/>
  <c r="AZ11" i="2" s="1"/>
  <c r="F5" i="40"/>
  <c r="I5" i="40" s="1"/>
  <c r="Y36" i="10"/>
  <c r="F30" i="40"/>
  <c r="I8" i="40" s="1"/>
  <c r="E50" i="39"/>
  <c r="J10" i="39"/>
  <c r="J11" i="39" s="1"/>
  <c r="AZ16" i="10"/>
  <c r="X10" i="2"/>
  <c r="AY7" i="2" s="1"/>
  <c r="F30" i="39"/>
  <c r="I8" i="39" s="1"/>
  <c r="F5" i="39"/>
  <c r="I5" i="39" s="1"/>
  <c r="X10" i="10"/>
  <c r="AY11" i="10" s="1"/>
  <c r="F10" i="39"/>
  <c r="I6" i="39" s="1"/>
  <c r="F22" i="39"/>
  <c r="I7" i="39" s="1"/>
  <c r="X28" i="10"/>
  <c r="X27" i="10" s="1"/>
  <c r="AY13" i="10" s="1"/>
  <c r="X16" i="10"/>
  <c r="X15" i="10" s="1"/>
  <c r="AY12" i="10" s="1"/>
  <c r="W16" i="10"/>
  <c r="F10" i="38"/>
  <c r="I6" i="38" s="1"/>
  <c r="W11" i="10"/>
  <c r="W10" i="10" s="1"/>
  <c r="AX11" i="10" s="1"/>
  <c r="W15" i="10"/>
  <c r="AX12" i="10" s="1"/>
  <c r="W28" i="10"/>
  <c r="W27" i="10" s="1"/>
  <c r="AX13" i="10" s="1"/>
  <c r="F22" i="38"/>
  <c r="I7" i="38" s="1"/>
  <c r="E50" i="38"/>
  <c r="J11" i="38"/>
  <c r="AK13" i="22" s="1"/>
  <c r="F30" i="38"/>
  <c r="I8" i="38" s="1"/>
  <c r="I10" i="38"/>
  <c r="V10" i="2"/>
  <c r="AW7" i="2" s="1"/>
  <c r="F10" i="37"/>
  <c r="I6" i="37" s="1"/>
  <c r="V16" i="10"/>
  <c r="V15" i="10" s="1"/>
  <c r="AW12" i="10" s="1"/>
  <c r="F5" i="37"/>
  <c r="I5" i="37" s="1"/>
  <c r="V11" i="10"/>
  <c r="V10" i="10" s="1"/>
  <c r="AW11" i="10" s="1"/>
  <c r="F44" i="37"/>
  <c r="V36" i="10"/>
  <c r="F30" i="37"/>
  <c r="I8" i="37" s="1"/>
  <c r="F22" i="37"/>
  <c r="I7" i="37" s="1"/>
  <c r="V28" i="10"/>
  <c r="V27" i="10" s="1"/>
  <c r="AW13" i="10" s="1"/>
  <c r="U5" i="2"/>
  <c r="AV6" i="2" s="1"/>
  <c r="U37" i="2"/>
  <c r="AV10" i="2" s="1"/>
  <c r="U10" i="2"/>
  <c r="AV7" i="2" s="1"/>
  <c r="Y22" i="2"/>
  <c r="Y5" i="2"/>
  <c r="AZ6" i="2" s="1"/>
  <c r="Y10" i="2"/>
  <c r="AZ7" i="2" s="1"/>
  <c r="Y42" i="10"/>
  <c r="Y36" i="2"/>
  <c r="Y30" i="2" s="1"/>
  <c r="AZ9" i="2" s="1"/>
  <c r="X49" i="10"/>
  <c r="AY16" i="10" s="1"/>
  <c r="X30" i="2"/>
  <c r="AY9" i="2" s="1"/>
  <c r="W37" i="2"/>
  <c r="AX10" i="2" s="1"/>
  <c r="W42" i="10"/>
  <c r="W30" i="2"/>
  <c r="AX9" i="2" s="1"/>
  <c r="V42" i="10"/>
  <c r="V37" i="2"/>
  <c r="AW10" i="2" s="1"/>
  <c r="V36" i="2"/>
  <c r="V30" i="2" s="1"/>
  <c r="AW9" i="2" s="1"/>
  <c r="V44" i="2"/>
  <c r="AW11" i="2" s="1"/>
  <c r="V22" i="2"/>
  <c r="AW8" i="2" s="1"/>
  <c r="U30" i="2"/>
  <c r="AV9" i="2" s="1"/>
  <c r="U44" i="10"/>
  <c r="U42" i="10" s="1"/>
  <c r="AV15" i="10" s="1"/>
  <c r="U52" i="10"/>
  <c r="U49" i="10" s="1"/>
  <c r="AV16" i="10" s="1"/>
  <c r="T44" i="2"/>
  <c r="AU11" i="2" s="1"/>
  <c r="U44" i="2"/>
  <c r="AV11" i="2" s="1"/>
  <c r="U22" i="2"/>
  <c r="AV8" i="2" s="1"/>
  <c r="T37" i="2"/>
  <c r="AU10" i="2" s="1"/>
  <c r="T27" i="10"/>
  <c r="AU13" i="10" s="1"/>
  <c r="T22" i="2"/>
  <c r="AU8" i="2" s="1"/>
  <c r="T10" i="2"/>
  <c r="AU7" i="2" s="1"/>
  <c r="J9" i="35"/>
  <c r="J11" i="35" s="1"/>
  <c r="T30" i="2"/>
  <c r="T5" i="2"/>
  <c r="AU6" i="2" s="1"/>
  <c r="F44" i="35"/>
  <c r="I10" i="35" s="1"/>
  <c r="T52" i="10"/>
  <c r="T49" i="10" s="1"/>
  <c r="AU16" i="10" s="1"/>
  <c r="F37" i="35"/>
  <c r="T35" i="10" s="1"/>
  <c r="T44" i="10"/>
  <c r="T42" i="10" s="1"/>
  <c r="AU15" i="10" s="1"/>
  <c r="F10" i="35"/>
  <c r="I6" i="35" s="1"/>
  <c r="T16" i="10"/>
  <c r="T15" i="10" s="1"/>
  <c r="AU12" i="10" s="1"/>
  <c r="R30" i="2"/>
  <c r="AS9" i="2" s="1"/>
  <c r="H55" i="10"/>
  <c r="E50" i="35"/>
  <c r="AL16" i="10"/>
  <c r="AL17" i="10" s="1"/>
  <c r="K55" i="10"/>
  <c r="AR16" i="10"/>
  <c r="Q55" i="10"/>
  <c r="J55" i="10"/>
  <c r="I55" i="10"/>
  <c r="L55" i="10"/>
  <c r="AO16" i="10"/>
  <c r="AO17" i="10" s="1"/>
  <c r="N55" i="10"/>
  <c r="AS16" i="10"/>
  <c r="AP16" i="10"/>
  <c r="AP17" i="10" s="1"/>
  <c r="O55" i="10"/>
  <c r="AQ16" i="10"/>
  <c r="P55" i="10"/>
  <c r="AN16" i="10"/>
  <c r="AN17" i="10" s="1"/>
  <c r="M55" i="10"/>
  <c r="M11" i="34"/>
  <c r="F44" i="34"/>
  <c r="L10" i="34" s="1"/>
  <c r="F37" i="34"/>
  <c r="L9" i="34" s="1"/>
  <c r="S44" i="10"/>
  <c r="S42" i="10" s="1"/>
  <c r="AT15" i="10" s="1"/>
  <c r="F10" i="34"/>
  <c r="L6" i="34" s="1"/>
  <c r="S16" i="10"/>
  <c r="S15" i="10" s="1"/>
  <c r="AT12" i="10" s="1"/>
  <c r="E50" i="34"/>
  <c r="AQ12" i="2"/>
  <c r="AP12" i="2"/>
  <c r="I12" i="14"/>
  <c r="C23" i="14" s="1"/>
  <c r="I12" i="22"/>
  <c r="I13" i="22" s="1"/>
  <c r="AJ12" i="2"/>
  <c r="AI12" i="2"/>
  <c r="AO12" i="2"/>
  <c r="AH12" i="2"/>
  <c r="AK12" i="2"/>
  <c r="AM12" i="2"/>
  <c r="AN12" i="2"/>
  <c r="AL12" i="2"/>
  <c r="AR12" i="2"/>
  <c r="AM17" i="10"/>
  <c r="R27" i="10"/>
  <c r="AS13" i="10" s="1"/>
  <c r="AS11" i="10"/>
  <c r="F36" i="24"/>
  <c r="I9" i="24" s="1"/>
  <c r="R44" i="10"/>
  <c r="R42" i="10" s="1"/>
  <c r="AS15" i="10" s="1"/>
  <c r="F10" i="24"/>
  <c r="I11" i="24" s="1"/>
  <c r="R16" i="10"/>
  <c r="R15" i="10" s="1"/>
  <c r="AS12" i="10" s="1"/>
  <c r="J11" i="24"/>
  <c r="R10" i="2"/>
  <c r="AS7" i="2" s="1"/>
  <c r="F5" i="24"/>
  <c r="I5" i="24" s="1"/>
  <c r="R22" i="2"/>
  <c r="AS8" i="2" s="1"/>
  <c r="AR11" i="10"/>
  <c r="U16" i="21"/>
  <c r="U20" i="21" s="1"/>
  <c r="AD6" i="21"/>
  <c r="AC12" i="21"/>
  <c r="I10" i="24"/>
  <c r="AD8" i="21"/>
  <c r="T18" i="21"/>
  <c r="T20" i="21" s="1"/>
  <c r="W12" i="21"/>
  <c r="S20" i="21"/>
  <c r="K49" i="21"/>
  <c r="M49" i="21"/>
  <c r="AB17" i="21"/>
  <c r="I49" i="21"/>
  <c r="H49" i="21"/>
  <c r="F49" i="21"/>
  <c r="AB18" i="21"/>
  <c r="J49" i="21"/>
  <c r="AA12" i="21"/>
  <c r="Q50" i="2"/>
  <c r="AB12" i="21"/>
  <c r="O49" i="21"/>
  <c r="K50" i="2"/>
  <c r="G20" i="14"/>
  <c r="D30" i="14" s="1"/>
  <c r="G22" i="14"/>
  <c r="D32" i="14" s="1"/>
  <c r="G21" i="14"/>
  <c r="D31" i="14" s="1"/>
  <c r="J11" i="23"/>
  <c r="E49" i="23"/>
  <c r="AQ13" i="10"/>
  <c r="G18" i="14"/>
  <c r="D28" i="14" s="1"/>
  <c r="N49" i="21"/>
  <c r="P50" i="2"/>
  <c r="G19" i="14"/>
  <c r="D29" i="14" s="1"/>
  <c r="S12" i="21"/>
  <c r="N13" i="14"/>
  <c r="J11" i="17"/>
  <c r="N50" i="2"/>
  <c r="F49" i="18"/>
  <c r="O50" i="2"/>
  <c r="I50" i="2"/>
  <c r="J50" i="2"/>
  <c r="I9" i="17"/>
  <c r="I11" i="17" s="1"/>
  <c r="F49" i="17"/>
  <c r="I9" i="4"/>
  <c r="F49" i="4"/>
  <c r="K13" i="14"/>
  <c r="R9" i="14"/>
  <c r="J5" i="7"/>
  <c r="AJ16" i="10"/>
  <c r="AJ17" i="10" s="1"/>
  <c r="G11" i="14"/>
  <c r="C22" i="14" s="1"/>
  <c r="G35" i="10"/>
  <c r="G55" i="10" s="1"/>
  <c r="J8" i="5"/>
  <c r="J11" i="5" s="1"/>
  <c r="P10" i="14"/>
  <c r="M50" i="2"/>
  <c r="Q7" i="14"/>
  <c r="J5" i="4"/>
  <c r="H11" i="14"/>
  <c r="F22" i="14" s="1"/>
  <c r="E7" i="14"/>
  <c r="C31" i="14"/>
  <c r="G50" i="2"/>
  <c r="F12" i="14"/>
  <c r="AH16" i="10"/>
  <c r="P11" i="14"/>
  <c r="G12" i="14"/>
  <c r="H9" i="14"/>
  <c r="C30" i="14" s="1"/>
  <c r="R12" i="14"/>
  <c r="L12" i="14"/>
  <c r="I11" i="5"/>
  <c r="J7" i="14"/>
  <c r="I11" i="7"/>
  <c r="P9" i="14"/>
  <c r="J8" i="7"/>
  <c r="I10" i="14" s="1"/>
  <c r="H50" i="2"/>
  <c r="AI16" i="10"/>
  <c r="AI17" i="10" s="1"/>
  <c r="O13" i="14"/>
  <c r="P8" i="14"/>
  <c r="C29" i="14" s="1"/>
  <c r="G7" i="14"/>
  <c r="J11" i="6"/>
  <c r="F49" i="7"/>
  <c r="Q10" i="14"/>
  <c r="J8" i="4"/>
  <c r="J8" i="6"/>
  <c r="G10" i="22" s="1"/>
  <c r="G13" i="22" s="1"/>
  <c r="M13" i="14"/>
  <c r="E9" i="14"/>
  <c r="I11" i="1"/>
  <c r="P7" i="14"/>
  <c r="L50" i="2"/>
  <c r="J12" i="14"/>
  <c r="F23" i="14" s="1"/>
  <c r="I10" i="6"/>
  <c r="F49" i="6"/>
  <c r="J11" i="1"/>
  <c r="I10" i="1"/>
  <c r="F49" i="1"/>
  <c r="I11" i="4"/>
  <c r="R7" i="14"/>
  <c r="AK16" i="10"/>
  <c r="AK17" i="10" s="1"/>
  <c r="H7" i="14"/>
  <c r="I11" i="8"/>
  <c r="AT12" i="2" l="1"/>
  <c r="S50" i="2"/>
  <c r="D50" i="2" s="1"/>
  <c r="F50" i="34"/>
  <c r="AC6" i="46"/>
  <c r="AB6" i="46"/>
  <c r="BB17" i="10"/>
  <c r="X7" i="46"/>
  <c r="BB12" i="2"/>
  <c r="X20" i="46"/>
  <c r="AC19" i="46"/>
  <c r="AB19" i="46"/>
  <c r="AB11" i="46"/>
  <c r="AC11" i="46"/>
  <c r="Z50" i="2"/>
  <c r="F50" i="41"/>
  <c r="AC9" i="46"/>
  <c r="AB9" i="46"/>
  <c r="W20" i="46"/>
  <c r="AC14" i="46"/>
  <c r="AB14" i="46"/>
  <c r="I11" i="41"/>
  <c r="BA12" i="2"/>
  <c r="AZ14" i="10"/>
  <c r="AZ12" i="2"/>
  <c r="AY12" i="2"/>
  <c r="E10" i="15" s="1"/>
  <c r="I11" i="39"/>
  <c r="AX12" i="2"/>
  <c r="AW12" i="2"/>
  <c r="I11" i="40"/>
  <c r="I11" i="38"/>
  <c r="I11" i="36"/>
  <c r="F50" i="36"/>
  <c r="BF11" i="2"/>
  <c r="F50" i="40"/>
  <c r="F50" i="39"/>
  <c r="BF13" i="10"/>
  <c r="BF10" i="2"/>
  <c r="F50" i="38"/>
  <c r="F50" i="37"/>
  <c r="I10" i="37"/>
  <c r="I11" i="37" s="1"/>
  <c r="BG13" i="10"/>
  <c r="BG11" i="2"/>
  <c r="BF7" i="2"/>
  <c r="Y50" i="2"/>
  <c r="AZ15" i="10"/>
  <c r="X50" i="2"/>
  <c r="BG16" i="10"/>
  <c r="X35" i="10"/>
  <c r="W35" i="10"/>
  <c r="AX14" i="10" s="1"/>
  <c r="W50" i="2"/>
  <c r="BF11" i="10"/>
  <c r="BG11" i="10"/>
  <c r="AX15" i="10"/>
  <c r="V35" i="10"/>
  <c r="AW14" i="10" s="1"/>
  <c r="BF8" i="2"/>
  <c r="AW15" i="10"/>
  <c r="BG10" i="2"/>
  <c r="V50" i="2"/>
  <c r="AV12" i="2"/>
  <c r="U50" i="2"/>
  <c r="U35" i="10"/>
  <c r="AV14" i="10" s="1"/>
  <c r="BG7" i="2"/>
  <c r="BG8" i="2"/>
  <c r="AU9" i="2"/>
  <c r="T50" i="2"/>
  <c r="BG6" i="2"/>
  <c r="BF6" i="2"/>
  <c r="I9" i="35"/>
  <c r="I11" i="35"/>
  <c r="F50" i="35"/>
  <c r="BG12" i="10"/>
  <c r="BF12" i="10"/>
  <c r="E7" i="15"/>
  <c r="E8" i="15"/>
  <c r="AU14" i="10"/>
  <c r="T55" i="10"/>
  <c r="AT17" i="10"/>
  <c r="AR17" i="10"/>
  <c r="AH17" i="10"/>
  <c r="D7" i="15" s="1"/>
  <c r="S55" i="10"/>
  <c r="R55" i="10"/>
  <c r="AQ17" i="10"/>
  <c r="L11" i="34"/>
  <c r="AS12" i="2"/>
  <c r="F24" i="14"/>
  <c r="AS17" i="10"/>
  <c r="F49" i="24"/>
  <c r="R50" i="2"/>
  <c r="AD12" i="21"/>
  <c r="D49" i="21"/>
  <c r="AB19" i="21"/>
  <c r="H12" i="14"/>
  <c r="H13" i="14" s="1"/>
  <c r="C33" i="14"/>
  <c r="I11" i="6"/>
  <c r="F13" i="14"/>
  <c r="G10" i="14"/>
  <c r="C28" i="14"/>
  <c r="E13" i="14"/>
  <c r="J11" i="4"/>
  <c r="I7" i="14"/>
  <c r="I13" i="14" s="1"/>
  <c r="J11" i="7"/>
  <c r="C7" i="15" s="1"/>
  <c r="P12" i="14"/>
  <c r="J13" i="14"/>
  <c r="Q13" i="14"/>
  <c r="E10" i="14"/>
  <c r="R11" i="14"/>
  <c r="AC7" i="46" l="1"/>
  <c r="AB7" i="46"/>
  <c r="X12" i="46"/>
  <c r="AB20" i="46"/>
  <c r="AC20" i="46"/>
  <c r="W21" i="46"/>
  <c r="I9" i="15"/>
  <c r="Y55" i="10"/>
  <c r="AZ17" i="10"/>
  <c r="D10" i="15" s="1"/>
  <c r="AY14" i="10"/>
  <c r="AY17" i="10" s="1"/>
  <c r="BF16" i="10"/>
  <c r="AV17" i="10"/>
  <c r="W55" i="10"/>
  <c r="AW17" i="10"/>
  <c r="AU12" i="2"/>
  <c r="E9" i="15" s="1"/>
  <c r="E13" i="15" s="1"/>
  <c r="BF15" i="10"/>
  <c r="BG15" i="10"/>
  <c r="X55" i="10"/>
  <c r="AX17" i="10"/>
  <c r="V55" i="10"/>
  <c r="U55" i="10"/>
  <c r="BG9" i="2"/>
  <c r="BG12" i="2" s="1"/>
  <c r="BF9" i="2"/>
  <c r="BF12" i="2" s="1"/>
  <c r="D8" i="15"/>
  <c r="I7" i="15" s="1"/>
  <c r="AU17" i="10"/>
  <c r="BF14" i="10"/>
  <c r="BG14" i="10"/>
  <c r="D55" i="10"/>
  <c r="D57" i="10" s="1"/>
  <c r="G13" i="14"/>
  <c r="C21" i="14"/>
  <c r="G24" i="14"/>
  <c r="D34" i="14" s="1"/>
  <c r="G23" i="14"/>
  <c r="D33" i="14" s="1"/>
  <c r="C13" i="15"/>
  <c r="C24" i="14"/>
  <c r="C32" i="14"/>
  <c r="C34" i="14"/>
  <c r="H57" i="10"/>
  <c r="AC12" i="46" l="1"/>
  <c r="AB12" i="46"/>
  <c r="X21" i="46"/>
  <c r="AB21" i="46" s="1"/>
  <c r="AC21" i="46"/>
  <c r="D9" i="15"/>
  <c r="D13" i="15" s="1"/>
  <c r="I10" i="15"/>
  <c r="J10" i="15" s="1"/>
  <c r="J11" i="15" s="1"/>
  <c r="J7" i="15"/>
  <c r="BG17" i="10"/>
  <c r="BF17" i="10"/>
  <c r="AC44" i="32"/>
  <c r="K8" i="15" l="1"/>
  <c r="K11" i="15" s="1"/>
  <c r="F13" i="15"/>
</calcChain>
</file>

<file path=xl/sharedStrings.xml><?xml version="1.0" encoding="utf-8"?>
<sst xmlns="http://schemas.openxmlformats.org/spreadsheetml/2006/main" count="4672" uniqueCount="226">
  <si>
    <t xml:space="preserve"> PROYECCION HERMES CHICLAYO</t>
  </si>
  <si>
    <t>Nombre</t>
  </si>
  <si>
    <t>Unidad</t>
  </si>
  <si>
    <t>Cantidad</t>
  </si>
  <si>
    <t>Subtotal</t>
  </si>
  <si>
    <t>CIUDAD</t>
  </si>
  <si>
    <t>Chiclayo</t>
  </si>
  <si>
    <t>Leonardo Ortiz</t>
  </si>
  <si>
    <t>La Victoria</t>
  </si>
  <si>
    <t>Santa Victoria</t>
  </si>
  <si>
    <t>PUEBLOS</t>
  </si>
  <si>
    <t>Lambayeque</t>
  </si>
  <si>
    <t>Mochumi</t>
  </si>
  <si>
    <t>Tucume</t>
  </si>
  <si>
    <t>Illimo</t>
  </si>
  <si>
    <t>Nueva Arica</t>
  </si>
  <si>
    <t>Jayanca</t>
  </si>
  <si>
    <t>Pacora</t>
  </si>
  <si>
    <t>Morrope</t>
  </si>
  <si>
    <t>Motupe</t>
  </si>
  <si>
    <t>Olmos</t>
  </si>
  <si>
    <t>Salas</t>
  </si>
  <si>
    <t>PLAYAS</t>
  </si>
  <si>
    <t>San Jose</t>
  </si>
  <si>
    <t>Santa Rosa</t>
  </si>
  <si>
    <t>Pimentel</t>
  </si>
  <si>
    <t>Reque</t>
  </si>
  <si>
    <t>Monsefu</t>
  </si>
  <si>
    <t>Eten</t>
  </si>
  <si>
    <t>Puerto Eten</t>
  </si>
  <si>
    <t>COOPERATIVAS</t>
  </si>
  <si>
    <t>Tuman</t>
  </si>
  <si>
    <t>Pomalca</t>
  </si>
  <si>
    <t>Patapo</t>
  </si>
  <si>
    <t>Pucala</t>
  </si>
  <si>
    <t>Chongoyape</t>
  </si>
  <si>
    <t>EXCOPERATIVAS</t>
  </si>
  <si>
    <t>Ucupe</t>
  </si>
  <si>
    <t>Mocupe</t>
  </si>
  <si>
    <t>Zaña</t>
  </si>
  <si>
    <t>Cayalti</t>
  </si>
  <si>
    <t>Oyutun</t>
  </si>
  <si>
    <t>Lagunas</t>
  </si>
  <si>
    <t>FERREÑAFE</t>
  </si>
  <si>
    <t>Ferreñafe</t>
  </si>
  <si>
    <t>Picsi</t>
  </si>
  <si>
    <t>Pitipo</t>
  </si>
  <si>
    <t>Motupillo</t>
  </si>
  <si>
    <t>Precio</t>
  </si>
  <si>
    <t>Pueblo Nuevo</t>
  </si>
  <si>
    <t>Paquete</t>
  </si>
  <si>
    <t>TOTAL</t>
  </si>
  <si>
    <t>VAL 24- 07</t>
  </si>
  <si>
    <t>VAL 30-07</t>
  </si>
  <si>
    <t>VAL 02-08</t>
  </si>
  <si>
    <t>VAL 05-08</t>
  </si>
  <si>
    <t>VAL 11-08</t>
  </si>
  <si>
    <t>VAL 15-08</t>
  </si>
  <si>
    <t xml:space="preserve"> GANACIA HERMES CHICLAYO </t>
  </si>
  <si>
    <t>URBANO</t>
  </si>
  <si>
    <t>DATOS ESTADISTICOS COMPORTAMIENTO DE ENVIOS</t>
  </si>
  <si>
    <t xml:space="preserve">COOPERATIVAS </t>
  </si>
  <si>
    <t>LUGARES</t>
  </si>
  <si>
    <t>VAL 24-07</t>
  </si>
  <si>
    <t>VAL 07-08</t>
  </si>
  <si>
    <t>FECHAS DE ENVIOS</t>
  </si>
  <si>
    <t>Monto S/</t>
  </si>
  <si>
    <t>ciudad</t>
  </si>
  <si>
    <t>pueblos</t>
  </si>
  <si>
    <t>playas</t>
  </si>
  <si>
    <t>cooperativas</t>
  </si>
  <si>
    <t>excoperativas</t>
  </si>
  <si>
    <t>URBAN0</t>
  </si>
  <si>
    <t>VAL 07-09</t>
  </si>
  <si>
    <t>S/</t>
  </si>
  <si>
    <t>CANTIDAD</t>
  </si>
  <si>
    <t>LUGAR</t>
  </si>
  <si>
    <t>GANANCIA</t>
  </si>
  <si>
    <t>MONTO VALZ.</t>
  </si>
  <si>
    <t>MES</t>
  </si>
  <si>
    <t>GANACIA</t>
  </si>
  <si>
    <t>JUIO</t>
  </si>
  <si>
    <t>AGOSTO</t>
  </si>
  <si>
    <t>SETIEMBRE</t>
  </si>
  <si>
    <t>OCTUBRE</t>
  </si>
  <si>
    <t>NOVIEMBRE</t>
  </si>
  <si>
    <t>DICIEMBRE</t>
  </si>
  <si>
    <t>VAL 15-07</t>
  </si>
  <si>
    <t>Valoriz. S/</t>
  </si>
  <si>
    <t>VAL Y-08</t>
  </si>
  <si>
    <t>VAL 19-08</t>
  </si>
  <si>
    <t>DISTRITOS</t>
  </si>
  <si>
    <t>JULIO</t>
  </si>
  <si>
    <t>GANACIA POR MESES PUEBLOS Y COOPERATIVAS</t>
  </si>
  <si>
    <t>INTERURBANO</t>
  </si>
  <si>
    <t>NOMBRE</t>
  </si>
  <si>
    <t>CANTIDAD 25 AGOSTO</t>
  </si>
  <si>
    <t>Saltur</t>
  </si>
  <si>
    <t>Oyotun</t>
  </si>
  <si>
    <t>VAL 26-08</t>
  </si>
  <si>
    <t>VAL 28 - 08 HERMES CHICLAYO PRECIOS SABAR</t>
  </si>
  <si>
    <t>VALOZ. (S/)</t>
  </si>
  <si>
    <t>CANTIDAD (UND)</t>
  </si>
  <si>
    <t xml:space="preserve">RESUMEN VALORIZACION TOTAL </t>
  </si>
  <si>
    <t>CUADRO RESUMEN DE CANTIDAD POR ENVIO DE DISTRITO MAS IMPORTANTES</t>
  </si>
  <si>
    <t>PROMEDIO</t>
  </si>
  <si>
    <t>CANTIDAD 3 SEPTIEMBRE</t>
  </si>
  <si>
    <t>VAL 03-09</t>
  </si>
  <si>
    <t>VAL 04-09</t>
  </si>
  <si>
    <t>Precio inicial</t>
  </si>
  <si>
    <t>Precio reagustado</t>
  </si>
  <si>
    <t>VAL 15 - 07</t>
  </si>
  <si>
    <t>VAL 15- 07</t>
  </si>
  <si>
    <t>VAL 11-09</t>
  </si>
  <si>
    <t>PRECIO (S/)</t>
  </si>
  <si>
    <t>CANTIDAD (UND.)</t>
  </si>
  <si>
    <t>DISTRITO</t>
  </si>
  <si>
    <t>VALORIZACION HERMES CHICLAYO</t>
  </si>
  <si>
    <t>Total</t>
  </si>
  <si>
    <t>VALORIZACINTOTAL  EN SOLES</t>
  </si>
  <si>
    <t>SUBTOTAL</t>
  </si>
  <si>
    <t>PRO/LUGAR</t>
  </si>
  <si>
    <t>USUARIO</t>
  </si>
  <si>
    <t>CONTRASEÑA</t>
  </si>
  <si>
    <t>ENTRAR</t>
  </si>
  <si>
    <t>Savar Login</t>
  </si>
  <si>
    <t>CHI.HER</t>
  </si>
  <si>
    <t>ENTRAR PARA INGRESAR A ALMACEN DE SAVAR</t>
  </si>
  <si>
    <t>RECEPCIN MASIVA</t>
  </si>
  <si>
    <t>TRANSFWRENCIUA</t>
  </si>
  <si>
    <t>CARGA MASIVA</t>
  </si>
  <si>
    <t>SELECCIÓN ARCHIVO</t>
  </si>
  <si>
    <t>SUBIR TRAMA</t>
  </si>
  <si>
    <t>Etiquetas de fila</t>
  </si>
  <si>
    <t>Total general</t>
  </si>
  <si>
    <t>(en blanco)</t>
  </si>
  <si>
    <t>VAL11-09</t>
  </si>
  <si>
    <t>VAL 15 - 08</t>
  </si>
  <si>
    <t>VAL 24 - 27</t>
  </si>
  <si>
    <t>VAL 02 - 08</t>
  </si>
  <si>
    <t>VAL 05 - 08</t>
  </si>
  <si>
    <t>VAL 07 - 08</t>
  </si>
  <si>
    <t>VAL 11 - 08</t>
  </si>
  <si>
    <t>VAL 19 - 08</t>
  </si>
  <si>
    <t>VAL 26 - 08</t>
  </si>
  <si>
    <t>VAL 03 - 09</t>
  </si>
  <si>
    <t>VAL 04 - 09</t>
  </si>
  <si>
    <t>CANTIDAD POR PEDIDO</t>
  </si>
  <si>
    <t>VAL 30 - 28</t>
  </si>
  <si>
    <t>PROM</t>
  </si>
  <si>
    <t>#¡DIV/0!</t>
  </si>
  <si>
    <t>Suma de VAL 24 - 27</t>
  </si>
  <si>
    <t>Suma de VAL 30 - 28</t>
  </si>
  <si>
    <t>VAL 15 -07</t>
  </si>
  <si>
    <t>CANTIDAD 15 SEPTIEMBRE</t>
  </si>
  <si>
    <t>Sartur</t>
  </si>
  <si>
    <t>VAL 15-09</t>
  </si>
  <si>
    <t>VAL15-09</t>
  </si>
  <si>
    <t>lugar</t>
  </si>
  <si>
    <t>cantidad</t>
  </si>
  <si>
    <t>VAL F-10</t>
  </si>
  <si>
    <t>VAL F - 10</t>
  </si>
  <si>
    <t>UND</t>
  </si>
  <si>
    <t>S/.</t>
  </si>
  <si>
    <t>PAQUETES PAGADO</t>
  </si>
  <si>
    <t>VAL 18-09</t>
  </si>
  <si>
    <t>VAL 18 - 09</t>
  </si>
  <si>
    <t>VAL 22-09</t>
  </si>
  <si>
    <t>VAL 22 - 09</t>
  </si>
  <si>
    <t>CANTIDAD 26 SEPTIEMBRE</t>
  </si>
  <si>
    <t>VAL 26-09</t>
  </si>
  <si>
    <t>VAL 26 - 09</t>
  </si>
  <si>
    <t>CANTIDAD 02 octubr</t>
  </si>
  <si>
    <t>VAL 02-10</t>
  </si>
  <si>
    <t>VAL 02 - 10</t>
  </si>
  <si>
    <t>VAL 02-098</t>
  </si>
  <si>
    <t>CANTIDAD 09 OCTUBRE</t>
  </si>
  <si>
    <t>VAL 09-10</t>
  </si>
  <si>
    <t>VAL 0 - 10</t>
  </si>
  <si>
    <t>VAL 13-10</t>
  </si>
  <si>
    <t>VAL 13 - 10</t>
  </si>
  <si>
    <t>CUADRO RESUMEN DE GANACIA  (S/.) AL 13 - 10 - 2025</t>
  </si>
  <si>
    <t>VAL A - 10</t>
  </si>
  <si>
    <t>VAL B - 10</t>
  </si>
  <si>
    <t>VAL C - 10</t>
  </si>
  <si>
    <t>VAL B-10</t>
  </si>
  <si>
    <t>VAL C-10</t>
  </si>
  <si>
    <t>VAL D-10</t>
  </si>
  <si>
    <t>VAL D - 11</t>
  </si>
  <si>
    <t>VAL F - 12</t>
  </si>
  <si>
    <t>VAL 09 - 10</t>
  </si>
  <si>
    <t>VAL D - 10</t>
  </si>
  <si>
    <t>PAGO CURRIER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</si>
  <si>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</si>
  <si>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</si>
  <si>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</si>
  <si>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</si>
  <si>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</si>
  <si>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</si>
  <si>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</si>
  <si>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</si>
  <si>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</si>
  <si>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</si>
  <si>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</si>
  <si>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</si>
  <si>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</si>
  <si>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</si>
  <si>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</si>
  <si>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</si>
  <si>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</si>
  <si>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</si>
  <si>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</si>
  <si>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</si>
  <si>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</si>
  <si>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</si>
  <si>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</si>
  <si>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</si>
  <si>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</si>
  <si>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</si>
  <si>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</si>
  <si>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LUGAR (GANANCIAS)</t>
  </si>
  <si>
    <t>LUGAR (VALORIZACION)</t>
  </si>
  <si>
    <t>VAL 17-10</t>
  </si>
  <si>
    <t>VAL 17 - 10</t>
  </si>
  <si>
    <t>VAL 20-10</t>
  </si>
  <si>
    <t>VALORIZACION REAL  HERMES CHICLAYO 20/10/25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</si>
</sst>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S/-280A]\ * #,##0.00_-;\-[$S/-280A]\ * #,##0.00_-;_-[$S/-280A]\ * &quot;-&quot;??_-;_-@_-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2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43" fontId="0" fillId="0" borderId="2" xfId="1" applyFont="1" applyBorder="1"/>
    <xf numFmtId="43" fontId="1" fillId="0" borderId="2" xfId="1" applyFont="1" applyBorder="1"/>
    <xf numFmtId="0" fontId="0" fillId="0" borderId="13" xfId="0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0" fontId="7" fillId="3" borderId="14" xfId="0" applyFont="1" applyFill="1" applyBorder="1" applyAlignment="1">
      <alignment horizontal="right"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right" wrapText="1"/>
    </xf>
    <xf numFmtId="0" fontId="0" fillId="4" borderId="14" xfId="0" applyFill="1" applyBorder="1" applyAlignment="1">
      <alignment wrapText="1"/>
    </xf>
    <xf numFmtId="0" fontId="8" fillId="0" borderId="13" xfId="0" applyFont="1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43" fontId="0" fillId="0" borderId="0" xfId="1" applyFont="1"/>
    <xf numFmtId="0" fontId="0" fillId="0" borderId="16" xfId="0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3" borderId="17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4" borderId="17" xfId="0" applyFill="1" applyBorder="1" applyAlignment="1">
      <alignment wrapText="1"/>
    </xf>
    <xf numFmtId="0" fontId="7" fillId="0" borderId="13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2" xfId="0" applyFont="1" applyBorder="1"/>
    <xf numFmtId="0" fontId="2" fillId="2" borderId="18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9" fillId="0" borderId="2" xfId="0" applyFont="1" applyBorder="1"/>
    <xf numFmtId="0" fontId="0" fillId="0" borderId="0" xfId="0" applyAlignment="1">
      <alignment horizontal="center" wrapText="1"/>
    </xf>
    <xf numFmtId="0" fontId="0" fillId="0" borderId="12" xfId="0" applyBorder="1"/>
    <xf numFmtId="0" fontId="1" fillId="0" borderId="12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23" xfId="0" applyBorder="1"/>
    <xf numFmtId="0" fontId="0" fillId="0" borderId="20" xfId="0" applyBorder="1"/>
    <xf numFmtId="0" fontId="0" fillId="0" borderId="22" xfId="0" applyBorder="1"/>
    <xf numFmtId="43" fontId="0" fillId="0" borderId="0" xfId="0" applyNumberFormat="1"/>
    <xf numFmtId="0" fontId="0" fillId="5" borderId="0" xfId="0" applyFill="1"/>
    <xf numFmtId="0" fontId="1" fillId="5" borderId="0" xfId="0" applyFont="1" applyFill="1"/>
    <xf numFmtId="164" fontId="1" fillId="0" borderId="2" xfId="0" applyNumberFormat="1" applyFont="1" applyBorder="1"/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21" xfId="0" applyNumberFormat="1" applyFont="1" applyBorder="1"/>
    <xf numFmtId="164" fontId="3" fillId="0" borderId="2" xfId="0" applyNumberFormat="1" applyFont="1" applyBorder="1"/>
    <xf numFmtId="164" fontId="3" fillId="0" borderId="4" xfId="0" applyNumberFormat="1" applyFont="1" applyBorder="1"/>
    <xf numFmtId="164" fontId="1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/>
    <xf numFmtId="164" fontId="3" fillId="0" borderId="24" xfId="0" applyNumberFormat="1" applyFont="1" applyBorder="1"/>
    <xf numFmtId="0" fontId="1" fillId="6" borderId="0" xfId="0" applyFont="1" applyFill="1"/>
    <xf numFmtId="0" fontId="0" fillId="6" borderId="0" xfId="0" applyFill="1"/>
    <xf numFmtId="0" fontId="0" fillId="0" borderId="21" xfId="0" applyBorder="1"/>
    <xf numFmtId="0" fontId="1" fillId="0" borderId="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24" xfId="0" applyNumberFormat="1" applyFont="1" applyBorder="1" applyAlignment="1">
      <alignment horizontal="center"/>
    </xf>
    <xf numFmtId="0" fontId="0" fillId="7" borderId="0" xfId="0" applyFill="1"/>
    <xf numFmtId="0" fontId="10" fillId="7" borderId="0" xfId="0" applyFont="1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8" xfId="0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1" fontId="0" fillId="0" borderId="21" xfId="0" applyNumberFormat="1" applyBorder="1"/>
    <xf numFmtId="1" fontId="0" fillId="0" borderId="0" xfId="0" applyNumberFormat="1" applyAlignment="1">
      <alignment horizontal="left" indent="1"/>
    </xf>
    <xf numFmtId="0" fontId="1" fillId="0" borderId="6" xfId="0" applyFont="1" applyBorder="1" applyAlignment="1">
      <alignment wrapText="1"/>
    </xf>
    <xf numFmtId="0" fontId="1" fillId="0" borderId="22" xfId="0" applyFont="1" applyBorder="1" applyAlignment="1">
      <alignment horizontal="center"/>
    </xf>
    <xf numFmtId="0" fontId="0" fillId="8" borderId="25" xfId="0" applyFill="1" applyBorder="1"/>
    <xf numFmtId="0" fontId="11" fillId="9" borderId="0" xfId="0" applyFont="1" applyFill="1" applyAlignment="1">
      <alignment horizontal="center"/>
    </xf>
    <xf numFmtId="1" fontId="0" fillId="0" borderId="8" xfId="0" applyNumberFormat="1" applyBorder="1"/>
    <xf numFmtId="0" fontId="0" fillId="0" borderId="26" xfId="0" applyBorder="1"/>
    <xf numFmtId="43" fontId="0" fillId="0" borderId="4" xfId="1" applyFont="1" applyBorder="1"/>
    <xf numFmtId="43" fontId="1" fillId="0" borderId="4" xfId="1" applyFont="1" applyBorder="1"/>
    <xf numFmtId="0" fontId="5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3" fillId="0" borderId="0" xfId="0" applyFont="1"/>
    <xf numFmtId="43" fontId="14" fillId="0" borderId="0" xfId="1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0" fillId="0" borderId="21" xfId="0" applyBorder="1" applyAlignment="1">
      <alignment wrapText="1"/>
    </xf>
    <xf numFmtId="0" fontId="5" fillId="0" borderId="24" xfId="0" applyFont="1" applyBorder="1" applyAlignment="1">
      <alignment wrapText="1"/>
    </xf>
    <xf numFmtId="0" fontId="0" fillId="0" borderId="8" xfId="0" applyBorder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" fillId="0" borderId="0" xfId="0" applyFont="1" applyBorder="1"/>
  </cellXfs>
  <cellStyles count="2">
    <cellStyle name="Millares" xfId="1" builtinId="3"/>
    <cellStyle name="Normal" xfId="0" builtinId="0"/>
  </cellStyles>
  <dxfs count="195">
    <dxf>
      <numFmt numFmtId="1" formatCode="0"/>
    </dxf>
    <dxf>
      <numFmt numFmtId="1" formatCode="0"/>
      <border diagonalUp="0" diagonalDown="0" outline="0">
        <left style="thin">
          <color auto="1"/>
        </left>
        <right/>
        <top/>
        <bottom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 style="thin">
          <color auto="1"/>
        </left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S/-280A]\ * #,##0.00_-;\-[$S/-280A]\ * #,##0.00_-;_-[$S/-280A]\ * &quot;-&quot;??_-;_-@_-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2000">
                <a:solidFill>
                  <a:srgbClr val="00B0F0"/>
                </a:solidFill>
              </a:rPr>
              <a:t>RESUMEN POR 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21787732299908918"/>
          <c:y val="0.21230066444547691"/>
          <c:w val="0.78207682319257854"/>
          <c:h val="0.728796604653284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'CUADRO RESUMEN TOTAL'!$C$5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RESUMEN TOTAL'!$B$7:$B$13</c:f>
              <c:strCache>
                <c:ptCount val="7"/>
                <c:pt idx="0">
                  <c:v>JUIO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  <c:pt idx="6">
                  <c:v>TOTAL</c:v>
                </c:pt>
              </c:strCache>
            </c:strRef>
          </c:cat>
          <c:val>
            <c:numRef>
              <c:f>'CUADRO RESUMEN TOTAL'!$C$7:$C$13</c:f>
              <c:numCache>
                <c:formatCode>_(* #,##0.00_);_(* \(#,##0.00\);_(* "-"??_);_(@_)</c:formatCode>
                <c:ptCount val="7"/>
                <c:pt idx="0">
                  <c:v>3223</c:v>
                </c:pt>
                <c:pt idx="1">
                  <c:v>6030</c:v>
                </c:pt>
                <c:pt idx="2">
                  <c:v>8405</c:v>
                </c:pt>
                <c:pt idx="3">
                  <c:v>3140</c:v>
                </c:pt>
                <c:pt idx="6">
                  <c:v>20798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C-48F6-915F-69115D07C327}"/>
            </c:ext>
          </c:extLst>
        </c:ser>
        <c:ser>
          <c:idx val="1"/>
          <c:order val="1"/>
          <c:tx>
            <c:strRef>
              <c:f>'CUADRO RESUMEN TOTAL'!$D$5</c:f>
              <c:strCache>
                <c:ptCount val="1"/>
                <c:pt idx="0">
                  <c:v>MONTO VALZ.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RESUMEN TOTAL'!$B$7:$B$13</c:f>
              <c:strCache>
                <c:ptCount val="7"/>
                <c:pt idx="0">
                  <c:v>JUIO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  <c:pt idx="6">
                  <c:v>TOTAL</c:v>
                </c:pt>
              </c:strCache>
            </c:strRef>
          </c:cat>
          <c:val>
            <c:numRef>
              <c:f>'CUADRO RESUMEN TOTAL'!$D$7:$D$13</c:f>
              <c:numCache>
                <c:formatCode>_(* #,##0.00_);_(* \(#,##0.00\);_(* "-"??_);_(@_)</c:formatCode>
                <c:ptCount val="7"/>
                <c:pt idx="0">
                  <c:v>16591.5</c:v>
                </c:pt>
                <c:pt idx="1">
                  <c:v>33348</c:v>
                </c:pt>
                <c:pt idx="2">
                  <c:v>33038</c:v>
                </c:pt>
                <c:pt idx="3">
                  <c:v>8458</c:v>
                </c:pt>
                <c:pt idx="6">
                  <c:v>91435.5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C-48F6-915F-69115D07C327}"/>
            </c:ext>
          </c:extLst>
        </c:ser>
        <c:ser>
          <c:idx val="2"/>
          <c:order val="2"/>
          <c:tx>
            <c:strRef>
              <c:f>'CUADRO RESUMEN TOTAL'!$E$5</c:f>
              <c:strCache>
                <c:ptCount val="1"/>
                <c:pt idx="0">
                  <c:v>GANACIA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RESUMEN TOTAL'!$B$7:$B$13</c:f>
              <c:strCache>
                <c:ptCount val="7"/>
                <c:pt idx="0">
                  <c:v>JUIO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  <c:pt idx="6">
                  <c:v>TOTAL</c:v>
                </c:pt>
              </c:strCache>
            </c:strRef>
          </c:cat>
          <c:val>
            <c:numRef>
              <c:f>'CUADRO RESUMEN TOTAL'!$E$7:$E$13</c:f>
              <c:numCache>
                <c:formatCode>_(* #,##0.00_);_(* \(#,##0.00\);_(* "-"??_);_(@_)</c:formatCode>
                <c:ptCount val="7"/>
                <c:pt idx="0">
                  <c:v>9379.9</c:v>
                </c:pt>
                <c:pt idx="1">
                  <c:v>17229.5</c:v>
                </c:pt>
                <c:pt idx="2">
                  <c:v>18744.600000000002</c:v>
                </c:pt>
                <c:pt idx="3">
                  <c:v>4635.7</c:v>
                </c:pt>
                <c:pt idx="6">
                  <c:v>49989.7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C-48F6-915F-69115D07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714367"/>
        <c:axId val="1543702847"/>
      </c:barChart>
      <c:catAx>
        <c:axId val="15437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3702847"/>
        <c:crosses val="autoZero"/>
        <c:auto val="1"/>
        <c:lblAlgn val="ctr"/>
        <c:lblOffset val="100"/>
        <c:noMultiLvlLbl val="0"/>
      </c:catAx>
      <c:valAx>
        <c:axId val="1543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4371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'GRAFICO DE ACTIV.'!$C$17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EA-413E-98AF-CFE4ACEA86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EA-413E-98AF-CFE4ACEA86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DEA-413E-98AF-CFE4ACEA86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DEA-413E-98AF-CFE4ACEA86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DEA-413E-98AF-CFE4ACEA86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DEA-413E-98AF-CFE4ACEA86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DE ACTIV.'!$B$18:$B$23</c:f>
              <c:strCache>
                <c:ptCount val="6"/>
                <c:pt idx="0">
                  <c:v>URBANO</c:v>
                </c:pt>
                <c:pt idx="1">
                  <c:v>PUEBLOS</c:v>
                </c:pt>
                <c:pt idx="2">
                  <c:v>PLAYAS</c:v>
                </c:pt>
                <c:pt idx="3">
                  <c:v>COOPERATIVAS </c:v>
                </c:pt>
                <c:pt idx="4">
                  <c:v>EXCOPERATIVAS</c:v>
                </c:pt>
                <c:pt idx="5">
                  <c:v>FERREÑAFE</c:v>
                </c:pt>
              </c:strCache>
            </c:strRef>
          </c:cat>
          <c:val>
            <c:numRef>
              <c:f>'GRAFICO DE ACTIV.'!$C$18:$C$23</c:f>
              <c:numCache>
                <c:formatCode>General</c:formatCode>
                <c:ptCount val="6"/>
                <c:pt idx="0">
                  <c:v>4523</c:v>
                </c:pt>
                <c:pt idx="1">
                  <c:v>1532</c:v>
                </c:pt>
                <c:pt idx="2">
                  <c:v>872</c:v>
                </c:pt>
                <c:pt idx="3">
                  <c:v>745</c:v>
                </c:pt>
                <c:pt idx="4">
                  <c:v>327</c:v>
                </c:pt>
                <c:pt idx="5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4-4716-97EF-F3CFCC19CC26}"/>
            </c:ext>
          </c:extLst>
        </c:ser>
        <c:ser>
          <c:idx val="1"/>
          <c:order val="1"/>
          <c:tx>
            <c:strRef>
              <c:f>'GRAFICO DE ACTIV.'!$D$17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D-DDEA-413E-98AF-CFE4ACEA86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F-DDEA-413E-98AF-CFE4ACEA86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1-DDEA-413E-98AF-CFE4ACEA86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3-DDEA-413E-98AF-CFE4ACEA86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5-DDEA-413E-98AF-CFE4ACEA86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7-DDEA-413E-98AF-CFE4ACEA8684}"/>
              </c:ext>
            </c:extLst>
          </c:dPt>
          <c:cat>
            <c:strRef>
              <c:f>'GRAFICO DE ACTIV.'!$B$18:$B$23</c:f>
              <c:strCache>
                <c:ptCount val="6"/>
                <c:pt idx="0">
                  <c:v>URBANO</c:v>
                </c:pt>
                <c:pt idx="1">
                  <c:v>PUEBLOS</c:v>
                </c:pt>
                <c:pt idx="2">
                  <c:v>PLAYAS</c:v>
                </c:pt>
                <c:pt idx="3">
                  <c:v>COOPERATIVAS </c:v>
                </c:pt>
                <c:pt idx="4">
                  <c:v>EXCOPERATIVAS</c:v>
                </c:pt>
                <c:pt idx="5">
                  <c:v>FERREÑAFE</c:v>
                </c:pt>
              </c:strCache>
            </c:strRef>
          </c:cat>
          <c:val>
            <c:numRef>
              <c:f>'GRAFICO DE ACTIV.'!$D$18:$D$23</c:f>
              <c:numCache>
                <c:formatCode>General</c:formatCode>
                <c:ptCount val="6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904-4716-97EF-F3CFCC19CC26}"/>
            </c:ext>
          </c:extLst>
        </c:ser>
        <c:ser>
          <c:idx val="2"/>
          <c:order val="2"/>
          <c:tx>
            <c:strRef>
              <c:f>'GRAFICO DE ACTIV.'!$E$17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D3A9-45E8-8ADB-AA8F670EAC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D3A9-45E8-8ADB-AA8F670EAC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D3A9-45E8-8ADB-AA8F670EAC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D3A9-45E8-8ADB-AA8F670EAC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D3A9-45E8-8ADB-AA8F670EAC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D3A9-45E8-8ADB-AA8F670EAC5C}"/>
              </c:ext>
            </c:extLst>
          </c:dPt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DE ACTIV.'!$B$18:$B$23</c:f>
              <c:strCache>
                <c:ptCount val="6"/>
                <c:pt idx="0">
                  <c:v>URBANO</c:v>
                </c:pt>
                <c:pt idx="1">
                  <c:v>PUEBLOS</c:v>
                </c:pt>
                <c:pt idx="2">
                  <c:v>PLAYAS</c:v>
                </c:pt>
                <c:pt idx="3">
                  <c:v>COOPERATIVAS </c:v>
                </c:pt>
                <c:pt idx="4">
                  <c:v>EXCOPERATIVAS</c:v>
                </c:pt>
                <c:pt idx="5">
                  <c:v>FERREÑAFE</c:v>
                </c:pt>
              </c:strCache>
            </c:strRef>
          </c:cat>
          <c:val>
            <c:numRef>
              <c:f>'GRAFICO DE ACTIV.'!$E$18:$E$23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8-0465-4BC7-B7B4-F8499BD0F30E}"/>
            </c:ext>
          </c:extLst>
        </c:ser>
        <c:ser>
          <c:idx val="3"/>
          <c:order val="3"/>
          <c:tx>
            <c:strRef>
              <c:f>'GRAFICO DE ACTIV.'!$F$17</c:f>
              <c:strCache>
                <c:ptCount val="1"/>
                <c:pt idx="0">
                  <c:v>Valoriz. S/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D3A9-45E8-8ADB-AA8F670EAC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D3A9-45E8-8ADB-AA8F670EAC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D3A9-45E8-8ADB-AA8F670EAC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D3A9-45E8-8ADB-AA8F670EAC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D3A9-45E8-8ADB-AA8F670EAC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D3A9-45E8-8ADB-AA8F670EAC5C}"/>
              </c:ext>
            </c:extLst>
          </c:dPt>
          <c:cat>
            <c:strRef>
              <c:f>'GRAFICO DE ACTIV.'!$B$18:$B$23</c:f>
              <c:strCache>
                <c:ptCount val="6"/>
                <c:pt idx="0">
                  <c:v>URBANO</c:v>
                </c:pt>
                <c:pt idx="1">
                  <c:v>PUEBLOS</c:v>
                </c:pt>
                <c:pt idx="2">
                  <c:v>PLAYAS</c:v>
                </c:pt>
                <c:pt idx="3">
                  <c:v>COOPERATIVAS </c:v>
                </c:pt>
                <c:pt idx="4">
                  <c:v>EXCOPERATIVAS</c:v>
                </c:pt>
                <c:pt idx="5">
                  <c:v>FERREÑAFE</c:v>
                </c:pt>
              </c:strCache>
            </c:strRef>
          </c:cat>
          <c:val>
            <c:numRef>
              <c:f>'GRAFICO DE ACTIV.'!$F$18:$F$23</c:f>
              <c:numCache>
                <c:formatCode>General</c:formatCode>
                <c:ptCount val="6"/>
                <c:pt idx="0">
                  <c:v>13569</c:v>
                </c:pt>
                <c:pt idx="1">
                  <c:v>9991</c:v>
                </c:pt>
                <c:pt idx="2">
                  <c:v>4540</c:v>
                </c:pt>
                <c:pt idx="3">
                  <c:v>4700</c:v>
                </c:pt>
                <c:pt idx="4">
                  <c:v>2616</c:v>
                </c:pt>
                <c:pt idx="5">
                  <c:v>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65-4BC7-B7B4-F8499BD0F30E}"/>
            </c:ext>
          </c:extLst>
        </c:ser>
        <c:ser>
          <c:idx val="4"/>
          <c:order val="4"/>
          <c:tx>
            <c:strRef>
              <c:f>'GRAFICO DE ACTIV.'!$G$17</c:f>
              <c:strCache>
                <c:ptCount val="1"/>
                <c:pt idx="0">
                  <c:v>GANANCIA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D3A9-45E8-8ADB-AA8F670EAC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D3A9-45E8-8ADB-AA8F670EAC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D3A9-45E8-8ADB-AA8F670EAC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D3A9-45E8-8ADB-AA8F670EAC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D3A9-45E8-8ADB-AA8F670EAC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D3A9-45E8-8ADB-AA8F670EAC5C}"/>
              </c:ext>
            </c:extLst>
          </c:dPt>
          <c:cat>
            <c:strRef>
              <c:f>'GRAFICO DE ACTIV.'!$B$18:$B$23</c:f>
              <c:strCache>
                <c:ptCount val="6"/>
                <c:pt idx="0">
                  <c:v>URBANO</c:v>
                </c:pt>
                <c:pt idx="1">
                  <c:v>PUEBLOS</c:v>
                </c:pt>
                <c:pt idx="2">
                  <c:v>PLAYAS</c:v>
                </c:pt>
                <c:pt idx="3">
                  <c:v>COOPERATIVAS </c:v>
                </c:pt>
                <c:pt idx="4">
                  <c:v>EXCOPERATIVAS</c:v>
                </c:pt>
                <c:pt idx="5">
                  <c:v>FERREÑAFE</c:v>
                </c:pt>
              </c:strCache>
            </c:strRef>
          </c:cat>
          <c:val>
            <c:numRef>
              <c:f>'GRAFICO DE ACTIV.'!$G$18:$G$23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65-4BC7-B7B4-F8499BD0F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'GRAFICO DE ACTIV.'!$G$17</c:f>
              <c:strCache>
                <c:ptCount val="1"/>
                <c:pt idx="0">
                  <c:v>GANANCIA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B8-45F3-A15E-BBD2AD1BFE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B8-45F3-A15E-BBD2AD1BFE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B8-45F3-A15E-BBD2AD1BFE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AB8-45F3-A15E-BBD2AD1BFE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AB8-45F3-A15E-BBD2AD1BFE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AB8-45F3-A15E-BBD2AD1BFE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DE ACTIV.'!$B$18:$B$23</c:f>
              <c:strCache>
                <c:ptCount val="6"/>
                <c:pt idx="0">
                  <c:v>URBANO</c:v>
                </c:pt>
                <c:pt idx="1">
                  <c:v>PUEBLOS</c:v>
                </c:pt>
                <c:pt idx="2">
                  <c:v>PLAYAS</c:v>
                </c:pt>
                <c:pt idx="3">
                  <c:v>COOPERATIVAS </c:v>
                </c:pt>
                <c:pt idx="4">
                  <c:v>EXCOPERATIVAS</c:v>
                </c:pt>
                <c:pt idx="5">
                  <c:v>FERREÑAFE</c:v>
                </c:pt>
              </c:strCache>
            </c:strRef>
          </c:cat>
          <c:val>
            <c:numRef>
              <c:f>'GRAFICO DE ACTIV.'!$G$18:$G$23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0-45A9-9769-D46DE7EA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'GRAFICO DE ACTIV.'!$C$17</c15:sqref>
                        </c15:formulaRef>
                      </c:ext>
                    </c:extLst>
                    <c:strCache>
                      <c:ptCount val="1"/>
                      <c:pt idx="0">
                        <c:v>Cantidad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BAB8-45F3-A15E-BBD2AD1BF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BAB8-45F3-A15E-BBD2AD1BFE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BAB8-45F3-A15E-BBD2AD1BFE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BAB8-45F3-A15E-BBD2AD1BFED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BAB8-45F3-A15E-BBD2AD1BFED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BAB8-45F3-A15E-BBD2AD1BFED0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'GRAFICO DE ACTIV.'!$B$18:$B$23</c15:sqref>
                        </c15:formulaRef>
                      </c:ext>
                    </c:extLst>
                    <c:strCache>
                      <c:ptCount val="6"/>
                      <c:pt idx="0">
                        <c:v>URBANO</c:v>
                      </c:pt>
                      <c:pt idx="1">
                        <c:v>PUEBLOS</c:v>
                      </c:pt>
                      <c:pt idx="2">
                        <c:v>PLAYAS</c:v>
                      </c:pt>
                      <c:pt idx="3">
                        <c:v>COOPERATIVAS </c:v>
                      </c:pt>
                      <c:pt idx="4">
                        <c:v>EXCOPERATIVAS</c:v>
                      </c:pt>
                      <c:pt idx="5">
                        <c:v>FERREÑAFE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DE ACTIV.'!$C$18:$C$23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4523</c:v>
                      </c:pt>
                      <c:pt idx="1">
                        <c:v>1532</c:v>
                      </c:pt>
                      <c:pt idx="2">
                        <c:v>872</c:v>
                      </c:pt>
                      <c:pt idx="3">
                        <c:v>745</c:v>
                      </c:pt>
                      <c:pt idx="4">
                        <c:v>327</c:v>
                      </c:pt>
                      <c:pt idx="5">
                        <c:v>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00-45A9-9769-D46DE7EA4253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'GRAFICO DE ACTIV.'!$D$17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BAB8-45F3-A15E-BBD2AD1BF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BAB8-45F3-A15E-BBD2AD1BFE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BAB8-45F3-A15E-BBD2AD1BFE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BAB8-45F3-A15E-BBD2AD1BFED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BAB8-45F3-A15E-BBD2AD1BFED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BAB8-45F3-A15E-BBD2AD1BFED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'GRAFICO DE ACTIV.'!$B$18:$B$23</c15:sqref>
                        </c15:formulaRef>
                      </c:ext>
                    </c:extLst>
                    <c:strCache>
                      <c:ptCount val="6"/>
                      <c:pt idx="0">
                        <c:v>URBANO</c:v>
                      </c:pt>
                      <c:pt idx="1">
                        <c:v>PUEBLOS</c:v>
                      </c:pt>
                      <c:pt idx="2">
                        <c:v>PLAYAS</c:v>
                      </c:pt>
                      <c:pt idx="3">
                        <c:v>COOPERATIVAS </c:v>
                      </c:pt>
                      <c:pt idx="4">
                        <c:v>EXCOPERATIVAS</c:v>
                      </c:pt>
                      <c:pt idx="5">
                        <c:v>FERREÑAFE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'GRAFICO DE ACTIV.'!$D$18:$D$23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00-45A9-9769-D46DE7EA425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'GRAFICO DE ACTIV.'!$E$17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BAB8-45F3-A15E-BBD2AD1BF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BAB8-45F3-A15E-BBD2AD1BFE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BAB8-45F3-A15E-BBD2AD1BFE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BAB8-45F3-A15E-BBD2AD1BFED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BAB8-45F3-A15E-BBD2AD1BFED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BAB8-45F3-A15E-BBD2AD1BFED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'GRAFICO DE ACTIV.'!$B$18:$B$23</c15:sqref>
                        </c15:formulaRef>
                      </c:ext>
                    </c:extLst>
                    <c:strCache>
                      <c:ptCount val="6"/>
                      <c:pt idx="0">
                        <c:v>URBANO</c:v>
                      </c:pt>
                      <c:pt idx="1">
                        <c:v>PUEBLOS</c:v>
                      </c:pt>
                      <c:pt idx="2">
                        <c:v>PLAYAS</c:v>
                      </c:pt>
                      <c:pt idx="3">
                        <c:v>COOPERATIVAS </c:v>
                      </c:pt>
                      <c:pt idx="4">
                        <c:v>EXCOPERATIVAS</c:v>
                      </c:pt>
                      <c:pt idx="5">
                        <c:v>FERREÑAFE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'GRAFICO DE ACTIV.'!$E$18:$E$23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00-45A9-9769-D46DE7EA425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'GRAFICO DE ACTIV.'!$F$17</c15:sqref>
                        </c15:formulaRef>
                      </c:ext>
                    </c:extLst>
                    <c:strCache>
                      <c:ptCount val="1"/>
                      <c:pt idx="0">
                        <c:v>Valoriz. S/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BAB8-45F3-A15E-BBD2AD1BFED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BAB8-45F3-A15E-BBD2AD1BFED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BAB8-45F3-A15E-BBD2AD1BFED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BAB8-45F3-A15E-BBD2AD1BFED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BAB8-45F3-A15E-BBD2AD1BFED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BAB8-45F3-A15E-BBD2AD1BFED0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'GRAFICO DE ACTIV.'!$B$18:$B$23</c15:sqref>
                        </c15:formulaRef>
                      </c:ext>
                    </c:extLst>
                    <c:strCache>
                      <c:ptCount val="6"/>
                      <c:pt idx="0">
                        <c:v>URBANO</c:v>
                      </c:pt>
                      <c:pt idx="1">
                        <c:v>PUEBLOS</c:v>
                      </c:pt>
                      <c:pt idx="2">
                        <c:v>PLAYAS</c:v>
                      </c:pt>
                      <c:pt idx="3">
                        <c:v>COOPERATIVAS </c:v>
                      </c:pt>
                      <c:pt idx="4">
                        <c:v>EXCOPERATIVAS</c:v>
                      </c:pt>
                      <c:pt idx="5">
                        <c:v>FERREÑAFE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'GRAFICO DE ACTIV.'!$F$18:$F$23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13569</c:v>
                      </c:pt>
                      <c:pt idx="1">
                        <c:v>9991</c:v>
                      </c:pt>
                      <c:pt idx="2">
                        <c:v>4540</c:v>
                      </c:pt>
                      <c:pt idx="3">
                        <c:v>4700</c:v>
                      </c:pt>
                      <c:pt idx="4">
                        <c:v>2616</c:v>
                      </c:pt>
                      <c:pt idx="5">
                        <c:v>5416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0-45A9-9769-D46DE7EA4253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DE ACTIV.'!$C$27</c:f>
              <c:strCache>
                <c:ptCount val="1"/>
                <c:pt idx="0">
                  <c:v>Valoriz. S/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B6-43B7-AC90-42A8C58AE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4-4792-A00D-39AA4C2AC2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34-4792-A00D-39AA4C2AC2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34-4792-A00D-39AA4C2AC2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34-4792-A00D-39AA4C2AC2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34-4792-A00D-39AA4C2AC2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DE ACTIV.'!$B$28:$B$33</c:f>
              <c:strCache>
                <c:ptCount val="6"/>
                <c:pt idx="0">
                  <c:v>URBANO</c:v>
                </c:pt>
                <c:pt idx="1">
                  <c:v>PUEBLOS</c:v>
                </c:pt>
                <c:pt idx="2">
                  <c:v>PLAYAS</c:v>
                </c:pt>
                <c:pt idx="3">
                  <c:v>COOPERATIVAS </c:v>
                </c:pt>
                <c:pt idx="4">
                  <c:v>EXCOPERATIVAS</c:v>
                </c:pt>
                <c:pt idx="5">
                  <c:v>FERREÑAFE</c:v>
                </c:pt>
              </c:strCache>
            </c:strRef>
          </c:cat>
          <c:val>
            <c:numRef>
              <c:f>'GRAFICO DE ACTIV.'!$C$28:$C$33</c:f>
              <c:numCache>
                <c:formatCode>General</c:formatCode>
                <c:ptCount val="6"/>
                <c:pt idx="0">
                  <c:v>13569</c:v>
                </c:pt>
                <c:pt idx="1">
                  <c:v>9991</c:v>
                </c:pt>
                <c:pt idx="2">
                  <c:v>4540</c:v>
                </c:pt>
                <c:pt idx="3">
                  <c:v>4700</c:v>
                </c:pt>
                <c:pt idx="4">
                  <c:v>2616</c:v>
                </c:pt>
                <c:pt idx="5">
                  <c:v>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6-43B7-AC90-42A8C58A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'GRAFICO DE ACTIV.'!$D$27</c15:sqref>
                        </c15:formulaRef>
                      </c:ext>
                    </c:extLst>
                    <c:strCache>
                      <c:ptCount val="1"/>
                      <c:pt idx="0">
                        <c:v>GANANCIA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CF34-4792-A00D-39AA4C2AC28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CF34-4792-A00D-39AA4C2AC28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CF34-4792-A00D-39AA4C2AC28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CF34-4792-A00D-39AA4C2AC28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CF34-4792-A00D-39AA4C2AC28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CF34-4792-A00D-39AA4C2AC287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'GRAFICO DE ACTIV.'!$B$28:$B$33</c15:sqref>
                        </c15:formulaRef>
                      </c:ext>
                    </c:extLst>
                    <c:strCache>
                      <c:ptCount val="6"/>
                      <c:pt idx="0">
                        <c:v>URBANO</c:v>
                      </c:pt>
                      <c:pt idx="1">
                        <c:v>PUEBLOS</c:v>
                      </c:pt>
                      <c:pt idx="2">
                        <c:v>PLAYAS</c:v>
                      </c:pt>
                      <c:pt idx="3">
                        <c:v>COOPERATIVAS </c:v>
                      </c:pt>
                      <c:pt idx="4">
                        <c:v>EXCOPERATIVAS</c:v>
                      </c:pt>
                      <c:pt idx="5">
                        <c:v>FERREÑAFE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DE ACTIV.'!$D$28:$D$33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B6-43B7-AC90-42A8C58AE41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PUEBLOS Y COOPERATIVAS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'GRAF. PUEB COOP'!$R$16</c:f>
              <c:strCache>
                <c:ptCount val="1"/>
                <c:pt idx="0">
                  <c:v>PUEBLOS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'GRAF. PUEB COOP'!$S$15:$X$15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'GRAF. PUEB COOP'!$S$16:$X$16</c:f>
              <c:numCache>
                <c:formatCode>General</c:formatCode>
                <c:ptCount val="6"/>
                <c:pt idx="0">
                  <c:v>2913</c:v>
                </c:pt>
                <c:pt idx="1">
                  <c:v>3584</c:v>
                </c:pt>
                <c:pt idx="2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4-4E94-A9C9-14E91DEA188E}"/>
            </c:ext>
          </c:extLst>
        </c:ser>
        <c:ser>
          <c:idx val="1"/>
          <c:order val="1"/>
          <c:tx>
            <c:strRef>
              <c:f>'GRAF. PUEB COOP'!$R$17</c:f>
              <c:strCache>
                <c:ptCount val="1"/>
                <c:pt idx="0">
                  <c:v>COOPERATIVAS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'GRAF. PUEB COOP'!$S$15:$X$15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'GRAF. PUEB COOP'!$S$17:$X$17</c:f>
              <c:numCache>
                <c:formatCode>General</c:formatCode>
                <c:ptCount val="6"/>
                <c:pt idx="0">
                  <c:v>799</c:v>
                </c:pt>
                <c:pt idx="1">
                  <c:v>3237</c:v>
                </c:pt>
                <c:pt idx="2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4-4E94-A9C9-14E91DEA188E}"/>
            </c:ext>
          </c:extLst>
        </c:ser>
        <c:ser>
          <c:idx val="2"/>
          <c:order val="2"/>
          <c:tx>
            <c:strRef>
              <c:f>'GRAF. PUEB COOP'!$R$18</c:f>
              <c:strCache>
                <c:ptCount val="1"/>
                <c:pt idx="0">
                  <c:v>EXCOPERATIVAS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'GRAF. PUEB COOP'!$S$15:$X$15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'GRAF. PUEB COOP'!$S$18:$X$18</c:f>
              <c:numCache>
                <c:formatCode>General</c:formatCode>
                <c:ptCount val="6"/>
                <c:pt idx="0">
                  <c:v>690</c:v>
                </c:pt>
                <c:pt idx="1">
                  <c:v>1755</c:v>
                </c:pt>
                <c:pt idx="2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4-4E94-A9C9-14E91DEA188E}"/>
            </c:ext>
          </c:extLst>
        </c:ser>
        <c:ser>
          <c:idx val="3"/>
          <c:order val="3"/>
          <c:tx>
            <c:strRef>
              <c:f>'GRAF. PUEB COOP'!$R$19</c:f>
              <c:strCache>
                <c:ptCount val="1"/>
                <c:pt idx="0">
                  <c:v>FERREÑAFE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'GRAF. PUEB COOP'!$S$15:$X$15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'GRAF. PUEB COOP'!$S$19:$X$19</c:f>
              <c:numCache>
                <c:formatCode>General</c:formatCode>
                <c:ptCount val="6"/>
                <c:pt idx="0">
                  <c:v>1500</c:v>
                </c:pt>
                <c:pt idx="1">
                  <c:v>2286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4-4E94-A9C9-14E91DEA188E}"/>
            </c:ext>
          </c:extLst>
        </c:ser>
        <c:ser>
          <c:idx val="4"/>
          <c:order val="4"/>
          <c:tx>
            <c:strRef>
              <c:f>'GRAF. PUEB COOP'!$R$20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'GRAF. PUEB COOP'!$S$15:$X$15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'GRAF. PUEB COOP'!$S$20:$X$20</c:f>
              <c:numCache>
                <c:formatCode>General</c:formatCode>
                <c:ptCount val="6"/>
                <c:pt idx="0">
                  <c:v>7459.9</c:v>
                </c:pt>
                <c:pt idx="1">
                  <c:v>10862</c:v>
                </c:pt>
                <c:pt idx="2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94-4E94-A9C9-14E91DEA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224"/>
        <c:axId val="4863424"/>
      </c:barChart>
      <c:catAx>
        <c:axId val="48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63424"/>
        <c:crosses val="autoZero"/>
        <c:auto val="1"/>
        <c:lblAlgn val="ctr"/>
        <c:lblOffset val="100"/>
        <c:noMultiLvlLbl val="0"/>
      </c:catAx>
      <c:valAx>
        <c:axId val="48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'GRAF. PUEB COOP'!$R$16</c:f>
              <c:strCache>
                <c:ptCount val="1"/>
                <c:pt idx="0">
                  <c:v>PUEBLOS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'GRAF. PUEB COOP'!$S$15:$X$15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'GRAF. PUEB COOP'!$S$16:$X$16</c:f>
              <c:numCache>
                <c:formatCode>General</c:formatCode>
                <c:ptCount val="6"/>
                <c:pt idx="0">
                  <c:v>2913</c:v>
                </c:pt>
                <c:pt idx="1">
                  <c:v>3584</c:v>
                </c:pt>
                <c:pt idx="2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D-43AE-8402-BF3222F6FD3C}"/>
            </c:ext>
          </c:extLst>
        </c:ser>
        <c:ser>
          <c:idx val="1"/>
          <c:order val="1"/>
          <c:tx>
            <c:strRef>
              <c:f>'GRAF. PUEB COOP'!$R$17</c:f>
              <c:strCache>
                <c:ptCount val="1"/>
                <c:pt idx="0">
                  <c:v>COOPERATIVAS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'GRAF. PUEB COOP'!$S$15:$X$15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'GRAF. PUEB COOP'!$S$17:$X$17</c:f>
              <c:numCache>
                <c:formatCode>General</c:formatCode>
                <c:ptCount val="6"/>
                <c:pt idx="0">
                  <c:v>799</c:v>
                </c:pt>
                <c:pt idx="1">
                  <c:v>3237</c:v>
                </c:pt>
                <c:pt idx="2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D-43AE-8402-BF3222F6FD3C}"/>
            </c:ext>
          </c:extLst>
        </c:ser>
        <c:ser>
          <c:idx val="2"/>
          <c:order val="2"/>
          <c:tx>
            <c:strRef>
              <c:f>'GRAF. PUEB COOP'!$R$18</c:f>
              <c:strCache>
                <c:ptCount val="1"/>
                <c:pt idx="0">
                  <c:v>EXCOPERATIVAS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'GRAF. PUEB COOP'!$S$15:$X$15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'GRAF. PUEB COOP'!$S$18:$X$18</c:f>
              <c:numCache>
                <c:formatCode>General</c:formatCode>
                <c:ptCount val="6"/>
                <c:pt idx="0">
                  <c:v>690</c:v>
                </c:pt>
                <c:pt idx="1">
                  <c:v>1755</c:v>
                </c:pt>
                <c:pt idx="2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D-43AE-8402-BF3222F6FD3C}"/>
            </c:ext>
          </c:extLst>
        </c:ser>
        <c:ser>
          <c:idx val="3"/>
          <c:order val="3"/>
          <c:tx>
            <c:strRef>
              <c:f>'GRAF. PUEB COOP'!$R$19</c:f>
              <c:strCache>
                <c:ptCount val="1"/>
                <c:pt idx="0">
                  <c:v>FERREÑAFE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'GRAF. PUEB COOP'!$S$15:$X$15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'GRAF. PUEB COOP'!$S$19:$X$19</c:f>
              <c:numCache>
                <c:formatCode>General</c:formatCode>
                <c:ptCount val="6"/>
                <c:pt idx="0">
                  <c:v>1500</c:v>
                </c:pt>
                <c:pt idx="1">
                  <c:v>2286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DD-43AE-8402-BF3222F6FD3C}"/>
            </c:ext>
          </c:extLst>
        </c:ser>
        <c:ser>
          <c:idx val="4"/>
          <c:order val="4"/>
          <c:tx>
            <c:strRef>
              <c:f>'GRAF. PUEB COOP'!$R$20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'GRAF. PUEB COOP'!$S$15:$X$15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'GRAF. PUEB COOP'!$S$20:$X$20</c:f>
              <c:numCache>
                <c:formatCode>General</c:formatCode>
                <c:ptCount val="6"/>
                <c:pt idx="0">
                  <c:v>7459.9</c:v>
                </c:pt>
                <c:pt idx="1">
                  <c:v>10862</c:v>
                </c:pt>
                <c:pt idx="2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4-4684-B4B1-333457F14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2064"/>
        <c:axId val="4895584"/>
      </c:barChart>
      <c:catAx>
        <c:axId val="48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95584"/>
        <c:crosses val="autoZero"/>
        <c:auto val="1"/>
        <c:lblAlgn val="ctr"/>
        <c:lblOffset val="100"/>
        <c:noMultiLvlLbl val="0"/>
      </c:catAx>
      <c:valAx>
        <c:axId val="48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31</xdr:col>
      <xdr:colOff>912735</xdr:colOff>
      <xdr:row>3</xdr:row>
      <xdr:rowOff>22678</xdr:rowOff>
    </xdr:from>
    <xdr:to>
      <xdr:col>53</xdr:col>
      <xdr:colOff>326860</xdr:colOff>
      <xdr:row>6</xdr:row>
      <xdr:rowOff>143632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LUGAR 1">
              <a:extLst>
                <a:ext uri="{FF2B5EF4-FFF2-40B4-BE49-F238E27FC236}">
                  <a16:creationId xmlns:a16="http://schemas.microsoft.com/office/drawing/2014/main" id="{825E23F4-024A-42E2-62BF-66B7705BEC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UG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6785" y="566964"/>
              <a:ext cx="9222619" cy="665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352631</xdr:colOff>
      <xdr:row>14</xdr:row>
      <xdr:rowOff>149087</xdr:rowOff>
    </xdr:from>
    <xdr:to>
      <xdr:col>7</xdr:col>
      <xdr:colOff>642845</xdr:colOff>
      <xdr:row>37</xdr:row>
      <xdr:rowOff>21525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4FA83F-A35B-7F66-7DC3-544968CB6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179288</xdr:colOff>
      <xdr:row>19</xdr:row>
      <xdr:rowOff>44223</xdr:rowOff>
    </xdr:from>
    <xdr:to>
      <xdr:col>12</xdr:col>
      <xdr:colOff>568288</xdr:colOff>
      <xdr:row>32</xdr:row>
      <xdr:rowOff>108971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24F4C92-A8A0-A27B-475A-4FF00EC6A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739262</xdr:colOff>
      <xdr:row>17</xdr:row>
      <xdr:rowOff>41477</xdr:rowOff>
    </xdr:from>
    <xdr:to>
      <xdr:col>18</xdr:col>
      <xdr:colOff>715071</xdr:colOff>
      <xdr:row>32</xdr:row>
      <xdr:rowOff>63248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F9506A-F400-7BE0-242A-A3B7A5754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552444</xdr:colOff>
      <xdr:row>33</xdr:row>
      <xdr:rowOff>142808</xdr:rowOff>
    </xdr:from>
    <xdr:to>
      <xdr:col>15</xdr:col>
      <xdr:colOff>548072</xdr:colOff>
      <xdr:row>48</xdr:row>
      <xdr:rowOff>141516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8344245-9AE8-7D74-AE28-9428B8AE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352313</xdr:colOff>
      <xdr:row>26</xdr:row>
      <xdr:rowOff>159271</xdr:rowOff>
    </xdr:from>
    <xdr:to>
      <xdr:col>23</xdr:col>
      <xdr:colOff>25911</xdr:colOff>
      <xdr:row>43</xdr:row>
      <xdr:rowOff>88769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350D79-E766-00EF-A741-E440EAB2F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49032</xdr:colOff>
      <xdr:row>20</xdr:row>
      <xdr:rowOff>67197</xdr:rowOff>
    </xdr:from>
    <xdr:to>
      <xdr:col>31</xdr:col>
      <xdr:colOff>39386</xdr:colOff>
      <xdr:row>34</xdr:row>
      <xdr:rowOff>125713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173AC5-F817-0252-8877-46AD8D831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912.684259027781" createdVersion="8" refreshedVersion="8" minRefreshableVersion="3" recordCount="39" xr:uid="{69C919E9-DA7F-4174-BECB-CA39C84901D5}">
  <cacheSource type="worksheet">
    <worksheetSource name="Tabla2"/>
  </cacheSource>
  <cacheFields count="17">
    <cacheField name="Nombre" numFmtId="0">
      <sharedItems containsBlank="1" count="39">
        <s v="Chiclayo"/>
        <s v="Leonardo Ortiz"/>
        <s v="La Victoria"/>
        <s v="Santa Victoria"/>
        <s v="Lambayeque"/>
        <s v="Mochumi"/>
        <s v="Tucume"/>
        <s v="Illimo"/>
        <s v="Nueva Arica"/>
        <s v="Jayanca"/>
        <s v="Pacora"/>
        <s v="Morrope"/>
        <s v="Motupe"/>
        <s v="Olmos"/>
        <s v="Salas"/>
        <s v="San Jose"/>
        <s v="Santa Rosa"/>
        <s v="Pimentel"/>
        <s v="Reque"/>
        <s v="Monsefu"/>
        <s v="Eten"/>
        <s v="Puerto Eten"/>
        <s v="Pomalca"/>
        <s v="Tuman"/>
        <s v="Patapo"/>
        <s v="Pucala"/>
        <s v="Chongoyape"/>
        <s v="Ucupe"/>
        <s v="Mocupe"/>
        <s v="Zaña"/>
        <s v="Cayalti"/>
        <s v="Oyutun"/>
        <s v="Lagunas"/>
        <s v="Ferreñafe"/>
        <s v="Picsi"/>
        <s v="Pitipo"/>
        <s v="Motupillo"/>
        <s v="Pueblo Nuevo"/>
        <m/>
      </sharedItems>
    </cacheField>
    <cacheField name="Unidad" numFmtId="0">
      <sharedItems containsBlank="1"/>
    </cacheField>
    <cacheField name="VAL 15 - 07" numFmtId="0">
      <sharedItems containsString="0" containsBlank="1" containsNumber="1" containsInteger="1" minValue="577" maxValue="577"/>
    </cacheField>
    <cacheField name="VAL 24 - 27" numFmtId="0">
      <sharedItems containsString="0" containsBlank="1" containsNumber="1" containsInteger="1" minValue="0" maxValue="163"/>
    </cacheField>
    <cacheField name="VAL 30 - 28" numFmtId="0">
      <sharedItems containsString="0" containsBlank="1" containsNumber="1" containsInteger="1" minValue="0" maxValue="168"/>
    </cacheField>
    <cacheField name="VAL 02 - 08" numFmtId="0">
      <sharedItems containsString="0" containsBlank="1" containsNumber="1" containsInteger="1" minValue="0" maxValue="113"/>
    </cacheField>
    <cacheField name="VAL 05 - 08" numFmtId="0">
      <sharedItems containsString="0" containsBlank="1" containsNumber="1" containsInteger="1" minValue="0" maxValue="163"/>
    </cacheField>
    <cacheField name="VAL 07 - 08" numFmtId="0">
      <sharedItems containsString="0" containsBlank="1" containsNumber="1" containsInteger="1" minValue="0" maxValue="379"/>
    </cacheField>
    <cacheField name="VAL 11 - 08" numFmtId="0">
      <sharedItems containsString="0" containsBlank="1" containsNumber="1" containsInteger="1" minValue="2" maxValue="461"/>
    </cacheField>
    <cacheField name="VAL 15 - 08" numFmtId="0">
      <sharedItems containsString="0" containsBlank="1" containsNumber="1" containsInteger="1" minValue="0" maxValue="204"/>
    </cacheField>
    <cacheField name="VAL 19 - 08" numFmtId="0">
      <sharedItems containsString="0" containsBlank="1" containsNumber="1" containsInteger="1" minValue="0" maxValue="470"/>
    </cacheField>
    <cacheField name="VAL 26 - 08" numFmtId="0">
      <sharedItems containsString="0" containsBlank="1" containsNumber="1" containsInteger="1" minValue="0" maxValue="547"/>
    </cacheField>
    <cacheField name="VAL 03 - 09" numFmtId="0">
      <sharedItems containsString="0" containsBlank="1" containsNumber="1" containsInteger="1" minValue="18" maxValue="295" count="8">
        <n v="164"/>
        <n v="295"/>
        <n v="177"/>
        <m/>
        <n v="24"/>
        <n v="60"/>
        <n v="18"/>
        <n v="93"/>
      </sharedItems>
    </cacheField>
    <cacheField name="VAL 04 - 09" numFmtId="0">
      <sharedItems containsString="0" containsBlank="1" containsNumber="1" containsInteger="1" minValue="0" maxValue="291"/>
    </cacheField>
    <cacheField name="VAL11-09" numFmtId="0">
      <sharedItems containsString="0" containsBlank="1" containsNumber="1" containsInteger="1" minValue="0" maxValue="291"/>
    </cacheField>
    <cacheField name="SUBTOTAL" numFmtId="0">
      <sharedItems containsSemiMixedTypes="0" containsString="0" containsNumber="1" containsInteger="1" minValue="0" maxValue="3200"/>
    </cacheField>
    <cacheField name="PROM" numFmtId="1">
      <sharedItems containsMixedTypes="1" containsNumber="1" minValue="0" maxValue="266.66666666666669" count="37">
        <n v="266.66666666666669"/>
        <n v="117.54545454545455"/>
        <n v="113.18181818181819"/>
        <n v="10.375"/>
        <n v="75.5"/>
        <n v="11.125"/>
        <n v="13.625"/>
        <n v="5.5"/>
        <n v="0.75"/>
        <n v="18.75"/>
        <n v="4.875"/>
        <n v="9.9090909090909083"/>
        <n v="28.5"/>
        <n v="33.5"/>
        <n v="1.875"/>
        <n v="7.125"/>
        <n v="9.5714285714285712"/>
        <n v="51.125"/>
        <n v="18.666666666666668"/>
        <n v="39.222222222222221"/>
        <n v="12.777777777777779"/>
        <n v="0"/>
        <n v="43.555555555555557"/>
        <n v="25.888888888888889"/>
        <n v="15.25"/>
        <n v="5.375"/>
        <n v="12.666666666666666"/>
        <n v="13.5"/>
        <n v="16.888888888888889"/>
        <n v="4.4444444444444446"/>
        <n v="8.3333333333333339"/>
        <n v="74"/>
        <n v="5.6"/>
        <n v="4.2"/>
        <n v="0.33333333333333331"/>
        <n v="61"/>
        <e v="#DIV/0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aquete"/>
    <m/>
    <n v="123"/>
    <n v="154"/>
    <n v="113"/>
    <n v="5"/>
    <n v="379"/>
    <n v="461"/>
    <n v="202"/>
    <n v="470"/>
    <n v="547"/>
    <x v="0"/>
    <n v="291"/>
    <n v="291"/>
    <n v="3200"/>
    <x v="0"/>
  </r>
  <r>
    <x v="1"/>
    <s v="Paquete"/>
    <m/>
    <n v="163"/>
    <n v="162"/>
    <n v="0"/>
    <m/>
    <n v="114"/>
    <n v="145"/>
    <n v="204"/>
    <n v="105"/>
    <n v="105"/>
    <x v="1"/>
    <n v="0"/>
    <n v="0"/>
    <n v="1293"/>
    <x v="1"/>
  </r>
  <r>
    <x v="2"/>
    <s v="Paquete"/>
    <m/>
    <n v="0"/>
    <n v="123"/>
    <n v="79"/>
    <m/>
    <n v="204"/>
    <n v="128"/>
    <n v="113"/>
    <n v="227"/>
    <n v="114"/>
    <x v="2"/>
    <n v="80"/>
    <n v="0"/>
    <n v="1245"/>
    <x v="2"/>
  </r>
  <r>
    <x v="3"/>
    <s v="Paquete"/>
    <m/>
    <n v="0"/>
    <n v="17"/>
    <n v="0"/>
    <m/>
    <m/>
    <n v="39"/>
    <n v="27"/>
    <n v="0"/>
    <m/>
    <x v="3"/>
    <n v="0"/>
    <n v="0"/>
    <n v="83"/>
    <x v="3"/>
  </r>
  <r>
    <x v="4"/>
    <s v="Paquete"/>
    <m/>
    <n v="134"/>
    <n v="168"/>
    <n v="57"/>
    <n v="107"/>
    <n v="0"/>
    <n v="206"/>
    <m/>
    <n v="0"/>
    <n v="83"/>
    <x v="3"/>
    <n v="0"/>
    <n v="0"/>
    <n v="755"/>
    <x v="4"/>
  </r>
  <r>
    <x v="5"/>
    <s v="Paquete"/>
    <m/>
    <n v="13"/>
    <m/>
    <n v="8"/>
    <m/>
    <n v="0"/>
    <m/>
    <n v="11"/>
    <n v="21"/>
    <n v="7"/>
    <x v="3"/>
    <n v="13"/>
    <n v="16"/>
    <n v="89"/>
    <x v="5"/>
  </r>
  <r>
    <x v="6"/>
    <s v="Paquete"/>
    <m/>
    <n v="19"/>
    <m/>
    <n v="7"/>
    <m/>
    <n v="0"/>
    <m/>
    <n v="22"/>
    <n v="14"/>
    <n v="10"/>
    <x v="3"/>
    <n v="9"/>
    <n v="28"/>
    <n v="109"/>
    <x v="6"/>
  </r>
  <r>
    <x v="7"/>
    <s v="Paquete"/>
    <m/>
    <n v="6"/>
    <m/>
    <n v="2"/>
    <m/>
    <n v="0"/>
    <m/>
    <n v="7"/>
    <n v="11"/>
    <n v="5"/>
    <x v="3"/>
    <n v="3"/>
    <n v="10"/>
    <n v="44"/>
    <x v="7"/>
  </r>
  <r>
    <x v="8"/>
    <s v="Paquete"/>
    <m/>
    <n v="0"/>
    <m/>
    <m/>
    <m/>
    <n v="3"/>
    <n v="2"/>
    <n v="0"/>
    <n v="0"/>
    <n v="1"/>
    <x v="3"/>
    <n v="0"/>
    <n v="0"/>
    <n v="6"/>
    <x v="8"/>
  </r>
  <r>
    <x v="9"/>
    <s v="Paquete"/>
    <m/>
    <n v="31"/>
    <m/>
    <n v="11"/>
    <m/>
    <n v="0"/>
    <m/>
    <n v="23"/>
    <n v="31"/>
    <n v="9"/>
    <x v="3"/>
    <n v="24"/>
    <n v="21"/>
    <n v="150"/>
    <x v="9"/>
  </r>
  <r>
    <x v="10"/>
    <s v="Paquete"/>
    <m/>
    <n v="4"/>
    <m/>
    <n v="5"/>
    <m/>
    <n v="0"/>
    <m/>
    <n v="4"/>
    <n v="9"/>
    <n v="1"/>
    <x v="3"/>
    <n v="9"/>
    <n v="7"/>
    <n v="39"/>
    <x v="10"/>
  </r>
  <r>
    <x v="11"/>
    <s v="Paquete"/>
    <m/>
    <n v="24"/>
    <n v="14"/>
    <n v="9"/>
    <n v="19"/>
    <n v="0"/>
    <n v="23"/>
    <n v="0"/>
    <n v="0"/>
    <n v="20"/>
    <x v="3"/>
    <n v="0"/>
    <n v="0"/>
    <n v="109"/>
    <x v="11"/>
  </r>
  <r>
    <x v="12"/>
    <s v="Paquete"/>
    <m/>
    <n v="41"/>
    <m/>
    <n v="18"/>
    <m/>
    <n v="0"/>
    <m/>
    <n v="34"/>
    <n v="36"/>
    <n v="32"/>
    <x v="3"/>
    <n v="28"/>
    <n v="39"/>
    <n v="228"/>
    <x v="12"/>
  </r>
  <r>
    <x v="13"/>
    <s v="Paquete"/>
    <m/>
    <n v="49"/>
    <m/>
    <n v="22"/>
    <m/>
    <n v="0"/>
    <m/>
    <n v="44"/>
    <n v="53"/>
    <n v="31"/>
    <x v="3"/>
    <n v="23"/>
    <n v="46"/>
    <n v="268"/>
    <x v="13"/>
  </r>
  <r>
    <x v="14"/>
    <s v="Paquete"/>
    <m/>
    <n v="0"/>
    <m/>
    <n v="1"/>
    <m/>
    <n v="0"/>
    <m/>
    <n v="5"/>
    <n v="4"/>
    <n v="1"/>
    <x v="3"/>
    <n v="2"/>
    <n v="2"/>
    <n v="15"/>
    <x v="14"/>
  </r>
  <r>
    <x v="15"/>
    <s v="Paquete"/>
    <m/>
    <n v="25"/>
    <n v="0"/>
    <m/>
    <m/>
    <n v="0"/>
    <m/>
    <n v="0"/>
    <n v="26"/>
    <n v="6"/>
    <x v="3"/>
    <n v="0"/>
    <n v="0"/>
    <n v="57"/>
    <x v="15"/>
  </r>
  <r>
    <x v="16"/>
    <s v="Paquete"/>
    <m/>
    <n v="18"/>
    <m/>
    <m/>
    <m/>
    <n v="18"/>
    <m/>
    <n v="0"/>
    <n v="18"/>
    <n v="13"/>
    <x v="3"/>
    <n v="0"/>
    <n v="0"/>
    <n v="67"/>
    <x v="16"/>
  </r>
  <r>
    <x v="17"/>
    <s v="Paquete"/>
    <m/>
    <n v="126"/>
    <n v="1"/>
    <m/>
    <m/>
    <n v="98"/>
    <m/>
    <n v="0"/>
    <n v="120"/>
    <n v="64"/>
    <x v="3"/>
    <n v="0"/>
    <n v="0"/>
    <n v="409"/>
    <x v="17"/>
  </r>
  <r>
    <x v="18"/>
    <s v="Paquete"/>
    <m/>
    <n v="33"/>
    <m/>
    <n v="11"/>
    <m/>
    <n v="0"/>
    <m/>
    <n v="36"/>
    <n v="0"/>
    <n v="18"/>
    <x v="4"/>
    <n v="21"/>
    <n v="25"/>
    <n v="168"/>
    <x v="18"/>
  </r>
  <r>
    <x v="19"/>
    <s v="Paquete"/>
    <m/>
    <n v="52"/>
    <m/>
    <n v="21"/>
    <m/>
    <n v="0"/>
    <m/>
    <n v="67"/>
    <n v="0"/>
    <n v="41"/>
    <x v="5"/>
    <n v="41"/>
    <n v="71"/>
    <n v="353"/>
    <x v="19"/>
  </r>
  <r>
    <x v="20"/>
    <s v="Paquete"/>
    <m/>
    <n v="19"/>
    <m/>
    <n v="5"/>
    <m/>
    <n v="0"/>
    <m/>
    <n v="24"/>
    <n v="0"/>
    <n v="12"/>
    <x v="6"/>
    <n v="15"/>
    <n v="22"/>
    <n v="115"/>
    <x v="20"/>
  </r>
  <r>
    <x v="21"/>
    <s v="Paquete"/>
    <m/>
    <n v="0"/>
    <m/>
    <m/>
    <m/>
    <m/>
    <m/>
    <n v="0"/>
    <n v="0"/>
    <m/>
    <x v="3"/>
    <n v="0"/>
    <n v="0"/>
    <n v="0"/>
    <x v="21"/>
  </r>
  <r>
    <x v="22"/>
    <s v="Paquete"/>
    <m/>
    <n v="57"/>
    <m/>
    <n v="16"/>
    <m/>
    <n v="60"/>
    <n v="78"/>
    <n v="0"/>
    <n v="72"/>
    <n v="37"/>
    <x v="3"/>
    <n v="0"/>
    <n v="72"/>
    <n v="392"/>
    <x v="22"/>
  </r>
  <r>
    <x v="23"/>
    <s v="Paquete"/>
    <m/>
    <n v="29"/>
    <m/>
    <n v="30"/>
    <m/>
    <n v="31"/>
    <n v="33"/>
    <n v="0"/>
    <n v="40"/>
    <n v="34"/>
    <x v="3"/>
    <n v="0"/>
    <n v="36"/>
    <n v="233"/>
    <x v="23"/>
  </r>
  <r>
    <x v="24"/>
    <s v="Paquete"/>
    <m/>
    <n v="34"/>
    <m/>
    <m/>
    <m/>
    <n v="16"/>
    <n v="29"/>
    <n v="0"/>
    <n v="10"/>
    <n v="16"/>
    <x v="3"/>
    <n v="0"/>
    <n v="17"/>
    <n v="122"/>
    <x v="24"/>
  </r>
  <r>
    <x v="25"/>
    <s v="Paquete"/>
    <m/>
    <n v="0"/>
    <m/>
    <m/>
    <m/>
    <n v="7"/>
    <n v="8"/>
    <n v="0"/>
    <n v="8"/>
    <n v="8"/>
    <x v="3"/>
    <n v="0"/>
    <n v="12"/>
    <n v="43"/>
    <x v="25"/>
  </r>
  <r>
    <x v="26"/>
    <s v="Paquete"/>
    <m/>
    <n v="17"/>
    <m/>
    <n v="6"/>
    <m/>
    <n v="12"/>
    <n v="26"/>
    <n v="0"/>
    <n v="11"/>
    <n v="20"/>
    <x v="3"/>
    <n v="0"/>
    <n v="22"/>
    <n v="114"/>
    <x v="26"/>
  </r>
  <r>
    <x v="27"/>
    <s v="Paquete"/>
    <m/>
    <n v="0"/>
    <m/>
    <m/>
    <m/>
    <n v="0"/>
    <m/>
    <n v="0"/>
    <n v="0"/>
    <m/>
    <x v="3"/>
    <n v="0"/>
    <n v="0"/>
    <n v="0"/>
    <x v="21"/>
  </r>
  <r>
    <x v="28"/>
    <s v="Paquete"/>
    <m/>
    <n v="0"/>
    <m/>
    <m/>
    <m/>
    <n v="0"/>
    <m/>
    <n v="0"/>
    <n v="0"/>
    <m/>
    <x v="3"/>
    <n v="0"/>
    <n v="0"/>
    <n v="0"/>
    <x v="21"/>
  </r>
  <r>
    <x v="29"/>
    <s v="Paquete"/>
    <m/>
    <n v="53"/>
    <m/>
    <m/>
    <n v="12"/>
    <n v="10"/>
    <n v="11"/>
    <n v="11"/>
    <n v="0"/>
    <m/>
    <x v="3"/>
    <n v="0"/>
    <n v="11"/>
    <n v="108"/>
    <x v="27"/>
  </r>
  <r>
    <x v="30"/>
    <s v="Paquete"/>
    <m/>
    <n v="0"/>
    <m/>
    <m/>
    <n v="36"/>
    <n v="25"/>
    <n v="34"/>
    <n v="19"/>
    <n v="0"/>
    <n v="19"/>
    <x v="3"/>
    <n v="0"/>
    <n v="19"/>
    <n v="152"/>
    <x v="28"/>
  </r>
  <r>
    <x v="31"/>
    <s v="Paquete"/>
    <m/>
    <n v="0"/>
    <m/>
    <m/>
    <n v="14"/>
    <n v="11"/>
    <n v="4"/>
    <n v="5"/>
    <n v="0"/>
    <n v="1"/>
    <x v="3"/>
    <n v="0"/>
    <n v="5"/>
    <n v="40"/>
    <x v="29"/>
  </r>
  <r>
    <x v="32"/>
    <s v="Paquete"/>
    <m/>
    <n v="0"/>
    <m/>
    <m/>
    <n v="23"/>
    <n v="10"/>
    <n v="17"/>
    <n v="10"/>
    <n v="0"/>
    <n v="2"/>
    <x v="3"/>
    <n v="0"/>
    <n v="13"/>
    <n v="75"/>
    <x v="30"/>
  </r>
  <r>
    <x v="33"/>
    <s v="Paquete"/>
    <m/>
    <n v="0"/>
    <n v="113"/>
    <m/>
    <n v="163"/>
    <n v="0"/>
    <n v="82"/>
    <n v="0"/>
    <n v="101"/>
    <n v="34"/>
    <x v="7"/>
    <n v="97"/>
    <n v="131"/>
    <n v="814"/>
    <x v="31"/>
  </r>
  <r>
    <x v="34"/>
    <s v="Paquete"/>
    <m/>
    <n v="0"/>
    <n v="0"/>
    <m/>
    <n v="14"/>
    <n v="3"/>
    <n v="8"/>
    <n v="0"/>
    <n v="16"/>
    <n v="4"/>
    <x v="3"/>
    <n v="11"/>
    <n v="0"/>
    <n v="56"/>
    <x v="32"/>
  </r>
  <r>
    <x v="35"/>
    <s v="Paquete"/>
    <m/>
    <n v="0"/>
    <n v="0"/>
    <m/>
    <n v="7"/>
    <n v="0"/>
    <n v="14"/>
    <n v="0"/>
    <n v="14"/>
    <n v="7"/>
    <x v="3"/>
    <n v="0"/>
    <n v="0"/>
    <n v="42"/>
    <x v="33"/>
  </r>
  <r>
    <x v="36"/>
    <s v="Paquete"/>
    <m/>
    <n v="0"/>
    <n v="0"/>
    <m/>
    <n v="3"/>
    <n v="0"/>
    <m/>
    <n v="0"/>
    <n v="0"/>
    <n v="0"/>
    <x v="3"/>
    <n v="0"/>
    <n v="0"/>
    <n v="3"/>
    <x v="34"/>
  </r>
  <r>
    <x v="37"/>
    <s v="Paquete"/>
    <n v="577"/>
    <n v="0"/>
    <n v="0"/>
    <m/>
    <n v="0"/>
    <n v="0"/>
    <n v="31"/>
    <n v="0"/>
    <n v="40"/>
    <n v="23"/>
    <x v="3"/>
    <n v="0"/>
    <n v="0"/>
    <n v="671"/>
    <x v="35"/>
  </r>
  <r>
    <x v="38"/>
    <m/>
    <m/>
    <m/>
    <m/>
    <m/>
    <m/>
    <m/>
    <m/>
    <m/>
    <m/>
    <m/>
    <x v="3"/>
    <m/>
    <m/>
    <n v="0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E7E04-EEBF-4243-8563-FD378A7764A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82" firstHeaderRow="0" firstDataRow="1" firstDataCol="1"/>
  <pivotFields count="17">
    <pivotField axis="axisRow" showAll="0">
      <items count="40">
        <item x="30"/>
        <item x="0"/>
        <item x="26"/>
        <item x="20"/>
        <item x="33"/>
        <item x="7"/>
        <item x="9"/>
        <item x="2"/>
        <item x="32"/>
        <item x="4"/>
        <item x="1"/>
        <item x="5"/>
        <item x="28"/>
        <item x="19"/>
        <item x="11"/>
        <item x="12"/>
        <item x="36"/>
        <item x="8"/>
        <item x="13"/>
        <item x="31"/>
        <item x="10"/>
        <item x="24"/>
        <item x="34"/>
        <item x="17"/>
        <item x="35"/>
        <item x="22"/>
        <item x="25"/>
        <item x="37"/>
        <item x="21"/>
        <item x="18"/>
        <item x="14"/>
        <item x="15"/>
        <item x="16"/>
        <item x="3"/>
        <item x="6"/>
        <item x="23"/>
        <item x="27"/>
        <item x="29"/>
        <item x="3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6"/>
        <item x="4"/>
        <item x="5"/>
        <item x="7"/>
        <item x="0"/>
        <item sd="0" x="2"/>
        <item x="1"/>
        <item x="3"/>
        <item t="default"/>
      </items>
    </pivotField>
    <pivotField showAll="0"/>
    <pivotField showAll="0"/>
    <pivotField showAll="0"/>
    <pivotField axis="axisRow" showAll="0">
      <items count="38">
        <item x="21"/>
        <item x="34"/>
        <item x="8"/>
        <item x="14"/>
        <item x="33"/>
        <item x="29"/>
        <item x="10"/>
        <item x="25"/>
        <item x="7"/>
        <item x="32"/>
        <item x="15"/>
        <item x="30"/>
        <item x="16"/>
        <item x="11"/>
        <item x="3"/>
        <item x="5"/>
        <item x="26"/>
        <item x="20"/>
        <item x="27"/>
        <item x="6"/>
        <item x="24"/>
        <item x="28"/>
        <item x="18"/>
        <item x="9"/>
        <item x="23"/>
        <item x="12"/>
        <item x="13"/>
        <item x="19"/>
        <item x="22"/>
        <item x="17"/>
        <item x="35"/>
        <item x="31"/>
        <item x="4"/>
        <item x="2"/>
        <item x="1"/>
        <item x="0"/>
        <item x="36"/>
        <item t="default"/>
      </items>
    </pivotField>
  </pivotFields>
  <rowFields count="2">
    <field x="0"/>
    <field x="16"/>
  </rowFields>
  <rowItems count="79">
    <i>
      <x/>
    </i>
    <i r="1">
      <x v="21"/>
    </i>
    <i>
      <x v="1"/>
    </i>
    <i r="1">
      <x v="35"/>
    </i>
    <i>
      <x v="2"/>
    </i>
    <i r="1">
      <x v="16"/>
    </i>
    <i>
      <x v="3"/>
    </i>
    <i r="1">
      <x v="17"/>
    </i>
    <i>
      <x v="4"/>
    </i>
    <i r="1">
      <x v="31"/>
    </i>
    <i>
      <x v="5"/>
    </i>
    <i r="1">
      <x v="8"/>
    </i>
    <i>
      <x v="6"/>
    </i>
    <i r="1">
      <x v="23"/>
    </i>
    <i>
      <x v="7"/>
    </i>
    <i r="1">
      <x v="33"/>
    </i>
    <i>
      <x v="8"/>
    </i>
    <i r="1">
      <x v="11"/>
    </i>
    <i>
      <x v="9"/>
    </i>
    <i r="1">
      <x v="32"/>
    </i>
    <i>
      <x v="10"/>
    </i>
    <i r="1">
      <x v="34"/>
    </i>
    <i>
      <x v="11"/>
    </i>
    <i r="1">
      <x v="15"/>
    </i>
    <i>
      <x v="12"/>
    </i>
    <i r="1">
      <x/>
    </i>
    <i>
      <x v="13"/>
    </i>
    <i r="1">
      <x v="27"/>
    </i>
    <i>
      <x v="14"/>
    </i>
    <i r="1">
      <x v="13"/>
    </i>
    <i>
      <x v="15"/>
    </i>
    <i r="1">
      <x v="25"/>
    </i>
    <i>
      <x v="16"/>
    </i>
    <i r="1">
      <x v="1"/>
    </i>
    <i>
      <x v="17"/>
    </i>
    <i r="1">
      <x v="2"/>
    </i>
    <i>
      <x v="18"/>
    </i>
    <i r="1">
      <x v="26"/>
    </i>
    <i>
      <x v="19"/>
    </i>
    <i r="1">
      <x v="5"/>
    </i>
    <i>
      <x v="20"/>
    </i>
    <i r="1">
      <x v="6"/>
    </i>
    <i>
      <x v="21"/>
    </i>
    <i r="1">
      <x v="20"/>
    </i>
    <i>
      <x v="22"/>
    </i>
    <i r="1">
      <x v="9"/>
    </i>
    <i>
      <x v="23"/>
    </i>
    <i r="1">
      <x v="29"/>
    </i>
    <i>
      <x v="24"/>
    </i>
    <i r="1">
      <x v="4"/>
    </i>
    <i>
      <x v="25"/>
    </i>
    <i r="1">
      <x v="28"/>
    </i>
    <i>
      <x v="26"/>
    </i>
    <i r="1">
      <x v="7"/>
    </i>
    <i>
      <x v="27"/>
    </i>
    <i r="1">
      <x v="30"/>
    </i>
    <i>
      <x v="28"/>
    </i>
    <i r="1">
      <x/>
    </i>
    <i>
      <x v="29"/>
    </i>
    <i r="1">
      <x v="22"/>
    </i>
    <i>
      <x v="30"/>
    </i>
    <i r="1">
      <x v="3"/>
    </i>
    <i>
      <x v="31"/>
    </i>
    <i r="1">
      <x v="10"/>
    </i>
    <i>
      <x v="32"/>
    </i>
    <i r="1">
      <x v="12"/>
    </i>
    <i>
      <x v="33"/>
    </i>
    <i r="1">
      <x v="14"/>
    </i>
    <i>
      <x v="34"/>
    </i>
    <i r="1">
      <x v="19"/>
    </i>
    <i>
      <x v="35"/>
    </i>
    <i r="1">
      <x v="24"/>
    </i>
    <i>
      <x v="36"/>
    </i>
    <i r="1">
      <x/>
    </i>
    <i>
      <x v="37"/>
    </i>
    <i r="1">
      <x v="18"/>
    </i>
    <i>
      <x v="38"/>
    </i>
    <i r="1"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 24 - 27" fld="3" baseField="0" baseItem="0"/>
    <dataField name="Suma de VAL 30 - 28" fld="4" baseField="0" baseItem="0"/>
  </dataFields>
  <formats count="1">
    <format dxfId="0">
      <pivotArea dataOnly="0" labelOnly="1" fieldPosition="0">
        <references count="2">
          <reference field="0" count="1" selected="0">
            <x v="1"/>
          </reference>
          <reference field="16" count="1">
            <x v="3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UGAR1" xr10:uid="{FA2CD3EC-9F91-4E4F-92AA-B1E09CAAEE04}" sourceName="LUGAR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UGAR 1" xr10:uid="{5B25A8CA-FAD3-402C-8AC9-DCC0DB616AE3}" cache="SegmentaciónDeDatos_LUGAR1" caption="LUGAR" columnCount="6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61CBDB-CA6E-4157-A8D8-5B40C16B108D}" name="Tabla4" displayName="Tabla4" ref="R4:S43" totalsRowShown="0">
  <autoFilter ref="R4:S43" xr:uid="{7B61CBDB-CA6E-4157-A8D8-5B40C16B108D}"/>
  <sortState xmlns:xlrd2="http://schemas.microsoft.com/office/spreadsheetml/2017/richdata2" ref="R5:S43">
    <sortCondition ref="R4:R43"/>
  </sortState>
  <tableColumns count="2">
    <tableColumn id="1" xr3:uid="{0FB326EF-25E3-4F11-A872-8521AAFBDAA1}" name="lugar" dataDxfId="194"/>
    <tableColumn id="2" xr3:uid="{B432CFA7-E5DA-4F1B-B5A3-0C9121F00C6C}" name="cantida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E1E2E35-A38B-4794-8153-C0B0724B94B8}" name="Tabla4815" displayName="Tabla4815" ref="O4:P45" totalsRowCount="1">
  <autoFilter ref="O4:P44" xr:uid="{BE1E2E35-A38B-4794-8153-C0B0724B94B8}"/>
  <sortState xmlns:xlrd2="http://schemas.microsoft.com/office/spreadsheetml/2017/richdata2" ref="O5:P44">
    <sortCondition ref="O4:O44"/>
  </sortState>
  <tableColumns count="2">
    <tableColumn id="1" xr3:uid="{26D85F87-0815-4233-818C-DB891FDA1191}" name="lugar" dataDxfId="185"/>
    <tableColumn id="2" xr3:uid="{DF728808-798C-40BB-93C3-7901C2E9C3B8}" name="cantida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6DFE78-A860-4FDE-9BB0-E99F813A91CA}" name="Tabla48159" displayName="Tabla48159" ref="O4:P45" totalsRowCount="1">
  <autoFilter ref="O4:P44" xr:uid="{7B6DFE78-A860-4FDE-9BB0-E99F813A91CA}"/>
  <sortState xmlns:xlrd2="http://schemas.microsoft.com/office/spreadsheetml/2017/richdata2" ref="O5:P44">
    <sortCondition ref="O4:O44"/>
  </sortState>
  <tableColumns count="2">
    <tableColumn id="1" xr3:uid="{5FC44D8D-F6D8-494C-AE20-47E7BE624A9A}" name="lugar" dataDxfId="184"/>
    <tableColumn id="2" xr3:uid="{E259B1A5-92B7-413D-863E-4F832E9A4DCF}" name="cantida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1240D6-F2B5-4CAC-A684-B8DD9F02C2CC}" name="Tabla4815912" displayName="Tabla4815912" ref="O4:P45" totalsRowCount="1">
  <autoFilter ref="O4:P44" xr:uid="{041240D6-F2B5-4CAC-A684-B8DD9F02C2CC}"/>
  <sortState xmlns:xlrd2="http://schemas.microsoft.com/office/spreadsheetml/2017/richdata2" ref="O5:P44">
    <sortCondition ref="O4:O44"/>
  </sortState>
  <tableColumns count="2">
    <tableColumn id="1" xr3:uid="{412C84D4-0B5D-4675-9E12-7D8295BBCECF}" name="lugar" dataDxfId="183"/>
    <tableColumn id="2" xr3:uid="{2D7766DF-3FA6-416A-98FC-402490BFEEF5}" name="cantida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79E5D-E01A-4AFC-BBB1-86ABF079E86B}" name="Tabla1" displayName="Tabla1" ref="AF10:BG17" totalsRowCount="1" headerRowDxfId="182" dataDxfId="180" headerRowBorderDxfId="181" tableBorderDxfId="179" totalsRowBorderDxfId="178">
  <autoFilter ref="AF10:BG16" xr:uid="{97679E5D-E01A-4AFC-BBB1-86ABF079E86B}"/>
  <tableColumns count="28">
    <tableColumn id="1" xr3:uid="{629A5DF5-AE80-4C59-B540-91829BDD5F4F}" name="LUGAR" totalsRowLabel="Total" dataDxfId="177" totalsRowDxfId="176"/>
    <tableColumn id="2" xr3:uid="{3452ACF4-DBBF-4252-A5FF-9C502F43094F}" name="VAL 15 - 07" totalsRowFunction="sum" dataDxfId="175" totalsRowDxfId="174"/>
    <tableColumn id="3" xr3:uid="{AACC8954-6DB4-4FEC-90E0-5EF0B7673053}" name="VAL 24- 07" totalsRowFunction="sum" dataDxfId="173" totalsRowDxfId="172">
      <calculatedColumnFormula>+'VAL 24 - 07'!I5</calculatedColumnFormula>
    </tableColumn>
    <tableColumn id="4" xr3:uid="{3E696A9B-A850-4BDF-8AC1-B602241D2E17}" name="VAL 30-07" totalsRowFunction="sum" dataDxfId="171" totalsRowDxfId="170"/>
    <tableColumn id="5" xr3:uid="{541EF637-C28E-4080-9AEE-272B35CD03B9}" name="VAL 02-08" totalsRowFunction="sum" dataDxfId="169" totalsRowDxfId="168"/>
    <tableColumn id="6" xr3:uid="{8E08199D-02F3-4FDB-87CC-360B12EDEC7A}" name="VAL 05-08" totalsRowFunction="sum" dataDxfId="167" totalsRowDxfId="166"/>
    <tableColumn id="7" xr3:uid="{E7A3AF86-120D-4B9D-BE2F-A3A947EEF2D3}" name="VAL 07-08" totalsRowFunction="sum" dataDxfId="165" totalsRowDxfId="164"/>
    <tableColumn id="8" xr3:uid="{31B3B23F-EB98-4306-9A97-BA10A50D3FE9}" name="VAL 11-08" totalsRowFunction="sum" dataDxfId="163" totalsRowDxfId="162"/>
    <tableColumn id="9" xr3:uid="{826529C8-0A36-4D28-9211-AB3C2FE772D9}" name="VAL 15-08" totalsRowFunction="sum" dataDxfId="161" totalsRowDxfId="160"/>
    <tableColumn id="10" xr3:uid="{63E7EC67-244D-4D76-8322-96978D4587CC}" name="VAL 19-08" totalsRowFunction="sum" dataDxfId="159" totalsRowDxfId="158"/>
    <tableColumn id="11" xr3:uid="{A9CF0685-B58F-4658-9177-F9A19E871DE2}" name="VAL 26-08" totalsRowFunction="sum" dataDxfId="157" totalsRowDxfId="156"/>
    <tableColumn id="12" xr3:uid="{06D5C505-F621-4DAA-9EB9-62D06E7BCAF7}" name="VAL 03-09" totalsRowFunction="sum" dataDxfId="155" totalsRowDxfId="154"/>
    <tableColumn id="13" xr3:uid="{74755DD9-F670-4766-9938-94C1DD5AEBEF}" name="VAL 04-09" totalsRowFunction="sum" dataDxfId="153" totalsRowDxfId="152"/>
    <tableColumn id="14" xr3:uid="{F64A5ECC-C2B4-4142-A513-D0B1A22D8EE7}" name="VAL 11-09" totalsRowFunction="sum" dataDxfId="151" totalsRowDxfId="150"/>
    <tableColumn id="19" xr3:uid="{E2EE4814-7BA1-4C3F-8772-7268294EFBCE}" name="VAL 15-09" totalsRowFunction="sum" dataDxfId="149" totalsRowDxfId="148"/>
    <tableColumn id="17" xr3:uid="{40F21F52-9915-4AA4-AF08-3D68FEB4CF74}" name="VAL 18-09" totalsRowFunction="sum" dataDxfId="147" totalsRowDxfId="146"/>
    <tableColumn id="18" xr3:uid="{D5A87D56-9DCA-4745-9219-B16178C5526E}" name="VAL 22-09" totalsRowFunction="sum" dataDxfId="145" totalsRowDxfId="144"/>
    <tableColumn id="20" xr3:uid="{F1ABED70-E78A-4040-B342-0E37D00AF27E}" name="VAL 26-09" totalsRowFunction="sum" dataDxfId="143" totalsRowDxfId="142"/>
    <tableColumn id="21" xr3:uid="{ABCD75C5-21CA-4592-BB16-CDB6739947EE}" name="VAL 02-10" totalsRowFunction="sum" dataDxfId="141" totalsRowDxfId="140"/>
    <tableColumn id="22" xr3:uid="{0F81883A-5AC8-4497-8204-C3F6BAB05341}" name="VAL 09-10" totalsRowFunction="sum" dataDxfId="139" totalsRowDxfId="138"/>
    <tableColumn id="23" xr3:uid="{6BA09C8C-6B04-468C-8A04-180429A983EC}" name="VAL 13-10" totalsRowFunction="sum" dataDxfId="137" totalsRowDxfId="136"/>
    <tableColumn id="24" xr3:uid="{AA61544E-1775-45A9-BBC7-9055B912591B}" name="VAL 17-10" totalsRowFunction="sum" dataDxfId="135" totalsRowDxfId="134"/>
    <tableColumn id="25" xr3:uid="{67721FB4-108E-4811-939B-596D99387AB9}" name="VAL 20-10" totalsRowFunction="sum" dataDxfId="133" totalsRowDxfId="132"/>
    <tableColumn id="26" xr3:uid="{33E5A4BA-3D94-4C32-984B-0B552E882790}" name="VAL C-10" totalsRowFunction="sum" dataDxfId="131" totalsRowDxfId="130"/>
    <tableColumn id="27" xr3:uid="{587C0D72-93ED-4338-803E-325277D87E43}" name="VAL D-10" totalsRowFunction="sum" dataDxfId="129" totalsRowDxfId="128"/>
    <tableColumn id="28" xr3:uid="{BC954B47-461D-468B-90B5-690FEA5BBABF}" name="VAL F-10" totalsRowFunction="sum" dataDxfId="127" totalsRowDxfId="126"/>
    <tableColumn id="15" xr3:uid="{A82E73F5-CAB2-4D60-9DB2-8675A143CEB0}" name="TOTAL" totalsRowFunction="sum" dataDxfId="125" totalsRowDxfId="124">
      <calculatedColumnFormula>SUM(Tabla1[[#This Row],[VAL 15 - 07]:[VAL 13-10]])</calculatedColumnFormula>
    </tableColumn>
    <tableColumn id="16" xr3:uid="{ABA5CFC5-A862-4CBD-BF22-C727C8A703C9}" name="PROMEDIO" totalsRowFunction="custom" dataDxfId="123" totalsRowDxfId="122">
      <calculatedColumnFormula>AVERAGE(Tabla1[[#This Row],[VAL 15 - 07]:[VAL 13-10]])</calculatedColumnFormula>
      <totalsRowFormula>AVERAGE(Tabla1[[#Totals],[VAL 15 - 07]:[VAL 13-10]])</totalsRow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114A34-DFCD-4608-A784-8D5EC0FFCE99}" name="Tabla6" displayName="Tabla6" ref="AF5:BG12" totalsRowCount="1" headerRowDxfId="121" dataDxfId="119" headerRowBorderDxfId="120" tableBorderDxfId="118" totalsRowBorderDxfId="117">
  <autoFilter ref="AF5:BG11" xr:uid="{18114A34-DFCD-4608-A784-8D5EC0FFCE99}"/>
  <tableColumns count="28">
    <tableColumn id="1" xr3:uid="{69CDA0B6-82DB-4670-879D-EF601BC76850}" name="LUGAR" totalsRowLabel="Total" dataDxfId="116" totalsRowDxfId="115"/>
    <tableColumn id="2" xr3:uid="{8558D5F3-F459-4A86-BB11-2C18354B6F7E}" name="VAL 15- 07" totalsRowFunction="sum" dataDxfId="114" totalsRowDxfId="113"/>
    <tableColumn id="3" xr3:uid="{58A6303F-E176-4E48-94A6-E07314E84401}" name="VAL 24- 07" totalsRowFunction="sum" dataDxfId="112" totalsRowDxfId="111"/>
    <tableColumn id="4" xr3:uid="{8CC1E248-9B66-4797-B823-E9F391175439}" name="VAL 30-07" totalsRowFunction="sum" dataDxfId="110" totalsRowDxfId="109"/>
    <tableColumn id="5" xr3:uid="{E1386695-AEE5-453B-B5D0-E932D1244D63}" name="VAL 02-08" totalsRowFunction="sum" dataDxfId="108" totalsRowDxfId="107"/>
    <tableColumn id="6" xr3:uid="{7556DE3A-5BFA-4D4B-9AA2-C4CF662A620A}" name="VAL 05-08" totalsRowFunction="sum" dataDxfId="106" totalsRowDxfId="105"/>
    <tableColumn id="7" xr3:uid="{45949EC2-39CA-45BD-97DB-F590D9E5DDDC}" name="VAL 07-09" totalsRowFunction="sum" dataDxfId="104" totalsRowDxfId="103"/>
    <tableColumn id="8" xr3:uid="{661C98DC-5AFC-4778-B0C8-2A7AC98BEB02}" name="VAL 11-08" totalsRowFunction="sum" dataDxfId="102" totalsRowDxfId="101"/>
    <tableColumn id="9" xr3:uid="{9CB99D41-B944-47CC-8B20-74044FB0C542}" name="VAL 15-08" totalsRowFunction="sum" dataDxfId="100" totalsRowDxfId="99"/>
    <tableColumn id="10" xr3:uid="{23CEE4FF-522C-4E25-844A-A0CE766AF542}" name="VAL 19-08" totalsRowFunction="sum" dataDxfId="98" totalsRowDxfId="97"/>
    <tableColumn id="11" xr3:uid="{690BC5A5-CEEA-47D7-870A-2BCCE2D9D1F4}" name="VAL 26-08" totalsRowFunction="sum" dataDxfId="96" totalsRowDxfId="95"/>
    <tableColumn id="12" xr3:uid="{9487967F-A1FA-4848-AEEA-502B9CAA47D3}" name="VAL 03-09" totalsRowFunction="sum" dataDxfId="94" totalsRowDxfId="93"/>
    <tableColumn id="13" xr3:uid="{D12A5458-E1D2-4BA9-A15E-EA786D2E5C28}" name="VAL 04-09" totalsRowFunction="sum" dataDxfId="92" totalsRowDxfId="91"/>
    <tableColumn id="14" xr3:uid="{FE430C7F-80F1-4DF6-92EB-853CE3B1256A}" name="VAL 11-09" totalsRowFunction="sum" dataDxfId="90" totalsRowDxfId="89"/>
    <tableColumn id="18" xr3:uid="{630B38BF-89EC-42B4-AB9D-F31175E96C33}" name="VAL 15-09" totalsRowFunction="sum" dataDxfId="88" totalsRowDxfId="87">
      <calculatedColumnFormula>+S5</calculatedColumnFormula>
    </tableColumn>
    <tableColumn id="17" xr3:uid="{87B6938B-169C-4DEF-8F4A-120816A6055F}" name="VAL 18 - 09" totalsRowFunction="sum" dataDxfId="86" totalsRowDxfId="85"/>
    <tableColumn id="24" xr3:uid="{E2108F27-E1BD-48AB-91EF-6BF2E0CBDDD6}" name="VAL 22 - 09" totalsRowFunction="sum" dataDxfId="84" totalsRowDxfId="83"/>
    <tableColumn id="25" xr3:uid="{F3317950-DE4D-4E96-ADB5-D5E372843CFE}" name="VAL 26 - 09" totalsRowFunction="sum" dataDxfId="82" totalsRowDxfId="81"/>
    <tableColumn id="26" xr3:uid="{5533A70F-8836-43E2-8F7E-F6B36CE68AE3}" name="VAL 02 - 10" totalsRowFunction="sum" dataDxfId="80" totalsRowDxfId="79"/>
    <tableColumn id="27" xr3:uid="{AC3A6116-5656-4D51-8603-7492060C222E}" name="VAL 09 - 10" totalsRowFunction="sum" dataDxfId="78" totalsRowDxfId="77"/>
    <tableColumn id="28" xr3:uid="{BBF580E2-4850-40AD-9171-FB34EE4AC95B}" name="VAL 13 - 10" totalsRowFunction="sum" dataDxfId="76" totalsRowDxfId="75"/>
    <tableColumn id="23" xr3:uid="{2DCAD433-1433-4D27-BE80-117EF112636C}" name="VAL 17 - 10" totalsRowFunction="sum" dataDxfId="74" totalsRowDxfId="73"/>
    <tableColumn id="22" xr3:uid="{1FD3FFF4-6395-44BA-973F-A9CE30EC3E4C}" name="VAL B - 10" totalsRowFunction="sum" dataDxfId="72" totalsRowDxfId="71"/>
    <tableColumn id="21" xr3:uid="{73495474-E63F-4DA6-9A6F-B817B5EE12FA}" name="VAL C - 10" totalsRowFunction="sum" dataDxfId="70" totalsRowDxfId="69"/>
    <tableColumn id="20" xr3:uid="{0388A5E9-32C6-4F4C-9C9F-AD8F07C08433}" name="VAL D - 10" totalsRowFunction="sum" dataDxfId="68" totalsRowDxfId="67"/>
    <tableColumn id="19" xr3:uid="{45932CBF-5328-4618-A500-A4F6DD1E4DA6}" name="VAL F - 10" totalsRowFunction="sum" dataDxfId="66" totalsRowDxfId="65"/>
    <tableColumn id="15" xr3:uid="{118F0F2B-8732-4A73-B3E3-4A1B2FEA1BFA}" name="SUBTOTAL" totalsRowFunction="sum" dataDxfId="64" totalsRowDxfId="63">
      <calculatedColumnFormula>SUM(Tabla6[[#This Row],[VAL 15- 07]:[VAL 13 - 10]])</calculatedColumnFormula>
    </tableColumn>
    <tableColumn id="16" xr3:uid="{1213204F-52F4-4D70-A9B5-559116FCA61E}" name="PRO/LUGAR" totalsRowFunction="average" dataDxfId="62" totalsRowDxfId="61">
      <calculatedColumnFormula>AVERAGE(Tabla6[[#This Row],[VAL 15- 07]:[VAL 13 - 10]])</calculatedColumnFormula>
    </tableColumn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F691BA5-333C-4B97-8021-AE12E3740A32}" name="Tabla24" displayName="Tabla24" ref="B4:AC21" totalsRowShown="0">
  <autoFilter ref="B4:AC21" xr:uid="{0F691BA5-333C-4B97-8021-AE12E3740A32}"/>
  <tableColumns count="28">
    <tableColumn id="1" xr3:uid="{5A49BEDD-4614-48E1-803A-D10C2C9F8AA8}" name="VALORIZACINTOTAL  EN SOLES"/>
    <tableColumn id="2" xr3:uid="{08D7742E-1DC8-4279-89E1-FAE256466614}" name="Columna1"/>
    <tableColumn id="3" xr3:uid="{30693091-11DF-4DD8-8F11-DA521999769D}" name="Columna2"/>
    <tableColumn id="4" xr3:uid="{84C52365-AB91-4832-A963-C3AA2C8335B5}" name="Columna3"/>
    <tableColumn id="5" xr3:uid="{77B8E324-2431-4B31-8BB8-81A01A0224FD}" name="Columna4"/>
    <tableColumn id="6" xr3:uid="{156F1A37-B03A-4F2D-98AE-2F3ACC650672}" name="Columna5"/>
    <tableColumn id="7" xr3:uid="{D095E5AC-F617-475F-BBC8-836581C961B0}" name="Columna6"/>
    <tableColumn id="8" xr3:uid="{F0E1FFCB-124A-47D0-89FE-79404D300EF4}" name="Columna7"/>
    <tableColumn id="9" xr3:uid="{E1F778F3-5516-4E25-B82B-74520BBBDDD2}" name="Columna8"/>
    <tableColumn id="10" xr3:uid="{52A2C866-3D86-4541-A88B-2C0C2C76E53D}" name="Columna9"/>
    <tableColumn id="11" xr3:uid="{07570D07-3CE6-42EB-9E7B-2AAE8E69898E}" name="Columna10"/>
    <tableColumn id="12" xr3:uid="{8473D493-E165-479F-B63B-60B679B9915F}" name="Columna11"/>
    <tableColumn id="13" xr3:uid="{88829909-5729-4D22-B00C-15E52C522EC5}" name="Columna12"/>
    <tableColumn id="14" xr3:uid="{1BB80778-0C6A-4DEE-B8CC-0644C47F5269}" name="Columna13"/>
    <tableColumn id="15" xr3:uid="{1F0A27AD-85E6-480F-A53F-9D23D7E1969A}" name="Columna14"/>
    <tableColumn id="16" xr3:uid="{226AE43C-2B34-472B-B4C6-56B935D2849A}" name="Columna15"/>
    <tableColumn id="17" xr3:uid="{2468F6EC-CC54-49C9-B2FF-A166CD0ECE2B}" name="Columna16"/>
    <tableColumn id="18" xr3:uid="{6D37D9DC-CD72-463E-AAC6-A69B0E695BA6}" name="Columna17"/>
    <tableColumn id="19" xr3:uid="{A9E35787-6594-4B0C-A963-63389C7009E8}" name="Columna18"/>
    <tableColumn id="20" xr3:uid="{6484C9A2-2520-408C-A663-F409BC987400}" name="Columna19"/>
    <tableColumn id="21" xr3:uid="{EF859336-FF00-4198-ADF4-181C842C9BBC}" name="Columna20"/>
    <tableColumn id="22" xr3:uid="{3E4FABC4-06EF-4896-9777-DCB850016857}" name="Columna21"/>
    <tableColumn id="23" xr3:uid="{AB3AC852-2010-4DCE-BF32-F9A839CF4836}" name="Columna22"/>
    <tableColumn id="24" xr3:uid="{E1F49189-202E-40E6-AAAC-A03C74F9920C}" name="Columna23"/>
    <tableColumn id="25" xr3:uid="{08CE3CC4-5D8C-4EA0-A4B5-22D5EFA4EE90}" name="Columna24"/>
    <tableColumn id="26" xr3:uid="{740D5481-0515-4941-9FDC-B6A075D2DFF2}" name="Columna25"/>
    <tableColumn id="27" xr3:uid="{C0880266-A869-48A5-A3F3-38C31B342D75}" name="Columna26">
      <calculatedColumnFormula>SUM(C5:AA5)</calculatedColumnFormula>
    </tableColumn>
    <tableColumn id="28" xr3:uid="{D00DB1CC-43AE-4BA3-BC56-0738B67EEF3F}" name="Columna2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447996-ED9B-46CE-A3DD-618FD0FADC2F}" name="Tabla2" displayName="Tabla2" ref="B3:AD44" totalsRowCount="1" headerRowDxfId="60" headerRowBorderDxfId="59">
  <autoFilter ref="B3:AD43" xr:uid="{2D447996-ED9B-46CE-A3DD-618FD0FADC2F}"/>
  <sortState xmlns:xlrd2="http://schemas.microsoft.com/office/spreadsheetml/2017/richdata2" ref="B4:AD43">
    <sortCondition ref="B3:B43"/>
  </sortState>
  <tableColumns count="29">
    <tableColumn id="1" xr3:uid="{800445FA-1113-47B6-96C6-4FBF58DE55B5}" name="Nombre" totalsRowLabel="Total" dataDxfId="58" totalsRowDxfId="57"/>
    <tableColumn id="2" xr3:uid="{019F1358-35BF-4D2E-8262-358C0124422E}" name="Unidad" totalsRowFunction="sum" dataDxfId="56" totalsRowDxfId="55"/>
    <tableColumn id="3" xr3:uid="{857B4534-D31A-421D-8CEF-51CB7A65873F}" name="VAL 15 - 07" totalsRowFunction="sum" dataDxfId="54" totalsRowDxfId="53"/>
    <tableColumn id="4" xr3:uid="{4D93ADB4-214A-4F44-8766-542D95D6AC5C}" name="VAL 24 - 27" totalsRowFunction="sum" dataDxfId="52" totalsRowDxfId="51"/>
    <tableColumn id="16" xr3:uid="{88C8D401-1609-46B4-A046-2CD23E04C39F}" name="VAL 30 - 28" totalsRowFunction="sum" dataDxfId="50" totalsRowDxfId="49"/>
    <tableColumn id="5" xr3:uid="{B3590F53-D117-42DF-A4CB-028338FE0FC9}" name="VAL 02 - 08" totalsRowFunction="sum" dataDxfId="48" totalsRowDxfId="47"/>
    <tableColumn id="6" xr3:uid="{159E60FC-3F4B-4D65-8014-5132AC40C9E3}" name="VAL 05 - 08" totalsRowFunction="sum" dataDxfId="46" totalsRowDxfId="45"/>
    <tableColumn id="7" xr3:uid="{9B8F93E3-A8DE-4833-A950-47A08FE6AA14}" name="VAL 07 - 08" totalsRowFunction="sum" dataDxfId="44" totalsRowDxfId="43"/>
    <tableColumn id="8" xr3:uid="{C9A59765-E63D-4BFB-97F0-E5EC2C27E64F}" name="VAL 11 - 08" totalsRowFunction="sum" dataDxfId="42" totalsRowDxfId="41"/>
    <tableColumn id="9" xr3:uid="{193DBD1B-5735-468F-95B4-AD1FE056C6BB}" name="VAL 15 - 08" totalsRowFunction="sum" dataDxfId="40" totalsRowDxfId="39"/>
    <tableColumn id="10" xr3:uid="{E0F744E1-7756-4B7B-B60A-93B0ACBDB594}" name="VAL 19 - 08" totalsRowFunction="sum" dataDxfId="38" totalsRowDxfId="37"/>
    <tableColumn id="11" xr3:uid="{2305E078-E9B4-47B4-A780-50F8537A87BC}" name="VAL 26 - 08" totalsRowFunction="sum" dataDxfId="36" totalsRowDxfId="35"/>
    <tableColumn id="12" xr3:uid="{859AE03E-B73A-4E83-9FB5-C586A21C10CF}" name="VAL 03 - 09" totalsRowFunction="sum" dataDxfId="34" totalsRowDxfId="33"/>
    <tableColumn id="13" xr3:uid="{66A61D7B-3EFD-4683-9D93-ED0B54633A8D}" name="VAL 04 - 09" totalsRowFunction="sum" dataDxfId="32" totalsRowDxfId="31"/>
    <tableColumn id="14" xr3:uid="{26F372EE-8400-4F02-8145-4E2C54AF05C0}" name="VAL11-09" totalsRowFunction="sum" dataDxfId="30" totalsRowDxfId="29"/>
    <tableColumn id="18" xr3:uid="{AC07CD50-3EB8-4ED4-B4CC-EB63D52CEB65}" name="VAL15-09" totalsRowFunction="sum" dataDxfId="28" totalsRowDxfId="27">
      <calculatedColumnFormula>+'VAL 15 - 09'!S5</calculatedColumnFormula>
    </tableColumn>
    <tableColumn id="19" xr3:uid="{D5EA6855-D1AE-4EA6-A9E6-37D643E45CC5}" name="VAL 18-09" totalsRowFunction="sum" dataDxfId="26" totalsRowDxfId="25">
      <calculatedColumnFormula>+'VAL 18 - 09'!P5</calculatedColumnFormula>
    </tableColumn>
    <tableColumn id="20" xr3:uid="{837267DC-C421-4380-8EE5-4558A94F5CCA}" name="VAL 22-09" totalsRowFunction="sum" dataDxfId="24" totalsRowDxfId="23">
      <calculatedColumnFormula>+'VAL 22 -09'!P5</calculatedColumnFormula>
    </tableColumn>
    <tableColumn id="21" xr3:uid="{FAA6CDA8-2A22-4217-AC1C-40CE7B26F6D6}" name="VAL 26-09" totalsRowFunction="sum" dataDxfId="22" totalsRowDxfId="21">
      <calculatedColumnFormula>+'VAL 26 - 09'!P5</calculatedColumnFormula>
    </tableColumn>
    <tableColumn id="22" xr3:uid="{55708E9F-BC4D-49F4-9F98-5FD6D2CC151D}" name="VAL 02-098" totalsRowFunction="sum" dataDxfId="20" totalsRowDxfId="19">
      <calculatedColumnFormula>+'VAL 02 - 10'!P5</calculatedColumnFormula>
    </tableColumn>
    <tableColumn id="23" xr3:uid="{B59380F0-CBB9-4D48-AAD2-D9F2A91EDEA8}" name="VAL 09-10" totalsRowFunction="sum" dataDxfId="18" totalsRowDxfId="17">
      <calculatedColumnFormula>+'VAL 09 - 10'!P5</calculatedColumnFormula>
    </tableColumn>
    <tableColumn id="24" xr3:uid="{217A103B-9783-47EA-BF8D-A5668F04C952}" name="VAL 13-10" totalsRowFunction="sum" dataDxfId="16" totalsRowDxfId="15">
      <calculatedColumnFormula>+'VL 13 - 10'!P5</calculatedColumnFormula>
    </tableColumn>
    <tableColumn id="29" xr3:uid="{A9292EF0-3C59-4169-84B6-7E895E1862ED}" name="VAL 17-10" totalsRowFunction="sum" dataDxfId="14" totalsRowDxfId="13">
      <calculatedColumnFormula>+'VAL 17 - 10'!P5</calculatedColumnFormula>
    </tableColumn>
    <tableColumn id="28" xr3:uid="{2BE979C8-2579-4DAA-8070-DE3F66C4BDFE}" name="VAL B-10" totalsRowFunction="sum" dataDxfId="12" totalsRowDxfId="11">
      <calculatedColumnFormula>+'VAL 20 - 10'!P5</calculatedColumnFormula>
    </tableColumn>
    <tableColumn id="27" xr3:uid="{C8994686-526C-4E1E-AF83-A1036CCA54B2}" name="VAL C-10" totalsRowFunction="sum" dataDxfId="10" totalsRowDxfId="9">
      <calculatedColumnFormula>+'VAL C - 10'!P5</calculatedColumnFormula>
    </tableColumn>
    <tableColumn id="26" xr3:uid="{C0B34944-1AF4-42D6-9FD4-41FEBD9E9832}" name="VAL D-10" totalsRowFunction="sum" dataDxfId="8" totalsRowDxfId="7">
      <calculatedColumnFormula>+'VAL D - 10'!P5</calculatedColumnFormula>
    </tableColumn>
    <tableColumn id="25" xr3:uid="{DB5F7224-F1C5-4F80-9F37-EAAB312B71BE}" name="VAL F-10" totalsRowFunction="sum" dataDxfId="6" totalsRowDxfId="5">
      <calculatedColumnFormula>+'VAL F - 10'!P5</calculatedColumnFormula>
    </tableColumn>
    <tableColumn id="15" xr3:uid="{24BBB129-AE73-4E4A-9EF6-B01027910BB6}" name="SUBTOTAL" totalsRowFunction="sum" dataDxfId="4" totalsRowDxfId="3">
      <calculatedColumnFormula>SUM(Tabla2[[#This Row],[VAL 15 - 07]:[VAL F-10]])</calculatedColumnFormula>
    </tableColumn>
    <tableColumn id="17" xr3:uid="{3A9C434D-07A7-4097-8FF5-539F589D61DF}" name="PROM" totalsRowFunction="custom" dataDxfId="2" totalsRowDxfId="1">
      <calculatedColumnFormula>AVERAGE(Tabla2[[#This Row],[VAL 15 - 07]:[VAL F-10]])</calculatedColumnFormula>
      <totalsRowFormula>AVERAGE(Tabla2[[#Totals],[VAL 15 - 07]:[VAL F-10]])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5422C6-EC5E-425C-B5DC-BBAF86DE9682}" name="Tabla48" displayName="Tabla48" ref="O4:P45" totalsRowCount="1">
  <autoFilter ref="O4:P44" xr:uid="{6D5422C6-EC5E-425C-B5DC-BBAF86DE9682}"/>
  <sortState xmlns:xlrd2="http://schemas.microsoft.com/office/spreadsheetml/2017/richdata2" ref="O5:P44">
    <sortCondition ref="O4:O44"/>
  </sortState>
  <tableColumns count="2">
    <tableColumn id="1" xr3:uid="{5D9A6192-AEA4-4DD2-8E95-90E1C6A15819}" name="lugar" dataDxfId="193"/>
    <tableColumn id="2" xr3:uid="{42C43389-F9DE-4D20-93D0-A1927D808406}" name="cant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88D169C-F2B8-4817-ABB8-11DB6BE24B11}" name="Tabla4817" displayName="Tabla4817" ref="O4:P45" totalsRowCount="1">
  <autoFilter ref="O4:P44" xr:uid="{988D169C-F2B8-4817-ABB8-11DB6BE24B11}"/>
  <sortState xmlns:xlrd2="http://schemas.microsoft.com/office/spreadsheetml/2017/richdata2" ref="O5:P44">
    <sortCondition ref="O4:O44"/>
  </sortState>
  <tableColumns count="2">
    <tableColumn id="1" xr3:uid="{BE170436-5671-4FA9-A301-6AEA99AA0F82}" name="lugar" dataDxfId="192"/>
    <tableColumn id="2" xr3:uid="{CEE28002-FC24-4A47-9C35-C79237783B56}" name="cantida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E1B422-5966-4FF5-A4F9-ED8572DD0C0A}" name="Tabla486" displayName="Tabla486" ref="O4:P45" totalsRowCount="1">
  <autoFilter ref="O4:P44" xr:uid="{54E1B422-5966-4FF5-A4F9-ED8572DD0C0A}"/>
  <sortState xmlns:xlrd2="http://schemas.microsoft.com/office/spreadsheetml/2017/richdata2" ref="O5:P44">
    <sortCondition ref="O4:O44"/>
  </sortState>
  <tableColumns count="2">
    <tableColumn id="1" xr3:uid="{EBE60B25-98E7-4150-8B14-63760942DF74}" name="lugar" dataDxfId="191"/>
    <tableColumn id="2" xr3:uid="{F67A810D-EF71-4EA1-B0B6-5887DECAB47E}" name="cantida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C137EB-D912-42A9-ACB1-FCC2DABCE476}" name="Tabla4811" displayName="Tabla4811" ref="O4:P45" totalsRowCount="1">
  <autoFilter ref="O4:P44" xr:uid="{D6C137EB-D912-42A9-ACB1-FCC2DABCE476}"/>
  <sortState xmlns:xlrd2="http://schemas.microsoft.com/office/spreadsheetml/2017/richdata2" ref="O5:P44">
    <sortCondition ref="O4:O44"/>
  </sortState>
  <tableColumns count="2">
    <tableColumn id="1" xr3:uid="{3F53726D-28F1-4A46-A85F-94E130BA5EAC}" name="lugar" dataDxfId="190"/>
    <tableColumn id="2" xr3:uid="{C1A107B1-18D0-43E7-8096-79E545383FE9}" name="cantida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252657-2C4F-4E31-ACB7-4F0FA5CF21EB}" name="Tabla4813" displayName="Tabla4813" ref="O4:P45" totalsRowCount="1">
  <autoFilter ref="O4:P44" xr:uid="{DA252657-2C4F-4E31-ACB7-4F0FA5CF21EB}"/>
  <sortState xmlns:xlrd2="http://schemas.microsoft.com/office/spreadsheetml/2017/richdata2" ref="O5:P44">
    <sortCondition ref="O4:O44"/>
  </sortState>
  <tableColumns count="2">
    <tableColumn id="1" xr3:uid="{CB2F9F96-F20B-423A-A7F0-9B7DE341B36D}" name="lugar" dataDxfId="189"/>
    <tableColumn id="2" xr3:uid="{CD04DEEF-7AFE-4C47-80C3-6B7805A88E80}" name="cantida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0733CBF-7E56-49B8-8581-8863856E2EA1}" name="Tabla4815916" displayName="Tabla4815916" ref="O4:P45" totalsRowCount="1">
  <autoFilter ref="O4:P44" xr:uid="{A0733CBF-7E56-49B8-8581-8863856E2EA1}"/>
  <sortState xmlns:xlrd2="http://schemas.microsoft.com/office/spreadsheetml/2017/richdata2" ref="O5:P44">
    <sortCondition ref="O4:O44"/>
  </sortState>
  <tableColumns count="2">
    <tableColumn id="1" xr3:uid="{9EC19557-BF6C-4DF0-B3D4-C5C9386C335C}" name="lugar" dataDxfId="188"/>
    <tableColumn id="2" xr3:uid="{E61E4086-3B03-4F34-8AD9-366972CF0BC7}" name="cantida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9836D8F-0428-47F8-9D1E-8A2FF164FDAF}" name="Tabla4815919" displayName="Tabla4815919" ref="O4:P45" totalsRowCount="1">
  <autoFilter ref="O4:P44" xr:uid="{D9836D8F-0428-47F8-9D1E-8A2FF164FDAF}"/>
  <sortState xmlns:xlrd2="http://schemas.microsoft.com/office/spreadsheetml/2017/richdata2" ref="O5:P44">
    <sortCondition ref="O4:O44"/>
  </sortState>
  <tableColumns count="2">
    <tableColumn id="1" xr3:uid="{FBD4822B-053E-40BD-AFDB-C576BF779415}" name="lugar" dataDxfId="187"/>
    <tableColumn id="2" xr3:uid="{D60D54FB-EDA7-43DA-9B88-30C31B76A679}" name="cantida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F87347B-D449-46A5-B8C9-35212ECCBB7B}" name="Tabla4815921" displayName="Tabla4815921" ref="O4:P45" totalsRowCount="1">
  <autoFilter ref="O4:P44" xr:uid="{3F87347B-D449-46A5-B8C9-35212ECCBB7B}"/>
  <sortState xmlns:xlrd2="http://schemas.microsoft.com/office/spreadsheetml/2017/richdata2" ref="O5:P44">
    <sortCondition ref="O4:O44"/>
  </sortState>
  <tableColumns count="2">
    <tableColumn id="1" xr3:uid="{CBB801EB-2AB9-498D-9AC3-AAA8780568BC}" name="lugar" dataDxfId="186"/>
    <tableColumn id="2" xr3:uid="{A6DE0380-D82E-488F-884D-E66917965DCC}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microsoft.com/office/2007/relationships/slicer" Target="../slicers/slicer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1EB3-B113-4A94-8A7F-80B25A73A859}">
  <dimension ref="B2:J49"/>
  <sheetViews>
    <sheetView workbookViewId="0">
      <selection activeCell="G44" sqref="G44"/>
    </sheetView>
  </sheetViews>
  <sheetFormatPr baseColWidth="10" defaultRowHeight="14.5" x14ac:dyDescent="0.35"/>
  <cols>
    <col min="2" max="2" width="13.1796875" bestFit="1" customWidth="1"/>
  </cols>
  <sheetData>
    <row r="2" spans="2:10" x14ac:dyDescent="0.35">
      <c r="B2" s="110" t="s">
        <v>0</v>
      </c>
      <c r="C2" s="110"/>
      <c r="D2" s="110"/>
      <c r="E2" s="110"/>
      <c r="F2" s="110"/>
    </row>
    <row r="3" spans="2:10" ht="15" thickBot="1" x14ac:dyDescent="0.4"/>
    <row r="4" spans="2:10" ht="15" thickBot="1" x14ac:dyDescent="0.4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I4" t="s">
        <v>74</v>
      </c>
      <c r="J4" t="s">
        <v>75</v>
      </c>
    </row>
    <row r="5" spans="2:10" ht="19" thickBot="1" x14ac:dyDescent="0.5">
      <c r="B5" s="1" t="s">
        <v>5</v>
      </c>
      <c r="C5" s="1"/>
      <c r="D5" s="1"/>
      <c r="E5" s="4">
        <f>SUM(E6:E9)</f>
        <v>286</v>
      </c>
      <c r="F5" s="4">
        <f>SUM(F6:F9)</f>
        <v>858</v>
      </c>
      <c r="H5" t="s">
        <v>67</v>
      </c>
      <c r="I5">
        <f>+F5</f>
        <v>858</v>
      </c>
      <c r="J5">
        <f>+E5</f>
        <v>286</v>
      </c>
    </row>
    <row r="6" spans="2:10" ht="15" thickBot="1" x14ac:dyDescent="0.4">
      <c r="B6" s="1" t="s">
        <v>6</v>
      </c>
      <c r="C6" s="1" t="s">
        <v>50</v>
      </c>
      <c r="D6" s="1">
        <v>3</v>
      </c>
      <c r="E6" s="1">
        <f>38+39+46</f>
        <v>123</v>
      </c>
      <c r="F6" s="1">
        <f>+D6*E6</f>
        <v>369</v>
      </c>
      <c r="H6" t="s">
        <v>68</v>
      </c>
      <c r="I6">
        <f>+F10</f>
        <v>2166</v>
      </c>
      <c r="J6">
        <f>+E10</f>
        <v>321</v>
      </c>
    </row>
    <row r="7" spans="2:10" ht="15" thickBot="1" x14ac:dyDescent="0.4">
      <c r="B7" s="1" t="s">
        <v>7</v>
      </c>
      <c r="C7" s="1" t="s">
        <v>50</v>
      </c>
      <c r="D7" s="1">
        <v>3</v>
      </c>
      <c r="E7" s="1">
        <v>163</v>
      </c>
      <c r="F7" s="1">
        <f t="shared" ref="F7:F48" si="0">+D7*E7</f>
        <v>489</v>
      </c>
      <c r="H7" t="s">
        <v>69</v>
      </c>
      <c r="I7">
        <f>+F22</f>
        <v>1422</v>
      </c>
      <c r="J7">
        <f>+E22</f>
        <v>273</v>
      </c>
    </row>
    <row r="8" spans="2:10" ht="15" thickBot="1" x14ac:dyDescent="0.4">
      <c r="B8" s="1" t="s">
        <v>8</v>
      </c>
      <c r="C8" s="1" t="s">
        <v>50</v>
      </c>
      <c r="D8" s="1">
        <v>3</v>
      </c>
      <c r="E8" s="1">
        <v>0</v>
      </c>
      <c r="F8" s="1">
        <f t="shared" si="0"/>
        <v>0</v>
      </c>
      <c r="H8" t="s">
        <v>70</v>
      </c>
      <c r="I8">
        <f>+F30</f>
        <v>925</v>
      </c>
      <c r="J8">
        <f>+E30</f>
        <v>137</v>
      </c>
    </row>
    <row r="9" spans="2:10" ht="15" thickBot="1" x14ac:dyDescent="0.4">
      <c r="B9" s="1" t="s">
        <v>9</v>
      </c>
      <c r="C9" s="1" t="s">
        <v>50</v>
      </c>
      <c r="D9" s="1">
        <v>3</v>
      </c>
      <c r="E9" s="1">
        <v>0</v>
      </c>
      <c r="F9" s="1">
        <f t="shared" si="0"/>
        <v>0</v>
      </c>
      <c r="H9" t="s">
        <v>71</v>
      </c>
      <c r="I9">
        <f>+F36</f>
        <v>424</v>
      </c>
      <c r="J9">
        <f>+E36</f>
        <v>53</v>
      </c>
    </row>
    <row r="10" spans="2:10" ht="19" thickBot="1" x14ac:dyDescent="0.5">
      <c r="B10" s="1" t="s">
        <v>10</v>
      </c>
      <c r="C10" s="1"/>
      <c r="D10" s="1"/>
      <c r="E10" s="4">
        <f>SUM(E11:E21)</f>
        <v>321</v>
      </c>
      <c r="F10" s="4">
        <f>SUM(F11:F21)</f>
        <v>2166</v>
      </c>
      <c r="H10" t="s">
        <v>44</v>
      </c>
      <c r="I10">
        <f>+F43</f>
        <v>0</v>
      </c>
      <c r="J10">
        <f>+C43+E43</f>
        <v>0</v>
      </c>
    </row>
    <row r="11" spans="2:10" ht="15" thickBot="1" x14ac:dyDescent="0.4">
      <c r="B11" s="1" t="s">
        <v>11</v>
      </c>
      <c r="C11" s="1" t="s">
        <v>50</v>
      </c>
      <c r="D11" s="1">
        <v>5</v>
      </c>
      <c r="E11" s="1">
        <v>134</v>
      </c>
      <c r="F11" s="1">
        <f t="shared" si="0"/>
        <v>670</v>
      </c>
      <c r="I11">
        <f>SUM(I5:I10)</f>
        <v>5795</v>
      </c>
      <c r="J11">
        <f>SUM(J5:J10)</f>
        <v>1070</v>
      </c>
    </row>
    <row r="12" spans="2:10" ht="15" thickBot="1" x14ac:dyDescent="0.4">
      <c r="B12" s="1" t="s">
        <v>12</v>
      </c>
      <c r="C12" s="1" t="s">
        <v>50</v>
      </c>
      <c r="D12" s="1">
        <v>8</v>
      </c>
      <c r="E12" s="1">
        <v>13</v>
      </c>
      <c r="F12" s="1">
        <f t="shared" si="0"/>
        <v>104</v>
      </c>
    </row>
    <row r="13" spans="2:10" ht="15" thickBot="1" x14ac:dyDescent="0.4">
      <c r="B13" s="1" t="s">
        <v>13</v>
      </c>
      <c r="C13" s="1" t="s">
        <v>50</v>
      </c>
      <c r="D13" s="1">
        <v>8</v>
      </c>
      <c r="E13" s="1">
        <v>19</v>
      </c>
      <c r="F13" s="1">
        <f t="shared" si="0"/>
        <v>152</v>
      </c>
    </row>
    <row r="14" spans="2:10" ht="15" thickBot="1" x14ac:dyDescent="0.4">
      <c r="B14" s="1" t="s">
        <v>14</v>
      </c>
      <c r="C14" s="1" t="s">
        <v>50</v>
      </c>
      <c r="D14" s="1">
        <v>8</v>
      </c>
      <c r="E14" s="1">
        <v>6</v>
      </c>
      <c r="F14" s="1">
        <f t="shared" si="0"/>
        <v>48</v>
      </c>
    </row>
    <row r="15" spans="2:10" ht="15" thickBot="1" x14ac:dyDescent="0.4">
      <c r="B15" s="1" t="s">
        <v>15</v>
      </c>
      <c r="C15" s="1" t="s">
        <v>50</v>
      </c>
      <c r="D15" s="1">
        <v>8</v>
      </c>
      <c r="E15" s="1">
        <v>0</v>
      </c>
      <c r="F15" s="1">
        <f t="shared" si="0"/>
        <v>0</v>
      </c>
    </row>
    <row r="16" spans="2:10" ht="15" thickBot="1" x14ac:dyDescent="0.4">
      <c r="B16" s="1" t="s">
        <v>16</v>
      </c>
      <c r="C16" s="1" t="s">
        <v>50</v>
      </c>
      <c r="D16" s="1">
        <v>8</v>
      </c>
      <c r="E16" s="1">
        <v>31</v>
      </c>
      <c r="F16" s="1">
        <f t="shared" si="0"/>
        <v>248</v>
      </c>
    </row>
    <row r="17" spans="2:6" ht="15" thickBot="1" x14ac:dyDescent="0.4">
      <c r="B17" s="1" t="s">
        <v>17</v>
      </c>
      <c r="C17" s="1" t="s">
        <v>50</v>
      </c>
      <c r="D17" s="1">
        <v>8</v>
      </c>
      <c r="E17" s="1">
        <v>4</v>
      </c>
      <c r="F17" s="1">
        <f t="shared" si="0"/>
        <v>32</v>
      </c>
    </row>
    <row r="18" spans="2:6" ht="15" thickBot="1" x14ac:dyDescent="0.4">
      <c r="B18" s="1" t="s">
        <v>18</v>
      </c>
      <c r="C18" s="1" t="s">
        <v>50</v>
      </c>
      <c r="D18" s="1">
        <v>8</v>
      </c>
      <c r="E18" s="1">
        <v>24</v>
      </c>
      <c r="F18" s="1">
        <f t="shared" si="0"/>
        <v>192</v>
      </c>
    </row>
    <row r="19" spans="2:6" ht="15" thickBot="1" x14ac:dyDescent="0.4">
      <c r="B19" s="1" t="s">
        <v>19</v>
      </c>
      <c r="C19" s="1" t="s">
        <v>50</v>
      </c>
      <c r="D19" s="1">
        <v>8</v>
      </c>
      <c r="E19" s="1">
        <v>41</v>
      </c>
      <c r="F19" s="1">
        <f>+D19*E19</f>
        <v>328</v>
      </c>
    </row>
    <row r="20" spans="2:6" ht="15" thickBot="1" x14ac:dyDescent="0.4">
      <c r="B20" s="1" t="s">
        <v>20</v>
      </c>
      <c r="C20" s="1" t="s">
        <v>50</v>
      </c>
      <c r="D20" s="1">
        <v>8</v>
      </c>
      <c r="E20" s="1">
        <v>49</v>
      </c>
      <c r="F20" s="1">
        <f t="shared" si="0"/>
        <v>392</v>
      </c>
    </row>
    <row r="21" spans="2:6" ht="15" thickBot="1" x14ac:dyDescent="0.4">
      <c r="B21" s="1" t="s">
        <v>21</v>
      </c>
      <c r="C21" s="1" t="s">
        <v>50</v>
      </c>
      <c r="D21" s="1">
        <v>8</v>
      </c>
      <c r="E21" s="1">
        <v>0</v>
      </c>
      <c r="F21" s="1">
        <f t="shared" si="0"/>
        <v>0</v>
      </c>
    </row>
    <row r="22" spans="2:6" ht="19" thickBot="1" x14ac:dyDescent="0.5">
      <c r="B22" s="1" t="s">
        <v>22</v>
      </c>
      <c r="C22" s="1"/>
      <c r="D22" s="1"/>
      <c r="E22" s="4">
        <f>SUM(E23:E29)</f>
        <v>273</v>
      </c>
      <c r="F22" s="4">
        <f>SUM(F23:F29)</f>
        <v>1422</v>
      </c>
    </row>
    <row r="23" spans="2:6" ht="15" thickBot="1" x14ac:dyDescent="0.4">
      <c r="B23" s="1" t="s">
        <v>23</v>
      </c>
      <c r="C23" s="1" t="s">
        <v>50</v>
      </c>
      <c r="D23" s="1">
        <v>5</v>
      </c>
      <c r="E23" s="1">
        <v>25</v>
      </c>
      <c r="F23" s="1">
        <f t="shared" si="0"/>
        <v>125</v>
      </c>
    </row>
    <row r="24" spans="2:6" ht="15" thickBot="1" x14ac:dyDescent="0.4">
      <c r="B24" s="1" t="s">
        <v>24</v>
      </c>
      <c r="C24" s="1" t="s">
        <v>50</v>
      </c>
      <c r="D24" s="1">
        <v>5</v>
      </c>
      <c r="E24" s="1">
        <v>18</v>
      </c>
      <c r="F24" s="1">
        <f t="shared" si="0"/>
        <v>90</v>
      </c>
    </row>
    <row r="25" spans="2:6" ht="15" thickBot="1" x14ac:dyDescent="0.4">
      <c r="B25" s="1" t="s">
        <v>25</v>
      </c>
      <c r="C25" s="1" t="s">
        <v>50</v>
      </c>
      <c r="D25" s="1">
        <v>5</v>
      </c>
      <c r="E25" s="1">
        <v>126</v>
      </c>
      <c r="F25" s="1">
        <f t="shared" si="0"/>
        <v>630</v>
      </c>
    </row>
    <row r="26" spans="2:6" ht="15" thickBot="1" x14ac:dyDescent="0.4">
      <c r="B26" s="1" t="s">
        <v>26</v>
      </c>
      <c r="C26" s="1" t="s">
        <v>50</v>
      </c>
      <c r="D26" s="1">
        <v>5</v>
      </c>
      <c r="E26" s="1">
        <v>33</v>
      </c>
      <c r="F26" s="1">
        <f t="shared" si="0"/>
        <v>165</v>
      </c>
    </row>
    <row r="27" spans="2:6" ht="15" thickBot="1" x14ac:dyDescent="0.4">
      <c r="B27" s="1" t="s">
        <v>27</v>
      </c>
      <c r="C27" s="1" t="s">
        <v>50</v>
      </c>
      <c r="D27" s="1">
        <v>5</v>
      </c>
      <c r="E27" s="1">
        <v>52</v>
      </c>
      <c r="F27" s="1">
        <f t="shared" si="0"/>
        <v>260</v>
      </c>
    </row>
    <row r="28" spans="2:6" ht="15" thickBot="1" x14ac:dyDescent="0.4">
      <c r="B28" s="1" t="s">
        <v>28</v>
      </c>
      <c r="C28" s="1" t="s">
        <v>50</v>
      </c>
      <c r="D28" s="1">
        <v>8</v>
      </c>
      <c r="E28" s="1">
        <v>19</v>
      </c>
      <c r="F28" s="1">
        <f t="shared" si="0"/>
        <v>152</v>
      </c>
    </row>
    <row r="29" spans="2:6" ht="15" thickBot="1" x14ac:dyDescent="0.4">
      <c r="B29" s="1" t="s">
        <v>29</v>
      </c>
      <c r="C29" s="1" t="s">
        <v>50</v>
      </c>
      <c r="D29" s="1">
        <v>8</v>
      </c>
      <c r="E29" s="1">
        <v>0</v>
      </c>
      <c r="F29" s="1">
        <f t="shared" si="0"/>
        <v>0</v>
      </c>
    </row>
    <row r="30" spans="2:6" ht="19" thickBot="1" x14ac:dyDescent="0.5">
      <c r="B30" s="1" t="s">
        <v>30</v>
      </c>
      <c r="C30" s="1"/>
      <c r="D30" s="1"/>
      <c r="E30" s="4">
        <f>SUM(E31:E35)</f>
        <v>137</v>
      </c>
      <c r="F30" s="4">
        <f>SUM(F31:F35)</f>
        <v>925</v>
      </c>
    </row>
    <row r="31" spans="2:6" ht="15" thickBot="1" x14ac:dyDescent="0.4">
      <c r="B31" s="1" t="s">
        <v>32</v>
      </c>
      <c r="C31" s="1" t="s">
        <v>50</v>
      </c>
      <c r="D31" s="1">
        <v>5</v>
      </c>
      <c r="E31" s="1">
        <v>57</v>
      </c>
      <c r="F31" s="1">
        <f t="shared" si="0"/>
        <v>285</v>
      </c>
    </row>
    <row r="32" spans="2:6" ht="15" thickBot="1" x14ac:dyDescent="0.4">
      <c r="B32" s="1" t="s">
        <v>31</v>
      </c>
      <c r="C32" s="1" t="s">
        <v>50</v>
      </c>
      <c r="D32" s="1">
        <v>8</v>
      </c>
      <c r="E32" s="1">
        <v>29</v>
      </c>
      <c r="F32" s="1">
        <f t="shared" si="0"/>
        <v>232</v>
      </c>
    </row>
    <row r="33" spans="2:6" ht="15" thickBot="1" x14ac:dyDescent="0.4">
      <c r="B33" s="1" t="s">
        <v>33</v>
      </c>
      <c r="C33" s="1" t="s">
        <v>50</v>
      </c>
      <c r="D33" s="1">
        <v>8</v>
      </c>
      <c r="E33" s="1">
        <v>34</v>
      </c>
      <c r="F33" s="1">
        <f t="shared" si="0"/>
        <v>272</v>
      </c>
    </row>
    <row r="34" spans="2:6" ht="15" thickBot="1" x14ac:dyDescent="0.4">
      <c r="B34" s="1" t="s">
        <v>34</v>
      </c>
      <c r="C34" s="1" t="s">
        <v>50</v>
      </c>
      <c r="D34" s="1">
        <v>8</v>
      </c>
      <c r="E34" s="1">
        <v>0</v>
      </c>
      <c r="F34" s="1">
        <f t="shared" si="0"/>
        <v>0</v>
      </c>
    </row>
    <row r="35" spans="2:6" ht="15" thickBot="1" x14ac:dyDescent="0.4">
      <c r="B35" s="1" t="s">
        <v>35</v>
      </c>
      <c r="C35" s="1" t="s">
        <v>50</v>
      </c>
      <c r="D35" s="1">
        <v>8</v>
      </c>
      <c r="E35" s="1">
        <v>17</v>
      </c>
      <c r="F35" s="1">
        <f t="shared" si="0"/>
        <v>136</v>
      </c>
    </row>
    <row r="36" spans="2:6" ht="19" thickBot="1" x14ac:dyDescent="0.5">
      <c r="B36" s="1" t="s">
        <v>36</v>
      </c>
      <c r="C36" s="1"/>
      <c r="D36" s="1"/>
      <c r="E36" s="4">
        <f>SUM(E37:E42)</f>
        <v>53</v>
      </c>
      <c r="F36" s="4">
        <f>SUM(F37:F42)</f>
        <v>424</v>
      </c>
    </row>
    <row r="37" spans="2:6" ht="15" thickBot="1" x14ac:dyDescent="0.4">
      <c r="B37" s="1" t="s">
        <v>37</v>
      </c>
      <c r="C37" s="1" t="s">
        <v>50</v>
      </c>
      <c r="D37" s="1">
        <v>8</v>
      </c>
      <c r="E37" s="1">
        <v>0</v>
      </c>
      <c r="F37" s="1">
        <f t="shared" si="0"/>
        <v>0</v>
      </c>
    </row>
    <row r="38" spans="2:6" ht="15" thickBot="1" x14ac:dyDescent="0.4">
      <c r="B38" s="1" t="s">
        <v>38</v>
      </c>
      <c r="C38" s="1" t="s">
        <v>50</v>
      </c>
      <c r="D38" s="1">
        <v>8</v>
      </c>
      <c r="E38" s="1">
        <v>0</v>
      </c>
      <c r="F38" s="1">
        <f t="shared" si="0"/>
        <v>0</v>
      </c>
    </row>
    <row r="39" spans="2:6" ht="15" thickBot="1" x14ac:dyDescent="0.4">
      <c r="B39" s="1" t="s">
        <v>39</v>
      </c>
      <c r="C39" s="1" t="s">
        <v>50</v>
      </c>
      <c r="D39" s="1">
        <v>8</v>
      </c>
      <c r="E39" s="1">
        <v>53</v>
      </c>
      <c r="F39" s="1">
        <f t="shared" si="0"/>
        <v>424</v>
      </c>
    </row>
    <row r="40" spans="2:6" ht="15" thickBot="1" x14ac:dyDescent="0.4">
      <c r="B40" s="1" t="s">
        <v>40</v>
      </c>
      <c r="C40" s="1" t="s">
        <v>50</v>
      </c>
      <c r="D40" s="1">
        <v>8</v>
      </c>
      <c r="E40" s="1">
        <v>0</v>
      </c>
      <c r="F40" s="1">
        <f t="shared" si="0"/>
        <v>0</v>
      </c>
    </row>
    <row r="41" spans="2:6" ht="15" thickBot="1" x14ac:dyDescent="0.4">
      <c r="B41" s="1" t="s">
        <v>41</v>
      </c>
      <c r="C41" s="1" t="s">
        <v>50</v>
      </c>
      <c r="D41" s="1">
        <v>8</v>
      </c>
      <c r="E41" s="1">
        <v>0</v>
      </c>
      <c r="F41" s="1">
        <f t="shared" si="0"/>
        <v>0</v>
      </c>
    </row>
    <row r="42" spans="2:6" ht="15" thickBot="1" x14ac:dyDescent="0.4">
      <c r="B42" s="1" t="s">
        <v>42</v>
      </c>
      <c r="C42" s="1" t="s">
        <v>50</v>
      </c>
      <c r="D42" s="1">
        <v>8</v>
      </c>
      <c r="E42" s="1">
        <v>0</v>
      </c>
      <c r="F42" s="1">
        <f t="shared" si="0"/>
        <v>0</v>
      </c>
    </row>
    <row r="43" spans="2:6" ht="19" thickBot="1" x14ac:dyDescent="0.5">
      <c r="B43" s="1" t="s">
        <v>43</v>
      </c>
      <c r="C43" s="1"/>
      <c r="D43" s="1"/>
      <c r="E43" s="4">
        <f>SUM(E44:E48)</f>
        <v>0</v>
      </c>
      <c r="F43" s="4">
        <f>SUM(F44:F48)</f>
        <v>0</v>
      </c>
    </row>
    <row r="44" spans="2:6" ht="15" thickBot="1" x14ac:dyDescent="0.4">
      <c r="B44" s="1" t="s">
        <v>44</v>
      </c>
      <c r="C44" s="1" t="s">
        <v>50</v>
      </c>
      <c r="D44" s="1">
        <v>8</v>
      </c>
      <c r="E44" s="1">
        <v>0</v>
      </c>
      <c r="F44" s="1">
        <f t="shared" si="0"/>
        <v>0</v>
      </c>
    </row>
    <row r="45" spans="2:6" ht="15" thickBot="1" x14ac:dyDescent="0.4">
      <c r="B45" s="1" t="s">
        <v>45</v>
      </c>
      <c r="C45" s="1" t="s">
        <v>50</v>
      </c>
      <c r="D45" s="1">
        <v>8</v>
      </c>
      <c r="E45" s="1">
        <v>0</v>
      </c>
      <c r="F45" s="1">
        <f t="shared" si="0"/>
        <v>0</v>
      </c>
    </row>
    <row r="46" spans="2:6" ht="15" thickBot="1" x14ac:dyDescent="0.4">
      <c r="B46" s="1" t="s">
        <v>46</v>
      </c>
      <c r="C46" s="1" t="s">
        <v>50</v>
      </c>
      <c r="D46" s="1">
        <v>8</v>
      </c>
      <c r="E46" s="1">
        <v>0</v>
      </c>
      <c r="F46" s="1">
        <f t="shared" si="0"/>
        <v>0</v>
      </c>
    </row>
    <row r="47" spans="2:6" ht="15" thickBot="1" x14ac:dyDescent="0.4">
      <c r="B47" s="1" t="s">
        <v>47</v>
      </c>
      <c r="C47" s="1" t="s">
        <v>50</v>
      </c>
      <c r="D47" s="1">
        <v>8</v>
      </c>
      <c r="E47" s="1">
        <v>0</v>
      </c>
      <c r="F47" s="1">
        <f>+D47*E47</f>
        <v>0</v>
      </c>
    </row>
    <row r="48" spans="2:6" ht="15" thickBot="1" x14ac:dyDescent="0.4">
      <c r="B48" s="1" t="s">
        <v>49</v>
      </c>
      <c r="C48" s="1" t="s">
        <v>50</v>
      </c>
      <c r="D48" s="1">
        <v>8</v>
      </c>
      <c r="E48" s="1">
        <v>0</v>
      </c>
      <c r="F48" s="1">
        <f t="shared" si="0"/>
        <v>0</v>
      </c>
    </row>
    <row r="49" spans="2:6" ht="19" thickBot="1" x14ac:dyDescent="0.5">
      <c r="B49" s="111" t="s">
        <v>51</v>
      </c>
      <c r="C49" s="111"/>
      <c r="D49" s="111"/>
      <c r="E49" s="4">
        <f>+E48+E47+E46+E45+E44+E42+E41+E40+E39+E38+E37+E35+E34+E33+E32+E31+E29+E28+E27+E26+E25+E24+E23+E21+E20+E19+E18+E17+E16+E15+E14+E13+E12+E11+E9+E8+E7+E6</f>
        <v>1070</v>
      </c>
      <c r="F49" s="4">
        <f>+F43+F36+F30+F22+F10+F5</f>
        <v>5795</v>
      </c>
    </row>
  </sheetData>
  <mergeCells count="2">
    <mergeCell ref="B2:F2"/>
    <mergeCell ref="B49:D4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A6F7-1932-4EE7-AA8C-93BF02B69ECC}">
  <dimension ref="B2:M52"/>
  <sheetViews>
    <sheetView topLeftCell="A5" workbookViewId="0">
      <selection activeCell="B37" sqref="B37"/>
    </sheetView>
  </sheetViews>
  <sheetFormatPr baseColWidth="10" defaultRowHeight="14.5" x14ac:dyDescent="0.35"/>
  <cols>
    <col min="2" max="2" width="13.1796875" bestFit="1" customWidth="1"/>
  </cols>
  <sheetData>
    <row r="2" spans="2:13" x14ac:dyDescent="0.35">
      <c r="B2" s="110" t="s">
        <v>0</v>
      </c>
      <c r="C2" s="110"/>
      <c r="D2" s="110"/>
      <c r="E2" s="110"/>
      <c r="F2" s="110"/>
    </row>
    <row r="3" spans="2:13" ht="15" thickBot="1" x14ac:dyDescent="0.4"/>
    <row r="4" spans="2:13" ht="15" thickBot="1" x14ac:dyDescent="0.4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I4" t="s">
        <v>74</v>
      </c>
      <c r="J4" t="s">
        <v>75</v>
      </c>
      <c r="L4" s="33"/>
      <c r="M4" s="33"/>
    </row>
    <row r="5" spans="2:13" ht="59.5" thickBot="1" x14ac:dyDescent="0.5">
      <c r="B5" s="1" t="s">
        <v>59</v>
      </c>
      <c r="C5" s="1"/>
      <c r="D5" s="1"/>
      <c r="E5" s="4">
        <f>SUM(E6:E9)</f>
        <v>636</v>
      </c>
      <c r="F5" s="4">
        <f>SUM(F6:F9)</f>
        <v>1908</v>
      </c>
      <c r="H5" t="s">
        <v>67</v>
      </c>
      <c r="I5">
        <f>+F5</f>
        <v>1908</v>
      </c>
      <c r="J5">
        <f>+E5</f>
        <v>636</v>
      </c>
      <c r="L5" s="34" t="s">
        <v>95</v>
      </c>
      <c r="M5" s="22" t="s">
        <v>106</v>
      </c>
    </row>
    <row r="6" spans="2:13" ht="17.5" thickBot="1" x14ac:dyDescent="0.45">
      <c r="B6" s="1" t="s">
        <v>6</v>
      </c>
      <c r="C6" s="1" t="s">
        <v>50</v>
      </c>
      <c r="D6" s="1">
        <v>3</v>
      </c>
      <c r="E6" s="1">
        <v>164</v>
      </c>
      <c r="F6" s="1">
        <f>+D6*E6</f>
        <v>492</v>
      </c>
      <c r="H6" t="s">
        <v>68</v>
      </c>
      <c r="I6">
        <f>+F10</f>
        <v>0</v>
      </c>
      <c r="J6">
        <f>+E10</f>
        <v>0</v>
      </c>
      <c r="L6" s="35" t="s">
        <v>59</v>
      </c>
      <c r="M6" s="24">
        <v>636</v>
      </c>
    </row>
    <row r="7" spans="2:13" ht="15" thickBot="1" x14ac:dyDescent="0.4">
      <c r="B7" s="1" t="s">
        <v>7</v>
      </c>
      <c r="C7" s="1" t="s">
        <v>50</v>
      </c>
      <c r="D7" s="1">
        <v>3</v>
      </c>
      <c r="E7" s="1">
        <v>295</v>
      </c>
      <c r="F7" s="1">
        <f t="shared" ref="F7:F48" si="0">+D7*E7</f>
        <v>885</v>
      </c>
      <c r="H7" t="s">
        <v>69</v>
      </c>
      <c r="I7">
        <f>+F22</f>
        <v>564</v>
      </c>
      <c r="J7">
        <f>+E22</f>
        <v>102</v>
      </c>
      <c r="L7" s="36" t="s">
        <v>6</v>
      </c>
      <c r="M7" s="26">
        <v>164</v>
      </c>
    </row>
    <row r="8" spans="2:13" ht="29.5" thickBot="1" x14ac:dyDescent="0.4">
      <c r="B8" s="1" t="s">
        <v>8</v>
      </c>
      <c r="C8" s="1" t="s">
        <v>50</v>
      </c>
      <c r="D8" s="1">
        <v>3</v>
      </c>
      <c r="E8" s="1">
        <v>177</v>
      </c>
      <c r="F8" s="1">
        <f t="shared" si="0"/>
        <v>531</v>
      </c>
      <c r="H8" t="s">
        <v>70</v>
      </c>
      <c r="I8">
        <f>+F30</f>
        <v>0</v>
      </c>
      <c r="J8">
        <f>+E30</f>
        <v>0</v>
      </c>
      <c r="L8" s="36" t="s">
        <v>7</v>
      </c>
      <c r="M8" s="26">
        <v>295</v>
      </c>
    </row>
    <row r="9" spans="2:13" ht="15" thickBot="1" x14ac:dyDescent="0.4">
      <c r="B9" s="1" t="s">
        <v>9</v>
      </c>
      <c r="C9" s="1" t="s">
        <v>50</v>
      </c>
      <c r="D9" s="1">
        <v>3</v>
      </c>
      <c r="E9" s="1"/>
      <c r="F9" s="1">
        <f t="shared" si="0"/>
        <v>0</v>
      </c>
      <c r="H9" t="s">
        <v>71</v>
      </c>
      <c r="I9">
        <f>+F36</f>
        <v>0</v>
      </c>
      <c r="J9">
        <f>+E36</f>
        <v>0</v>
      </c>
      <c r="L9" s="36" t="s">
        <v>8</v>
      </c>
      <c r="M9" s="26">
        <v>177</v>
      </c>
    </row>
    <row r="10" spans="2:13" ht="30.5" thickBot="1" x14ac:dyDescent="0.5">
      <c r="B10" s="1" t="s">
        <v>10</v>
      </c>
      <c r="C10" s="1"/>
      <c r="D10" s="1"/>
      <c r="E10" s="4">
        <f>SUM(E11:E21)</f>
        <v>0</v>
      </c>
      <c r="F10" s="4">
        <f>SUM(F11:F21)</f>
        <v>0</v>
      </c>
      <c r="H10" t="s">
        <v>44</v>
      </c>
      <c r="I10">
        <f>+F43</f>
        <v>744</v>
      </c>
      <c r="J10">
        <f>+C43+E43</f>
        <v>93</v>
      </c>
      <c r="L10" s="36" t="s">
        <v>9</v>
      </c>
      <c r="M10" s="25"/>
    </row>
    <row r="11" spans="2:13" ht="17.5" thickBot="1" x14ac:dyDescent="0.45">
      <c r="B11" s="1" t="s">
        <v>11</v>
      </c>
      <c r="C11" s="1" t="s">
        <v>50</v>
      </c>
      <c r="D11" s="1">
        <v>5</v>
      </c>
      <c r="E11" s="1"/>
      <c r="F11" s="1">
        <f t="shared" si="0"/>
        <v>0</v>
      </c>
      <c r="I11">
        <f>SUM(I5:I10)</f>
        <v>3216</v>
      </c>
      <c r="J11">
        <f>SUM(J5:J10)</f>
        <v>831</v>
      </c>
      <c r="L11" s="35" t="s">
        <v>10</v>
      </c>
      <c r="M11" s="24">
        <v>0</v>
      </c>
    </row>
    <row r="12" spans="2:13" ht="29.5" thickBot="1" x14ac:dyDescent="0.4">
      <c r="B12" s="1" t="s">
        <v>12</v>
      </c>
      <c r="C12" s="1" t="s">
        <v>50</v>
      </c>
      <c r="D12" s="1">
        <v>8</v>
      </c>
      <c r="E12" s="1"/>
      <c r="F12" s="1">
        <f t="shared" si="0"/>
        <v>0</v>
      </c>
      <c r="L12" s="36" t="s">
        <v>11</v>
      </c>
      <c r="M12" s="26">
        <v>0</v>
      </c>
    </row>
    <row r="13" spans="2:13" ht="15" thickBot="1" x14ac:dyDescent="0.4">
      <c r="B13" s="1" t="s">
        <v>13</v>
      </c>
      <c r="C13" s="1" t="s">
        <v>50</v>
      </c>
      <c r="D13" s="1">
        <v>8</v>
      </c>
      <c r="E13" s="1"/>
      <c r="F13" s="1">
        <f t="shared" si="0"/>
        <v>0</v>
      </c>
      <c r="L13" s="36" t="s">
        <v>12</v>
      </c>
      <c r="M13" s="26">
        <v>0</v>
      </c>
    </row>
    <row r="14" spans="2:13" ht="15" thickBot="1" x14ac:dyDescent="0.4">
      <c r="B14" s="1" t="s">
        <v>14</v>
      </c>
      <c r="C14" s="1" t="s">
        <v>50</v>
      </c>
      <c r="D14" s="1">
        <v>8</v>
      </c>
      <c r="E14" s="1"/>
      <c r="F14" s="1">
        <f t="shared" si="0"/>
        <v>0</v>
      </c>
      <c r="L14" s="36" t="s">
        <v>13</v>
      </c>
      <c r="M14" s="26">
        <v>0</v>
      </c>
    </row>
    <row r="15" spans="2:13" ht="15" thickBot="1" x14ac:dyDescent="0.4">
      <c r="B15" s="1" t="s">
        <v>15</v>
      </c>
      <c r="C15" s="1" t="s">
        <v>50</v>
      </c>
      <c r="D15" s="1">
        <v>8</v>
      </c>
      <c r="E15" s="1"/>
      <c r="F15" s="1">
        <f t="shared" si="0"/>
        <v>0</v>
      </c>
      <c r="L15" s="36" t="s">
        <v>14</v>
      </c>
      <c r="M15" s="26">
        <v>0</v>
      </c>
    </row>
    <row r="16" spans="2:13" ht="15" thickBot="1" x14ac:dyDescent="0.4">
      <c r="B16" s="1" t="s">
        <v>16</v>
      </c>
      <c r="C16" s="1" t="s">
        <v>50</v>
      </c>
      <c r="D16" s="1">
        <v>8</v>
      </c>
      <c r="E16" s="1"/>
      <c r="F16" s="1">
        <f t="shared" si="0"/>
        <v>0</v>
      </c>
      <c r="L16" s="36" t="s">
        <v>15</v>
      </c>
      <c r="M16" s="26">
        <v>0</v>
      </c>
    </row>
    <row r="17" spans="2:13" ht="15" thickBot="1" x14ac:dyDescent="0.4">
      <c r="B17" s="1" t="s">
        <v>17</v>
      </c>
      <c r="C17" s="1" t="s">
        <v>50</v>
      </c>
      <c r="D17" s="1">
        <v>8</v>
      </c>
      <c r="E17" s="1"/>
      <c r="F17" s="1">
        <f t="shared" si="0"/>
        <v>0</v>
      </c>
      <c r="L17" s="36" t="s">
        <v>16</v>
      </c>
      <c r="M17" s="26">
        <v>0</v>
      </c>
    </row>
    <row r="18" spans="2:13" ht="15" thickBot="1" x14ac:dyDescent="0.4">
      <c r="B18" s="1" t="s">
        <v>18</v>
      </c>
      <c r="C18" s="1" t="s">
        <v>50</v>
      </c>
      <c r="D18" s="1">
        <v>8</v>
      </c>
      <c r="E18" s="1"/>
      <c r="F18" s="1">
        <f t="shared" si="0"/>
        <v>0</v>
      </c>
      <c r="L18" s="36" t="s">
        <v>17</v>
      </c>
      <c r="M18" s="26">
        <v>0</v>
      </c>
    </row>
    <row r="19" spans="2:13" ht="15" thickBot="1" x14ac:dyDescent="0.4">
      <c r="B19" s="1" t="s">
        <v>19</v>
      </c>
      <c r="C19" s="1" t="s">
        <v>50</v>
      </c>
      <c r="D19" s="1">
        <v>8</v>
      </c>
      <c r="E19" s="1"/>
      <c r="F19" s="1">
        <f>+D19*E19</f>
        <v>0</v>
      </c>
      <c r="L19" s="36" t="s">
        <v>18</v>
      </c>
      <c r="M19" s="26">
        <v>0</v>
      </c>
    </row>
    <row r="20" spans="2:13" ht="15" thickBot="1" x14ac:dyDescent="0.4">
      <c r="B20" s="1" t="s">
        <v>20</v>
      </c>
      <c r="C20" s="1" t="s">
        <v>50</v>
      </c>
      <c r="D20" s="1">
        <v>8</v>
      </c>
      <c r="E20" s="1"/>
      <c r="F20" s="1">
        <f t="shared" si="0"/>
        <v>0</v>
      </c>
      <c r="L20" s="36" t="s">
        <v>19</v>
      </c>
      <c r="M20" s="26">
        <v>0</v>
      </c>
    </row>
    <row r="21" spans="2:13" ht="15" thickBot="1" x14ac:dyDescent="0.4">
      <c r="B21" s="1" t="s">
        <v>21</v>
      </c>
      <c r="C21" s="1" t="s">
        <v>50</v>
      </c>
      <c r="D21" s="1">
        <v>8</v>
      </c>
      <c r="E21" s="1"/>
      <c r="F21" s="1">
        <f t="shared" si="0"/>
        <v>0</v>
      </c>
      <c r="L21" s="36" t="s">
        <v>20</v>
      </c>
      <c r="M21" s="26">
        <v>0</v>
      </c>
    </row>
    <row r="22" spans="2:13" ht="19" thickBot="1" x14ac:dyDescent="0.5">
      <c r="B22" s="1" t="s">
        <v>22</v>
      </c>
      <c r="C22" s="1"/>
      <c r="D22" s="1"/>
      <c r="E22" s="4">
        <f>SUM(E23:E29)</f>
        <v>102</v>
      </c>
      <c r="F22" s="4">
        <f>SUM(F23:F29)</f>
        <v>564</v>
      </c>
      <c r="L22" s="36" t="s">
        <v>21</v>
      </c>
      <c r="M22" s="26">
        <v>0</v>
      </c>
    </row>
    <row r="23" spans="2:13" ht="17.5" thickBot="1" x14ac:dyDescent="0.45">
      <c r="B23" s="1" t="s">
        <v>23</v>
      </c>
      <c r="C23" s="1" t="s">
        <v>50</v>
      </c>
      <c r="D23" s="1">
        <v>5</v>
      </c>
      <c r="E23" s="1"/>
      <c r="F23" s="1">
        <f t="shared" si="0"/>
        <v>0</v>
      </c>
      <c r="L23" s="35" t="s">
        <v>22</v>
      </c>
      <c r="M23" s="24">
        <v>102</v>
      </c>
    </row>
    <row r="24" spans="2:13" ht="15" thickBot="1" x14ac:dyDescent="0.4">
      <c r="B24" s="1" t="s">
        <v>24</v>
      </c>
      <c r="C24" s="1" t="s">
        <v>50</v>
      </c>
      <c r="D24" s="1">
        <v>5</v>
      </c>
      <c r="E24" s="1"/>
      <c r="F24" s="1">
        <f t="shared" si="0"/>
        <v>0</v>
      </c>
      <c r="L24" s="36" t="s">
        <v>23</v>
      </c>
      <c r="M24" s="26">
        <v>0</v>
      </c>
    </row>
    <row r="25" spans="2:13" ht="15" thickBot="1" x14ac:dyDescent="0.4">
      <c r="B25" s="1" t="s">
        <v>25</v>
      </c>
      <c r="C25" s="1" t="s">
        <v>50</v>
      </c>
      <c r="D25" s="1">
        <v>5</v>
      </c>
      <c r="E25" s="1"/>
      <c r="F25" s="1">
        <f t="shared" si="0"/>
        <v>0</v>
      </c>
      <c r="L25" s="36" t="s">
        <v>24</v>
      </c>
      <c r="M25" s="26">
        <v>0</v>
      </c>
    </row>
    <row r="26" spans="2:13" ht="15" thickBot="1" x14ac:dyDescent="0.4">
      <c r="B26" s="1" t="s">
        <v>26</v>
      </c>
      <c r="C26" s="1" t="s">
        <v>50</v>
      </c>
      <c r="D26" s="1">
        <v>5</v>
      </c>
      <c r="E26" s="1">
        <v>24</v>
      </c>
      <c r="F26" s="1">
        <f t="shared" si="0"/>
        <v>120</v>
      </c>
      <c r="L26" s="36" t="s">
        <v>25</v>
      </c>
      <c r="M26" s="26">
        <v>0</v>
      </c>
    </row>
    <row r="27" spans="2:13" ht="15" thickBot="1" x14ac:dyDescent="0.4">
      <c r="B27" s="1" t="s">
        <v>27</v>
      </c>
      <c r="C27" s="1" t="s">
        <v>50</v>
      </c>
      <c r="D27" s="1">
        <v>5</v>
      </c>
      <c r="E27" s="1">
        <v>60</v>
      </c>
      <c r="F27" s="1">
        <f t="shared" si="0"/>
        <v>300</v>
      </c>
      <c r="L27" s="36" t="s">
        <v>26</v>
      </c>
      <c r="M27" s="26">
        <v>24</v>
      </c>
    </row>
    <row r="28" spans="2:13" ht="15" thickBot="1" x14ac:dyDescent="0.4">
      <c r="B28" s="1" t="s">
        <v>28</v>
      </c>
      <c r="C28" s="1" t="s">
        <v>50</v>
      </c>
      <c r="D28" s="1">
        <v>8</v>
      </c>
      <c r="E28" s="1">
        <v>18</v>
      </c>
      <c r="F28" s="1">
        <f t="shared" si="0"/>
        <v>144</v>
      </c>
      <c r="L28" s="36" t="s">
        <v>27</v>
      </c>
      <c r="M28" s="26">
        <v>60</v>
      </c>
    </row>
    <row r="29" spans="2:13" ht="15" thickBot="1" x14ac:dyDescent="0.4">
      <c r="B29" s="1" t="s">
        <v>29</v>
      </c>
      <c r="C29" s="1" t="s">
        <v>50</v>
      </c>
      <c r="D29" s="1">
        <v>8</v>
      </c>
      <c r="E29" s="1"/>
      <c r="F29" s="1">
        <f t="shared" si="0"/>
        <v>0</v>
      </c>
      <c r="L29" s="36" t="s">
        <v>28</v>
      </c>
      <c r="M29" s="26">
        <v>18</v>
      </c>
    </row>
    <row r="30" spans="2:13" ht="19" thickBot="1" x14ac:dyDescent="0.5">
      <c r="B30" s="1" t="s">
        <v>30</v>
      </c>
      <c r="C30" s="1"/>
      <c r="D30" s="1"/>
      <c r="E30" s="4">
        <f>SUM(E31:E36)</f>
        <v>0</v>
      </c>
      <c r="F30" s="4">
        <f>SUM(F31:F35)</f>
        <v>0</v>
      </c>
      <c r="L30" s="36" t="s">
        <v>29</v>
      </c>
      <c r="M30" s="25"/>
    </row>
    <row r="31" spans="2:13" ht="30" thickBot="1" x14ac:dyDescent="0.45">
      <c r="B31" s="1" t="s">
        <v>32</v>
      </c>
      <c r="C31" s="1" t="s">
        <v>50</v>
      </c>
      <c r="D31" s="1">
        <v>5</v>
      </c>
      <c r="E31" s="1"/>
      <c r="F31" s="1">
        <f t="shared" si="0"/>
        <v>0</v>
      </c>
      <c r="L31" s="35" t="s">
        <v>30</v>
      </c>
      <c r="M31" s="24">
        <v>0</v>
      </c>
    </row>
    <row r="32" spans="2:13" ht="15" thickBot="1" x14ac:dyDescent="0.4">
      <c r="B32" s="1" t="s">
        <v>31</v>
      </c>
      <c r="C32" s="1" t="s">
        <v>50</v>
      </c>
      <c r="D32" s="1">
        <v>8</v>
      </c>
      <c r="E32" s="1"/>
      <c r="F32" s="1">
        <f t="shared" si="0"/>
        <v>0</v>
      </c>
      <c r="L32" s="36" t="s">
        <v>32</v>
      </c>
      <c r="M32" s="26">
        <v>0</v>
      </c>
    </row>
    <row r="33" spans="2:13" ht="15" thickBot="1" x14ac:dyDescent="0.4">
      <c r="B33" s="1" t="s">
        <v>33</v>
      </c>
      <c r="C33" s="1" t="s">
        <v>50</v>
      </c>
      <c r="D33" s="1">
        <v>8</v>
      </c>
      <c r="E33" s="1"/>
      <c r="F33" s="1">
        <f t="shared" si="0"/>
        <v>0</v>
      </c>
      <c r="L33" s="36" t="s">
        <v>31</v>
      </c>
      <c r="M33" s="26">
        <v>0</v>
      </c>
    </row>
    <row r="34" spans="2:13" ht="15" thickBot="1" x14ac:dyDescent="0.4">
      <c r="B34" s="1" t="s">
        <v>34</v>
      </c>
      <c r="C34" s="1" t="s">
        <v>50</v>
      </c>
      <c r="D34" s="1">
        <v>8</v>
      </c>
      <c r="E34" s="1"/>
      <c r="F34" s="1">
        <f t="shared" si="0"/>
        <v>0</v>
      </c>
      <c r="L34" s="36" t="s">
        <v>33</v>
      </c>
      <c r="M34" s="26">
        <v>0</v>
      </c>
    </row>
    <row r="35" spans="2:13" ht="15" thickBot="1" x14ac:dyDescent="0.4">
      <c r="B35" s="1" t="s">
        <v>35</v>
      </c>
      <c r="C35" s="1" t="s">
        <v>50</v>
      </c>
      <c r="D35" s="1">
        <v>8</v>
      </c>
      <c r="E35" s="1"/>
      <c r="F35" s="1">
        <f t="shared" si="0"/>
        <v>0</v>
      </c>
      <c r="L35" s="36" t="s">
        <v>34</v>
      </c>
      <c r="M35" s="26">
        <v>0</v>
      </c>
    </row>
    <row r="36" spans="2:13" ht="19" thickBot="1" x14ac:dyDescent="0.5">
      <c r="B36" s="1" t="s">
        <v>36</v>
      </c>
      <c r="C36" s="1"/>
      <c r="D36" s="1"/>
      <c r="E36" s="4">
        <f>SUM(E37:E42)</f>
        <v>0</v>
      </c>
      <c r="F36" s="4">
        <f>SUM(F37:F42)</f>
        <v>0</v>
      </c>
      <c r="L36" s="37" t="s">
        <v>97</v>
      </c>
      <c r="M36" s="26">
        <v>0</v>
      </c>
    </row>
    <row r="37" spans="2:13" ht="29.5" thickBot="1" x14ac:dyDescent="0.4">
      <c r="B37" s="1" t="s">
        <v>37</v>
      </c>
      <c r="C37" s="1" t="s">
        <v>50</v>
      </c>
      <c r="D37" s="1">
        <v>8</v>
      </c>
      <c r="E37" s="1"/>
      <c r="F37" s="1">
        <f t="shared" si="0"/>
        <v>0</v>
      </c>
      <c r="L37" s="37" t="s">
        <v>35</v>
      </c>
      <c r="M37" s="26">
        <v>0</v>
      </c>
    </row>
    <row r="38" spans="2:13" ht="30" thickBot="1" x14ac:dyDescent="0.45">
      <c r="B38" s="1" t="s">
        <v>38</v>
      </c>
      <c r="C38" s="1" t="s">
        <v>50</v>
      </c>
      <c r="D38" s="1">
        <v>8</v>
      </c>
      <c r="E38" s="1"/>
      <c r="F38" s="1">
        <f t="shared" si="0"/>
        <v>0</v>
      </c>
      <c r="L38" s="35" t="s">
        <v>36</v>
      </c>
      <c r="M38" s="24">
        <v>0</v>
      </c>
    </row>
    <row r="39" spans="2:13" ht="15" thickBot="1" x14ac:dyDescent="0.4">
      <c r="B39" s="1" t="s">
        <v>39</v>
      </c>
      <c r="C39" s="1" t="s">
        <v>50</v>
      </c>
      <c r="D39" s="1">
        <v>8</v>
      </c>
      <c r="E39" s="1"/>
      <c r="F39" s="1">
        <f t="shared" si="0"/>
        <v>0</v>
      </c>
      <c r="L39" s="36" t="s">
        <v>37</v>
      </c>
      <c r="M39" s="26">
        <v>0</v>
      </c>
    </row>
    <row r="40" spans="2:13" ht="15" thickBot="1" x14ac:dyDescent="0.4">
      <c r="B40" s="1" t="s">
        <v>40</v>
      </c>
      <c r="C40" s="1" t="s">
        <v>50</v>
      </c>
      <c r="D40" s="1">
        <v>8</v>
      </c>
      <c r="E40" s="1"/>
      <c r="F40" s="1">
        <f t="shared" si="0"/>
        <v>0</v>
      </c>
      <c r="L40" s="36" t="s">
        <v>38</v>
      </c>
      <c r="M40" s="26">
        <v>0</v>
      </c>
    </row>
    <row r="41" spans="2:13" ht="15" thickBot="1" x14ac:dyDescent="0.4">
      <c r="B41" s="1" t="s">
        <v>41</v>
      </c>
      <c r="C41" s="1" t="s">
        <v>50</v>
      </c>
      <c r="D41" s="1">
        <v>8</v>
      </c>
      <c r="E41" s="1"/>
      <c r="F41" s="1">
        <f t="shared" si="0"/>
        <v>0</v>
      </c>
      <c r="L41" s="36" t="s">
        <v>39</v>
      </c>
      <c r="M41" s="26">
        <v>0</v>
      </c>
    </row>
    <row r="42" spans="2:13" ht="15" thickBot="1" x14ac:dyDescent="0.4">
      <c r="B42" s="1" t="s">
        <v>42</v>
      </c>
      <c r="C42" s="1" t="s">
        <v>50</v>
      </c>
      <c r="D42" s="1">
        <v>8</v>
      </c>
      <c r="E42" s="1"/>
      <c r="F42" s="1">
        <f t="shared" si="0"/>
        <v>0</v>
      </c>
      <c r="L42" s="36" t="s">
        <v>40</v>
      </c>
      <c r="M42" s="26">
        <v>0</v>
      </c>
    </row>
    <row r="43" spans="2:13" ht="19" thickBot="1" x14ac:dyDescent="0.5">
      <c r="B43" s="1" t="s">
        <v>43</v>
      </c>
      <c r="C43" s="1"/>
      <c r="D43" s="1"/>
      <c r="E43" s="4">
        <f>SUM(E44:E48)</f>
        <v>93</v>
      </c>
      <c r="F43" s="4">
        <f>SUM(F44:F48)</f>
        <v>744</v>
      </c>
      <c r="L43" s="36" t="s">
        <v>98</v>
      </c>
      <c r="M43" s="26">
        <v>0</v>
      </c>
    </row>
    <row r="44" spans="2:13" ht="15" thickBot="1" x14ac:dyDescent="0.4">
      <c r="B44" s="1" t="s">
        <v>44</v>
      </c>
      <c r="C44" s="1" t="s">
        <v>50</v>
      </c>
      <c r="D44" s="1">
        <v>8</v>
      </c>
      <c r="E44" s="1">
        <v>93</v>
      </c>
      <c r="F44" s="1">
        <f t="shared" si="0"/>
        <v>744</v>
      </c>
      <c r="L44" s="36" t="s">
        <v>42</v>
      </c>
      <c r="M44" s="26">
        <v>0</v>
      </c>
    </row>
    <row r="45" spans="2:13" ht="17.5" thickBot="1" x14ac:dyDescent="0.45">
      <c r="B45" s="1" t="s">
        <v>45</v>
      </c>
      <c r="C45" s="1" t="s">
        <v>50</v>
      </c>
      <c r="D45" s="1">
        <v>8</v>
      </c>
      <c r="E45" s="1"/>
      <c r="F45" s="1">
        <f t="shared" si="0"/>
        <v>0</v>
      </c>
      <c r="L45" s="35" t="s">
        <v>43</v>
      </c>
      <c r="M45" s="24">
        <v>93</v>
      </c>
    </row>
    <row r="46" spans="2:13" ht="15" thickBot="1" x14ac:dyDescent="0.4">
      <c r="B46" s="1" t="s">
        <v>46</v>
      </c>
      <c r="C46" s="1" t="s">
        <v>50</v>
      </c>
      <c r="D46" s="1">
        <v>8</v>
      </c>
      <c r="E46" s="1"/>
      <c r="F46" s="1">
        <f t="shared" si="0"/>
        <v>0</v>
      </c>
      <c r="L46" s="36" t="s">
        <v>44</v>
      </c>
      <c r="M46" s="26">
        <v>93</v>
      </c>
    </row>
    <row r="47" spans="2:13" ht="15" thickBot="1" x14ac:dyDescent="0.4">
      <c r="B47" s="1" t="s">
        <v>47</v>
      </c>
      <c r="C47" s="1" t="s">
        <v>50</v>
      </c>
      <c r="D47" s="1">
        <v>8</v>
      </c>
      <c r="E47" s="1"/>
      <c r="F47" s="1">
        <f>+D47*E47</f>
        <v>0</v>
      </c>
      <c r="L47" s="36" t="s">
        <v>45</v>
      </c>
      <c r="M47" s="26">
        <v>0</v>
      </c>
    </row>
    <row r="48" spans="2:13" ht="15" thickBot="1" x14ac:dyDescent="0.4">
      <c r="B48" s="1" t="s">
        <v>49</v>
      </c>
      <c r="C48" s="1" t="s">
        <v>50</v>
      </c>
      <c r="D48" s="1">
        <v>8</v>
      </c>
      <c r="E48" s="1"/>
      <c r="F48" s="1">
        <f t="shared" si="0"/>
        <v>0</v>
      </c>
      <c r="L48" s="36" t="s">
        <v>46</v>
      </c>
      <c r="M48" s="26">
        <v>0</v>
      </c>
    </row>
    <row r="49" spans="2:13" ht="19" thickBot="1" x14ac:dyDescent="0.5">
      <c r="B49" s="111" t="s">
        <v>51</v>
      </c>
      <c r="C49" s="111"/>
      <c r="D49" s="111"/>
      <c r="E49" s="4">
        <f>+E43+E36+E30+E22+E10+E5</f>
        <v>831</v>
      </c>
      <c r="F49" s="4">
        <f>+F43+F36+F30+F22+F10+F5</f>
        <v>3216</v>
      </c>
      <c r="L49" s="36" t="s">
        <v>47</v>
      </c>
      <c r="M49" s="26">
        <v>0</v>
      </c>
    </row>
    <row r="50" spans="2:13" ht="29.5" thickBot="1" x14ac:dyDescent="0.4">
      <c r="L50" s="36" t="s">
        <v>49</v>
      </c>
      <c r="M50" s="26">
        <v>0</v>
      </c>
    </row>
    <row r="51" spans="2:13" ht="15" thickBot="1" x14ac:dyDescent="0.4">
      <c r="L51" s="21"/>
      <c r="M51" s="21"/>
    </row>
    <row r="52" spans="2:13" ht="17.5" thickBot="1" x14ac:dyDescent="0.45">
      <c r="L52" s="21" t="s">
        <v>51</v>
      </c>
      <c r="M52" s="38">
        <v>831</v>
      </c>
    </row>
  </sheetData>
  <mergeCells count="2">
    <mergeCell ref="B2:F2"/>
    <mergeCell ref="B49:D4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88FA-FE57-48E3-B3CD-C50429F3CB90}">
  <dimension ref="B1:M50"/>
  <sheetViews>
    <sheetView topLeftCell="B2" workbookViewId="0">
      <selection activeCell="E5" sqref="E5:E49"/>
    </sheetView>
  </sheetViews>
  <sheetFormatPr baseColWidth="10" defaultRowHeight="14.5" x14ac:dyDescent="0.35"/>
  <cols>
    <col min="2" max="2" width="13.1796875" bestFit="1" customWidth="1"/>
  </cols>
  <sheetData>
    <row r="1" spans="2:13" ht="15" thickBot="1" x14ac:dyDescent="0.4"/>
    <row r="2" spans="2:13" ht="15" thickBot="1" x14ac:dyDescent="0.4">
      <c r="B2" s="110" t="s">
        <v>0</v>
      </c>
      <c r="C2" s="110"/>
      <c r="D2" s="110"/>
      <c r="E2" s="110"/>
      <c r="F2" s="110"/>
      <c r="L2" s="33"/>
      <c r="M2" s="33"/>
    </row>
    <row r="3" spans="2:13" ht="58.5" thickBot="1" x14ac:dyDescent="0.4">
      <c r="L3" s="34" t="s">
        <v>95</v>
      </c>
      <c r="M3" s="22" t="s">
        <v>106</v>
      </c>
    </row>
    <row r="4" spans="2:13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I4" t="s">
        <v>74</v>
      </c>
      <c r="J4" t="s">
        <v>75</v>
      </c>
      <c r="L4" s="35" t="s">
        <v>59</v>
      </c>
      <c r="M4" s="24">
        <v>352</v>
      </c>
    </row>
    <row r="5" spans="2:13" ht="19" thickBot="1" x14ac:dyDescent="0.5">
      <c r="B5" s="1" t="s">
        <v>59</v>
      </c>
      <c r="C5" s="1"/>
      <c r="D5" s="1"/>
      <c r="E5" s="4">
        <f>SUM(E6:E9)</f>
        <v>371</v>
      </c>
      <c r="F5" s="4">
        <f>SUM(F6:F9)</f>
        <v>1113</v>
      </c>
      <c r="H5" t="s">
        <v>67</v>
      </c>
      <c r="I5">
        <f>+F5</f>
        <v>1113</v>
      </c>
      <c r="J5">
        <f>+E5</f>
        <v>371</v>
      </c>
      <c r="L5" s="36" t="s">
        <v>6</v>
      </c>
      <c r="M5" s="26">
        <v>291</v>
      </c>
    </row>
    <row r="6" spans="2:13" ht="29.5" thickBot="1" x14ac:dyDescent="0.4">
      <c r="B6" s="1" t="s">
        <v>6</v>
      </c>
      <c r="C6" s="1" t="s">
        <v>50</v>
      </c>
      <c r="D6" s="1">
        <v>3</v>
      </c>
      <c r="E6" s="1">
        <f>+M5</f>
        <v>291</v>
      </c>
      <c r="F6" s="1">
        <f>+D6*E6</f>
        <v>873</v>
      </c>
      <c r="H6" t="s">
        <v>68</v>
      </c>
      <c r="I6">
        <f>+F10</f>
        <v>888</v>
      </c>
      <c r="J6">
        <f>+E10</f>
        <v>111</v>
      </c>
      <c r="L6" s="36" t="s">
        <v>7</v>
      </c>
      <c r="M6" s="26">
        <v>0</v>
      </c>
    </row>
    <row r="7" spans="2:13" ht="15" thickBot="1" x14ac:dyDescent="0.4">
      <c r="B7" s="1" t="s">
        <v>7</v>
      </c>
      <c r="C7" s="1" t="s">
        <v>50</v>
      </c>
      <c r="D7" s="1">
        <v>3</v>
      </c>
      <c r="E7" s="1">
        <f>+M6</f>
        <v>0</v>
      </c>
      <c r="F7" s="1">
        <f t="shared" ref="F7:F9" si="0">+D7*E7</f>
        <v>0</v>
      </c>
      <c r="H7" t="s">
        <v>69</v>
      </c>
      <c r="I7">
        <f>+F22</f>
        <v>430</v>
      </c>
      <c r="J7">
        <f>+E22</f>
        <v>77</v>
      </c>
      <c r="L7" s="36" t="s">
        <v>8</v>
      </c>
      <c r="M7" s="26">
        <v>80</v>
      </c>
    </row>
    <row r="8" spans="2:13" ht="29.5" thickBot="1" x14ac:dyDescent="0.4">
      <c r="B8" s="1" t="s">
        <v>8</v>
      </c>
      <c r="C8" s="1" t="s">
        <v>50</v>
      </c>
      <c r="D8" s="1">
        <v>3</v>
      </c>
      <c r="E8" s="1">
        <f>+M7</f>
        <v>80</v>
      </c>
      <c r="F8" s="1">
        <f t="shared" si="0"/>
        <v>240</v>
      </c>
      <c r="H8" t="s">
        <v>70</v>
      </c>
      <c r="I8">
        <f>+F30</f>
        <v>0</v>
      </c>
      <c r="J8">
        <f>+E30</f>
        <v>0</v>
      </c>
      <c r="L8" s="36" t="s">
        <v>9</v>
      </c>
      <c r="M8" s="25"/>
    </row>
    <row r="9" spans="2:13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t="s">
        <v>71</v>
      </c>
      <c r="I9">
        <f>+F36</f>
        <v>0</v>
      </c>
      <c r="J9">
        <f>+E36</f>
        <v>0</v>
      </c>
      <c r="L9" s="35" t="s">
        <v>10</v>
      </c>
      <c r="M9" s="24">
        <v>111</v>
      </c>
    </row>
    <row r="10" spans="2:13" ht="30.5" thickBot="1" x14ac:dyDescent="0.5">
      <c r="B10" s="1" t="s">
        <v>10</v>
      </c>
      <c r="C10" s="1"/>
      <c r="D10" s="1"/>
      <c r="E10" s="4">
        <f>SUM(E11:E21)</f>
        <v>111</v>
      </c>
      <c r="F10" s="4">
        <f>SUM(F11:F21)</f>
        <v>888</v>
      </c>
      <c r="H10" t="s">
        <v>44</v>
      </c>
      <c r="I10">
        <f>+F43</f>
        <v>864</v>
      </c>
      <c r="J10">
        <f>+C43+E43</f>
        <v>108</v>
      </c>
      <c r="L10" s="36" t="s">
        <v>11</v>
      </c>
      <c r="M10" s="26">
        <v>0</v>
      </c>
    </row>
    <row r="11" spans="2:13" ht="15" thickBot="1" x14ac:dyDescent="0.4">
      <c r="B11" s="1" t="s">
        <v>11</v>
      </c>
      <c r="C11" s="1" t="s">
        <v>50</v>
      </c>
      <c r="D11" s="1">
        <v>5</v>
      </c>
      <c r="E11" s="1">
        <f>+M10</f>
        <v>0</v>
      </c>
      <c r="F11" s="1">
        <f>+D11*E11</f>
        <v>0</v>
      </c>
      <c r="I11">
        <f>SUM(I5:I10)</f>
        <v>3295</v>
      </c>
      <c r="J11">
        <f>SUM(J5:J10)</f>
        <v>667</v>
      </c>
      <c r="L11" s="36" t="s">
        <v>12</v>
      </c>
      <c r="M11" s="26">
        <v>13</v>
      </c>
    </row>
    <row r="12" spans="2:13" ht="15" thickBot="1" x14ac:dyDescent="0.4">
      <c r="B12" s="1" t="s">
        <v>12</v>
      </c>
      <c r="C12" s="1" t="s">
        <v>50</v>
      </c>
      <c r="D12" s="1">
        <v>8</v>
      </c>
      <c r="E12" s="1">
        <f>+M11</f>
        <v>13</v>
      </c>
      <c r="F12" s="1">
        <f t="shared" ref="F12:F21" si="1">+D12*E12</f>
        <v>104</v>
      </c>
      <c r="L12" s="36" t="s">
        <v>13</v>
      </c>
      <c r="M12" s="26">
        <v>9</v>
      </c>
    </row>
    <row r="13" spans="2:13" ht="15" thickBot="1" x14ac:dyDescent="0.4">
      <c r="B13" s="1" t="s">
        <v>13</v>
      </c>
      <c r="C13" s="1" t="s">
        <v>50</v>
      </c>
      <c r="D13" s="1">
        <v>8</v>
      </c>
      <c r="E13" s="1">
        <f>+M12</f>
        <v>9</v>
      </c>
      <c r="F13" s="1">
        <f t="shared" si="1"/>
        <v>72</v>
      </c>
      <c r="L13" s="36" t="s">
        <v>14</v>
      </c>
      <c r="M13" s="26">
        <v>3</v>
      </c>
    </row>
    <row r="14" spans="2:13" ht="15" thickBot="1" x14ac:dyDescent="0.4">
      <c r="B14" s="1" t="s">
        <v>14</v>
      </c>
      <c r="C14" s="1" t="s">
        <v>50</v>
      </c>
      <c r="D14" s="1">
        <v>8</v>
      </c>
      <c r="E14" s="1">
        <f>M13</f>
        <v>3</v>
      </c>
      <c r="F14" s="1">
        <f t="shared" si="1"/>
        <v>24</v>
      </c>
      <c r="L14" s="36" t="s">
        <v>15</v>
      </c>
      <c r="M14" s="26">
        <v>0</v>
      </c>
    </row>
    <row r="15" spans="2:13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0</v>
      </c>
      <c r="F15" s="1">
        <f t="shared" si="1"/>
        <v>0</v>
      </c>
      <c r="L15" s="36" t="s">
        <v>16</v>
      </c>
      <c r="M15" s="26">
        <v>24</v>
      </c>
    </row>
    <row r="16" spans="2:13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24</v>
      </c>
      <c r="F16" s="1">
        <f t="shared" si="1"/>
        <v>192</v>
      </c>
      <c r="L16" s="36" t="s">
        <v>17</v>
      </c>
      <c r="M16" s="26">
        <v>9</v>
      </c>
    </row>
    <row r="17" spans="2:13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9</v>
      </c>
      <c r="F17" s="1">
        <f t="shared" si="1"/>
        <v>72</v>
      </c>
      <c r="L17" s="36" t="s">
        <v>18</v>
      </c>
      <c r="M17" s="26">
        <v>0</v>
      </c>
    </row>
    <row r="18" spans="2:13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0</v>
      </c>
      <c r="F18" s="1">
        <f t="shared" si="1"/>
        <v>0</v>
      </c>
      <c r="L18" s="36" t="s">
        <v>19</v>
      </c>
      <c r="M18" s="26">
        <v>28</v>
      </c>
    </row>
    <row r="19" spans="2:13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28</v>
      </c>
      <c r="F19" s="1">
        <f t="shared" si="1"/>
        <v>224</v>
      </c>
      <c r="L19" s="36" t="s">
        <v>20</v>
      </c>
      <c r="M19" s="26">
        <v>23</v>
      </c>
    </row>
    <row r="20" spans="2:13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23</v>
      </c>
      <c r="F20" s="1">
        <f t="shared" si="1"/>
        <v>184</v>
      </c>
      <c r="L20" s="36" t="s">
        <v>21</v>
      </c>
      <c r="M20" s="26">
        <v>2</v>
      </c>
    </row>
    <row r="21" spans="2:13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2</v>
      </c>
      <c r="F21" s="1">
        <f t="shared" si="1"/>
        <v>16</v>
      </c>
      <c r="L21" s="35" t="s">
        <v>22</v>
      </c>
      <c r="M21" s="24">
        <v>77</v>
      </c>
    </row>
    <row r="22" spans="2:13" ht="19" thickBot="1" x14ac:dyDescent="0.5">
      <c r="B22" s="1" t="s">
        <v>22</v>
      </c>
      <c r="C22" s="1"/>
      <c r="D22" s="1"/>
      <c r="E22" s="4">
        <f>SUM(E23:E29)</f>
        <v>77</v>
      </c>
      <c r="F22" s="4">
        <f>SUM(F23:F29)</f>
        <v>430</v>
      </c>
      <c r="L22" s="36" t="s">
        <v>23</v>
      </c>
      <c r="M22" s="26">
        <v>0</v>
      </c>
    </row>
    <row r="23" spans="2:13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0</v>
      </c>
      <c r="F23" s="1">
        <f>+D23*E23</f>
        <v>0</v>
      </c>
      <c r="L23" s="36" t="s">
        <v>24</v>
      </c>
      <c r="M23" s="26">
        <v>0</v>
      </c>
    </row>
    <row r="24" spans="2:13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0</v>
      </c>
      <c r="F24" s="1">
        <f t="shared" ref="F24:F29" si="4">+D24*E24</f>
        <v>0</v>
      </c>
      <c r="L24" s="36" t="s">
        <v>25</v>
      </c>
      <c r="M24" s="26">
        <v>0</v>
      </c>
    </row>
    <row r="25" spans="2:13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0</v>
      </c>
      <c r="F25" s="1">
        <f t="shared" si="4"/>
        <v>0</v>
      </c>
      <c r="L25" s="36" t="s">
        <v>26</v>
      </c>
      <c r="M25" s="26">
        <v>21</v>
      </c>
    </row>
    <row r="26" spans="2:13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21</v>
      </c>
      <c r="F26" s="1">
        <f t="shared" si="4"/>
        <v>105</v>
      </c>
      <c r="L26" s="36" t="s">
        <v>27</v>
      </c>
      <c r="M26" s="26">
        <v>41</v>
      </c>
    </row>
    <row r="27" spans="2:13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41</v>
      </c>
      <c r="F27" s="1">
        <f t="shared" si="4"/>
        <v>205</v>
      </c>
      <c r="L27" s="36" t="s">
        <v>28</v>
      </c>
      <c r="M27" s="26">
        <v>15</v>
      </c>
    </row>
    <row r="28" spans="2:13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15</v>
      </c>
      <c r="F28" s="1">
        <f t="shared" si="4"/>
        <v>120</v>
      </c>
      <c r="L28" s="36" t="s">
        <v>29</v>
      </c>
      <c r="M28" s="25"/>
    </row>
    <row r="29" spans="2:13" ht="30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0</v>
      </c>
    </row>
    <row r="30" spans="2:13" ht="19" thickBot="1" x14ac:dyDescent="0.5">
      <c r="B30" s="1" t="s">
        <v>30</v>
      </c>
      <c r="C30" s="1"/>
      <c r="D30" s="1"/>
      <c r="E30" s="4">
        <f>SUM(E31:E36)</f>
        <v>0</v>
      </c>
      <c r="F30" s="4">
        <f>SUM(F31:F35)</f>
        <v>0</v>
      </c>
      <c r="L30" s="36" t="s">
        <v>32</v>
      </c>
      <c r="M30" s="26">
        <v>0</v>
      </c>
    </row>
    <row r="31" spans="2:13" ht="15" thickBot="1" x14ac:dyDescent="0.4">
      <c r="B31" s="1" t="s">
        <v>32</v>
      </c>
      <c r="C31" s="1" t="s">
        <v>50</v>
      </c>
      <c r="D31" s="1">
        <v>5</v>
      </c>
      <c r="E31" s="1">
        <f>+M30</f>
        <v>0</v>
      </c>
      <c r="F31" s="1">
        <f>+D31*E31</f>
        <v>0</v>
      </c>
      <c r="L31" s="36" t="s">
        <v>31</v>
      </c>
      <c r="M31" s="26">
        <v>0</v>
      </c>
    </row>
    <row r="32" spans="2:13" ht="15" thickBot="1" x14ac:dyDescent="0.4">
      <c r="B32" s="1" t="s">
        <v>31</v>
      </c>
      <c r="C32" s="1" t="s">
        <v>50</v>
      </c>
      <c r="D32" s="1">
        <v>8</v>
      </c>
      <c r="E32" s="1">
        <f>+M31</f>
        <v>0</v>
      </c>
      <c r="F32" s="1">
        <f t="shared" ref="F32:F35" si="5">+D32*E32</f>
        <v>0</v>
      </c>
      <c r="L32" s="36" t="s">
        <v>33</v>
      </c>
      <c r="M32" s="26">
        <v>0</v>
      </c>
    </row>
    <row r="33" spans="2:13" ht="15" thickBot="1" x14ac:dyDescent="0.4">
      <c r="B33" s="1" t="s">
        <v>33</v>
      </c>
      <c r="C33" s="1" t="s">
        <v>50</v>
      </c>
      <c r="D33" s="1">
        <v>8</v>
      </c>
      <c r="E33" s="1">
        <f>+M32</f>
        <v>0</v>
      </c>
      <c r="F33" s="1">
        <f t="shared" si="5"/>
        <v>0</v>
      </c>
      <c r="L33" s="36" t="s">
        <v>34</v>
      </c>
      <c r="M33" s="26">
        <v>0</v>
      </c>
    </row>
    <row r="34" spans="2:13" ht="15" thickBot="1" x14ac:dyDescent="0.4">
      <c r="B34" s="1" t="s">
        <v>34</v>
      </c>
      <c r="C34" s="1" t="s">
        <v>50</v>
      </c>
      <c r="D34" s="1">
        <v>8</v>
      </c>
      <c r="E34" s="1">
        <f>+M33</f>
        <v>0</v>
      </c>
      <c r="F34" s="1">
        <f t="shared" si="5"/>
        <v>0</v>
      </c>
      <c r="L34" s="37" t="s">
        <v>97</v>
      </c>
      <c r="M34" s="26">
        <v>0</v>
      </c>
    </row>
    <row r="35" spans="2:13" ht="29.5" thickBot="1" x14ac:dyDescent="0.4">
      <c r="B35" s="1" t="s">
        <v>35</v>
      </c>
      <c r="C35" s="1" t="s">
        <v>50</v>
      </c>
      <c r="D35" s="1">
        <v>8</v>
      </c>
      <c r="E35" s="1">
        <f>+M35</f>
        <v>0</v>
      </c>
      <c r="F35" s="1">
        <f t="shared" si="5"/>
        <v>0</v>
      </c>
      <c r="L35" s="37" t="s">
        <v>35</v>
      </c>
      <c r="M35" s="26">
        <v>0</v>
      </c>
    </row>
    <row r="36" spans="2:13" ht="30.5" thickBot="1" x14ac:dyDescent="0.5">
      <c r="B36" s="1" t="s">
        <v>36</v>
      </c>
      <c r="C36" s="1"/>
      <c r="D36" s="1"/>
      <c r="E36" s="4">
        <f>SUM(E37:E42)</f>
        <v>0</v>
      </c>
      <c r="F36" s="4">
        <f>SUM(F37:F42)</f>
        <v>0</v>
      </c>
      <c r="L36" s="35" t="s">
        <v>36</v>
      </c>
      <c r="M36" s="24">
        <v>0</v>
      </c>
    </row>
    <row r="37" spans="2:13" ht="15" thickBot="1" x14ac:dyDescent="0.4">
      <c r="B37" s="1" t="s">
        <v>37</v>
      </c>
      <c r="C37" s="1" t="s">
        <v>50</v>
      </c>
      <c r="D37" s="1">
        <v>8</v>
      </c>
      <c r="E37" s="1">
        <f t="shared" ref="E37:E42" si="6">+M37</f>
        <v>0</v>
      </c>
      <c r="F37" s="1">
        <f>+D37*E37</f>
        <v>0</v>
      </c>
      <c r="L37" s="36" t="s">
        <v>37</v>
      </c>
      <c r="M37" s="26">
        <v>0</v>
      </c>
    </row>
    <row r="38" spans="2:13" ht="15" thickBot="1" x14ac:dyDescent="0.4">
      <c r="B38" s="1" t="s">
        <v>38</v>
      </c>
      <c r="C38" s="1" t="s">
        <v>50</v>
      </c>
      <c r="D38" s="1">
        <v>8</v>
      </c>
      <c r="E38" s="1">
        <f t="shared" si="6"/>
        <v>0</v>
      </c>
      <c r="F38" s="1">
        <f t="shared" ref="F38:F42" si="7">+D38*E38</f>
        <v>0</v>
      </c>
      <c r="L38" s="36" t="s">
        <v>38</v>
      </c>
      <c r="M38" s="26">
        <v>0</v>
      </c>
    </row>
    <row r="39" spans="2:13" ht="15" thickBot="1" x14ac:dyDescent="0.4">
      <c r="B39" s="1" t="s">
        <v>39</v>
      </c>
      <c r="C39" s="1" t="s">
        <v>50</v>
      </c>
      <c r="D39" s="1">
        <v>8</v>
      </c>
      <c r="E39" s="1">
        <f t="shared" si="6"/>
        <v>0</v>
      </c>
      <c r="F39" s="1">
        <f t="shared" si="7"/>
        <v>0</v>
      </c>
      <c r="L39" s="36" t="s">
        <v>39</v>
      </c>
      <c r="M39" s="26">
        <v>0</v>
      </c>
    </row>
    <row r="40" spans="2:13" ht="15" thickBot="1" x14ac:dyDescent="0.4">
      <c r="B40" s="1" t="s">
        <v>40</v>
      </c>
      <c r="C40" s="1" t="s">
        <v>50</v>
      </c>
      <c r="D40" s="1">
        <v>8</v>
      </c>
      <c r="E40" s="1">
        <f t="shared" si="6"/>
        <v>0</v>
      </c>
      <c r="F40" s="1">
        <f t="shared" si="7"/>
        <v>0</v>
      </c>
      <c r="L40" s="36" t="s">
        <v>40</v>
      </c>
      <c r="M40" s="26">
        <v>0</v>
      </c>
    </row>
    <row r="41" spans="2:13" ht="15" thickBot="1" x14ac:dyDescent="0.4">
      <c r="B41" s="1" t="s">
        <v>41</v>
      </c>
      <c r="C41" s="1" t="s">
        <v>50</v>
      </c>
      <c r="D41" s="1">
        <v>8</v>
      </c>
      <c r="E41" s="1">
        <f t="shared" si="6"/>
        <v>0</v>
      </c>
      <c r="F41" s="1">
        <f t="shared" si="7"/>
        <v>0</v>
      </c>
      <c r="L41" s="36" t="s">
        <v>98</v>
      </c>
      <c r="M41" s="26">
        <v>0</v>
      </c>
    </row>
    <row r="42" spans="2:13" ht="15" thickBot="1" x14ac:dyDescent="0.4">
      <c r="B42" s="1" t="s">
        <v>42</v>
      </c>
      <c r="C42" s="1" t="s">
        <v>50</v>
      </c>
      <c r="D42" s="1">
        <v>8</v>
      </c>
      <c r="E42" s="1">
        <f t="shared" si="6"/>
        <v>0</v>
      </c>
      <c r="F42" s="1">
        <f t="shared" si="7"/>
        <v>0</v>
      </c>
      <c r="L42" s="36" t="s">
        <v>42</v>
      </c>
      <c r="M42" s="26">
        <v>0</v>
      </c>
    </row>
    <row r="43" spans="2:13" ht="19" thickBot="1" x14ac:dyDescent="0.5">
      <c r="B43" s="1" t="s">
        <v>43</v>
      </c>
      <c r="C43" s="1"/>
      <c r="D43" s="1"/>
      <c r="E43" s="4">
        <f>SUM(E44:E48)</f>
        <v>108</v>
      </c>
      <c r="F43" s="4">
        <f>SUM(F44:F48)</f>
        <v>864</v>
      </c>
      <c r="L43" s="35" t="s">
        <v>43</v>
      </c>
      <c r="M43" s="24">
        <v>108</v>
      </c>
    </row>
    <row r="44" spans="2:13" ht="15" thickBot="1" x14ac:dyDescent="0.4">
      <c r="B44" s="1" t="s">
        <v>44</v>
      </c>
      <c r="C44" s="1" t="s">
        <v>50</v>
      </c>
      <c r="D44" s="1">
        <v>8</v>
      </c>
      <c r="E44" s="1">
        <f>+M44</f>
        <v>97</v>
      </c>
      <c r="F44" s="1">
        <f>+D44*E44</f>
        <v>776</v>
      </c>
      <c r="L44" s="36" t="s">
        <v>44</v>
      </c>
      <c r="M44" s="26">
        <v>97</v>
      </c>
    </row>
    <row r="45" spans="2:13" ht="15" thickBot="1" x14ac:dyDescent="0.4">
      <c r="B45" s="1" t="s">
        <v>45</v>
      </c>
      <c r="C45" s="1" t="s">
        <v>50</v>
      </c>
      <c r="D45" s="1">
        <v>8</v>
      </c>
      <c r="E45" s="1">
        <f>+M45</f>
        <v>11</v>
      </c>
      <c r="F45" s="1">
        <f t="shared" ref="F45:F48" si="8">+D45*E45</f>
        <v>88</v>
      </c>
      <c r="L45" s="36" t="s">
        <v>45</v>
      </c>
      <c r="M45" s="26">
        <v>11</v>
      </c>
    </row>
    <row r="46" spans="2:13" ht="15" thickBot="1" x14ac:dyDescent="0.4">
      <c r="B46" s="1" t="s">
        <v>46</v>
      </c>
      <c r="C46" s="1" t="s">
        <v>50</v>
      </c>
      <c r="D46" s="1">
        <v>8</v>
      </c>
      <c r="E46" s="1">
        <f>+M46</f>
        <v>0</v>
      </c>
      <c r="F46" s="1">
        <f t="shared" si="8"/>
        <v>0</v>
      </c>
      <c r="L46" s="36" t="s">
        <v>46</v>
      </c>
      <c r="M46" s="26">
        <v>0</v>
      </c>
    </row>
    <row r="47" spans="2:13" ht="15" thickBot="1" x14ac:dyDescent="0.4">
      <c r="B47" s="1" t="s">
        <v>47</v>
      </c>
      <c r="C47" s="1" t="s">
        <v>50</v>
      </c>
      <c r="D47" s="1">
        <v>8</v>
      </c>
      <c r="E47" s="1">
        <f>+M47</f>
        <v>0</v>
      </c>
      <c r="F47" s="1">
        <f t="shared" si="8"/>
        <v>0</v>
      </c>
      <c r="L47" s="36" t="s">
        <v>47</v>
      </c>
      <c r="M47" s="26">
        <v>0</v>
      </c>
    </row>
    <row r="48" spans="2:13" ht="29.5" thickBot="1" x14ac:dyDescent="0.4">
      <c r="B48" s="1" t="s">
        <v>49</v>
      </c>
      <c r="C48" s="1" t="s">
        <v>50</v>
      </c>
      <c r="D48" s="1">
        <v>8</v>
      </c>
      <c r="E48" s="1">
        <f>+M48</f>
        <v>0</v>
      </c>
      <c r="F48" s="1">
        <f t="shared" si="8"/>
        <v>0</v>
      </c>
      <c r="L48" s="36" t="s">
        <v>49</v>
      </c>
      <c r="M48" s="26">
        <v>0</v>
      </c>
    </row>
    <row r="49" spans="2:13" ht="19" thickBot="1" x14ac:dyDescent="0.5">
      <c r="B49" s="111" t="s">
        <v>51</v>
      </c>
      <c r="C49" s="111"/>
      <c r="D49" s="111"/>
      <c r="E49" s="4">
        <f>+E43+E36+E30+E22+E10+E5</f>
        <v>667</v>
      </c>
      <c r="F49" s="4">
        <f>+F43+F36+F30+F22+F10+F5</f>
        <v>3295</v>
      </c>
      <c r="L49" s="21"/>
      <c r="M49" s="21"/>
    </row>
    <row r="50" spans="2:13" ht="17.5" thickBot="1" x14ac:dyDescent="0.45">
      <c r="L50" s="21" t="s">
        <v>51</v>
      </c>
      <c r="M50" s="38">
        <v>648</v>
      </c>
    </row>
  </sheetData>
  <mergeCells count="2">
    <mergeCell ref="B2:F2"/>
    <mergeCell ref="B49:D4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746F-74C5-4EFB-B2AC-200C6D386226}">
  <dimension ref="B1:M50"/>
  <sheetViews>
    <sheetView topLeftCell="A8" workbookViewId="0">
      <selection activeCell="H4" sqref="H4:J11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5.7265625" bestFit="1" customWidth="1"/>
  </cols>
  <sheetData>
    <row r="1" spans="2:13" ht="15" thickBot="1" x14ac:dyDescent="0.4"/>
    <row r="2" spans="2:13" ht="15" thickBot="1" x14ac:dyDescent="0.4">
      <c r="B2" s="110" t="s">
        <v>117</v>
      </c>
      <c r="C2" s="110"/>
      <c r="D2" s="110"/>
      <c r="E2" s="110"/>
      <c r="F2" s="110"/>
      <c r="L2" s="33"/>
      <c r="M2" s="33"/>
    </row>
    <row r="3" spans="2:13" ht="58.5" thickBot="1" x14ac:dyDescent="0.4">
      <c r="L3" s="44" t="s">
        <v>95</v>
      </c>
      <c r="M3" s="45" t="s">
        <v>106</v>
      </c>
    </row>
    <row r="4" spans="2:13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291</v>
      </c>
    </row>
    <row r="5" spans="2:13" ht="19" thickBot="1" x14ac:dyDescent="0.5">
      <c r="B5" s="1" t="s">
        <v>59</v>
      </c>
      <c r="C5" s="1"/>
      <c r="D5" s="1"/>
      <c r="E5" s="4">
        <f>SUM(E6:E9)</f>
        <v>291</v>
      </c>
      <c r="F5" s="4">
        <f>SUM(F6:F9)</f>
        <v>873</v>
      </c>
      <c r="H5" s="2" t="s">
        <v>67</v>
      </c>
      <c r="I5" s="2">
        <f>+F5</f>
        <v>873</v>
      </c>
      <c r="J5" s="2">
        <f>+E5</f>
        <v>291</v>
      </c>
      <c r="L5" s="36" t="s">
        <v>6</v>
      </c>
      <c r="M5" s="26">
        <v>291</v>
      </c>
    </row>
    <row r="6" spans="2:13" ht="29.5" thickBot="1" x14ac:dyDescent="0.4">
      <c r="B6" s="1" t="s">
        <v>6</v>
      </c>
      <c r="C6" s="1" t="s">
        <v>50</v>
      </c>
      <c r="D6" s="1">
        <v>3</v>
      </c>
      <c r="E6" s="1">
        <f>+M5</f>
        <v>291</v>
      </c>
      <c r="F6" s="1">
        <f>+D6*E6</f>
        <v>873</v>
      </c>
      <c r="H6" s="2" t="s">
        <v>68</v>
      </c>
      <c r="I6" s="2">
        <f>+F10</f>
        <v>1352</v>
      </c>
      <c r="J6" s="2">
        <f>+E10</f>
        <v>169</v>
      </c>
      <c r="L6" s="36" t="s">
        <v>7</v>
      </c>
      <c r="M6" s="26">
        <v>0</v>
      </c>
    </row>
    <row r="7" spans="2:13" ht="15" thickBot="1" x14ac:dyDescent="0.4">
      <c r="B7" s="1" t="s">
        <v>7</v>
      </c>
      <c r="C7" s="1" t="s">
        <v>50</v>
      </c>
      <c r="D7" s="1">
        <v>3</v>
      </c>
      <c r="E7" s="1">
        <f>+M6</f>
        <v>0</v>
      </c>
      <c r="F7" s="1">
        <f t="shared" ref="F7:F9" si="0">+D7*E7</f>
        <v>0</v>
      </c>
      <c r="H7" s="2" t="s">
        <v>69</v>
      </c>
      <c r="I7" s="2">
        <f>+F22</f>
        <v>656</v>
      </c>
      <c r="J7" s="2">
        <f>+E22</f>
        <v>118</v>
      </c>
      <c r="L7" s="36" t="s">
        <v>8</v>
      </c>
      <c r="M7" s="26">
        <v>0</v>
      </c>
    </row>
    <row r="8" spans="2:13" ht="29.5" thickBot="1" x14ac:dyDescent="0.4">
      <c r="B8" s="1" t="s">
        <v>8</v>
      </c>
      <c r="C8" s="1" t="s">
        <v>50</v>
      </c>
      <c r="D8" s="1">
        <v>3</v>
      </c>
      <c r="E8" s="1">
        <f>+M7</f>
        <v>0</v>
      </c>
      <c r="F8" s="1">
        <f t="shared" si="0"/>
        <v>0</v>
      </c>
      <c r="H8" s="2" t="s">
        <v>70</v>
      </c>
      <c r="I8" s="2">
        <f>+F30</f>
        <v>1056</v>
      </c>
      <c r="J8" s="2">
        <f>+E30</f>
        <v>159</v>
      </c>
      <c r="L8" s="36" t="s">
        <v>9</v>
      </c>
      <c r="M8" s="25"/>
    </row>
    <row r="9" spans="2:13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+F36</f>
        <v>384</v>
      </c>
      <c r="J9" s="2">
        <f>+E36</f>
        <v>48</v>
      </c>
      <c r="L9" s="35" t="s">
        <v>10</v>
      </c>
      <c r="M9" s="24">
        <v>169</v>
      </c>
    </row>
    <row r="10" spans="2:13" ht="30.5" thickBot="1" x14ac:dyDescent="0.5">
      <c r="B10" s="1" t="s">
        <v>10</v>
      </c>
      <c r="C10" s="1"/>
      <c r="D10" s="1"/>
      <c r="E10" s="4">
        <f>SUM(E11:E21)</f>
        <v>169</v>
      </c>
      <c r="F10" s="4">
        <f>SUM(F11:F21)</f>
        <v>1352</v>
      </c>
      <c r="H10" s="2" t="s">
        <v>44</v>
      </c>
      <c r="I10" s="2">
        <f>+F43</f>
        <v>1048</v>
      </c>
      <c r="J10" s="2">
        <f>+C43+E43</f>
        <v>131</v>
      </c>
      <c r="L10" s="36" t="s">
        <v>11</v>
      </c>
      <c r="M10" s="26">
        <v>0</v>
      </c>
    </row>
    <row r="11" spans="2:13" ht="19" thickBot="1" x14ac:dyDescent="0.5">
      <c r="B11" s="1" t="s">
        <v>11</v>
      </c>
      <c r="C11" s="1" t="s">
        <v>50</v>
      </c>
      <c r="D11" s="1">
        <v>5</v>
      </c>
      <c r="E11" s="1">
        <f>+M10</f>
        <v>0</v>
      </c>
      <c r="F11" s="1">
        <f>+D11*E11</f>
        <v>0</v>
      </c>
      <c r="H11" s="43" t="s">
        <v>51</v>
      </c>
      <c r="I11" s="43">
        <f>SUM(I5:I10)</f>
        <v>5369</v>
      </c>
      <c r="J11" s="43">
        <f>SUM(J5:J10)</f>
        <v>916</v>
      </c>
      <c r="L11" s="36" t="s">
        <v>12</v>
      </c>
      <c r="M11" s="26">
        <v>16</v>
      </c>
    </row>
    <row r="12" spans="2:13" ht="15" thickBot="1" x14ac:dyDescent="0.4">
      <c r="B12" s="1" t="s">
        <v>12</v>
      </c>
      <c r="C12" s="1" t="s">
        <v>50</v>
      </c>
      <c r="D12" s="1">
        <v>8</v>
      </c>
      <c r="E12" s="1">
        <f>+M11</f>
        <v>16</v>
      </c>
      <c r="F12" s="1">
        <f t="shared" ref="F12:F21" si="1">+D12*E12</f>
        <v>128</v>
      </c>
      <c r="L12" s="36" t="s">
        <v>13</v>
      </c>
      <c r="M12" s="26">
        <v>28</v>
      </c>
    </row>
    <row r="13" spans="2:13" ht="15" thickBot="1" x14ac:dyDescent="0.4">
      <c r="B13" s="1" t="s">
        <v>13</v>
      </c>
      <c r="C13" s="1" t="s">
        <v>50</v>
      </c>
      <c r="D13" s="1">
        <v>8</v>
      </c>
      <c r="E13" s="1">
        <f>+M12</f>
        <v>28</v>
      </c>
      <c r="F13" s="1">
        <f t="shared" si="1"/>
        <v>224</v>
      </c>
      <c r="L13" s="36" t="s">
        <v>14</v>
      </c>
      <c r="M13" s="26">
        <v>10</v>
      </c>
    </row>
    <row r="14" spans="2:13" ht="15" thickBot="1" x14ac:dyDescent="0.4">
      <c r="B14" s="1" t="s">
        <v>14</v>
      </c>
      <c r="C14" s="1" t="s">
        <v>50</v>
      </c>
      <c r="D14" s="1">
        <v>8</v>
      </c>
      <c r="E14" s="1">
        <f>M13</f>
        <v>10</v>
      </c>
      <c r="F14" s="1">
        <f t="shared" si="1"/>
        <v>80</v>
      </c>
      <c r="L14" s="36" t="s">
        <v>15</v>
      </c>
      <c r="M14" s="26">
        <v>0</v>
      </c>
    </row>
    <row r="15" spans="2:13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0</v>
      </c>
      <c r="F15" s="1">
        <f t="shared" si="1"/>
        <v>0</v>
      </c>
      <c r="L15" s="36" t="s">
        <v>16</v>
      </c>
      <c r="M15" s="26">
        <v>21</v>
      </c>
    </row>
    <row r="16" spans="2:13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21</v>
      </c>
      <c r="F16" s="1">
        <f t="shared" si="1"/>
        <v>168</v>
      </c>
      <c r="L16" s="36" t="s">
        <v>17</v>
      </c>
      <c r="M16" s="26">
        <v>7</v>
      </c>
    </row>
    <row r="17" spans="2:13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7</v>
      </c>
      <c r="F17" s="1">
        <f t="shared" si="1"/>
        <v>56</v>
      </c>
      <c r="L17" s="36" t="s">
        <v>18</v>
      </c>
      <c r="M17" s="26">
        <v>0</v>
      </c>
    </row>
    <row r="18" spans="2:13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0</v>
      </c>
      <c r="F18" s="1">
        <f t="shared" si="1"/>
        <v>0</v>
      </c>
      <c r="L18" s="36" t="s">
        <v>19</v>
      </c>
      <c r="M18" s="26">
        <v>39</v>
      </c>
    </row>
    <row r="19" spans="2:13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39</v>
      </c>
      <c r="F19" s="1">
        <f t="shared" si="1"/>
        <v>312</v>
      </c>
      <c r="L19" s="36" t="s">
        <v>20</v>
      </c>
      <c r="M19" s="26">
        <v>46</v>
      </c>
    </row>
    <row r="20" spans="2:13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46</v>
      </c>
      <c r="F20" s="1">
        <f t="shared" si="1"/>
        <v>368</v>
      </c>
      <c r="L20" s="36" t="s">
        <v>21</v>
      </c>
      <c r="M20" s="26">
        <v>2</v>
      </c>
    </row>
    <row r="21" spans="2:13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2</v>
      </c>
      <c r="F21" s="1">
        <f t="shared" si="1"/>
        <v>16</v>
      </c>
      <c r="L21" s="35" t="s">
        <v>22</v>
      </c>
      <c r="M21" s="24">
        <v>118</v>
      </c>
    </row>
    <row r="22" spans="2:13" ht="19" thickBot="1" x14ac:dyDescent="0.5">
      <c r="B22" s="1" t="s">
        <v>22</v>
      </c>
      <c r="C22" s="1"/>
      <c r="D22" s="1"/>
      <c r="E22" s="4">
        <f>SUM(E23:E29)</f>
        <v>118</v>
      </c>
      <c r="F22" s="4">
        <f>SUM(F23:F29)</f>
        <v>656</v>
      </c>
      <c r="L22" s="36" t="s">
        <v>23</v>
      </c>
      <c r="M22" s="26">
        <v>0</v>
      </c>
    </row>
    <row r="23" spans="2:13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0</v>
      </c>
      <c r="F23" s="1">
        <f>+D23*E23</f>
        <v>0</v>
      </c>
      <c r="L23" s="36" t="s">
        <v>24</v>
      </c>
      <c r="M23" s="26">
        <v>0</v>
      </c>
    </row>
    <row r="24" spans="2:13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0</v>
      </c>
      <c r="F24" s="1">
        <f t="shared" ref="F24:F29" si="4">+D24*E24</f>
        <v>0</v>
      </c>
      <c r="L24" s="36" t="s">
        <v>25</v>
      </c>
      <c r="M24" s="26">
        <v>0</v>
      </c>
    </row>
    <row r="25" spans="2:13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0</v>
      </c>
      <c r="F25" s="1">
        <f t="shared" si="4"/>
        <v>0</v>
      </c>
      <c r="L25" s="36" t="s">
        <v>26</v>
      </c>
      <c r="M25" s="26">
        <v>25</v>
      </c>
    </row>
    <row r="26" spans="2:13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25</v>
      </c>
      <c r="F26" s="1">
        <f t="shared" si="4"/>
        <v>125</v>
      </c>
      <c r="L26" s="36" t="s">
        <v>27</v>
      </c>
      <c r="M26" s="26">
        <v>71</v>
      </c>
    </row>
    <row r="27" spans="2:13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71</v>
      </c>
      <c r="F27" s="1">
        <f t="shared" si="4"/>
        <v>355</v>
      </c>
      <c r="L27" s="36" t="s">
        <v>28</v>
      </c>
      <c r="M27" s="26">
        <v>22</v>
      </c>
    </row>
    <row r="28" spans="2:13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22</v>
      </c>
      <c r="F28" s="1">
        <f t="shared" si="4"/>
        <v>176</v>
      </c>
      <c r="L28" s="36" t="s">
        <v>29</v>
      </c>
      <c r="M28" s="25"/>
    </row>
    <row r="29" spans="2:13" ht="30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159</v>
      </c>
    </row>
    <row r="30" spans="2:13" ht="19" thickBot="1" x14ac:dyDescent="0.5">
      <c r="B30" s="1" t="s">
        <v>30</v>
      </c>
      <c r="C30" s="1"/>
      <c r="D30" s="1"/>
      <c r="E30" s="4">
        <f>SUM(E31:E35)</f>
        <v>159</v>
      </c>
      <c r="F30" s="4">
        <f>SUM(F31:F35)</f>
        <v>1056</v>
      </c>
      <c r="L30" s="36" t="s">
        <v>32</v>
      </c>
      <c r="M30" s="26">
        <v>72</v>
      </c>
    </row>
    <row r="31" spans="2:13" ht="15" thickBot="1" x14ac:dyDescent="0.4">
      <c r="B31" s="1" t="s">
        <v>32</v>
      </c>
      <c r="C31" s="1" t="s">
        <v>50</v>
      </c>
      <c r="D31" s="1">
        <v>5</v>
      </c>
      <c r="E31" s="1">
        <f>+M30</f>
        <v>72</v>
      </c>
      <c r="F31" s="1">
        <f>+D31*E31</f>
        <v>360</v>
      </c>
      <c r="L31" s="36" t="s">
        <v>31</v>
      </c>
      <c r="M31" s="26">
        <v>36</v>
      </c>
    </row>
    <row r="32" spans="2:13" ht="15" thickBot="1" x14ac:dyDescent="0.4">
      <c r="B32" s="1" t="s">
        <v>31</v>
      </c>
      <c r="C32" s="1" t="s">
        <v>50</v>
      </c>
      <c r="D32" s="1">
        <v>8</v>
      </c>
      <c r="E32" s="1">
        <f>+M31</f>
        <v>36</v>
      </c>
      <c r="F32" s="1">
        <f t="shared" ref="F32:F35" si="5">+D32*E32</f>
        <v>288</v>
      </c>
      <c r="L32" s="36" t="s">
        <v>33</v>
      </c>
      <c r="M32" s="26">
        <v>17</v>
      </c>
    </row>
    <row r="33" spans="2:13" ht="15" thickBot="1" x14ac:dyDescent="0.4">
      <c r="B33" s="1" t="s">
        <v>33</v>
      </c>
      <c r="C33" s="1" t="s">
        <v>50</v>
      </c>
      <c r="D33" s="1">
        <v>8</v>
      </c>
      <c r="E33" s="1">
        <f>+M32</f>
        <v>17</v>
      </c>
      <c r="F33" s="1">
        <f t="shared" si="5"/>
        <v>136</v>
      </c>
      <c r="L33" s="36" t="s">
        <v>34</v>
      </c>
      <c r="M33" s="26">
        <v>12</v>
      </c>
    </row>
    <row r="34" spans="2:13" ht="15" thickBot="1" x14ac:dyDescent="0.4">
      <c r="B34" s="1" t="s">
        <v>34</v>
      </c>
      <c r="C34" s="1" t="s">
        <v>50</v>
      </c>
      <c r="D34" s="1">
        <v>8</v>
      </c>
      <c r="E34" s="1">
        <f>+M33</f>
        <v>12</v>
      </c>
      <c r="F34" s="1">
        <f t="shared" si="5"/>
        <v>96</v>
      </c>
      <c r="L34" s="37" t="s">
        <v>97</v>
      </c>
      <c r="M34" s="26">
        <v>0</v>
      </c>
    </row>
    <row r="35" spans="2:13" ht="29.5" thickBot="1" x14ac:dyDescent="0.4">
      <c r="B35" s="1" t="s">
        <v>35</v>
      </c>
      <c r="C35" s="1" t="s">
        <v>50</v>
      </c>
      <c r="D35" s="1">
        <v>8</v>
      </c>
      <c r="E35" s="1">
        <f>+M35</f>
        <v>22</v>
      </c>
      <c r="F35" s="1">
        <f t="shared" si="5"/>
        <v>176</v>
      </c>
      <c r="L35" s="37" t="s">
        <v>35</v>
      </c>
      <c r="M35" s="26">
        <v>22</v>
      </c>
    </row>
    <row r="36" spans="2:13" ht="30.5" thickBot="1" x14ac:dyDescent="0.5">
      <c r="B36" s="1" t="s">
        <v>36</v>
      </c>
      <c r="C36" s="1"/>
      <c r="D36" s="1"/>
      <c r="E36" s="4">
        <f>SUM(E37:E42)</f>
        <v>48</v>
      </c>
      <c r="F36" s="4">
        <f>SUM(F37:F42)</f>
        <v>384</v>
      </c>
      <c r="L36" s="35" t="s">
        <v>36</v>
      </c>
      <c r="M36" s="24">
        <v>48</v>
      </c>
    </row>
    <row r="37" spans="2:13" ht="15" thickBot="1" x14ac:dyDescent="0.4">
      <c r="B37" s="1" t="s">
        <v>37</v>
      </c>
      <c r="C37" s="1" t="s">
        <v>50</v>
      </c>
      <c r="D37" s="1">
        <v>8</v>
      </c>
      <c r="E37" s="1">
        <f t="shared" ref="E37:E42" si="6">+M37</f>
        <v>0</v>
      </c>
      <c r="F37" s="1">
        <f>+D37*E37</f>
        <v>0</v>
      </c>
      <c r="L37" s="36" t="s">
        <v>37</v>
      </c>
      <c r="M37" s="26">
        <v>0</v>
      </c>
    </row>
    <row r="38" spans="2:13" ht="15" thickBot="1" x14ac:dyDescent="0.4">
      <c r="B38" s="1" t="s">
        <v>38</v>
      </c>
      <c r="C38" s="1" t="s">
        <v>50</v>
      </c>
      <c r="D38" s="1">
        <v>8</v>
      </c>
      <c r="E38" s="1">
        <f t="shared" si="6"/>
        <v>0</v>
      </c>
      <c r="F38" s="1">
        <f t="shared" ref="F38:F42" si="7">+D38*E38</f>
        <v>0</v>
      </c>
      <c r="L38" s="36" t="s">
        <v>38</v>
      </c>
      <c r="M38" s="26">
        <v>0</v>
      </c>
    </row>
    <row r="39" spans="2:13" ht="15" thickBot="1" x14ac:dyDescent="0.4">
      <c r="B39" s="1" t="s">
        <v>39</v>
      </c>
      <c r="C39" s="1" t="s">
        <v>50</v>
      </c>
      <c r="D39" s="1">
        <v>8</v>
      </c>
      <c r="E39" s="1">
        <f t="shared" si="6"/>
        <v>11</v>
      </c>
      <c r="F39" s="1">
        <f t="shared" si="7"/>
        <v>88</v>
      </c>
      <c r="L39" s="36" t="s">
        <v>39</v>
      </c>
      <c r="M39" s="26">
        <v>11</v>
      </c>
    </row>
    <row r="40" spans="2:13" ht="15" thickBot="1" x14ac:dyDescent="0.4">
      <c r="B40" s="1" t="s">
        <v>40</v>
      </c>
      <c r="C40" s="1" t="s">
        <v>50</v>
      </c>
      <c r="D40" s="1">
        <v>8</v>
      </c>
      <c r="E40" s="1">
        <f t="shared" si="6"/>
        <v>19</v>
      </c>
      <c r="F40" s="1">
        <f t="shared" si="7"/>
        <v>152</v>
      </c>
      <c r="L40" s="36" t="s">
        <v>40</v>
      </c>
      <c r="M40" s="26">
        <v>19</v>
      </c>
    </row>
    <row r="41" spans="2:13" ht="15" thickBot="1" x14ac:dyDescent="0.4">
      <c r="B41" s="1" t="s">
        <v>41</v>
      </c>
      <c r="C41" s="1" t="s">
        <v>50</v>
      </c>
      <c r="D41" s="1">
        <v>8</v>
      </c>
      <c r="E41" s="1">
        <f t="shared" si="6"/>
        <v>5</v>
      </c>
      <c r="F41" s="1">
        <f t="shared" si="7"/>
        <v>40</v>
      </c>
      <c r="L41" s="36" t="s">
        <v>98</v>
      </c>
      <c r="M41" s="26">
        <v>5</v>
      </c>
    </row>
    <row r="42" spans="2:13" ht="15" thickBot="1" x14ac:dyDescent="0.4">
      <c r="B42" s="1" t="s">
        <v>42</v>
      </c>
      <c r="C42" s="1" t="s">
        <v>50</v>
      </c>
      <c r="D42" s="1">
        <v>8</v>
      </c>
      <c r="E42" s="1">
        <f t="shared" si="6"/>
        <v>13</v>
      </c>
      <c r="F42" s="1">
        <f t="shared" si="7"/>
        <v>104</v>
      </c>
      <c r="L42" s="36" t="s">
        <v>42</v>
      </c>
      <c r="M42" s="26">
        <v>13</v>
      </c>
    </row>
    <row r="43" spans="2:13" ht="19" thickBot="1" x14ac:dyDescent="0.5">
      <c r="B43" s="1" t="s">
        <v>43</v>
      </c>
      <c r="C43" s="1"/>
      <c r="D43" s="1"/>
      <c r="E43" s="4">
        <f>SUM(E44:E48)</f>
        <v>131</v>
      </c>
      <c r="F43" s="4">
        <f>SUM(F44:F48)</f>
        <v>1048</v>
      </c>
      <c r="L43" s="35" t="s">
        <v>43</v>
      </c>
      <c r="M43" s="24">
        <v>131</v>
      </c>
    </row>
    <row r="44" spans="2:13" ht="15" thickBot="1" x14ac:dyDescent="0.4">
      <c r="B44" s="1" t="s">
        <v>44</v>
      </c>
      <c r="C44" s="1" t="s">
        <v>50</v>
      </c>
      <c r="D44" s="1">
        <v>8</v>
      </c>
      <c r="E44" s="1">
        <f>+M44</f>
        <v>131</v>
      </c>
      <c r="F44" s="1">
        <f>+D44*E44</f>
        <v>1048</v>
      </c>
      <c r="L44" s="36" t="s">
        <v>44</v>
      </c>
      <c r="M44" s="26">
        <v>131</v>
      </c>
    </row>
    <row r="45" spans="2:13" ht="15" thickBot="1" x14ac:dyDescent="0.4">
      <c r="B45" s="1" t="s">
        <v>45</v>
      </c>
      <c r="C45" s="1" t="s">
        <v>50</v>
      </c>
      <c r="D45" s="1">
        <v>8</v>
      </c>
      <c r="E45" s="1">
        <f>+M45</f>
        <v>0</v>
      </c>
      <c r="F45" s="1">
        <f t="shared" ref="F45:F48" si="8">+D45*E45</f>
        <v>0</v>
      </c>
      <c r="L45" s="36" t="s">
        <v>45</v>
      </c>
      <c r="M45" s="26">
        <v>0</v>
      </c>
    </row>
    <row r="46" spans="2:13" ht="15" thickBot="1" x14ac:dyDescent="0.4">
      <c r="B46" s="1" t="s">
        <v>46</v>
      </c>
      <c r="C46" s="1" t="s">
        <v>50</v>
      </c>
      <c r="D46" s="1">
        <v>8</v>
      </c>
      <c r="E46" s="1">
        <f>+M46</f>
        <v>0</v>
      </c>
      <c r="F46" s="1">
        <f t="shared" si="8"/>
        <v>0</v>
      </c>
      <c r="L46" s="36" t="s">
        <v>46</v>
      </c>
      <c r="M46" s="26">
        <v>0</v>
      </c>
    </row>
    <row r="47" spans="2:13" ht="15" thickBot="1" x14ac:dyDescent="0.4">
      <c r="B47" s="1" t="s">
        <v>47</v>
      </c>
      <c r="C47" s="1" t="s">
        <v>50</v>
      </c>
      <c r="D47" s="1">
        <v>8</v>
      </c>
      <c r="E47" s="1">
        <f>+M47</f>
        <v>0</v>
      </c>
      <c r="F47" s="1">
        <f t="shared" si="8"/>
        <v>0</v>
      </c>
      <c r="L47" s="36" t="s">
        <v>47</v>
      </c>
      <c r="M47" s="26">
        <v>0</v>
      </c>
    </row>
    <row r="48" spans="2:13" ht="29.5" thickBot="1" x14ac:dyDescent="0.4">
      <c r="B48" s="1" t="s">
        <v>49</v>
      </c>
      <c r="C48" s="1" t="s">
        <v>50</v>
      </c>
      <c r="D48" s="1">
        <v>8</v>
      </c>
      <c r="E48" s="1">
        <f>+M48</f>
        <v>0</v>
      </c>
      <c r="F48" s="1">
        <f t="shared" si="8"/>
        <v>0</v>
      </c>
      <c r="L48" s="36" t="s">
        <v>49</v>
      </c>
      <c r="M48" s="26">
        <v>0</v>
      </c>
    </row>
    <row r="49" spans="2:13" ht="19" thickBot="1" x14ac:dyDescent="0.5">
      <c r="B49" s="111" t="s">
        <v>51</v>
      </c>
      <c r="C49" s="111"/>
      <c r="D49" s="111"/>
      <c r="E49" s="4">
        <f>+E43+E36+E30+E22+E10+E5</f>
        <v>916</v>
      </c>
      <c r="F49" s="4">
        <f>+F43+F36+F30+F22+F10+F5</f>
        <v>5369</v>
      </c>
      <c r="L49" s="21"/>
      <c r="M49" s="21"/>
    </row>
    <row r="50" spans="2:13" ht="17.5" thickBot="1" x14ac:dyDescent="0.45">
      <c r="L50" s="21" t="s">
        <v>51</v>
      </c>
      <c r="M50" s="38">
        <v>916</v>
      </c>
    </row>
  </sheetData>
  <mergeCells count="2">
    <mergeCell ref="B2:F2"/>
    <mergeCell ref="B49:D4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D2A0-907A-4D72-B020-852017552B69}">
  <dimension ref="B1:Z51"/>
  <sheetViews>
    <sheetView topLeftCell="C1" zoomScale="112" workbookViewId="0">
      <selection activeCell="V23" sqref="V23"/>
    </sheetView>
  </sheetViews>
  <sheetFormatPr baseColWidth="10" defaultRowHeight="14.5" x14ac:dyDescent="0.35"/>
  <cols>
    <col min="2" max="2" width="13.1796875" bestFit="1" customWidth="1"/>
    <col min="10" max="10" width="18.6328125" bestFit="1" customWidth="1"/>
    <col min="11" max="11" width="0" hidden="1" customWidth="1"/>
    <col min="12" max="12" width="10.36328125" hidden="1" customWidth="1"/>
    <col min="13" max="13" width="15.7265625" hidden="1" customWidth="1"/>
    <col min="14" max="15" width="0" hidden="1" customWidth="1"/>
    <col min="16" max="16" width="0.36328125" hidden="1" customWidth="1"/>
    <col min="18" max="18" width="13.1796875" bestFit="1" customWidth="1"/>
  </cols>
  <sheetData>
    <row r="1" spans="2:19" ht="15" thickBot="1" x14ac:dyDescent="0.4"/>
    <row r="2" spans="2:19" ht="15" thickBot="1" x14ac:dyDescent="0.4">
      <c r="B2" s="110" t="s">
        <v>117</v>
      </c>
      <c r="C2" s="110"/>
      <c r="D2" s="110"/>
      <c r="E2" s="110"/>
      <c r="F2" s="110"/>
      <c r="G2" s="102"/>
      <c r="H2" s="102"/>
      <c r="I2" s="102"/>
      <c r="J2" s="102"/>
      <c r="O2" s="33"/>
      <c r="P2" s="33"/>
    </row>
    <row r="3" spans="2:19" ht="31" customHeight="1" thickBot="1" x14ac:dyDescent="0.4">
      <c r="O3" s="44" t="s">
        <v>95</v>
      </c>
      <c r="P3" s="45" t="s">
        <v>154</v>
      </c>
    </row>
    <row r="4" spans="2:19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G4" s="133"/>
      <c r="H4" s="46" t="s">
        <v>116</v>
      </c>
      <c r="I4" s="46" t="s">
        <v>114</v>
      </c>
      <c r="J4" s="46" t="s">
        <v>115</v>
      </c>
      <c r="K4" s="46" t="s">
        <v>116</v>
      </c>
      <c r="L4" s="46" t="s">
        <v>114</v>
      </c>
      <c r="M4" s="46" t="s">
        <v>115</v>
      </c>
      <c r="O4" s="35" t="s">
        <v>59</v>
      </c>
      <c r="P4" s="24">
        <v>267</v>
      </c>
      <c r="R4" t="s">
        <v>158</v>
      </c>
      <c r="S4" t="s">
        <v>159</v>
      </c>
    </row>
    <row r="5" spans="2:19" ht="19" thickBot="1" x14ac:dyDescent="0.5">
      <c r="B5" s="1" t="s">
        <v>59</v>
      </c>
      <c r="C5" s="1"/>
      <c r="D5" s="1"/>
      <c r="E5" s="4">
        <f>SUM(E6:E9)</f>
        <v>267</v>
      </c>
      <c r="F5" s="4">
        <f>SUM(F6:F9)</f>
        <v>801</v>
      </c>
      <c r="G5" s="134"/>
      <c r="H5" s="2" t="s">
        <v>67</v>
      </c>
      <c r="I5" s="2">
        <f>+F5</f>
        <v>801</v>
      </c>
      <c r="J5" s="2">
        <f>+E5</f>
        <v>267</v>
      </c>
      <c r="K5" s="2" t="s">
        <v>67</v>
      </c>
      <c r="L5" s="2">
        <f>+F5</f>
        <v>801</v>
      </c>
      <c r="M5" s="2">
        <f>+E5</f>
        <v>267</v>
      </c>
      <c r="O5" s="36" t="s">
        <v>6</v>
      </c>
      <c r="P5" s="26">
        <v>160</v>
      </c>
      <c r="R5" s="1" t="s">
        <v>40</v>
      </c>
      <c r="S5" s="1">
        <v>4</v>
      </c>
    </row>
    <row r="6" spans="2:19" ht="29.5" thickBot="1" x14ac:dyDescent="0.4">
      <c r="B6" s="1" t="s">
        <v>6</v>
      </c>
      <c r="C6" s="1" t="s">
        <v>50</v>
      </c>
      <c r="D6" s="1">
        <v>3</v>
      </c>
      <c r="E6" s="1">
        <f>+P5</f>
        <v>160</v>
      </c>
      <c r="F6" s="1">
        <f>+D6*E6</f>
        <v>480</v>
      </c>
      <c r="G6" s="133"/>
      <c r="H6" s="2" t="s">
        <v>68</v>
      </c>
      <c r="I6" s="2">
        <f>+F10</f>
        <v>976</v>
      </c>
      <c r="J6" s="2">
        <f>+E10</f>
        <v>122</v>
      </c>
      <c r="K6" s="2" t="s">
        <v>68</v>
      </c>
      <c r="L6" s="2">
        <f>+F10</f>
        <v>976</v>
      </c>
      <c r="M6" s="2">
        <f>+E10</f>
        <v>122</v>
      </c>
      <c r="O6" s="36" t="s">
        <v>7</v>
      </c>
      <c r="P6" s="26">
        <v>0</v>
      </c>
      <c r="R6" s="1" t="s">
        <v>6</v>
      </c>
      <c r="S6" s="1">
        <v>160</v>
      </c>
    </row>
    <row r="7" spans="2:19" ht="15" thickBot="1" x14ac:dyDescent="0.4">
      <c r="B7" s="1" t="s">
        <v>7</v>
      </c>
      <c r="C7" s="1" t="s">
        <v>50</v>
      </c>
      <c r="D7" s="1">
        <v>3</v>
      </c>
      <c r="E7" s="1">
        <f>+P6</f>
        <v>0</v>
      </c>
      <c r="F7" s="1">
        <f t="shared" ref="F7:F9" si="0">+D7*E7</f>
        <v>0</v>
      </c>
      <c r="G7" s="133"/>
      <c r="H7" s="2" t="s">
        <v>69</v>
      </c>
      <c r="I7" s="2">
        <f>+F22</f>
        <v>371</v>
      </c>
      <c r="J7" s="2">
        <f>+E22</f>
        <v>67</v>
      </c>
      <c r="K7" s="2" t="s">
        <v>69</v>
      </c>
      <c r="L7" s="2">
        <f>+F22</f>
        <v>371</v>
      </c>
      <c r="M7" s="2">
        <f>+E22</f>
        <v>67</v>
      </c>
      <c r="O7" s="36" t="s">
        <v>8</v>
      </c>
      <c r="P7" s="26">
        <v>107</v>
      </c>
      <c r="R7" s="1" t="s">
        <v>35</v>
      </c>
      <c r="S7" s="1">
        <v>12</v>
      </c>
    </row>
    <row r="8" spans="2:19" ht="29.5" thickBot="1" x14ac:dyDescent="0.4">
      <c r="B8" s="1" t="s">
        <v>8</v>
      </c>
      <c r="C8" s="1" t="s">
        <v>50</v>
      </c>
      <c r="D8" s="1">
        <v>3</v>
      </c>
      <c r="E8" s="1">
        <f>+P7</f>
        <v>107</v>
      </c>
      <c r="F8" s="1">
        <f t="shared" si="0"/>
        <v>321</v>
      </c>
      <c r="G8" s="133"/>
      <c r="H8" s="2" t="s">
        <v>70</v>
      </c>
      <c r="I8" s="2">
        <f>+F30</f>
        <v>692</v>
      </c>
      <c r="J8" s="2">
        <f>+E30</f>
        <v>100</v>
      </c>
      <c r="K8" s="2" t="s">
        <v>70</v>
      </c>
      <c r="L8" s="2">
        <f>+F30</f>
        <v>692</v>
      </c>
      <c r="M8" s="2">
        <f>+E30</f>
        <v>100</v>
      </c>
      <c r="O8" s="36" t="s">
        <v>9</v>
      </c>
      <c r="P8" s="25"/>
      <c r="R8" s="1" t="s">
        <v>28</v>
      </c>
      <c r="S8" s="1">
        <v>12</v>
      </c>
    </row>
    <row r="9" spans="2:19" ht="17.5" thickBot="1" x14ac:dyDescent="0.45">
      <c r="B9" s="1" t="s">
        <v>9</v>
      </c>
      <c r="C9" s="1" t="s">
        <v>50</v>
      </c>
      <c r="D9" s="1">
        <v>3</v>
      </c>
      <c r="E9" s="1">
        <f>+P8</f>
        <v>0</v>
      </c>
      <c r="F9" s="1">
        <f t="shared" si="0"/>
        <v>0</v>
      </c>
      <c r="G9" s="133"/>
      <c r="H9" s="2" t="s">
        <v>71</v>
      </c>
      <c r="I9" s="2">
        <f>+F37</f>
        <v>304</v>
      </c>
      <c r="J9" s="2">
        <f>+E37</f>
        <v>38</v>
      </c>
      <c r="K9" s="2" t="s">
        <v>71</v>
      </c>
      <c r="L9" s="2">
        <f>+F37</f>
        <v>304</v>
      </c>
      <c r="M9" s="2">
        <f>+E37</f>
        <v>38</v>
      </c>
      <c r="O9" s="35" t="s">
        <v>10</v>
      </c>
      <c r="P9" s="24">
        <v>122</v>
      </c>
      <c r="R9" s="1" t="s">
        <v>44</v>
      </c>
      <c r="S9">
        <v>0</v>
      </c>
    </row>
    <row r="10" spans="2:19" ht="30.5" thickBot="1" x14ac:dyDescent="0.5">
      <c r="B10" s="1" t="s">
        <v>10</v>
      </c>
      <c r="C10" s="1"/>
      <c r="D10" s="1"/>
      <c r="E10" s="4">
        <f>SUM(E11:E21)</f>
        <v>122</v>
      </c>
      <c r="F10" s="4">
        <f>SUM(F11:F21)</f>
        <v>976</v>
      </c>
      <c r="G10" s="134"/>
      <c r="H10" s="2" t="s">
        <v>44</v>
      </c>
      <c r="I10" s="2">
        <f>+F44</f>
        <v>0</v>
      </c>
      <c r="J10" s="2">
        <f>+E44</f>
        <v>0</v>
      </c>
      <c r="K10" s="2" t="s">
        <v>44</v>
      </c>
      <c r="L10" s="2">
        <f>+F44</f>
        <v>0</v>
      </c>
      <c r="M10" s="2">
        <f>+C44+E44</f>
        <v>0</v>
      </c>
      <c r="O10" s="36" t="s">
        <v>11</v>
      </c>
      <c r="P10" s="26">
        <v>0</v>
      </c>
      <c r="R10" s="1" t="s">
        <v>14</v>
      </c>
      <c r="S10">
        <v>5</v>
      </c>
    </row>
    <row r="11" spans="2:19" ht="19" thickBot="1" x14ac:dyDescent="0.5">
      <c r="B11" s="1" t="s">
        <v>11</v>
      </c>
      <c r="C11" s="1" t="s">
        <v>50</v>
      </c>
      <c r="D11" s="1">
        <v>5</v>
      </c>
      <c r="E11" s="1">
        <f>+P10</f>
        <v>0</v>
      </c>
      <c r="F11" s="1">
        <f>+D11*E11</f>
        <v>0</v>
      </c>
      <c r="G11" s="133"/>
      <c r="H11" s="43" t="s">
        <v>51</v>
      </c>
      <c r="I11" s="43">
        <f>SUM(I5:I10)</f>
        <v>3144</v>
      </c>
      <c r="J11" s="43">
        <f>SUM(J5:J10)</f>
        <v>594</v>
      </c>
      <c r="K11" s="43" t="s">
        <v>51</v>
      </c>
      <c r="L11" s="43">
        <f>SUM(L5:L10)</f>
        <v>3144</v>
      </c>
      <c r="M11" s="43">
        <f>SUM(M5:M10)</f>
        <v>594</v>
      </c>
      <c r="O11" s="36" t="s">
        <v>12</v>
      </c>
      <c r="P11" s="26">
        <v>10</v>
      </c>
      <c r="R11" s="1" t="s">
        <v>16</v>
      </c>
      <c r="S11">
        <v>16</v>
      </c>
    </row>
    <row r="12" spans="2:19" ht="15" thickBot="1" x14ac:dyDescent="0.4">
      <c r="B12" s="1" t="s">
        <v>12</v>
      </c>
      <c r="C12" s="1" t="s">
        <v>50</v>
      </c>
      <c r="D12" s="1">
        <v>8</v>
      </c>
      <c r="E12" s="1">
        <f>+P11</f>
        <v>10</v>
      </c>
      <c r="F12" s="1">
        <f t="shared" ref="F12:F21" si="1">+D12*E12</f>
        <v>80</v>
      </c>
      <c r="G12" s="133"/>
      <c r="H12" s="133"/>
      <c r="I12" s="133"/>
      <c r="J12" s="133"/>
      <c r="O12" s="36" t="s">
        <v>13</v>
      </c>
      <c r="P12" s="26">
        <v>16</v>
      </c>
      <c r="R12" s="1" t="s">
        <v>8</v>
      </c>
      <c r="S12">
        <v>107</v>
      </c>
    </row>
    <row r="13" spans="2:19" ht="15" thickBot="1" x14ac:dyDescent="0.4">
      <c r="B13" s="1" t="s">
        <v>13</v>
      </c>
      <c r="C13" s="1" t="s">
        <v>50</v>
      </c>
      <c r="D13" s="1">
        <v>8</v>
      </c>
      <c r="E13" s="1">
        <f>+P12</f>
        <v>16</v>
      </c>
      <c r="F13" s="1">
        <f t="shared" si="1"/>
        <v>128</v>
      </c>
      <c r="G13" s="133"/>
      <c r="H13" s="133"/>
      <c r="I13" s="133"/>
      <c r="J13" s="133"/>
      <c r="O13" s="36" t="s">
        <v>14</v>
      </c>
      <c r="P13" s="26">
        <v>5</v>
      </c>
      <c r="R13" s="1" t="s">
        <v>42</v>
      </c>
      <c r="S13">
        <v>0</v>
      </c>
    </row>
    <row r="14" spans="2:19" ht="15" thickBot="1" x14ac:dyDescent="0.4">
      <c r="B14" s="1" t="s">
        <v>14</v>
      </c>
      <c r="C14" s="1" t="s">
        <v>50</v>
      </c>
      <c r="D14" s="1">
        <v>8</v>
      </c>
      <c r="E14" s="1">
        <f>P13</f>
        <v>5</v>
      </c>
      <c r="F14" s="1">
        <f t="shared" si="1"/>
        <v>40</v>
      </c>
      <c r="G14" s="133"/>
      <c r="H14" s="133"/>
      <c r="I14" s="133"/>
      <c r="J14" s="133"/>
      <c r="O14" s="36" t="s">
        <v>15</v>
      </c>
      <c r="P14" s="26">
        <v>0</v>
      </c>
      <c r="R14" s="1" t="s">
        <v>11</v>
      </c>
      <c r="S14">
        <v>0</v>
      </c>
    </row>
    <row r="15" spans="2:19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+P14</f>
        <v>0</v>
      </c>
      <c r="F15" s="1">
        <f t="shared" si="1"/>
        <v>0</v>
      </c>
      <c r="G15" s="133"/>
      <c r="H15" s="133"/>
      <c r="I15" s="133"/>
      <c r="J15" s="133"/>
      <c r="O15" s="36" t="s">
        <v>16</v>
      </c>
      <c r="P15" s="26">
        <v>16</v>
      </c>
      <c r="R15" s="1" t="s">
        <v>7</v>
      </c>
      <c r="S15">
        <v>0</v>
      </c>
    </row>
    <row r="16" spans="2:19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16</v>
      </c>
      <c r="F16" s="1">
        <f t="shared" si="1"/>
        <v>128</v>
      </c>
      <c r="G16" s="133"/>
      <c r="H16" s="133"/>
      <c r="I16" s="133"/>
      <c r="J16" s="133"/>
      <c r="O16" s="36" t="s">
        <v>17</v>
      </c>
      <c r="P16" s="26">
        <v>5</v>
      </c>
      <c r="R16" s="1" t="s">
        <v>12</v>
      </c>
      <c r="S16">
        <v>10</v>
      </c>
    </row>
    <row r="17" spans="2:19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5</v>
      </c>
      <c r="F17" s="1">
        <f t="shared" si="1"/>
        <v>40</v>
      </c>
      <c r="G17" s="133"/>
      <c r="H17" s="133"/>
      <c r="I17" s="133"/>
      <c r="J17" s="133"/>
      <c r="O17" s="36" t="s">
        <v>18</v>
      </c>
      <c r="P17" s="26">
        <v>0</v>
      </c>
      <c r="R17" s="1" t="s">
        <v>38</v>
      </c>
      <c r="S17">
        <v>14</v>
      </c>
    </row>
    <row r="18" spans="2:19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0</v>
      </c>
      <c r="F18" s="1">
        <f t="shared" si="1"/>
        <v>0</v>
      </c>
      <c r="G18" s="133"/>
      <c r="H18" s="133"/>
      <c r="I18" s="133"/>
      <c r="J18" s="133"/>
      <c r="O18" s="36" t="s">
        <v>19</v>
      </c>
      <c r="P18" s="26">
        <v>32</v>
      </c>
      <c r="R18" s="1" t="s">
        <v>27</v>
      </c>
      <c r="S18">
        <v>37</v>
      </c>
    </row>
    <row r="19" spans="2:19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32</v>
      </c>
      <c r="F19" s="1">
        <f t="shared" si="1"/>
        <v>256</v>
      </c>
      <c r="G19" s="133"/>
      <c r="H19" s="133"/>
      <c r="I19" s="133"/>
      <c r="J19" s="133"/>
      <c r="O19" s="36" t="s">
        <v>20</v>
      </c>
      <c r="P19" s="26">
        <v>32</v>
      </c>
      <c r="R19" s="1" t="s">
        <v>18</v>
      </c>
      <c r="S19">
        <v>0</v>
      </c>
    </row>
    <row r="20" spans="2:19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32</v>
      </c>
      <c r="F20" s="1">
        <f t="shared" si="1"/>
        <v>256</v>
      </c>
      <c r="G20" s="133"/>
      <c r="H20" s="133"/>
      <c r="I20" s="133"/>
      <c r="J20" s="133"/>
      <c r="O20" s="36" t="s">
        <v>21</v>
      </c>
      <c r="P20" s="26">
        <v>6</v>
      </c>
      <c r="R20" s="1" t="s">
        <v>19</v>
      </c>
      <c r="S20">
        <v>32</v>
      </c>
    </row>
    <row r="21" spans="2:19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6</v>
      </c>
      <c r="F21" s="1">
        <f t="shared" si="1"/>
        <v>48</v>
      </c>
      <c r="G21" s="133"/>
      <c r="H21" s="133"/>
      <c r="I21" s="133"/>
      <c r="J21" s="133"/>
      <c r="O21" s="35" t="s">
        <v>22</v>
      </c>
      <c r="P21" s="24">
        <v>67</v>
      </c>
      <c r="R21" s="1" t="s">
        <v>47</v>
      </c>
      <c r="S21">
        <v>0</v>
      </c>
    </row>
    <row r="22" spans="2:19" ht="19" thickBot="1" x14ac:dyDescent="0.5">
      <c r="B22" s="1" t="s">
        <v>22</v>
      </c>
      <c r="C22" s="1"/>
      <c r="D22" s="1"/>
      <c r="E22" s="4">
        <f>SUM(E23:E29)</f>
        <v>67</v>
      </c>
      <c r="F22" s="4">
        <f>SUM(F23:F29)</f>
        <v>371</v>
      </c>
      <c r="G22" s="134"/>
      <c r="H22" s="134"/>
      <c r="I22" s="134"/>
      <c r="J22" s="134"/>
      <c r="O22" s="36" t="s">
        <v>23</v>
      </c>
      <c r="P22" s="26">
        <v>0</v>
      </c>
      <c r="R22" s="1" t="s">
        <v>15</v>
      </c>
      <c r="S22">
        <v>0</v>
      </c>
    </row>
    <row r="23" spans="2:19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+P22</f>
        <v>0</v>
      </c>
      <c r="F23" s="1">
        <f>+D23*E23</f>
        <v>0</v>
      </c>
      <c r="G23" s="133"/>
      <c r="H23" s="133"/>
      <c r="I23" s="133"/>
      <c r="J23" s="133"/>
      <c r="O23" s="36" t="s">
        <v>24</v>
      </c>
      <c r="P23" s="26">
        <v>0</v>
      </c>
      <c r="R23" s="1" t="s">
        <v>20</v>
      </c>
      <c r="S23">
        <v>32</v>
      </c>
    </row>
    <row r="24" spans="2:19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0</v>
      </c>
      <c r="F24" s="1">
        <f t="shared" ref="F24:F29" si="4">+D24*E24</f>
        <v>0</v>
      </c>
      <c r="G24" s="133"/>
      <c r="H24" s="133"/>
      <c r="I24" s="133"/>
      <c r="J24" s="133"/>
      <c r="O24" s="36" t="s">
        <v>25</v>
      </c>
      <c r="P24" s="26">
        <v>0</v>
      </c>
      <c r="R24" s="1" t="s">
        <v>41</v>
      </c>
      <c r="S24">
        <v>4</v>
      </c>
    </row>
    <row r="25" spans="2:19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0</v>
      </c>
      <c r="F25" s="1">
        <f t="shared" si="4"/>
        <v>0</v>
      </c>
      <c r="G25" s="133"/>
      <c r="H25" s="133"/>
      <c r="I25" s="133"/>
      <c r="J25" s="133"/>
      <c r="O25" s="36" t="s">
        <v>26</v>
      </c>
      <c r="P25" s="26">
        <v>18</v>
      </c>
      <c r="R25" s="1" t="s">
        <v>17</v>
      </c>
      <c r="S25">
        <v>5</v>
      </c>
    </row>
    <row r="26" spans="2:19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18</v>
      </c>
      <c r="F26" s="1">
        <f t="shared" si="4"/>
        <v>90</v>
      </c>
      <c r="G26" s="133"/>
      <c r="H26" s="133"/>
      <c r="I26" s="133"/>
      <c r="J26" s="133"/>
      <c r="O26" s="36" t="s">
        <v>27</v>
      </c>
      <c r="P26" s="26">
        <v>37</v>
      </c>
      <c r="R26" s="1" t="s">
        <v>33</v>
      </c>
      <c r="S26">
        <v>24</v>
      </c>
    </row>
    <row r="27" spans="2:19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37</v>
      </c>
      <c r="F27" s="1">
        <f t="shared" si="4"/>
        <v>185</v>
      </c>
      <c r="G27" s="133"/>
      <c r="H27" s="133"/>
      <c r="I27" s="133"/>
      <c r="J27" s="133"/>
      <c r="O27" s="36" t="s">
        <v>28</v>
      </c>
      <c r="P27" s="26">
        <v>12</v>
      </c>
      <c r="R27" s="1" t="s">
        <v>45</v>
      </c>
      <c r="S27">
        <v>0</v>
      </c>
    </row>
    <row r="28" spans="2:19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12</v>
      </c>
      <c r="F28" s="1">
        <f t="shared" si="4"/>
        <v>96</v>
      </c>
      <c r="G28" s="133"/>
      <c r="H28" s="133"/>
      <c r="I28" s="133"/>
      <c r="J28" s="133"/>
      <c r="O28" s="36" t="s">
        <v>29</v>
      </c>
      <c r="P28" s="25"/>
      <c r="R28" s="1" t="s">
        <v>25</v>
      </c>
      <c r="S28">
        <v>0</v>
      </c>
    </row>
    <row r="29" spans="2:19" ht="30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G29" s="133"/>
      <c r="H29" s="133"/>
      <c r="I29" s="133"/>
      <c r="J29" s="133"/>
      <c r="O29" s="35" t="s">
        <v>30</v>
      </c>
      <c r="P29" s="24">
        <v>100</v>
      </c>
      <c r="R29" s="1" t="s">
        <v>46</v>
      </c>
      <c r="S29">
        <v>0</v>
      </c>
    </row>
    <row r="30" spans="2:19" ht="19" thickBot="1" x14ac:dyDescent="0.5">
      <c r="B30" s="1" t="s">
        <v>30</v>
      </c>
      <c r="C30" s="1"/>
      <c r="D30" s="1"/>
      <c r="E30" s="4">
        <f>SUM(E31:E36)</f>
        <v>100</v>
      </c>
      <c r="F30" s="4">
        <f>SUM(F31:F36)</f>
        <v>692</v>
      </c>
      <c r="G30" s="134"/>
      <c r="H30" s="134"/>
      <c r="I30" s="134"/>
      <c r="J30" s="134"/>
      <c r="O30" s="36" t="s">
        <v>32</v>
      </c>
      <c r="P30" s="26">
        <v>36</v>
      </c>
      <c r="R30" s="1" t="s">
        <v>32</v>
      </c>
      <c r="S30">
        <v>36</v>
      </c>
    </row>
    <row r="31" spans="2:19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+P30</f>
        <v>36</v>
      </c>
      <c r="F31" s="1">
        <f>+D31*E31</f>
        <v>180</v>
      </c>
      <c r="G31" s="133"/>
      <c r="H31" s="133"/>
      <c r="I31" s="133"/>
      <c r="J31" s="133"/>
      <c r="O31" s="36" t="s">
        <v>31</v>
      </c>
      <c r="P31" s="26">
        <v>22</v>
      </c>
      <c r="R31" s="1" t="s">
        <v>34</v>
      </c>
      <c r="S31">
        <v>5</v>
      </c>
    </row>
    <row r="32" spans="2:19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22</v>
      </c>
      <c r="F32" s="1">
        <f t="shared" ref="F32:F36" si="6">+D32*E32</f>
        <v>176</v>
      </c>
      <c r="G32" s="133"/>
      <c r="H32" s="133"/>
      <c r="I32" s="133"/>
      <c r="J32" s="133"/>
      <c r="O32" s="36" t="s">
        <v>33</v>
      </c>
      <c r="P32" s="26">
        <v>24</v>
      </c>
      <c r="R32" s="1" t="s">
        <v>49</v>
      </c>
      <c r="S32">
        <v>0</v>
      </c>
    </row>
    <row r="33" spans="2:19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24</v>
      </c>
      <c r="F33" s="1">
        <f t="shared" si="6"/>
        <v>192</v>
      </c>
      <c r="G33" s="133"/>
      <c r="H33" s="133"/>
      <c r="I33" s="133"/>
      <c r="J33" s="133"/>
      <c r="O33" s="36" t="s">
        <v>34</v>
      </c>
      <c r="P33" s="26">
        <v>5</v>
      </c>
      <c r="R33" s="1" t="s">
        <v>29</v>
      </c>
      <c r="S33">
        <v>0</v>
      </c>
    </row>
    <row r="34" spans="2:19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5</v>
      </c>
      <c r="F34" s="1">
        <f t="shared" si="6"/>
        <v>40</v>
      </c>
      <c r="G34" s="133"/>
      <c r="H34" s="133"/>
      <c r="I34" s="133"/>
      <c r="J34" s="133"/>
      <c r="O34" s="37" t="s">
        <v>97</v>
      </c>
      <c r="P34" s="26">
        <v>1</v>
      </c>
      <c r="R34" s="1" t="s">
        <v>26</v>
      </c>
      <c r="S34">
        <v>18</v>
      </c>
    </row>
    <row r="35" spans="2:19" ht="29.5" thickBot="1" x14ac:dyDescent="0.4">
      <c r="B35" s="1" t="s">
        <v>155</v>
      </c>
      <c r="C35" s="1" t="s">
        <v>50</v>
      </c>
      <c r="D35" s="1">
        <v>8</v>
      </c>
      <c r="E35" s="1">
        <f t="shared" si="5"/>
        <v>1</v>
      </c>
      <c r="F35" s="1">
        <f t="shared" si="6"/>
        <v>8</v>
      </c>
      <c r="G35" s="133"/>
      <c r="H35" s="133"/>
      <c r="I35" s="133"/>
      <c r="J35" s="133"/>
      <c r="O35" s="37" t="s">
        <v>35</v>
      </c>
      <c r="P35" s="26">
        <v>12</v>
      </c>
      <c r="R35" s="1" t="s">
        <v>21</v>
      </c>
      <c r="S35">
        <v>6</v>
      </c>
    </row>
    <row r="36" spans="2:19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12</v>
      </c>
      <c r="F36" s="1">
        <f t="shared" si="6"/>
        <v>96</v>
      </c>
      <c r="G36" s="133"/>
      <c r="H36" s="133"/>
      <c r="I36" s="133"/>
      <c r="J36" s="133"/>
      <c r="O36" s="35" t="s">
        <v>36</v>
      </c>
      <c r="P36" s="24">
        <v>38</v>
      </c>
      <c r="R36" s="1" t="s">
        <v>23</v>
      </c>
      <c r="S36">
        <v>0</v>
      </c>
    </row>
    <row r="37" spans="2:19" ht="19" thickBot="1" x14ac:dyDescent="0.5">
      <c r="B37" s="1" t="s">
        <v>36</v>
      </c>
      <c r="C37" s="1"/>
      <c r="D37" s="1"/>
      <c r="E37" s="4">
        <f>SUM(E38:E43)</f>
        <v>38</v>
      </c>
      <c r="F37" s="4">
        <f>SUM(F38:F43)</f>
        <v>304</v>
      </c>
      <c r="G37" s="134"/>
      <c r="H37" s="134"/>
      <c r="I37" s="134"/>
      <c r="J37" s="134"/>
      <c r="O37" s="36" t="s">
        <v>37</v>
      </c>
      <c r="P37" s="26">
        <v>0</v>
      </c>
      <c r="R37" s="1" t="s">
        <v>24</v>
      </c>
      <c r="S37">
        <v>0</v>
      </c>
    </row>
    <row r="38" spans="2:19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7">+P38</f>
        <v>0</v>
      </c>
      <c r="F38" s="1">
        <f>+D38*E38</f>
        <v>0</v>
      </c>
      <c r="G38" s="133"/>
      <c r="H38" s="133"/>
      <c r="I38" s="133"/>
      <c r="J38" s="133"/>
      <c r="O38" s="36" t="s">
        <v>38</v>
      </c>
      <c r="P38" s="26">
        <v>0</v>
      </c>
      <c r="R38" s="1" t="s">
        <v>9</v>
      </c>
      <c r="S38">
        <v>0</v>
      </c>
    </row>
    <row r="39" spans="2:19" ht="15" thickBot="1" x14ac:dyDescent="0.4">
      <c r="B39" s="1" t="s">
        <v>38</v>
      </c>
      <c r="C39" s="1" t="s">
        <v>50</v>
      </c>
      <c r="D39" s="1">
        <v>8</v>
      </c>
      <c r="E39" s="1">
        <f t="shared" si="7"/>
        <v>14</v>
      </c>
      <c r="F39" s="1">
        <f t="shared" ref="F39:F43" si="8">+D39*E39</f>
        <v>112</v>
      </c>
      <c r="G39" s="133"/>
      <c r="H39" s="133"/>
      <c r="I39" s="133"/>
      <c r="J39" s="133"/>
      <c r="O39" s="36" t="s">
        <v>39</v>
      </c>
      <c r="P39" s="26">
        <v>14</v>
      </c>
      <c r="R39" s="1" t="s">
        <v>155</v>
      </c>
      <c r="S39">
        <v>1</v>
      </c>
    </row>
    <row r="40" spans="2:19" ht="15" thickBot="1" x14ac:dyDescent="0.4">
      <c r="B40" s="1" t="s">
        <v>39</v>
      </c>
      <c r="C40" s="1" t="s">
        <v>50</v>
      </c>
      <c r="D40" s="1">
        <v>8</v>
      </c>
      <c r="E40" s="1">
        <f t="shared" si="7"/>
        <v>16</v>
      </c>
      <c r="F40" s="1">
        <f t="shared" si="8"/>
        <v>128</v>
      </c>
      <c r="G40" s="133"/>
      <c r="H40" s="133"/>
      <c r="I40" s="133"/>
      <c r="J40" s="133"/>
      <c r="O40" s="36" t="s">
        <v>40</v>
      </c>
      <c r="P40" s="26">
        <v>16</v>
      </c>
      <c r="R40" s="1" t="s">
        <v>13</v>
      </c>
      <c r="S40">
        <v>16</v>
      </c>
    </row>
    <row r="41" spans="2:19" ht="15" thickBot="1" x14ac:dyDescent="0.4">
      <c r="B41" s="1" t="s">
        <v>40</v>
      </c>
      <c r="C41" s="1" t="s">
        <v>50</v>
      </c>
      <c r="D41" s="1">
        <v>8</v>
      </c>
      <c r="E41" s="1">
        <f t="shared" si="7"/>
        <v>4</v>
      </c>
      <c r="F41" s="1">
        <f t="shared" si="8"/>
        <v>32</v>
      </c>
      <c r="G41" s="133"/>
      <c r="H41" s="133"/>
      <c r="I41" s="133"/>
      <c r="J41" s="133"/>
      <c r="O41" s="36" t="s">
        <v>98</v>
      </c>
      <c r="P41" s="26">
        <v>4</v>
      </c>
      <c r="R41" s="1" t="s">
        <v>31</v>
      </c>
      <c r="S41">
        <v>22</v>
      </c>
    </row>
    <row r="42" spans="2:19" ht="15" thickBot="1" x14ac:dyDescent="0.4">
      <c r="B42" s="1" t="s">
        <v>41</v>
      </c>
      <c r="C42" s="1" t="s">
        <v>50</v>
      </c>
      <c r="D42" s="1">
        <v>8</v>
      </c>
      <c r="E42" s="1">
        <f t="shared" si="7"/>
        <v>4</v>
      </c>
      <c r="F42" s="1">
        <f t="shared" si="8"/>
        <v>32</v>
      </c>
      <c r="G42" s="133"/>
      <c r="H42" s="133"/>
      <c r="I42" s="133"/>
      <c r="J42" s="133"/>
      <c r="O42" s="36" t="s">
        <v>42</v>
      </c>
      <c r="P42" s="26">
        <v>4</v>
      </c>
      <c r="R42" s="1" t="s">
        <v>37</v>
      </c>
      <c r="S42">
        <v>0</v>
      </c>
    </row>
    <row r="43" spans="2:19" ht="17.5" thickBot="1" x14ac:dyDescent="0.45">
      <c r="B43" s="1" t="s">
        <v>42</v>
      </c>
      <c r="C43" s="1" t="s">
        <v>50</v>
      </c>
      <c r="D43" s="1">
        <v>8</v>
      </c>
      <c r="E43" s="1">
        <f t="shared" si="7"/>
        <v>0</v>
      </c>
      <c r="F43" s="1">
        <f t="shared" si="8"/>
        <v>0</v>
      </c>
      <c r="G43" s="133"/>
      <c r="H43" s="133"/>
      <c r="I43" s="133"/>
      <c r="J43" s="133"/>
      <c r="O43" s="35" t="s">
        <v>43</v>
      </c>
      <c r="P43" s="24">
        <v>0</v>
      </c>
      <c r="R43" s="1" t="s">
        <v>39</v>
      </c>
      <c r="S43">
        <v>16</v>
      </c>
    </row>
    <row r="44" spans="2:19" ht="19" thickBot="1" x14ac:dyDescent="0.5">
      <c r="B44" s="1" t="s">
        <v>43</v>
      </c>
      <c r="C44" s="1"/>
      <c r="D44" s="1"/>
      <c r="E44" s="4">
        <f>SUM(E45:E49)</f>
        <v>0</v>
      </c>
      <c r="F44" s="4">
        <f>SUM(F45:F49)</f>
        <v>0</v>
      </c>
      <c r="G44" s="134"/>
      <c r="H44" s="134"/>
      <c r="I44" s="134"/>
      <c r="J44" s="134"/>
      <c r="O44" s="36" t="s">
        <v>44</v>
      </c>
      <c r="P44" s="26">
        <v>0</v>
      </c>
    </row>
    <row r="45" spans="2:19" ht="15" thickBot="1" x14ac:dyDescent="0.4">
      <c r="B45" s="1" t="s">
        <v>44</v>
      </c>
      <c r="C45" s="1" t="s">
        <v>50</v>
      </c>
      <c r="D45" s="1">
        <v>8</v>
      </c>
      <c r="E45" s="1">
        <f>+P45</f>
        <v>0</v>
      </c>
      <c r="F45" s="1">
        <f>+D45*E45</f>
        <v>0</v>
      </c>
      <c r="G45" s="133"/>
      <c r="H45" s="133"/>
      <c r="I45" s="133"/>
      <c r="J45" s="133"/>
      <c r="O45" s="36" t="s">
        <v>45</v>
      </c>
      <c r="P45" s="26">
        <v>0</v>
      </c>
    </row>
    <row r="46" spans="2:19" ht="15" thickBot="1" x14ac:dyDescent="0.4">
      <c r="B46" s="1" t="s">
        <v>45</v>
      </c>
      <c r="C46" s="1" t="s">
        <v>50</v>
      </c>
      <c r="D46" s="1">
        <v>8</v>
      </c>
      <c r="E46" s="1">
        <f>+P46</f>
        <v>0</v>
      </c>
      <c r="F46" s="1">
        <f t="shared" ref="F46:F49" si="9">+D46*E46</f>
        <v>0</v>
      </c>
      <c r="G46" s="133"/>
      <c r="H46" s="133"/>
      <c r="I46" s="133"/>
      <c r="J46" s="133"/>
      <c r="O46" s="36" t="s">
        <v>46</v>
      </c>
      <c r="P46" s="26">
        <v>0</v>
      </c>
    </row>
    <row r="47" spans="2:19" ht="15" thickBot="1" x14ac:dyDescent="0.4">
      <c r="B47" s="1" t="s">
        <v>46</v>
      </c>
      <c r="C47" s="1" t="s">
        <v>50</v>
      </c>
      <c r="D47" s="1">
        <v>8</v>
      </c>
      <c r="E47" s="1">
        <f>+P47</f>
        <v>0</v>
      </c>
      <c r="F47" s="1">
        <f t="shared" si="9"/>
        <v>0</v>
      </c>
      <c r="G47" s="133"/>
      <c r="H47" s="133"/>
      <c r="I47" s="133"/>
      <c r="J47" s="133"/>
      <c r="O47" s="36" t="s">
        <v>47</v>
      </c>
      <c r="P47" s="26">
        <v>0</v>
      </c>
    </row>
    <row r="48" spans="2:19" ht="29.5" thickBot="1" x14ac:dyDescent="0.4">
      <c r="B48" s="1" t="s">
        <v>47</v>
      </c>
      <c r="C48" s="1" t="s">
        <v>50</v>
      </c>
      <c r="D48" s="1">
        <v>8</v>
      </c>
      <c r="E48" s="1">
        <f>+P48</f>
        <v>0</v>
      </c>
      <c r="F48" s="1">
        <f t="shared" si="9"/>
        <v>0</v>
      </c>
      <c r="G48" s="133"/>
      <c r="H48" s="133"/>
      <c r="I48" s="133"/>
      <c r="J48" s="133"/>
      <c r="O48" s="36" t="s">
        <v>49</v>
      </c>
      <c r="P48" s="26">
        <v>0</v>
      </c>
    </row>
    <row r="49" spans="2:16" ht="15" thickBot="1" x14ac:dyDescent="0.4">
      <c r="B49" s="1" t="s">
        <v>49</v>
      </c>
      <c r="C49" s="1" t="s">
        <v>50</v>
      </c>
      <c r="D49" s="1">
        <v>8</v>
      </c>
      <c r="E49" s="1">
        <f>+P49</f>
        <v>0</v>
      </c>
      <c r="F49" s="1">
        <f t="shared" si="9"/>
        <v>0</v>
      </c>
      <c r="G49" s="133"/>
      <c r="H49" s="133"/>
      <c r="I49" s="133"/>
      <c r="J49" s="133"/>
      <c r="O49" s="21"/>
      <c r="P49" s="21"/>
    </row>
    <row r="50" spans="2:16" ht="19" thickBot="1" x14ac:dyDescent="0.5">
      <c r="B50" s="111" t="s">
        <v>51</v>
      </c>
      <c r="C50" s="111"/>
      <c r="D50" s="111"/>
      <c r="E50" s="4">
        <f>+E44+E37+E30+E22+E10+E5</f>
        <v>594</v>
      </c>
      <c r="F50" s="4">
        <f>+F44+F37+F30+F22+F10+F5</f>
        <v>3144</v>
      </c>
      <c r="G50" s="134"/>
      <c r="H50" s="134"/>
      <c r="I50" s="134"/>
      <c r="J50" s="134"/>
      <c r="O50" s="21" t="s">
        <v>51</v>
      </c>
      <c r="P50" s="38">
        <v>594</v>
      </c>
    </row>
    <row r="51" spans="2:16" ht="17.5" thickBot="1" x14ac:dyDescent="0.45">
      <c r="O51" s="21" t="s">
        <v>51</v>
      </c>
      <c r="P51" s="38">
        <v>594</v>
      </c>
    </row>
  </sheetData>
  <mergeCells count="2">
    <mergeCell ref="B2:F2"/>
    <mergeCell ref="B50:D50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370E-C5F1-4A24-B4C7-E73D9A00EC76}">
  <dimension ref="B1:P51"/>
  <sheetViews>
    <sheetView zoomScale="92" workbookViewId="0">
      <selection activeCell="E45" sqref="E45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5.7265625" bestFit="1" customWidth="1"/>
    <col min="12" max="12" width="13.81640625" bestFit="1" customWidth="1"/>
    <col min="15" max="15" width="13.1796875" bestFit="1" customWidth="1"/>
    <col min="16" max="16" width="10.36328125" bestFit="1" customWidth="1"/>
  </cols>
  <sheetData>
    <row r="1" spans="2:16" ht="15" thickBot="1" x14ac:dyDescent="0.4"/>
    <row r="2" spans="2:16" ht="15" customHeight="1" thickBot="1" x14ac:dyDescent="0.4">
      <c r="B2" s="102" t="s">
        <v>117</v>
      </c>
      <c r="C2" s="102"/>
      <c r="D2" s="102"/>
      <c r="E2" s="102"/>
      <c r="F2" s="102"/>
      <c r="L2" s="33"/>
      <c r="M2" s="33"/>
    </row>
    <row r="3" spans="2:16" ht="58.5" thickBot="1" x14ac:dyDescent="0.4">
      <c r="L3" s="44" t="s">
        <v>95</v>
      </c>
      <c r="M3" s="45" t="s">
        <v>154</v>
      </c>
    </row>
    <row r="4" spans="2:16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393</v>
      </c>
      <c r="O4" t="s">
        <v>158</v>
      </c>
      <c r="P4" t="s">
        <v>159</v>
      </c>
    </row>
    <row r="5" spans="2:16" ht="19" thickBot="1" x14ac:dyDescent="0.5">
      <c r="B5" s="1" t="s">
        <v>59</v>
      </c>
      <c r="C5" s="1"/>
      <c r="D5" s="1"/>
      <c r="E5" s="4">
        <f>SUM(E6:E9)</f>
        <v>393</v>
      </c>
      <c r="F5" s="4">
        <f>SUM(F6:F9)</f>
        <v>1179</v>
      </c>
      <c r="H5" s="2" t="s">
        <v>67</v>
      </c>
      <c r="I5" s="2">
        <f>+F5</f>
        <v>1179</v>
      </c>
      <c r="J5" s="2">
        <f>+E5</f>
        <v>393</v>
      </c>
      <c r="L5" s="36" t="s">
        <v>6</v>
      </c>
      <c r="M5" s="26">
        <v>330</v>
      </c>
      <c r="O5" s="1" t="s">
        <v>40</v>
      </c>
      <c r="P5" s="1">
        <f>+M40</f>
        <v>18</v>
      </c>
    </row>
    <row r="6" spans="2:16" ht="15" thickBot="1" x14ac:dyDescent="0.4">
      <c r="B6" s="1" t="s">
        <v>6</v>
      </c>
      <c r="C6" s="1" t="s">
        <v>50</v>
      </c>
      <c r="D6" s="1">
        <v>3</v>
      </c>
      <c r="E6" s="1">
        <f>+M5</f>
        <v>330</v>
      </c>
      <c r="F6" s="1">
        <f>+D6*E6</f>
        <v>990</v>
      </c>
      <c r="H6" s="2" t="s">
        <v>68</v>
      </c>
      <c r="I6" s="2">
        <f>+F10</f>
        <v>660</v>
      </c>
      <c r="J6" s="2">
        <f>+E10</f>
        <v>120</v>
      </c>
      <c r="L6" s="36" t="s">
        <v>7</v>
      </c>
      <c r="M6" s="26">
        <v>0</v>
      </c>
      <c r="O6" s="1" t="s">
        <v>6</v>
      </c>
      <c r="P6" s="1">
        <f>+M5</f>
        <v>330</v>
      </c>
    </row>
    <row r="7" spans="2:16" ht="15" thickBot="1" x14ac:dyDescent="0.4">
      <c r="B7" s="1" t="s">
        <v>7</v>
      </c>
      <c r="C7" s="1" t="s">
        <v>50</v>
      </c>
      <c r="D7" s="1">
        <v>3</v>
      </c>
      <c r="E7" s="1">
        <f>+M6</f>
        <v>0</v>
      </c>
      <c r="F7" s="1">
        <f t="shared" ref="F7:F9" si="0">+D7*E7</f>
        <v>0</v>
      </c>
      <c r="H7" s="2" t="s">
        <v>69</v>
      </c>
      <c r="I7" s="2">
        <f>+F22</f>
        <v>302</v>
      </c>
      <c r="J7" s="2">
        <f>+E22</f>
        <v>70</v>
      </c>
      <c r="L7" s="36" t="s">
        <v>8</v>
      </c>
      <c r="M7" s="26">
        <v>63</v>
      </c>
      <c r="O7" s="1" t="s">
        <v>35</v>
      </c>
      <c r="P7" s="1">
        <f>+M35</f>
        <v>17</v>
      </c>
    </row>
    <row r="8" spans="2:16" ht="15" thickBot="1" x14ac:dyDescent="0.4">
      <c r="B8" s="1" t="s">
        <v>8</v>
      </c>
      <c r="C8" s="1" t="s">
        <v>50</v>
      </c>
      <c r="D8" s="1">
        <v>3</v>
      </c>
      <c r="E8" s="1">
        <f>+M7</f>
        <v>63</v>
      </c>
      <c r="F8" s="1">
        <f t="shared" si="0"/>
        <v>189</v>
      </c>
      <c r="H8" s="2" t="s">
        <v>70</v>
      </c>
      <c r="I8" s="2">
        <f>+F30</f>
        <v>774</v>
      </c>
      <c r="J8" s="2">
        <f>+E30</f>
        <v>111</v>
      </c>
      <c r="L8" s="36" t="s">
        <v>9</v>
      </c>
      <c r="M8" s="25"/>
      <c r="O8" s="1" t="s">
        <v>28</v>
      </c>
      <c r="P8" s="1">
        <f>+M27</f>
        <v>14</v>
      </c>
    </row>
    <row r="9" spans="2:16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+F37</f>
        <v>280</v>
      </c>
      <c r="J9" s="2">
        <f>+E37</f>
        <v>35</v>
      </c>
      <c r="L9" s="35" t="s">
        <v>10</v>
      </c>
      <c r="M9" s="24">
        <v>120</v>
      </c>
      <c r="O9" s="1" t="s">
        <v>44</v>
      </c>
      <c r="P9">
        <f>+M44</f>
        <v>46</v>
      </c>
    </row>
    <row r="10" spans="2:16" ht="19" thickBot="1" x14ac:dyDescent="0.5">
      <c r="B10" s="1" t="s">
        <v>10</v>
      </c>
      <c r="C10" s="1"/>
      <c r="D10" s="1"/>
      <c r="E10" s="4">
        <f>SUM(E11:E21)</f>
        <v>120</v>
      </c>
      <c r="F10" s="4">
        <f>SUM(F11:F21)</f>
        <v>660</v>
      </c>
      <c r="H10" s="2" t="s">
        <v>44</v>
      </c>
      <c r="I10" s="2">
        <f>+F44</f>
        <v>632</v>
      </c>
      <c r="J10" s="2">
        <f>+C44+E44</f>
        <v>79</v>
      </c>
      <c r="L10" s="36" t="s">
        <v>11</v>
      </c>
      <c r="M10" s="26">
        <v>100</v>
      </c>
      <c r="O10" s="1" t="s">
        <v>14</v>
      </c>
      <c r="P10">
        <f>+M13</f>
        <v>0</v>
      </c>
    </row>
    <row r="11" spans="2:16" ht="19" thickBot="1" x14ac:dyDescent="0.5">
      <c r="B11" s="1" t="s">
        <v>11</v>
      </c>
      <c r="C11" s="1" t="s">
        <v>50</v>
      </c>
      <c r="D11" s="1">
        <v>5</v>
      </c>
      <c r="E11" s="1">
        <f>+M10</f>
        <v>100</v>
      </c>
      <c r="F11" s="1">
        <f>+D11*E11</f>
        <v>500</v>
      </c>
      <c r="H11" s="43" t="s">
        <v>51</v>
      </c>
      <c r="I11" s="43">
        <f>SUM(I5:I10)</f>
        <v>3827</v>
      </c>
      <c r="J11" s="43">
        <f>SUM(J5:J10)</f>
        <v>808</v>
      </c>
      <c r="L11" s="36" t="s">
        <v>12</v>
      </c>
      <c r="M11" s="26">
        <v>0</v>
      </c>
      <c r="O11" s="1" t="s">
        <v>16</v>
      </c>
      <c r="P11">
        <f>+M15</f>
        <v>0</v>
      </c>
    </row>
    <row r="12" spans="2:16" ht="15" thickBot="1" x14ac:dyDescent="0.4">
      <c r="B12" s="1" t="s">
        <v>12</v>
      </c>
      <c r="C12" s="1" t="s">
        <v>50</v>
      </c>
      <c r="D12" s="1">
        <v>8</v>
      </c>
      <c r="E12" s="1">
        <f>+M11</f>
        <v>0</v>
      </c>
      <c r="F12" s="1">
        <f t="shared" ref="F12:F21" si="1">+D12*E12</f>
        <v>0</v>
      </c>
      <c r="L12" s="36" t="s">
        <v>13</v>
      </c>
      <c r="M12" s="26">
        <v>0</v>
      </c>
      <c r="O12" s="1" t="s">
        <v>8</v>
      </c>
      <c r="P12">
        <f>+M7</f>
        <v>63</v>
      </c>
    </row>
    <row r="13" spans="2:16" ht="15" thickBot="1" x14ac:dyDescent="0.4">
      <c r="B13" s="1" t="s">
        <v>13</v>
      </c>
      <c r="C13" s="1" t="s">
        <v>50</v>
      </c>
      <c r="D13" s="1">
        <v>8</v>
      </c>
      <c r="E13" s="1">
        <f>+M12</f>
        <v>0</v>
      </c>
      <c r="F13" s="1">
        <f t="shared" si="1"/>
        <v>0</v>
      </c>
      <c r="L13" s="36" t="s">
        <v>14</v>
      </c>
      <c r="M13" s="26">
        <v>0</v>
      </c>
      <c r="O13" s="1" t="s">
        <v>42</v>
      </c>
      <c r="P13">
        <f>+M42</f>
        <v>9</v>
      </c>
    </row>
    <row r="14" spans="2:16" ht="15" thickBot="1" x14ac:dyDescent="0.4">
      <c r="B14" s="1" t="s">
        <v>14</v>
      </c>
      <c r="C14" s="1" t="s">
        <v>50</v>
      </c>
      <c r="D14" s="1">
        <v>8</v>
      </c>
      <c r="E14" s="1">
        <f>M13</f>
        <v>0</v>
      </c>
      <c r="F14" s="1">
        <f t="shared" si="1"/>
        <v>0</v>
      </c>
      <c r="L14" s="36" t="s">
        <v>15</v>
      </c>
      <c r="M14" s="26">
        <v>1</v>
      </c>
      <c r="O14" s="1" t="s">
        <v>11</v>
      </c>
      <c r="P14">
        <f>+M10</f>
        <v>100</v>
      </c>
    </row>
    <row r="15" spans="2:16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1</v>
      </c>
      <c r="F15" s="1">
        <f t="shared" si="1"/>
        <v>8</v>
      </c>
      <c r="L15" s="36" t="s">
        <v>16</v>
      </c>
      <c r="M15" s="26">
        <v>0</v>
      </c>
      <c r="O15" s="1" t="s">
        <v>7</v>
      </c>
      <c r="P15">
        <f>+M6</f>
        <v>0</v>
      </c>
    </row>
    <row r="16" spans="2:16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0</v>
      </c>
      <c r="F16" s="1">
        <f t="shared" si="1"/>
        <v>0</v>
      </c>
      <c r="L16" s="36" t="s">
        <v>17</v>
      </c>
      <c r="M16" s="26">
        <v>0</v>
      </c>
      <c r="O16" s="1" t="s">
        <v>12</v>
      </c>
      <c r="P16">
        <f>+M11</f>
        <v>0</v>
      </c>
    </row>
    <row r="17" spans="2:16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0</v>
      </c>
      <c r="F17" s="1">
        <f t="shared" si="1"/>
        <v>0</v>
      </c>
      <c r="L17" s="36" t="s">
        <v>18</v>
      </c>
      <c r="M17" s="26">
        <v>19</v>
      </c>
      <c r="O17" s="1" t="s">
        <v>38</v>
      </c>
      <c r="P17">
        <f>+M38</f>
        <v>0</v>
      </c>
    </row>
    <row r="18" spans="2:16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19</v>
      </c>
      <c r="F18" s="1">
        <f t="shared" si="1"/>
        <v>152</v>
      </c>
      <c r="L18" s="36" t="s">
        <v>19</v>
      </c>
      <c r="M18" s="26">
        <v>0</v>
      </c>
      <c r="O18" s="1" t="s">
        <v>27</v>
      </c>
      <c r="P18">
        <f>+M26</f>
        <v>38</v>
      </c>
    </row>
    <row r="19" spans="2:16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0</v>
      </c>
      <c r="F19" s="1">
        <f t="shared" si="1"/>
        <v>0</v>
      </c>
      <c r="L19" s="36" t="s">
        <v>20</v>
      </c>
      <c r="M19" s="26">
        <v>0</v>
      </c>
      <c r="O19" s="1" t="s">
        <v>18</v>
      </c>
      <c r="P19">
        <f>+M17</f>
        <v>19</v>
      </c>
    </row>
    <row r="20" spans="2:16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0</v>
      </c>
      <c r="F20" s="1">
        <f t="shared" si="1"/>
        <v>0</v>
      </c>
      <c r="L20" s="36" t="s">
        <v>21</v>
      </c>
      <c r="M20" s="26">
        <v>0</v>
      </c>
      <c r="O20" s="1" t="s">
        <v>19</v>
      </c>
      <c r="P20">
        <f>+M18</f>
        <v>0</v>
      </c>
    </row>
    <row r="21" spans="2:16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0</v>
      </c>
      <c r="F21" s="1">
        <f t="shared" si="1"/>
        <v>0</v>
      </c>
      <c r="L21" s="35" t="s">
        <v>22</v>
      </c>
      <c r="M21" s="24">
        <v>70</v>
      </c>
      <c r="O21" s="1" t="s">
        <v>47</v>
      </c>
      <c r="P21">
        <f>+M47</f>
        <v>0</v>
      </c>
    </row>
    <row r="22" spans="2:16" ht="19" thickBot="1" x14ac:dyDescent="0.5">
      <c r="B22" s="1" t="s">
        <v>22</v>
      </c>
      <c r="C22" s="1"/>
      <c r="D22" s="1"/>
      <c r="E22" s="4">
        <f>SUM(E23:E29)</f>
        <v>70</v>
      </c>
      <c r="F22" s="4">
        <f>SUM(F23:F29)</f>
        <v>302</v>
      </c>
      <c r="L22" s="36" t="s">
        <v>23</v>
      </c>
      <c r="M22" s="26">
        <v>0</v>
      </c>
      <c r="O22" s="1" t="s">
        <v>15</v>
      </c>
      <c r="P22">
        <f>+M14</f>
        <v>1</v>
      </c>
    </row>
    <row r="23" spans="2:16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0</v>
      </c>
      <c r="F23" s="1">
        <f>+D23*E23</f>
        <v>0</v>
      </c>
      <c r="L23" s="36" t="s">
        <v>24</v>
      </c>
      <c r="M23" s="26">
        <v>0</v>
      </c>
      <c r="O23" s="1" t="s">
        <v>20</v>
      </c>
      <c r="P23">
        <f>+M19</f>
        <v>0</v>
      </c>
    </row>
    <row r="24" spans="2:16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0</v>
      </c>
      <c r="F24" s="1">
        <f t="shared" ref="F24:F29" si="4">+D24*E24</f>
        <v>0</v>
      </c>
      <c r="L24" s="36" t="s">
        <v>25</v>
      </c>
      <c r="M24" s="26">
        <v>0</v>
      </c>
      <c r="O24" s="1" t="s">
        <v>41</v>
      </c>
      <c r="P24">
        <f>+M41</f>
        <v>3</v>
      </c>
    </row>
    <row r="25" spans="2:16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0</v>
      </c>
      <c r="F25" s="1">
        <f t="shared" si="4"/>
        <v>0</v>
      </c>
      <c r="L25" s="36" t="s">
        <v>26</v>
      </c>
      <c r="M25" s="26">
        <v>18</v>
      </c>
      <c r="O25" s="1" t="s">
        <v>17</v>
      </c>
      <c r="P25">
        <f>+M16</f>
        <v>0</v>
      </c>
    </row>
    <row r="26" spans="2:16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18</v>
      </c>
      <c r="F26" s="1">
        <f>+M13</f>
        <v>0</v>
      </c>
      <c r="L26" s="36" t="s">
        <v>27</v>
      </c>
      <c r="M26" s="26">
        <v>38</v>
      </c>
      <c r="O26" s="1" t="s">
        <v>33</v>
      </c>
      <c r="P26">
        <f>+M32</f>
        <v>20</v>
      </c>
    </row>
    <row r="27" spans="2:16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38</v>
      </c>
      <c r="F27" s="1">
        <f t="shared" si="4"/>
        <v>190</v>
      </c>
      <c r="L27" s="36" t="s">
        <v>28</v>
      </c>
      <c r="M27" s="26">
        <v>14</v>
      </c>
      <c r="O27" s="1" t="s">
        <v>45</v>
      </c>
      <c r="P27">
        <f>+M45</f>
        <v>7</v>
      </c>
    </row>
    <row r="28" spans="2:16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14</v>
      </c>
      <c r="F28" s="1">
        <f t="shared" si="4"/>
        <v>112</v>
      </c>
      <c r="L28" s="36" t="s">
        <v>29</v>
      </c>
      <c r="M28" s="25"/>
      <c r="O28" s="1" t="s">
        <v>25</v>
      </c>
      <c r="P28">
        <f>+M24</f>
        <v>0</v>
      </c>
    </row>
    <row r="29" spans="2:16" ht="17.5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111</v>
      </c>
      <c r="O29" s="1" t="s">
        <v>46</v>
      </c>
      <c r="P29">
        <f>+M46</f>
        <v>13</v>
      </c>
    </row>
    <row r="30" spans="2:16" ht="19" thickBot="1" x14ac:dyDescent="0.5">
      <c r="B30" s="1" t="s">
        <v>30</v>
      </c>
      <c r="C30" s="1"/>
      <c r="D30" s="1"/>
      <c r="E30" s="4">
        <f>SUM(E31:E36)</f>
        <v>111</v>
      </c>
      <c r="F30" s="4">
        <f>SUM(F31:F36)</f>
        <v>774</v>
      </c>
      <c r="L30" s="36" t="s">
        <v>32</v>
      </c>
      <c r="M30" s="26">
        <v>38</v>
      </c>
      <c r="O30" s="1" t="s">
        <v>32</v>
      </c>
      <c r="P30">
        <f>+M30</f>
        <v>38</v>
      </c>
    </row>
    <row r="31" spans="2:16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+M30</f>
        <v>38</v>
      </c>
      <c r="F31" s="1">
        <f>+D31*E31</f>
        <v>190</v>
      </c>
      <c r="L31" s="36" t="s">
        <v>31</v>
      </c>
      <c r="M31" s="26">
        <v>29</v>
      </c>
      <c r="O31" s="1" t="s">
        <v>34</v>
      </c>
      <c r="P31">
        <f>+M33</f>
        <v>7</v>
      </c>
    </row>
    <row r="32" spans="2:16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29</v>
      </c>
      <c r="F32" s="1">
        <f t="shared" ref="F32:F36" si="6">+D32*E32</f>
        <v>232</v>
      </c>
      <c r="L32" s="36" t="s">
        <v>33</v>
      </c>
      <c r="M32" s="26">
        <v>20</v>
      </c>
      <c r="O32" s="1" t="s">
        <v>49</v>
      </c>
      <c r="P32">
        <f>+M48</f>
        <v>13</v>
      </c>
    </row>
    <row r="33" spans="2:16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20</v>
      </c>
      <c r="F33" s="1">
        <f t="shared" si="6"/>
        <v>160</v>
      </c>
      <c r="L33" s="36" t="s">
        <v>34</v>
      </c>
      <c r="M33" s="26">
        <v>7</v>
      </c>
      <c r="O33" s="1" t="s">
        <v>29</v>
      </c>
      <c r="P33">
        <f>+M28</f>
        <v>0</v>
      </c>
    </row>
    <row r="34" spans="2:16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7</v>
      </c>
      <c r="F34" s="1">
        <f t="shared" si="6"/>
        <v>56</v>
      </c>
      <c r="L34" s="37" t="s">
        <v>97</v>
      </c>
      <c r="M34" s="26">
        <v>0</v>
      </c>
      <c r="O34" s="1" t="s">
        <v>26</v>
      </c>
      <c r="P34">
        <f>+M25</f>
        <v>18</v>
      </c>
    </row>
    <row r="35" spans="2:16" ht="15" thickBot="1" x14ac:dyDescent="0.4">
      <c r="B35" s="1" t="s">
        <v>155</v>
      </c>
      <c r="C35" s="1" t="s">
        <v>50</v>
      </c>
      <c r="D35" s="1">
        <v>8</v>
      </c>
      <c r="E35" s="1">
        <f t="shared" si="5"/>
        <v>0</v>
      </c>
      <c r="F35" s="1">
        <f t="shared" si="6"/>
        <v>0</v>
      </c>
      <c r="L35" s="37" t="s">
        <v>35</v>
      </c>
      <c r="M35" s="26">
        <v>17</v>
      </c>
      <c r="O35" s="1" t="s">
        <v>21</v>
      </c>
      <c r="P35">
        <f>+M20</f>
        <v>0</v>
      </c>
    </row>
    <row r="36" spans="2:16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17</v>
      </c>
      <c r="F36" s="1">
        <f t="shared" si="6"/>
        <v>136</v>
      </c>
      <c r="L36" s="35" t="s">
        <v>36</v>
      </c>
      <c r="M36" s="24">
        <v>35</v>
      </c>
      <c r="O36" s="1" t="s">
        <v>23</v>
      </c>
      <c r="P36" s="1">
        <f>+M22</f>
        <v>0</v>
      </c>
    </row>
    <row r="37" spans="2:16" ht="19" thickBot="1" x14ac:dyDescent="0.5">
      <c r="B37" s="1" t="s">
        <v>36</v>
      </c>
      <c r="C37" s="1"/>
      <c r="D37" s="1"/>
      <c r="E37" s="4">
        <f>SUM(E38:E43)</f>
        <v>35</v>
      </c>
      <c r="F37" s="4">
        <f>SUM(F38:F43)</f>
        <v>280</v>
      </c>
      <c r="L37" s="36" t="s">
        <v>37</v>
      </c>
      <c r="M37" s="26">
        <v>0</v>
      </c>
      <c r="O37" s="1" t="s">
        <v>24</v>
      </c>
      <c r="P37" s="1">
        <f>+M23</f>
        <v>0</v>
      </c>
    </row>
    <row r="38" spans="2:16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7">+M37</f>
        <v>0</v>
      </c>
      <c r="F38" s="1">
        <f>+D38*E38</f>
        <v>0</v>
      </c>
      <c r="L38" s="36" t="s">
        <v>38</v>
      </c>
      <c r="M38" s="26">
        <v>0</v>
      </c>
      <c r="O38" s="1" t="s">
        <v>9</v>
      </c>
      <c r="P38" s="1">
        <f>+M8</f>
        <v>0</v>
      </c>
    </row>
    <row r="39" spans="2:16" ht="15" thickBot="1" x14ac:dyDescent="0.4">
      <c r="B39" s="1" t="s">
        <v>38</v>
      </c>
      <c r="C39" s="1" t="s">
        <v>50</v>
      </c>
      <c r="D39" s="1">
        <v>8</v>
      </c>
      <c r="E39" s="1">
        <f t="shared" si="7"/>
        <v>0</v>
      </c>
      <c r="F39" s="1">
        <f t="shared" ref="F39:F43" si="8">+D39*E39</f>
        <v>0</v>
      </c>
      <c r="L39" s="36" t="s">
        <v>39</v>
      </c>
      <c r="M39" s="26">
        <v>5</v>
      </c>
      <c r="O39" s="1" t="s">
        <v>155</v>
      </c>
      <c r="P39" s="1">
        <f>+M34</f>
        <v>0</v>
      </c>
    </row>
    <row r="40" spans="2:16" ht="15" thickBot="1" x14ac:dyDescent="0.4">
      <c r="B40" s="1" t="s">
        <v>39</v>
      </c>
      <c r="C40" s="1" t="s">
        <v>50</v>
      </c>
      <c r="D40" s="1">
        <v>8</v>
      </c>
      <c r="E40" s="1">
        <f t="shared" si="7"/>
        <v>5</v>
      </c>
      <c r="F40" s="1">
        <f t="shared" si="8"/>
        <v>40</v>
      </c>
      <c r="L40" s="36" t="s">
        <v>40</v>
      </c>
      <c r="M40" s="26">
        <v>18</v>
      </c>
      <c r="O40" s="1" t="s">
        <v>13</v>
      </c>
      <c r="P40" s="1">
        <f>+M12</f>
        <v>0</v>
      </c>
    </row>
    <row r="41" spans="2:16" ht="15" thickBot="1" x14ac:dyDescent="0.4">
      <c r="B41" s="1" t="s">
        <v>40</v>
      </c>
      <c r="C41" s="1" t="s">
        <v>50</v>
      </c>
      <c r="D41" s="1">
        <v>8</v>
      </c>
      <c r="E41" s="1">
        <f t="shared" si="7"/>
        <v>18</v>
      </c>
      <c r="F41" s="1">
        <f t="shared" si="8"/>
        <v>144</v>
      </c>
      <c r="L41" s="36" t="s">
        <v>98</v>
      </c>
      <c r="M41" s="26">
        <v>3</v>
      </c>
      <c r="O41" s="1" t="s">
        <v>31</v>
      </c>
      <c r="P41" s="1">
        <f>+M31</f>
        <v>29</v>
      </c>
    </row>
    <row r="42" spans="2:16" ht="15" thickBot="1" x14ac:dyDescent="0.4">
      <c r="B42" s="1" t="s">
        <v>41</v>
      </c>
      <c r="C42" s="1" t="s">
        <v>50</v>
      </c>
      <c r="D42" s="1">
        <v>8</v>
      </c>
      <c r="E42" s="1">
        <f t="shared" si="7"/>
        <v>3</v>
      </c>
      <c r="F42" s="1">
        <f t="shared" si="8"/>
        <v>24</v>
      </c>
      <c r="L42" s="36" t="s">
        <v>42</v>
      </c>
      <c r="M42" s="26">
        <v>9</v>
      </c>
      <c r="O42" s="1" t="s">
        <v>37</v>
      </c>
      <c r="P42" s="1">
        <f>+M37</f>
        <v>0</v>
      </c>
    </row>
    <row r="43" spans="2:16" ht="17.5" thickBot="1" x14ac:dyDescent="0.45">
      <c r="B43" s="1" t="s">
        <v>42</v>
      </c>
      <c r="C43" s="1" t="s">
        <v>50</v>
      </c>
      <c r="D43" s="1">
        <v>8</v>
      </c>
      <c r="E43" s="1">
        <f t="shared" si="7"/>
        <v>9</v>
      </c>
      <c r="F43" s="1">
        <f t="shared" si="8"/>
        <v>72</v>
      </c>
      <c r="L43" s="35" t="s">
        <v>43</v>
      </c>
      <c r="M43" s="24">
        <v>79</v>
      </c>
      <c r="O43" s="1" t="s">
        <v>39</v>
      </c>
      <c r="P43" s="1">
        <f>+M39</f>
        <v>5</v>
      </c>
    </row>
    <row r="44" spans="2:16" ht="19" thickBot="1" x14ac:dyDescent="0.5">
      <c r="B44" s="1" t="s">
        <v>43</v>
      </c>
      <c r="C44" s="1"/>
      <c r="D44" s="1"/>
      <c r="E44" s="4">
        <f>SUM(E45:E49)</f>
        <v>79</v>
      </c>
      <c r="F44" s="4">
        <f>SUM(F45:F49)</f>
        <v>632</v>
      </c>
      <c r="L44" s="36" t="s">
        <v>44</v>
      </c>
      <c r="M44" s="26">
        <v>46</v>
      </c>
      <c r="P44" s="97">
        <f>SUBTOTAL(109,P5:P43)</f>
        <v>808</v>
      </c>
    </row>
    <row r="45" spans="2:16" ht="15" thickBot="1" x14ac:dyDescent="0.4">
      <c r="B45" s="1" t="s">
        <v>44</v>
      </c>
      <c r="C45" s="1" t="s">
        <v>50</v>
      </c>
      <c r="D45" s="1">
        <v>8</v>
      </c>
      <c r="E45" s="1">
        <f>+M44</f>
        <v>46</v>
      </c>
      <c r="F45" s="1">
        <f>+D45*E45</f>
        <v>368</v>
      </c>
      <c r="L45" s="36" t="s">
        <v>45</v>
      </c>
      <c r="M45" s="26">
        <v>7</v>
      </c>
    </row>
    <row r="46" spans="2:16" ht="15" thickBot="1" x14ac:dyDescent="0.4">
      <c r="B46" s="1" t="s">
        <v>45</v>
      </c>
      <c r="C46" s="1" t="s">
        <v>50</v>
      </c>
      <c r="D46" s="1">
        <v>8</v>
      </c>
      <c r="E46" s="1">
        <f>+M45</f>
        <v>7</v>
      </c>
      <c r="F46" s="1">
        <f t="shared" ref="F46:F49" si="9">+D46*E46</f>
        <v>56</v>
      </c>
      <c r="L46" s="36" t="s">
        <v>46</v>
      </c>
      <c r="M46" s="26">
        <v>13</v>
      </c>
    </row>
    <row r="47" spans="2:16" ht="15" thickBot="1" x14ac:dyDescent="0.4">
      <c r="B47" s="1" t="s">
        <v>46</v>
      </c>
      <c r="C47" s="1" t="s">
        <v>50</v>
      </c>
      <c r="D47" s="1">
        <v>8</v>
      </c>
      <c r="E47" s="1">
        <f>+M46</f>
        <v>13</v>
      </c>
      <c r="F47" s="1">
        <f t="shared" si="9"/>
        <v>104</v>
      </c>
      <c r="L47" s="36" t="s">
        <v>47</v>
      </c>
      <c r="M47" s="26">
        <v>0</v>
      </c>
    </row>
    <row r="48" spans="2:16" ht="15" thickBot="1" x14ac:dyDescent="0.4">
      <c r="B48" s="1" t="s">
        <v>47</v>
      </c>
      <c r="C48" s="1" t="s">
        <v>50</v>
      </c>
      <c r="D48" s="1">
        <v>8</v>
      </c>
      <c r="E48" s="1">
        <f>+M47</f>
        <v>0</v>
      </c>
      <c r="F48" s="1">
        <f t="shared" si="9"/>
        <v>0</v>
      </c>
      <c r="L48" s="36" t="s">
        <v>49</v>
      </c>
      <c r="M48" s="26">
        <v>13</v>
      </c>
    </row>
    <row r="49" spans="2:13" ht="15" thickBot="1" x14ac:dyDescent="0.4">
      <c r="B49" s="1" t="s">
        <v>49</v>
      </c>
      <c r="C49" s="1" t="s">
        <v>50</v>
      </c>
      <c r="D49" s="1">
        <v>8</v>
      </c>
      <c r="E49" s="1">
        <f>+M48</f>
        <v>13</v>
      </c>
      <c r="F49" s="1">
        <f t="shared" si="9"/>
        <v>104</v>
      </c>
      <c r="L49" s="21"/>
      <c r="M49" s="21"/>
    </row>
    <row r="50" spans="2:13" ht="19" thickBot="1" x14ac:dyDescent="0.5">
      <c r="B50" s="103" t="s">
        <v>51</v>
      </c>
      <c r="C50" s="104"/>
      <c r="D50" s="105"/>
      <c r="E50" s="4">
        <f>+E44+E37+E30+E22+E10+E5</f>
        <v>808</v>
      </c>
      <c r="F50" s="4">
        <f>+F44+F37+F30+F22+F10+F5</f>
        <v>3827</v>
      </c>
      <c r="L50" s="21" t="s">
        <v>51</v>
      </c>
      <c r="M50" s="38">
        <v>808</v>
      </c>
    </row>
    <row r="51" spans="2:13" ht="17.5" thickBot="1" x14ac:dyDescent="0.45">
      <c r="L51" s="21" t="s">
        <v>51</v>
      </c>
      <c r="M51" s="38">
        <v>808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2659-B85E-412D-B64C-D25BF986BF6E}">
  <dimension ref="B1:P51"/>
  <sheetViews>
    <sheetView topLeftCell="B4" workbookViewId="0">
      <selection activeCell="J11" sqref="J11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5.7265625" bestFit="1" customWidth="1"/>
    <col min="12" max="12" width="13.81640625" bestFit="1" customWidth="1"/>
    <col min="15" max="15" width="13.1796875" bestFit="1" customWidth="1"/>
    <col min="16" max="16" width="10.36328125" bestFit="1" customWidth="1"/>
  </cols>
  <sheetData>
    <row r="1" spans="2:16" ht="15" thickBot="1" x14ac:dyDescent="0.4"/>
    <row r="2" spans="2:16" ht="15" customHeight="1" thickBot="1" x14ac:dyDescent="0.4">
      <c r="B2" s="102" t="s">
        <v>117</v>
      </c>
      <c r="C2" s="102"/>
      <c r="D2" s="102"/>
      <c r="E2" s="102"/>
      <c r="F2" s="102"/>
      <c r="L2" s="33"/>
      <c r="M2" s="33"/>
    </row>
    <row r="3" spans="2:16" ht="58.5" thickBot="1" x14ac:dyDescent="0.4">
      <c r="L3" s="44" t="s">
        <v>95</v>
      </c>
      <c r="M3" s="45" t="s">
        <v>154</v>
      </c>
    </row>
    <row r="4" spans="2:16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731</v>
      </c>
      <c r="O4" t="s">
        <v>158</v>
      </c>
      <c r="P4" t="s">
        <v>159</v>
      </c>
    </row>
    <row r="5" spans="2:16" ht="19" thickBot="1" x14ac:dyDescent="0.5">
      <c r="B5" s="1" t="s">
        <v>59</v>
      </c>
      <c r="C5" s="1"/>
      <c r="D5" s="1"/>
      <c r="E5" s="4">
        <f>SUM(E6:E9)</f>
        <v>731</v>
      </c>
      <c r="F5" s="4">
        <f>SUM(F6:F9)</f>
        <v>2193</v>
      </c>
      <c r="H5" s="2" t="s">
        <v>67</v>
      </c>
      <c r="I5" s="2">
        <f>+F5</f>
        <v>2193</v>
      </c>
      <c r="J5" s="2">
        <f>+E5</f>
        <v>731</v>
      </c>
      <c r="L5" s="36" t="s">
        <v>6</v>
      </c>
      <c r="M5" s="26">
        <v>504</v>
      </c>
      <c r="O5" s="1" t="s">
        <v>40</v>
      </c>
      <c r="P5" s="1">
        <f>+M40</f>
        <v>19</v>
      </c>
    </row>
    <row r="6" spans="2:16" ht="15" thickBot="1" x14ac:dyDescent="0.4">
      <c r="B6" s="1" t="s">
        <v>6</v>
      </c>
      <c r="C6" s="1" t="s">
        <v>50</v>
      </c>
      <c r="D6" s="1">
        <v>3</v>
      </c>
      <c r="E6" s="1">
        <f>+M5</f>
        <v>504</v>
      </c>
      <c r="F6" s="1">
        <f>+D6*E6</f>
        <v>1512</v>
      </c>
      <c r="H6" s="2" t="s">
        <v>68</v>
      </c>
      <c r="I6" s="2">
        <f>+F10</f>
        <v>1732</v>
      </c>
      <c r="J6" s="2">
        <f>+E10</f>
        <v>260</v>
      </c>
      <c r="L6" s="36" t="s">
        <v>7</v>
      </c>
      <c r="M6" s="26">
        <v>113</v>
      </c>
      <c r="O6" s="1" t="s">
        <v>6</v>
      </c>
      <c r="P6" s="1">
        <f>+M5</f>
        <v>504</v>
      </c>
    </row>
    <row r="7" spans="2:16" ht="15" thickBot="1" x14ac:dyDescent="0.4">
      <c r="B7" s="1" t="s">
        <v>7</v>
      </c>
      <c r="C7" s="1" t="s">
        <v>50</v>
      </c>
      <c r="D7" s="1">
        <v>3</v>
      </c>
      <c r="E7" s="1">
        <f>+M6</f>
        <v>113</v>
      </c>
      <c r="F7" s="1">
        <f t="shared" ref="F7:F9" si="0">+D7*E7</f>
        <v>339</v>
      </c>
      <c r="H7" s="2" t="s">
        <v>69</v>
      </c>
      <c r="I7" s="2">
        <f>+F22</f>
        <v>925</v>
      </c>
      <c r="J7" s="2">
        <f>+E22</f>
        <v>203</v>
      </c>
      <c r="L7" s="36" t="s">
        <v>8</v>
      </c>
      <c r="M7" s="26">
        <v>114</v>
      </c>
      <c r="O7" s="1" t="s">
        <v>35</v>
      </c>
      <c r="P7" s="1">
        <f>+M35</f>
        <v>17</v>
      </c>
    </row>
    <row r="8" spans="2:16" ht="15" thickBot="1" x14ac:dyDescent="0.4">
      <c r="B8" s="1" t="s">
        <v>8</v>
      </c>
      <c r="C8" s="1" t="s">
        <v>50</v>
      </c>
      <c r="D8" s="1">
        <v>3</v>
      </c>
      <c r="E8" s="1">
        <f>+M7</f>
        <v>114</v>
      </c>
      <c r="F8" s="1">
        <f t="shared" si="0"/>
        <v>342</v>
      </c>
      <c r="H8" s="2" t="s">
        <v>70</v>
      </c>
      <c r="I8" s="2">
        <f>+F30</f>
        <v>683</v>
      </c>
      <c r="J8" s="2">
        <f>+E30</f>
        <v>100</v>
      </c>
      <c r="L8" s="36" t="s">
        <v>9</v>
      </c>
      <c r="M8" s="25"/>
      <c r="O8" s="1" t="s">
        <v>28</v>
      </c>
      <c r="P8" s="1">
        <f>+M27</f>
        <v>15</v>
      </c>
    </row>
    <row r="9" spans="2:16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+F37</f>
        <v>288</v>
      </c>
      <c r="J9" s="2">
        <f>+E37</f>
        <v>36</v>
      </c>
      <c r="L9" s="35" t="s">
        <v>10</v>
      </c>
      <c r="M9" s="24">
        <v>260</v>
      </c>
      <c r="O9" s="1" t="s">
        <v>44</v>
      </c>
      <c r="P9">
        <f>+M44</f>
        <v>75</v>
      </c>
    </row>
    <row r="10" spans="2:16" ht="19" thickBot="1" x14ac:dyDescent="0.5">
      <c r="B10" s="1" t="s">
        <v>10</v>
      </c>
      <c r="C10" s="1"/>
      <c r="D10" s="1"/>
      <c r="E10" s="4">
        <f>SUM(E11:E21)</f>
        <v>260</v>
      </c>
      <c r="F10" s="4">
        <f>SUM(F11:F21)</f>
        <v>1732</v>
      </c>
      <c r="H10" s="2" t="s">
        <v>44</v>
      </c>
      <c r="I10" s="2">
        <f>+F44</f>
        <v>776</v>
      </c>
      <c r="J10" s="2">
        <f>+E44</f>
        <v>97</v>
      </c>
      <c r="L10" s="36" t="s">
        <v>11</v>
      </c>
      <c r="M10" s="26">
        <v>116</v>
      </c>
      <c r="O10" s="1" t="s">
        <v>14</v>
      </c>
      <c r="P10">
        <f>+M13</f>
        <v>5</v>
      </c>
    </row>
    <row r="11" spans="2:16" ht="19" thickBot="1" x14ac:dyDescent="0.5">
      <c r="B11" s="1" t="s">
        <v>11</v>
      </c>
      <c r="C11" s="1" t="s">
        <v>50</v>
      </c>
      <c r="D11" s="1">
        <v>5</v>
      </c>
      <c r="E11" s="1">
        <f>+M10</f>
        <v>116</v>
      </c>
      <c r="F11" s="1">
        <f>+D11*E11</f>
        <v>580</v>
      </c>
      <c r="H11" s="43" t="s">
        <v>51</v>
      </c>
      <c r="I11" s="43">
        <f>SUM(I5:I10)</f>
        <v>6597</v>
      </c>
      <c r="J11" s="43">
        <f>SUM(J5:J10)</f>
        <v>1427</v>
      </c>
      <c r="L11" s="36" t="s">
        <v>12</v>
      </c>
      <c r="M11" s="26">
        <v>14</v>
      </c>
      <c r="O11" s="1" t="s">
        <v>16</v>
      </c>
      <c r="P11">
        <f>+M15</f>
        <v>20</v>
      </c>
    </row>
    <row r="12" spans="2:16" ht="15" thickBot="1" x14ac:dyDescent="0.4">
      <c r="B12" s="1" t="s">
        <v>12</v>
      </c>
      <c r="C12" s="1" t="s">
        <v>50</v>
      </c>
      <c r="D12" s="1">
        <v>8</v>
      </c>
      <c r="E12" s="1">
        <f>+M11</f>
        <v>14</v>
      </c>
      <c r="F12" s="1">
        <f t="shared" ref="F12:F21" si="1">+D12*E12</f>
        <v>112</v>
      </c>
      <c r="L12" s="36" t="s">
        <v>13</v>
      </c>
      <c r="M12" s="26">
        <v>17</v>
      </c>
      <c r="O12" s="1" t="s">
        <v>8</v>
      </c>
      <c r="P12">
        <f>+M7</f>
        <v>114</v>
      </c>
    </row>
    <row r="13" spans="2:16" ht="15" thickBot="1" x14ac:dyDescent="0.4">
      <c r="B13" s="1" t="s">
        <v>13</v>
      </c>
      <c r="C13" s="1" t="s">
        <v>50</v>
      </c>
      <c r="D13" s="1">
        <v>8</v>
      </c>
      <c r="E13" s="1">
        <f>+M12</f>
        <v>17</v>
      </c>
      <c r="F13" s="1">
        <f t="shared" si="1"/>
        <v>136</v>
      </c>
      <c r="L13" s="36" t="s">
        <v>14</v>
      </c>
      <c r="M13" s="26">
        <v>5</v>
      </c>
      <c r="O13" s="1" t="s">
        <v>42</v>
      </c>
      <c r="P13">
        <f>+M42</f>
        <v>10</v>
      </c>
    </row>
    <row r="14" spans="2:16" ht="15" thickBot="1" x14ac:dyDescent="0.4">
      <c r="B14" s="1" t="s">
        <v>14</v>
      </c>
      <c r="C14" s="1" t="s">
        <v>50</v>
      </c>
      <c r="D14" s="1">
        <v>8</v>
      </c>
      <c r="E14" s="1">
        <f>M13</f>
        <v>5</v>
      </c>
      <c r="F14" s="1">
        <f t="shared" si="1"/>
        <v>40</v>
      </c>
      <c r="L14" s="36" t="s">
        <v>15</v>
      </c>
      <c r="M14" s="26">
        <v>1</v>
      </c>
      <c r="O14" s="1" t="s">
        <v>11</v>
      </c>
      <c r="P14">
        <f>+M10</f>
        <v>116</v>
      </c>
    </row>
    <row r="15" spans="2:16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1</v>
      </c>
      <c r="F15" s="1">
        <f t="shared" si="1"/>
        <v>8</v>
      </c>
      <c r="L15" s="36" t="s">
        <v>16</v>
      </c>
      <c r="M15" s="26">
        <v>20</v>
      </c>
      <c r="O15" s="1" t="s">
        <v>7</v>
      </c>
      <c r="P15">
        <f>+M6</f>
        <v>113</v>
      </c>
    </row>
    <row r="16" spans="2:16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20</v>
      </c>
      <c r="F16" s="1">
        <f t="shared" si="1"/>
        <v>160</v>
      </c>
      <c r="L16" s="36" t="s">
        <v>17</v>
      </c>
      <c r="M16" s="26">
        <v>6</v>
      </c>
      <c r="O16" s="1" t="s">
        <v>12</v>
      </c>
      <c r="P16">
        <f>+M11</f>
        <v>14</v>
      </c>
    </row>
    <row r="17" spans="2:16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6</v>
      </c>
      <c r="F17" s="1">
        <f t="shared" si="1"/>
        <v>48</v>
      </c>
      <c r="L17" s="36" t="s">
        <v>18</v>
      </c>
      <c r="M17" s="26">
        <v>19</v>
      </c>
      <c r="O17" s="1" t="s">
        <v>38</v>
      </c>
      <c r="P17">
        <f>+M38</f>
        <v>0</v>
      </c>
    </row>
    <row r="18" spans="2:16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19</v>
      </c>
      <c r="F18" s="1">
        <f t="shared" si="1"/>
        <v>152</v>
      </c>
      <c r="L18" s="36" t="s">
        <v>19</v>
      </c>
      <c r="M18" s="26">
        <v>32</v>
      </c>
      <c r="O18" s="1" t="s">
        <v>27</v>
      </c>
      <c r="P18">
        <f>+M26</f>
        <v>47</v>
      </c>
    </row>
    <row r="19" spans="2:16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32</v>
      </c>
      <c r="F19" s="1">
        <f t="shared" si="1"/>
        <v>256</v>
      </c>
      <c r="L19" s="36" t="s">
        <v>20</v>
      </c>
      <c r="M19" s="26">
        <v>29</v>
      </c>
      <c r="O19" s="1" t="s">
        <v>18</v>
      </c>
      <c r="P19">
        <f>+M17</f>
        <v>19</v>
      </c>
    </row>
    <row r="20" spans="2:16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29</v>
      </c>
      <c r="F20" s="1">
        <f t="shared" si="1"/>
        <v>232</v>
      </c>
      <c r="L20" s="36" t="s">
        <v>21</v>
      </c>
      <c r="M20" s="26">
        <v>1</v>
      </c>
      <c r="O20" s="1" t="s">
        <v>19</v>
      </c>
      <c r="P20">
        <f>+M18</f>
        <v>32</v>
      </c>
    </row>
    <row r="21" spans="2:16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1</v>
      </c>
      <c r="F21" s="1">
        <f t="shared" si="1"/>
        <v>8</v>
      </c>
      <c r="L21" s="35" t="s">
        <v>22</v>
      </c>
      <c r="M21" s="24">
        <v>203</v>
      </c>
      <c r="O21" s="1" t="s">
        <v>47</v>
      </c>
      <c r="P21">
        <f>+M47</f>
        <v>0</v>
      </c>
    </row>
    <row r="22" spans="2:16" ht="19" thickBot="1" x14ac:dyDescent="0.5">
      <c r="B22" s="1" t="s">
        <v>22</v>
      </c>
      <c r="C22" s="1"/>
      <c r="D22" s="1"/>
      <c r="E22" s="4">
        <f>SUM(E23:E29)</f>
        <v>203</v>
      </c>
      <c r="F22" s="4">
        <f>SUM(F23:F29)</f>
        <v>925</v>
      </c>
      <c r="L22" s="36" t="s">
        <v>23</v>
      </c>
      <c r="M22" s="26">
        <v>26</v>
      </c>
      <c r="O22" s="1" t="s">
        <v>15</v>
      </c>
      <c r="P22">
        <f>+M14</f>
        <v>1</v>
      </c>
    </row>
    <row r="23" spans="2:16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26</v>
      </c>
      <c r="F23" s="1">
        <f>+D23*E23</f>
        <v>130</v>
      </c>
      <c r="L23" s="36" t="s">
        <v>24</v>
      </c>
      <c r="M23" s="26">
        <v>12</v>
      </c>
      <c r="O23" s="1" t="s">
        <v>20</v>
      </c>
      <c r="P23">
        <f>+M19</f>
        <v>29</v>
      </c>
    </row>
    <row r="24" spans="2:16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12</v>
      </c>
      <c r="F24" s="1">
        <f t="shared" ref="F24:F29" si="4">+D24*E24</f>
        <v>60</v>
      </c>
      <c r="L24" s="36" t="s">
        <v>25</v>
      </c>
      <c r="M24" s="26">
        <v>75</v>
      </c>
      <c r="O24" s="1" t="s">
        <v>41</v>
      </c>
      <c r="P24">
        <f>+M41</f>
        <v>1</v>
      </c>
    </row>
    <row r="25" spans="2:16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75</v>
      </c>
      <c r="F25" s="1">
        <f t="shared" si="4"/>
        <v>375</v>
      </c>
      <c r="L25" s="36" t="s">
        <v>26</v>
      </c>
      <c r="M25" s="26">
        <v>28</v>
      </c>
      <c r="O25" s="1" t="s">
        <v>17</v>
      </c>
      <c r="P25">
        <f>+M16</f>
        <v>6</v>
      </c>
    </row>
    <row r="26" spans="2:16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28</v>
      </c>
      <c r="F26" s="1">
        <f>+M13</f>
        <v>5</v>
      </c>
      <c r="L26" s="36" t="s">
        <v>27</v>
      </c>
      <c r="M26" s="26">
        <v>47</v>
      </c>
      <c r="O26" s="1" t="s">
        <v>33</v>
      </c>
      <c r="P26">
        <f>+M32</f>
        <v>15</v>
      </c>
    </row>
    <row r="27" spans="2:16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47</v>
      </c>
      <c r="F27" s="1">
        <f t="shared" si="4"/>
        <v>235</v>
      </c>
      <c r="L27" s="36" t="s">
        <v>28</v>
      </c>
      <c r="M27" s="26">
        <v>15</v>
      </c>
      <c r="O27" s="1" t="s">
        <v>45</v>
      </c>
      <c r="P27">
        <f>+M45</f>
        <v>7</v>
      </c>
    </row>
    <row r="28" spans="2:16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15</v>
      </c>
      <c r="F28" s="1">
        <f t="shared" si="4"/>
        <v>120</v>
      </c>
      <c r="L28" s="36" t="s">
        <v>29</v>
      </c>
      <c r="M28" s="25"/>
      <c r="O28" s="1" t="s">
        <v>25</v>
      </c>
      <c r="P28">
        <f>+M24</f>
        <v>75</v>
      </c>
    </row>
    <row r="29" spans="2:16" ht="17.5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100</v>
      </c>
      <c r="O29" s="1" t="s">
        <v>46</v>
      </c>
      <c r="P29">
        <f>+M46</f>
        <v>0</v>
      </c>
    </row>
    <row r="30" spans="2:16" ht="19" thickBot="1" x14ac:dyDescent="0.5">
      <c r="B30" s="1" t="s">
        <v>30</v>
      </c>
      <c r="C30" s="1"/>
      <c r="D30" s="1"/>
      <c r="E30" s="4">
        <f>SUM(E31:E36)</f>
        <v>100</v>
      </c>
      <c r="F30" s="4">
        <f>SUM(F31:F36)</f>
        <v>683</v>
      </c>
      <c r="L30" s="36" t="s">
        <v>32</v>
      </c>
      <c r="M30" s="26">
        <v>39</v>
      </c>
      <c r="O30" s="1" t="s">
        <v>32</v>
      </c>
      <c r="P30">
        <f>+M30</f>
        <v>39</v>
      </c>
    </row>
    <row r="31" spans="2:16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+M30</f>
        <v>39</v>
      </c>
      <c r="F31" s="1">
        <f>+D31*E31</f>
        <v>195</v>
      </c>
      <c r="L31" s="36" t="s">
        <v>31</v>
      </c>
      <c r="M31" s="26">
        <v>24</v>
      </c>
      <c r="O31" s="1" t="s">
        <v>34</v>
      </c>
      <c r="P31">
        <f>+M33</f>
        <v>4</v>
      </c>
    </row>
    <row r="32" spans="2:16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24</v>
      </c>
      <c r="F32" s="1">
        <f t="shared" ref="F32:F36" si="6">+D32*E32</f>
        <v>192</v>
      </c>
      <c r="L32" s="36" t="s">
        <v>33</v>
      </c>
      <c r="M32" s="26">
        <v>15</v>
      </c>
      <c r="O32" s="1" t="s">
        <v>49</v>
      </c>
      <c r="P32">
        <f>+M48</f>
        <v>15</v>
      </c>
    </row>
    <row r="33" spans="2:16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15</v>
      </c>
      <c r="F33" s="1">
        <f t="shared" si="6"/>
        <v>120</v>
      </c>
      <c r="L33" s="36" t="s">
        <v>34</v>
      </c>
      <c r="M33" s="26">
        <v>4</v>
      </c>
      <c r="O33" s="1" t="s">
        <v>29</v>
      </c>
      <c r="P33">
        <f>+M28</f>
        <v>0</v>
      </c>
    </row>
    <row r="34" spans="2:16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4</v>
      </c>
      <c r="F34" s="1">
        <f t="shared" si="6"/>
        <v>32</v>
      </c>
      <c r="L34" s="37" t="s">
        <v>97</v>
      </c>
      <c r="M34" s="26">
        <v>1</v>
      </c>
      <c r="O34" s="1" t="s">
        <v>26</v>
      </c>
      <c r="P34">
        <f>+M25</f>
        <v>28</v>
      </c>
    </row>
    <row r="35" spans="2:16" ht="15" thickBot="1" x14ac:dyDescent="0.4">
      <c r="B35" s="1" t="s">
        <v>155</v>
      </c>
      <c r="C35" s="1" t="s">
        <v>50</v>
      </c>
      <c r="D35" s="1">
        <v>8</v>
      </c>
      <c r="E35" s="1">
        <f t="shared" si="5"/>
        <v>1</v>
      </c>
      <c r="F35" s="1">
        <f t="shared" si="6"/>
        <v>8</v>
      </c>
      <c r="L35" s="37" t="s">
        <v>35</v>
      </c>
      <c r="M35" s="26">
        <v>17</v>
      </c>
      <c r="O35" s="1" t="s">
        <v>21</v>
      </c>
      <c r="P35">
        <f>+M20</f>
        <v>1</v>
      </c>
    </row>
    <row r="36" spans="2:16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17</v>
      </c>
      <c r="F36" s="1">
        <f t="shared" si="6"/>
        <v>136</v>
      </c>
      <c r="L36" s="35" t="s">
        <v>36</v>
      </c>
      <c r="M36" s="24">
        <v>36</v>
      </c>
      <c r="O36" s="1" t="s">
        <v>23</v>
      </c>
      <c r="P36" s="1">
        <f>+M22</f>
        <v>26</v>
      </c>
    </row>
    <row r="37" spans="2:16" ht="19" thickBot="1" x14ac:dyDescent="0.5">
      <c r="B37" s="1" t="s">
        <v>36</v>
      </c>
      <c r="C37" s="1"/>
      <c r="D37" s="1"/>
      <c r="E37" s="4">
        <f>SUM(E38:E43)</f>
        <v>36</v>
      </c>
      <c r="F37" s="4">
        <f>SUM(F38:F43)</f>
        <v>288</v>
      </c>
      <c r="L37" s="36" t="s">
        <v>37</v>
      </c>
      <c r="M37" s="26">
        <v>0</v>
      </c>
      <c r="O37" s="1" t="s">
        <v>24</v>
      </c>
      <c r="P37" s="1">
        <f>+M23</f>
        <v>12</v>
      </c>
    </row>
    <row r="38" spans="2:16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7">+M37</f>
        <v>0</v>
      </c>
      <c r="F38" s="1">
        <f>+D38*E38</f>
        <v>0</v>
      </c>
      <c r="L38" s="36" t="s">
        <v>38</v>
      </c>
      <c r="M38" s="26">
        <v>0</v>
      </c>
      <c r="O38" s="1" t="s">
        <v>9</v>
      </c>
      <c r="P38" s="1">
        <f>+M8</f>
        <v>0</v>
      </c>
    </row>
    <row r="39" spans="2:16" ht="15" thickBot="1" x14ac:dyDescent="0.4">
      <c r="B39" s="1" t="s">
        <v>38</v>
      </c>
      <c r="C39" s="1" t="s">
        <v>50</v>
      </c>
      <c r="D39" s="1">
        <v>8</v>
      </c>
      <c r="E39" s="1">
        <f t="shared" si="7"/>
        <v>0</v>
      </c>
      <c r="F39" s="1">
        <f t="shared" ref="F39:F43" si="8">+D39*E39</f>
        <v>0</v>
      </c>
      <c r="L39" s="36" t="s">
        <v>39</v>
      </c>
      <c r="M39" s="26">
        <v>6</v>
      </c>
      <c r="O39" s="1" t="s">
        <v>155</v>
      </c>
      <c r="P39" s="1">
        <f>+M34</f>
        <v>1</v>
      </c>
    </row>
    <row r="40" spans="2:16" ht="15" thickBot="1" x14ac:dyDescent="0.4">
      <c r="B40" s="1" t="s">
        <v>39</v>
      </c>
      <c r="C40" s="1" t="s">
        <v>50</v>
      </c>
      <c r="D40" s="1">
        <v>8</v>
      </c>
      <c r="E40" s="1">
        <f t="shared" si="7"/>
        <v>6</v>
      </c>
      <c r="F40" s="1">
        <f t="shared" si="8"/>
        <v>48</v>
      </c>
      <c r="L40" s="36" t="s">
        <v>40</v>
      </c>
      <c r="M40" s="26">
        <v>19</v>
      </c>
      <c r="O40" s="1" t="s">
        <v>13</v>
      </c>
      <c r="P40" s="1">
        <f>+M12</f>
        <v>17</v>
      </c>
    </row>
    <row r="41" spans="2:16" ht="15" thickBot="1" x14ac:dyDescent="0.4">
      <c r="B41" s="1" t="s">
        <v>40</v>
      </c>
      <c r="C41" s="1" t="s">
        <v>50</v>
      </c>
      <c r="D41" s="1">
        <v>8</v>
      </c>
      <c r="E41" s="1">
        <f t="shared" si="7"/>
        <v>19</v>
      </c>
      <c r="F41" s="1">
        <f t="shared" si="8"/>
        <v>152</v>
      </c>
      <c r="L41" s="36" t="s">
        <v>98</v>
      </c>
      <c r="M41" s="26">
        <v>1</v>
      </c>
      <c r="O41" s="1" t="s">
        <v>31</v>
      </c>
      <c r="P41" s="1">
        <f>+M31</f>
        <v>24</v>
      </c>
    </row>
    <row r="42" spans="2:16" ht="15" thickBot="1" x14ac:dyDescent="0.4">
      <c r="B42" s="1" t="s">
        <v>41</v>
      </c>
      <c r="C42" s="1" t="s">
        <v>50</v>
      </c>
      <c r="D42" s="1">
        <v>8</v>
      </c>
      <c r="E42" s="1">
        <f t="shared" si="7"/>
        <v>1</v>
      </c>
      <c r="F42" s="1">
        <f t="shared" si="8"/>
        <v>8</v>
      </c>
      <c r="L42" s="36" t="s">
        <v>42</v>
      </c>
      <c r="M42" s="26">
        <v>10</v>
      </c>
      <c r="O42" s="1" t="s">
        <v>37</v>
      </c>
      <c r="P42" s="1">
        <f>+M37</f>
        <v>0</v>
      </c>
    </row>
    <row r="43" spans="2:16" ht="17.5" thickBot="1" x14ac:dyDescent="0.45">
      <c r="B43" s="1" t="s">
        <v>42</v>
      </c>
      <c r="C43" s="1" t="s">
        <v>50</v>
      </c>
      <c r="D43" s="1">
        <v>8</v>
      </c>
      <c r="E43" s="1">
        <f t="shared" si="7"/>
        <v>10</v>
      </c>
      <c r="F43" s="1">
        <f t="shared" si="8"/>
        <v>80</v>
      </c>
      <c r="L43" s="35" t="s">
        <v>43</v>
      </c>
      <c r="M43" s="24">
        <v>97</v>
      </c>
      <c r="O43" s="1" t="s">
        <v>39</v>
      </c>
      <c r="P43" s="1">
        <f>+M39</f>
        <v>6</v>
      </c>
    </row>
    <row r="44" spans="2:16" ht="19" thickBot="1" x14ac:dyDescent="0.5">
      <c r="B44" s="1" t="s">
        <v>43</v>
      </c>
      <c r="C44" s="1"/>
      <c r="D44" s="1"/>
      <c r="E44" s="4">
        <f>SUM(E45:E49)</f>
        <v>97</v>
      </c>
      <c r="F44" s="4">
        <f>SUM(F45:F49)</f>
        <v>776</v>
      </c>
      <c r="L44" s="36" t="s">
        <v>44</v>
      </c>
      <c r="M44" s="26">
        <v>75</v>
      </c>
      <c r="P44" s="97">
        <f>SUBTOTAL(109,P5:P43)</f>
        <v>1427</v>
      </c>
    </row>
    <row r="45" spans="2:16" ht="15" thickBot="1" x14ac:dyDescent="0.4">
      <c r="B45" s="1" t="s">
        <v>44</v>
      </c>
      <c r="C45" s="1" t="s">
        <v>50</v>
      </c>
      <c r="D45" s="1">
        <v>8</v>
      </c>
      <c r="E45" s="1">
        <f>+M44</f>
        <v>75</v>
      </c>
      <c r="F45" s="1">
        <f>+D45*E45</f>
        <v>600</v>
      </c>
      <c r="L45" s="36" t="s">
        <v>45</v>
      </c>
      <c r="M45" s="26">
        <v>7</v>
      </c>
    </row>
    <row r="46" spans="2:16" ht="15" thickBot="1" x14ac:dyDescent="0.4">
      <c r="B46" s="1" t="s">
        <v>45</v>
      </c>
      <c r="C46" s="1" t="s">
        <v>50</v>
      </c>
      <c r="D46" s="1">
        <v>8</v>
      </c>
      <c r="E46" s="1">
        <f>+M45</f>
        <v>7</v>
      </c>
      <c r="F46" s="1">
        <f t="shared" ref="F46:F49" si="9">+D46*E46</f>
        <v>56</v>
      </c>
      <c r="L46" s="36" t="s">
        <v>46</v>
      </c>
      <c r="M46" s="26">
        <v>0</v>
      </c>
    </row>
    <row r="47" spans="2:16" ht="15" thickBot="1" x14ac:dyDescent="0.4">
      <c r="B47" s="1" t="s">
        <v>46</v>
      </c>
      <c r="C47" s="1" t="s">
        <v>50</v>
      </c>
      <c r="D47" s="1">
        <v>8</v>
      </c>
      <c r="E47" s="1">
        <f>+M46</f>
        <v>0</v>
      </c>
      <c r="F47" s="1">
        <f t="shared" si="9"/>
        <v>0</v>
      </c>
      <c r="L47" s="36" t="s">
        <v>47</v>
      </c>
      <c r="M47" s="26">
        <v>0</v>
      </c>
    </row>
    <row r="48" spans="2:16" ht="15" thickBot="1" x14ac:dyDescent="0.4">
      <c r="B48" s="1" t="s">
        <v>47</v>
      </c>
      <c r="C48" s="1" t="s">
        <v>50</v>
      </c>
      <c r="D48" s="1">
        <v>8</v>
      </c>
      <c r="E48" s="1">
        <f>+M47</f>
        <v>0</v>
      </c>
      <c r="F48" s="1">
        <f t="shared" si="9"/>
        <v>0</v>
      </c>
      <c r="L48" s="36" t="s">
        <v>49</v>
      </c>
      <c r="M48" s="26">
        <v>15</v>
      </c>
    </row>
    <row r="49" spans="2:13" ht="15" thickBot="1" x14ac:dyDescent="0.4">
      <c r="B49" s="1" t="s">
        <v>49</v>
      </c>
      <c r="C49" s="1" t="s">
        <v>50</v>
      </c>
      <c r="D49" s="1">
        <v>8</v>
      </c>
      <c r="E49" s="1">
        <f>+M48</f>
        <v>15</v>
      </c>
      <c r="F49" s="1">
        <f t="shared" si="9"/>
        <v>120</v>
      </c>
      <c r="L49" s="21"/>
      <c r="M49" s="21"/>
    </row>
    <row r="50" spans="2:13" ht="19" thickBot="1" x14ac:dyDescent="0.5">
      <c r="B50" s="103" t="s">
        <v>51</v>
      </c>
      <c r="C50" s="104"/>
      <c r="D50" s="105"/>
      <c r="E50" s="4">
        <f>+E44+E37+E30+E22+E10+E5</f>
        <v>1427</v>
      </c>
      <c r="F50" s="4">
        <f>+F44+F37+F30+F22+F10+F5</f>
        <v>6597</v>
      </c>
      <c r="L50" s="21" t="s">
        <v>51</v>
      </c>
      <c r="M50" s="38">
        <v>1427</v>
      </c>
    </row>
    <row r="51" spans="2:13" ht="17.5" thickBot="1" x14ac:dyDescent="0.45">
      <c r="L51" s="21" t="s">
        <v>51</v>
      </c>
      <c r="M51" s="3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5DAA-4ECE-4B46-B676-36063BDCE845}">
  <dimension ref="B1:P51"/>
  <sheetViews>
    <sheetView topLeftCell="A3" workbookViewId="0">
      <selection activeCell="J10" sqref="J10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5.7265625" bestFit="1" customWidth="1"/>
    <col min="12" max="12" width="13.81640625" bestFit="1" customWidth="1"/>
    <col min="15" max="15" width="13.1796875" bestFit="1" customWidth="1"/>
    <col min="16" max="16" width="10.36328125" bestFit="1" customWidth="1"/>
  </cols>
  <sheetData>
    <row r="1" spans="2:16" ht="15" thickBot="1" x14ac:dyDescent="0.4"/>
    <row r="2" spans="2:16" ht="15" customHeight="1" thickBot="1" x14ac:dyDescent="0.4">
      <c r="B2" s="102" t="s">
        <v>117</v>
      </c>
      <c r="C2" s="102"/>
      <c r="D2" s="102"/>
      <c r="E2" s="102"/>
      <c r="F2" s="102"/>
      <c r="L2" s="33"/>
      <c r="M2" s="33"/>
    </row>
    <row r="3" spans="2:16" ht="58.5" thickBot="1" x14ac:dyDescent="0.4">
      <c r="L3" s="44" t="s">
        <v>95</v>
      </c>
      <c r="M3" s="45" t="s">
        <v>169</v>
      </c>
    </row>
    <row r="4" spans="2:16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658</v>
      </c>
      <c r="O4" t="s">
        <v>158</v>
      </c>
      <c r="P4" t="s">
        <v>159</v>
      </c>
    </row>
    <row r="5" spans="2:16" ht="19" thickBot="1" x14ac:dyDescent="0.5">
      <c r="B5" s="1" t="s">
        <v>59</v>
      </c>
      <c r="C5" s="1"/>
      <c r="D5" s="1"/>
      <c r="E5" s="4">
        <f>SUM(E6:E9)</f>
        <v>658</v>
      </c>
      <c r="F5" s="4">
        <f>SUM(F6:F9)</f>
        <v>1974</v>
      </c>
      <c r="H5" s="2" t="s">
        <v>67</v>
      </c>
      <c r="I5" s="2">
        <f>+F5</f>
        <v>1974</v>
      </c>
      <c r="J5" s="2">
        <f>+E5</f>
        <v>658</v>
      </c>
      <c r="L5" s="36" t="s">
        <v>6</v>
      </c>
      <c r="M5" s="26">
        <v>503</v>
      </c>
      <c r="O5" s="1" t="s">
        <v>40</v>
      </c>
      <c r="P5" s="1">
        <f>+M40</f>
        <v>20</v>
      </c>
    </row>
    <row r="6" spans="2:16" ht="15" thickBot="1" x14ac:dyDescent="0.4">
      <c r="B6" s="1" t="s">
        <v>6</v>
      </c>
      <c r="C6" s="1" t="s">
        <v>50</v>
      </c>
      <c r="D6" s="1">
        <v>3</v>
      </c>
      <c r="E6" s="1">
        <f>+M5</f>
        <v>503</v>
      </c>
      <c r="F6" s="1">
        <f>+D6*E6</f>
        <v>1509</v>
      </c>
      <c r="H6" s="2" t="s">
        <v>68</v>
      </c>
      <c r="I6" s="2">
        <f>+F10</f>
        <v>1563</v>
      </c>
      <c r="J6" s="2">
        <f>+E10</f>
        <v>243</v>
      </c>
      <c r="L6" s="36" t="s">
        <v>7</v>
      </c>
      <c r="M6" s="26">
        <v>0</v>
      </c>
      <c r="O6" s="1" t="s">
        <v>6</v>
      </c>
      <c r="P6" s="1">
        <f>+M5</f>
        <v>503</v>
      </c>
    </row>
    <row r="7" spans="2:16" ht="15" thickBot="1" x14ac:dyDescent="0.4">
      <c r="B7" s="1" t="s">
        <v>7</v>
      </c>
      <c r="C7" s="1" t="s">
        <v>50</v>
      </c>
      <c r="D7" s="1">
        <v>3</v>
      </c>
      <c r="E7" s="1">
        <f>+M6</f>
        <v>0</v>
      </c>
      <c r="F7" s="1">
        <f t="shared" ref="F7:F9" si="0">+D7*E7</f>
        <v>0</v>
      </c>
      <c r="H7" s="2" t="s">
        <v>69</v>
      </c>
      <c r="I7" s="2">
        <f>+F22</f>
        <v>1065</v>
      </c>
      <c r="J7" s="2">
        <f>+E22</f>
        <v>226</v>
      </c>
      <c r="L7" s="36" t="s">
        <v>8</v>
      </c>
      <c r="M7" s="26">
        <v>155</v>
      </c>
      <c r="O7" s="1" t="s">
        <v>35</v>
      </c>
      <c r="P7" s="1">
        <f>+M35</f>
        <v>14</v>
      </c>
    </row>
    <row r="8" spans="2:16" ht="15" thickBot="1" x14ac:dyDescent="0.4">
      <c r="B8" s="1" t="s">
        <v>8</v>
      </c>
      <c r="C8" s="1" t="s">
        <v>50</v>
      </c>
      <c r="D8" s="1">
        <v>3</v>
      </c>
      <c r="E8" s="1">
        <f>+M7</f>
        <v>155</v>
      </c>
      <c r="F8" s="1">
        <f t="shared" si="0"/>
        <v>465</v>
      </c>
      <c r="H8" s="2" t="s">
        <v>70</v>
      </c>
      <c r="I8" s="2">
        <f>+F30</f>
        <v>731</v>
      </c>
      <c r="J8" s="2">
        <f>+E30</f>
        <v>106</v>
      </c>
      <c r="L8" s="36" t="s">
        <v>9</v>
      </c>
      <c r="M8" s="25"/>
      <c r="O8" s="1" t="s">
        <v>28</v>
      </c>
      <c r="P8" s="1">
        <f>+M27</f>
        <v>15</v>
      </c>
    </row>
    <row r="9" spans="2:16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+F37</f>
        <v>304</v>
      </c>
      <c r="J9" s="2">
        <f>+E37</f>
        <v>38</v>
      </c>
      <c r="L9" s="35" t="s">
        <v>10</v>
      </c>
      <c r="M9" s="24">
        <v>243</v>
      </c>
      <c r="O9" s="1" t="s">
        <v>44</v>
      </c>
      <c r="P9">
        <f>+M44</f>
        <v>63</v>
      </c>
    </row>
    <row r="10" spans="2:16" ht="19" thickBot="1" x14ac:dyDescent="0.5">
      <c r="B10" s="1" t="s">
        <v>10</v>
      </c>
      <c r="C10" s="1"/>
      <c r="D10" s="1"/>
      <c r="E10" s="4">
        <f>SUM(E11:E21)</f>
        <v>243</v>
      </c>
      <c r="F10" s="4">
        <f>SUM(F11:F21)</f>
        <v>1563</v>
      </c>
      <c r="H10" s="2" t="s">
        <v>44</v>
      </c>
      <c r="I10" s="2">
        <f>+F44</f>
        <v>744</v>
      </c>
      <c r="J10" s="2">
        <f>+E44</f>
        <v>93</v>
      </c>
      <c r="L10" s="36" t="s">
        <v>11</v>
      </c>
      <c r="M10" s="26">
        <v>127</v>
      </c>
      <c r="O10" s="1" t="s">
        <v>14</v>
      </c>
      <c r="P10">
        <f>+M13</f>
        <v>5</v>
      </c>
    </row>
    <row r="11" spans="2:16" ht="19" thickBot="1" x14ac:dyDescent="0.5">
      <c r="B11" s="1" t="s">
        <v>11</v>
      </c>
      <c r="C11" s="1" t="s">
        <v>50</v>
      </c>
      <c r="D11" s="1">
        <v>5</v>
      </c>
      <c r="E11" s="1">
        <f>+M10</f>
        <v>127</v>
      </c>
      <c r="F11" s="1">
        <f>+D11*E11</f>
        <v>635</v>
      </c>
      <c r="H11" s="43" t="s">
        <v>51</v>
      </c>
      <c r="I11" s="43">
        <f>SUM(I5:I10)</f>
        <v>6381</v>
      </c>
      <c r="J11" s="43">
        <f>SUM(J5:J10)</f>
        <v>1364</v>
      </c>
      <c r="L11" s="36" t="s">
        <v>12</v>
      </c>
      <c r="M11" s="26">
        <v>10</v>
      </c>
      <c r="O11" s="1" t="s">
        <v>16</v>
      </c>
      <c r="P11">
        <f>+M15</f>
        <v>22</v>
      </c>
    </row>
    <row r="12" spans="2:16" ht="15" thickBot="1" x14ac:dyDescent="0.4">
      <c r="B12" s="1" t="s">
        <v>12</v>
      </c>
      <c r="C12" s="1" t="s">
        <v>50</v>
      </c>
      <c r="D12" s="1">
        <v>8</v>
      </c>
      <c r="E12" s="1">
        <f>+M11</f>
        <v>10</v>
      </c>
      <c r="F12" s="1">
        <f t="shared" ref="F12:F21" si="1">+D12*E12</f>
        <v>80</v>
      </c>
      <c r="L12" s="36" t="s">
        <v>13</v>
      </c>
      <c r="M12" s="26">
        <v>16</v>
      </c>
      <c r="O12" s="1" t="s">
        <v>8</v>
      </c>
      <c r="P12">
        <f>+M7</f>
        <v>155</v>
      </c>
    </row>
    <row r="13" spans="2:16" ht="15" thickBot="1" x14ac:dyDescent="0.4">
      <c r="B13" s="1" t="s">
        <v>13</v>
      </c>
      <c r="C13" s="1" t="s">
        <v>50</v>
      </c>
      <c r="D13" s="1">
        <v>8</v>
      </c>
      <c r="E13" s="1">
        <f>+M12</f>
        <v>16</v>
      </c>
      <c r="F13" s="1">
        <f t="shared" si="1"/>
        <v>128</v>
      </c>
      <c r="L13" s="36" t="s">
        <v>14</v>
      </c>
      <c r="M13" s="26">
        <v>5</v>
      </c>
      <c r="O13" s="1" t="s">
        <v>42</v>
      </c>
      <c r="P13">
        <f>+M42</f>
        <v>4</v>
      </c>
    </row>
    <row r="14" spans="2:16" ht="15" thickBot="1" x14ac:dyDescent="0.4">
      <c r="B14" s="1" t="s">
        <v>14</v>
      </c>
      <c r="C14" s="1" t="s">
        <v>50</v>
      </c>
      <c r="D14" s="1">
        <v>8</v>
      </c>
      <c r="E14" s="1">
        <f>M13</f>
        <v>5</v>
      </c>
      <c r="F14" s="1">
        <f t="shared" si="1"/>
        <v>40</v>
      </c>
      <c r="L14" s="36" t="s">
        <v>15</v>
      </c>
      <c r="M14" s="26">
        <v>0</v>
      </c>
      <c r="O14" s="1" t="s">
        <v>11</v>
      </c>
      <c r="P14">
        <f>+M10</f>
        <v>127</v>
      </c>
    </row>
    <row r="15" spans="2:16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0</v>
      </c>
      <c r="F15" s="1">
        <f t="shared" si="1"/>
        <v>0</v>
      </c>
      <c r="L15" s="36" t="s">
        <v>16</v>
      </c>
      <c r="M15" s="26">
        <v>22</v>
      </c>
      <c r="O15" s="1" t="s">
        <v>7</v>
      </c>
      <c r="P15">
        <f>+M6</f>
        <v>0</v>
      </c>
    </row>
    <row r="16" spans="2:16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22</v>
      </c>
      <c r="F16" s="1">
        <f t="shared" si="1"/>
        <v>176</v>
      </c>
      <c r="L16" s="36" t="s">
        <v>17</v>
      </c>
      <c r="M16" s="26">
        <v>5</v>
      </c>
      <c r="O16" s="1" t="s">
        <v>12</v>
      </c>
      <c r="P16">
        <f>+M11</f>
        <v>10</v>
      </c>
    </row>
    <row r="17" spans="2:16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5</v>
      </c>
      <c r="F17" s="1">
        <f t="shared" si="1"/>
        <v>40</v>
      </c>
      <c r="L17" s="36" t="s">
        <v>18</v>
      </c>
      <c r="M17" s="26">
        <v>17</v>
      </c>
      <c r="O17" s="1" t="s">
        <v>38</v>
      </c>
      <c r="P17">
        <f>+M38</f>
        <v>0</v>
      </c>
    </row>
    <row r="18" spans="2:16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17</v>
      </c>
      <c r="F18" s="1">
        <f t="shared" si="1"/>
        <v>136</v>
      </c>
      <c r="L18" s="36" t="s">
        <v>19</v>
      </c>
      <c r="M18" s="26">
        <v>38</v>
      </c>
      <c r="O18" s="1" t="s">
        <v>27</v>
      </c>
      <c r="P18">
        <f>+M26</f>
        <v>33</v>
      </c>
    </row>
    <row r="19" spans="2:16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38</v>
      </c>
      <c r="F19" s="1">
        <f t="shared" si="1"/>
        <v>304</v>
      </c>
      <c r="L19" s="36" t="s">
        <v>20</v>
      </c>
      <c r="M19" s="26">
        <v>1</v>
      </c>
      <c r="O19" s="1" t="s">
        <v>18</v>
      </c>
      <c r="P19">
        <f>+M17</f>
        <v>17</v>
      </c>
    </row>
    <row r="20" spans="2:16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1</v>
      </c>
      <c r="F20" s="1">
        <f t="shared" si="1"/>
        <v>8</v>
      </c>
      <c r="L20" s="36" t="s">
        <v>21</v>
      </c>
      <c r="M20" s="26">
        <v>2</v>
      </c>
      <c r="O20" s="1" t="s">
        <v>19</v>
      </c>
      <c r="P20">
        <f>+M18</f>
        <v>38</v>
      </c>
    </row>
    <row r="21" spans="2:16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2</v>
      </c>
      <c r="F21" s="1">
        <f t="shared" si="1"/>
        <v>16</v>
      </c>
      <c r="L21" s="35" t="s">
        <v>22</v>
      </c>
      <c r="M21" s="24">
        <v>226</v>
      </c>
      <c r="O21" s="1" t="s">
        <v>47</v>
      </c>
      <c r="P21">
        <f>+M47</f>
        <v>0</v>
      </c>
    </row>
    <row r="22" spans="2:16" ht="19" thickBot="1" x14ac:dyDescent="0.5">
      <c r="B22" s="1" t="s">
        <v>22</v>
      </c>
      <c r="C22" s="1"/>
      <c r="D22" s="1"/>
      <c r="E22" s="4">
        <f>SUM(E23:E29)</f>
        <v>226</v>
      </c>
      <c r="F22" s="4">
        <f>SUM(F23:F29)</f>
        <v>1065</v>
      </c>
      <c r="L22" s="36" t="s">
        <v>23</v>
      </c>
      <c r="M22" s="26">
        <v>28</v>
      </c>
      <c r="O22" s="1" t="s">
        <v>15</v>
      </c>
      <c r="P22">
        <f>+M14</f>
        <v>0</v>
      </c>
    </row>
    <row r="23" spans="2:16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28</v>
      </c>
      <c r="F23" s="1">
        <f>+D23*E23</f>
        <v>140</v>
      </c>
      <c r="L23" s="36" t="s">
        <v>24</v>
      </c>
      <c r="M23" s="26">
        <v>19</v>
      </c>
      <c r="O23" s="1" t="s">
        <v>20</v>
      </c>
      <c r="P23">
        <f>+M19</f>
        <v>1</v>
      </c>
    </row>
    <row r="24" spans="2:16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19</v>
      </c>
      <c r="F24" s="1">
        <f t="shared" ref="F24:F29" si="4">+D24*E24</f>
        <v>95</v>
      </c>
      <c r="L24" s="36" t="s">
        <v>25</v>
      </c>
      <c r="M24" s="26">
        <v>108</v>
      </c>
      <c r="O24" s="1" t="s">
        <v>41</v>
      </c>
      <c r="P24">
        <f>+M41</f>
        <v>9</v>
      </c>
    </row>
    <row r="25" spans="2:16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108</v>
      </c>
      <c r="F25" s="1">
        <f t="shared" si="4"/>
        <v>540</v>
      </c>
      <c r="L25" s="36" t="s">
        <v>26</v>
      </c>
      <c r="M25" s="26">
        <v>23</v>
      </c>
      <c r="O25" s="1" t="s">
        <v>17</v>
      </c>
      <c r="P25">
        <f>+M16</f>
        <v>5</v>
      </c>
    </row>
    <row r="26" spans="2:16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23</v>
      </c>
      <c r="F26" s="1">
        <f>+M13</f>
        <v>5</v>
      </c>
      <c r="L26" s="36" t="s">
        <v>27</v>
      </c>
      <c r="M26" s="26">
        <v>33</v>
      </c>
      <c r="O26" s="1" t="s">
        <v>33</v>
      </c>
      <c r="P26">
        <f>+M32</f>
        <v>16</v>
      </c>
    </row>
    <row r="27" spans="2:16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33</v>
      </c>
      <c r="F27" s="1">
        <f t="shared" si="4"/>
        <v>165</v>
      </c>
      <c r="L27" s="36" t="s">
        <v>28</v>
      </c>
      <c r="M27" s="26">
        <v>15</v>
      </c>
      <c r="O27" s="1" t="s">
        <v>45</v>
      </c>
      <c r="P27">
        <f>+M45</f>
        <v>6</v>
      </c>
    </row>
    <row r="28" spans="2:16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15</v>
      </c>
      <c r="F28" s="1">
        <f t="shared" si="4"/>
        <v>120</v>
      </c>
      <c r="L28" s="36" t="s">
        <v>29</v>
      </c>
      <c r="M28" s="25"/>
      <c r="O28" s="1" t="s">
        <v>25</v>
      </c>
      <c r="P28">
        <f>+M24</f>
        <v>108</v>
      </c>
    </row>
    <row r="29" spans="2:16" ht="17.5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106</v>
      </c>
      <c r="O29" s="1" t="s">
        <v>46</v>
      </c>
      <c r="P29">
        <f>+M46</f>
        <v>4</v>
      </c>
    </row>
    <row r="30" spans="2:16" ht="19" thickBot="1" x14ac:dyDescent="0.5">
      <c r="B30" s="1" t="s">
        <v>30</v>
      </c>
      <c r="C30" s="1"/>
      <c r="D30" s="1"/>
      <c r="E30" s="4">
        <f>SUM(E31:E36)</f>
        <v>106</v>
      </c>
      <c r="F30" s="4">
        <f>SUM(F31:F36)</f>
        <v>731</v>
      </c>
      <c r="L30" s="36" t="s">
        <v>32</v>
      </c>
      <c r="M30" s="26">
        <v>39</v>
      </c>
      <c r="O30" s="1" t="s">
        <v>32</v>
      </c>
      <c r="P30">
        <f>+M30</f>
        <v>39</v>
      </c>
    </row>
    <row r="31" spans="2:16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+M30</f>
        <v>39</v>
      </c>
      <c r="F31" s="1">
        <f>+D31*E31</f>
        <v>195</v>
      </c>
      <c r="L31" s="36" t="s">
        <v>31</v>
      </c>
      <c r="M31" s="26">
        <v>26</v>
      </c>
      <c r="O31" s="1" t="s">
        <v>34</v>
      </c>
      <c r="P31">
        <f>+M33</f>
        <v>10</v>
      </c>
    </row>
    <row r="32" spans="2:16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26</v>
      </c>
      <c r="F32" s="1">
        <f t="shared" ref="F32:F36" si="6">+D32*E32</f>
        <v>208</v>
      </c>
      <c r="L32" s="36" t="s">
        <v>33</v>
      </c>
      <c r="M32" s="26">
        <v>16</v>
      </c>
      <c r="O32" s="1" t="s">
        <v>49</v>
      </c>
      <c r="P32">
        <f>+M48</f>
        <v>20</v>
      </c>
    </row>
    <row r="33" spans="2:16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16</v>
      </c>
      <c r="F33" s="1">
        <f t="shared" si="6"/>
        <v>128</v>
      </c>
      <c r="L33" s="36" t="s">
        <v>34</v>
      </c>
      <c r="M33" s="26">
        <v>10</v>
      </c>
      <c r="O33" s="1" t="s">
        <v>29</v>
      </c>
      <c r="P33">
        <f>+M28</f>
        <v>0</v>
      </c>
    </row>
    <row r="34" spans="2:16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10</v>
      </c>
      <c r="F34" s="1">
        <f t="shared" si="6"/>
        <v>80</v>
      </c>
      <c r="L34" s="37" t="s">
        <v>97</v>
      </c>
      <c r="M34" s="26">
        <v>1</v>
      </c>
      <c r="O34" s="1" t="s">
        <v>26</v>
      </c>
      <c r="P34">
        <f>+M25</f>
        <v>23</v>
      </c>
    </row>
    <row r="35" spans="2:16" ht="15" thickBot="1" x14ac:dyDescent="0.4">
      <c r="B35" s="1" t="s">
        <v>155</v>
      </c>
      <c r="C35" s="1" t="s">
        <v>50</v>
      </c>
      <c r="D35" s="1">
        <v>8</v>
      </c>
      <c r="E35" s="1">
        <f t="shared" si="5"/>
        <v>1</v>
      </c>
      <c r="F35" s="1">
        <f t="shared" si="6"/>
        <v>8</v>
      </c>
      <c r="L35" s="37" t="s">
        <v>35</v>
      </c>
      <c r="M35" s="26">
        <v>14</v>
      </c>
      <c r="O35" s="1" t="s">
        <v>21</v>
      </c>
      <c r="P35">
        <f>+M20</f>
        <v>2</v>
      </c>
    </row>
    <row r="36" spans="2:16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14</v>
      </c>
      <c r="F36" s="1">
        <f t="shared" si="6"/>
        <v>112</v>
      </c>
      <c r="L36" s="35" t="s">
        <v>36</v>
      </c>
      <c r="M36" s="24">
        <v>38</v>
      </c>
      <c r="O36" s="1" t="s">
        <v>23</v>
      </c>
      <c r="P36" s="1">
        <f>+M22</f>
        <v>28</v>
      </c>
    </row>
    <row r="37" spans="2:16" ht="19" thickBot="1" x14ac:dyDescent="0.5">
      <c r="B37" s="1" t="s">
        <v>36</v>
      </c>
      <c r="C37" s="1"/>
      <c r="D37" s="1"/>
      <c r="E37" s="4">
        <f>SUM(E38:E43)</f>
        <v>38</v>
      </c>
      <c r="F37" s="4">
        <f>SUM(F38:F43)</f>
        <v>304</v>
      </c>
      <c r="L37" s="36" t="s">
        <v>37</v>
      </c>
      <c r="M37" s="26">
        <v>0</v>
      </c>
      <c r="O37" s="1" t="s">
        <v>24</v>
      </c>
      <c r="P37" s="1">
        <f>+M23</f>
        <v>19</v>
      </c>
    </row>
    <row r="38" spans="2:16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7">+M37</f>
        <v>0</v>
      </c>
      <c r="F38" s="1">
        <f>+D38*E38</f>
        <v>0</v>
      </c>
      <c r="L38" s="36" t="s">
        <v>38</v>
      </c>
      <c r="M38" s="26">
        <v>0</v>
      </c>
      <c r="O38" s="1" t="s">
        <v>9</v>
      </c>
      <c r="P38" s="1">
        <f>+M8</f>
        <v>0</v>
      </c>
    </row>
    <row r="39" spans="2:16" ht="15" thickBot="1" x14ac:dyDescent="0.4">
      <c r="B39" s="1" t="s">
        <v>38</v>
      </c>
      <c r="C39" s="1" t="s">
        <v>50</v>
      </c>
      <c r="D39" s="1">
        <v>8</v>
      </c>
      <c r="E39" s="1">
        <f t="shared" si="7"/>
        <v>0</v>
      </c>
      <c r="F39" s="1">
        <f t="shared" ref="F39:F43" si="8">+D39*E39</f>
        <v>0</v>
      </c>
      <c r="L39" s="36" t="s">
        <v>39</v>
      </c>
      <c r="M39" s="26">
        <v>5</v>
      </c>
      <c r="O39" s="1" t="s">
        <v>155</v>
      </c>
      <c r="P39" s="1">
        <f>+M34</f>
        <v>1</v>
      </c>
    </row>
    <row r="40" spans="2:16" ht="15" thickBot="1" x14ac:dyDescent="0.4">
      <c r="B40" s="1" t="s">
        <v>39</v>
      </c>
      <c r="C40" s="1" t="s">
        <v>50</v>
      </c>
      <c r="D40" s="1">
        <v>8</v>
      </c>
      <c r="E40" s="1">
        <f t="shared" si="7"/>
        <v>5</v>
      </c>
      <c r="F40" s="1">
        <f t="shared" si="8"/>
        <v>40</v>
      </c>
      <c r="L40" s="36" t="s">
        <v>40</v>
      </c>
      <c r="M40" s="26">
        <v>20</v>
      </c>
      <c r="O40" s="1" t="s">
        <v>13</v>
      </c>
      <c r="P40" s="1">
        <f>+M12</f>
        <v>16</v>
      </c>
    </row>
    <row r="41" spans="2:16" ht="15" thickBot="1" x14ac:dyDescent="0.4">
      <c r="B41" s="1" t="s">
        <v>40</v>
      </c>
      <c r="C41" s="1" t="s">
        <v>50</v>
      </c>
      <c r="D41" s="1">
        <v>8</v>
      </c>
      <c r="E41" s="1">
        <f t="shared" si="7"/>
        <v>20</v>
      </c>
      <c r="F41" s="1">
        <f t="shared" si="8"/>
        <v>160</v>
      </c>
      <c r="L41" s="36" t="s">
        <v>98</v>
      </c>
      <c r="M41" s="26">
        <v>9</v>
      </c>
      <c r="O41" s="1" t="s">
        <v>31</v>
      </c>
      <c r="P41" s="1">
        <f>+M31</f>
        <v>26</v>
      </c>
    </row>
    <row r="42" spans="2:16" ht="15" thickBot="1" x14ac:dyDescent="0.4">
      <c r="B42" s="1" t="s">
        <v>41</v>
      </c>
      <c r="C42" s="1" t="s">
        <v>50</v>
      </c>
      <c r="D42" s="1">
        <v>8</v>
      </c>
      <c r="E42" s="1">
        <f t="shared" si="7"/>
        <v>9</v>
      </c>
      <c r="F42" s="1">
        <f t="shared" si="8"/>
        <v>72</v>
      </c>
      <c r="L42" s="36" t="s">
        <v>42</v>
      </c>
      <c r="M42" s="26">
        <v>4</v>
      </c>
      <c r="O42" s="1" t="s">
        <v>37</v>
      </c>
      <c r="P42" s="1">
        <f>+M37</f>
        <v>0</v>
      </c>
    </row>
    <row r="43" spans="2:16" ht="17.5" thickBot="1" x14ac:dyDescent="0.45">
      <c r="B43" s="1" t="s">
        <v>42</v>
      </c>
      <c r="C43" s="1" t="s">
        <v>50</v>
      </c>
      <c r="D43" s="1">
        <v>8</v>
      </c>
      <c r="E43" s="1">
        <f t="shared" si="7"/>
        <v>4</v>
      </c>
      <c r="F43" s="1">
        <f t="shared" si="8"/>
        <v>32</v>
      </c>
      <c r="L43" s="35" t="s">
        <v>43</v>
      </c>
      <c r="M43" s="24">
        <v>93</v>
      </c>
      <c r="O43" s="1" t="s">
        <v>39</v>
      </c>
      <c r="P43" s="1">
        <f>+M39</f>
        <v>5</v>
      </c>
    </row>
    <row r="44" spans="2:16" ht="19" thickBot="1" x14ac:dyDescent="0.5">
      <c r="B44" s="1" t="s">
        <v>43</v>
      </c>
      <c r="C44" s="1"/>
      <c r="D44" s="1"/>
      <c r="E44" s="4">
        <f>SUM(E45:E49)</f>
        <v>93</v>
      </c>
      <c r="F44" s="4">
        <f>SUM(F45:F49)</f>
        <v>744</v>
      </c>
      <c r="L44" s="36" t="s">
        <v>44</v>
      </c>
      <c r="M44" s="26">
        <v>63</v>
      </c>
      <c r="P44" s="97">
        <f>SUBTOTAL(109,P5:P43)</f>
        <v>1364</v>
      </c>
    </row>
    <row r="45" spans="2:16" ht="15" thickBot="1" x14ac:dyDescent="0.4">
      <c r="B45" s="1" t="s">
        <v>44</v>
      </c>
      <c r="C45" s="1" t="s">
        <v>50</v>
      </c>
      <c r="D45" s="1">
        <v>8</v>
      </c>
      <c r="E45" s="1">
        <f>+M44</f>
        <v>63</v>
      </c>
      <c r="F45" s="1">
        <f>+D45*E45</f>
        <v>504</v>
      </c>
      <c r="L45" s="36" t="s">
        <v>45</v>
      </c>
      <c r="M45" s="26">
        <v>6</v>
      </c>
    </row>
    <row r="46" spans="2:16" ht="15" thickBot="1" x14ac:dyDescent="0.4">
      <c r="B46" s="1" t="s">
        <v>45</v>
      </c>
      <c r="C46" s="1" t="s">
        <v>50</v>
      </c>
      <c r="D46" s="1">
        <v>8</v>
      </c>
      <c r="E46" s="1">
        <f>+M45</f>
        <v>6</v>
      </c>
      <c r="F46" s="1">
        <f t="shared" ref="F46:F49" si="9">+D46*E46</f>
        <v>48</v>
      </c>
      <c r="L46" s="36" t="s">
        <v>46</v>
      </c>
      <c r="M46" s="26">
        <v>4</v>
      </c>
    </row>
    <row r="47" spans="2:16" ht="15" thickBot="1" x14ac:dyDescent="0.4">
      <c r="B47" s="1" t="s">
        <v>46</v>
      </c>
      <c r="C47" s="1" t="s">
        <v>50</v>
      </c>
      <c r="D47" s="1">
        <v>8</v>
      </c>
      <c r="E47" s="1">
        <f>+M46</f>
        <v>4</v>
      </c>
      <c r="F47" s="1">
        <f t="shared" si="9"/>
        <v>32</v>
      </c>
      <c r="L47" s="36" t="s">
        <v>47</v>
      </c>
      <c r="M47" s="26">
        <v>0</v>
      </c>
    </row>
    <row r="48" spans="2:16" ht="15" thickBot="1" x14ac:dyDescent="0.4">
      <c r="B48" s="1" t="s">
        <v>47</v>
      </c>
      <c r="C48" s="1" t="s">
        <v>50</v>
      </c>
      <c r="D48" s="1">
        <v>8</v>
      </c>
      <c r="E48" s="1">
        <f>+M47</f>
        <v>0</v>
      </c>
      <c r="F48" s="1">
        <f t="shared" si="9"/>
        <v>0</v>
      </c>
      <c r="L48" s="36" t="s">
        <v>49</v>
      </c>
      <c r="M48" s="26">
        <v>20</v>
      </c>
    </row>
    <row r="49" spans="2:13" ht="15" thickBot="1" x14ac:dyDescent="0.4">
      <c r="B49" s="1" t="s">
        <v>49</v>
      </c>
      <c r="C49" s="1" t="s">
        <v>50</v>
      </c>
      <c r="D49" s="1">
        <v>8</v>
      </c>
      <c r="E49" s="1">
        <f>+M48</f>
        <v>20</v>
      </c>
      <c r="F49" s="1">
        <f t="shared" si="9"/>
        <v>160</v>
      </c>
      <c r="L49" s="21"/>
      <c r="M49" s="21"/>
    </row>
    <row r="50" spans="2:13" ht="19" thickBot="1" x14ac:dyDescent="0.5">
      <c r="B50" s="103" t="s">
        <v>51</v>
      </c>
      <c r="C50" s="104"/>
      <c r="D50" s="105"/>
      <c r="E50" s="4">
        <f>+E44+E37+E30+E22+E10+E5</f>
        <v>1364</v>
      </c>
      <c r="F50" s="4">
        <f>+F44+F37+F30+F22+F10+F5</f>
        <v>6381</v>
      </c>
      <c r="L50" s="21" t="s">
        <v>51</v>
      </c>
      <c r="M50" s="38">
        <v>1364</v>
      </c>
    </row>
    <row r="51" spans="2:13" ht="17.5" thickBot="1" x14ac:dyDescent="0.45">
      <c r="L51" s="21" t="s">
        <v>51</v>
      </c>
      <c r="M51" s="3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40DB-0C1D-45BE-854B-F58922358B07}">
  <dimension ref="B1:P51"/>
  <sheetViews>
    <sheetView workbookViewId="0">
      <selection activeCell="I10" sqref="I10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7.1796875" bestFit="1" customWidth="1"/>
    <col min="12" max="12" width="13.81640625" bestFit="1" customWidth="1"/>
    <col min="15" max="15" width="13.1796875" bestFit="1" customWidth="1"/>
    <col min="16" max="16" width="10.36328125" bestFit="1" customWidth="1"/>
  </cols>
  <sheetData>
    <row r="1" spans="2:16" ht="15" thickBot="1" x14ac:dyDescent="0.4"/>
    <row r="2" spans="2:16" ht="15" customHeight="1" thickBot="1" x14ac:dyDescent="0.4">
      <c r="B2" s="102" t="s">
        <v>117</v>
      </c>
      <c r="C2" s="102"/>
      <c r="D2" s="102"/>
      <c r="E2" s="102"/>
      <c r="F2" s="102"/>
      <c r="L2" s="33"/>
      <c r="M2" s="33"/>
    </row>
    <row r="3" spans="2:16" ht="29.5" thickBot="1" x14ac:dyDescent="0.4">
      <c r="L3" s="44" t="s">
        <v>95</v>
      </c>
      <c r="M3" s="45" t="s">
        <v>172</v>
      </c>
    </row>
    <row r="4" spans="2:16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1086</v>
      </c>
      <c r="O4" t="s">
        <v>158</v>
      </c>
      <c r="P4" t="s">
        <v>159</v>
      </c>
    </row>
    <row r="5" spans="2:16" ht="19" thickBot="1" x14ac:dyDescent="0.5">
      <c r="B5" s="1" t="s">
        <v>59</v>
      </c>
      <c r="C5" s="1"/>
      <c r="D5" s="1"/>
      <c r="E5" s="4">
        <f>SUM(E6:E9)</f>
        <v>1086</v>
      </c>
      <c r="F5" s="4">
        <f>SUM(F6:F9)</f>
        <v>3258</v>
      </c>
      <c r="H5" s="2" t="s">
        <v>67</v>
      </c>
      <c r="I5" s="2">
        <f>+F5</f>
        <v>3258</v>
      </c>
      <c r="J5" s="2">
        <f>+E5</f>
        <v>1086</v>
      </c>
      <c r="L5" s="36" t="s">
        <v>6</v>
      </c>
      <c r="M5" s="26">
        <v>608</v>
      </c>
      <c r="O5" s="1" t="s">
        <v>40</v>
      </c>
      <c r="P5" s="1">
        <f>+M40</f>
        <v>14</v>
      </c>
    </row>
    <row r="6" spans="2:16" ht="15" thickBot="1" x14ac:dyDescent="0.4">
      <c r="B6" s="1" t="s">
        <v>6</v>
      </c>
      <c r="C6" s="1" t="s">
        <v>50</v>
      </c>
      <c r="D6" s="1">
        <v>3</v>
      </c>
      <c r="E6" s="1">
        <f>+M5</f>
        <v>608</v>
      </c>
      <c r="F6" s="1">
        <f>+D6*E6</f>
        <v>1824</v>
      </c>
      <c r="H6" s="2" t="s">
        <v>68</v>
      </c>
      <c r="I6" s="2">
        <f>+F10</f>
        <v>1855</v>
      </c>
      <c r="J6" s="2">
        <f>+E10</f>
        <v>281</v>
      </c>
      <c r="L6" s="36" t="s">
        <v>7</v>
      </c>
      <c r="M6" s="26">
        <v>287</v>
      </c>
      <c r="O6" s="1" t="s">
        <v>6</v>
      </c>
      <c r="P6" s="1">
        <f>+M5</f>
        <v>608</v>
      </c>
    </row>
    <row r="7" spans="2:16" ht="15" thickBot="1" x14ac:dyDescent="0.4">
      <c r="B7" s="1" t="s">
        <v>7</v>
      </c>
      <c r="C7" s="1" t="s">
        <v>50</v>
      </c>
      <c r="D7" s="1">
        <v>3</v>
      </c>
      <c r="E7" s="1">
        <f>+M6</f>
        <v>287</v>
      </c>
      <c r="F7" s="1">
        <f t="shared" ref="F7:F9" si="0">+D7*E7</f>
        <v>861</v>
      </c>
      <c r="H7" s="2" t="s">
        <v>69</v>
      </c>
      <c r="I7" s="2">
        <f>+F22</f>
        <v>869</v>
      </c>
      <c r="J7" s="2">
        <f>+E22</f>
        <v>195</v>
      </c>
      <c r="L7" s="36" t="s">
        <v>8</v>
      </c>
      <c r="M7" s="26">
        <v>191</v>
      </c>
      <c r="O7" s="1" t="s">
        <v>35</v>
      </c>
      <c r="P7" s="1">
        <f>+M35</f>
        <v>8</v>
      </c>
    </row>
    <row r="8" spans="2:16" ht="15" thickBot="1" x14ac:dyDescent="0.4">
      <c r="B8" s="1" t="s">
        <v>8</v>
      </c>
      <c r="C8" s="1" t="s">
        <v>50</v>
      </c>
      <c r="D8" s="1">
        <v>3</v>
      </c>
      <c r="E8" s="1">
        <f>+M7</f>
        <v>191</v>
      </c>
      <c r="F8" s="1">
        <f t="shared" si="0"/>
        <v>573</v>
      </c>
      <c r="H8" s="2" t="s">
        <v>70</v>
      </c>
      <c r="I8" s="2">
        <f>+F30</f>
        <v>714</v>
      </c>
      <c r="J8" s="2">
        <f>+E30</f>
        <v>108</v>
      </c>
      <c r="L8" s="36" t="s">
        <v>9</v>
      </c>
      <c r="M8" s="25"/>
      <c r="O8" s="1" t="s">
        <v>28</v>
      </c>
      <c r="P8" s="1">
        <f>+M27</f>
        <v>11</v>
      </c>
    </row>
    <row r="9" spans="2:16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+F37</f>
        <v>272</v>
      </c>
      <c r="J9" s="2">
        <f>+E37</f>
        <v>34</v>
      </c>
      <c r="L9" s="35" t="s">
        <v>10</v>
      </c>
      <c r="M9" s="24">
        <v>281</v>
      </c>
      <c r="O9" s="1" t="s">
        <v>44</v>
      </c>
      <c r="P9">
        <f>+M44</f>
        <v>62</v>
      </c>
    </row>
    <row r="10" spans="2:16" ht="19" thickBot="1" x14ac:dyDescent="0.5">
      <c r="B10" s="1" t="s">
        <v>10</v>
      </c>
      <c r="C10" s="1"/>
      <c r="D10" s="1"/>
      <c r="E10" s="4">
        <f>SUM(E11:E21)</f>
        <v>281</v>
      </c>
      <c r="F10" s="4">
        <f>SUM(F11:F21)</f>
        <v>1855</v>
      </c>
      <c r="H10" s="2" t="s">
        <v>44</v>
      </c>
      <c r="I10" s="2">
        <f>+F44</f>
        <v>752</v>
      </c>
      <c r="J10" s="2">
        <f>+E44</f>
        <v>94</v>
      </c>
      <c r="L10" s="36" t="s">
        <v>11</v>
      </c>
      <c r="M10" s="26">
        <v>131</v>
      </c>
      <c r="O10" s="1" t="s">
        <v>14</v>
      </c>
      <c r="P10">
        <f>+M13</f>
        <v>1</v>
      </c>
    </row>
    <row r="11" spans="2:16" ht="19" thickBot="1" x14ac:dyDescent="0.5">
      <c r="B11" s="1" t="s">
        <v>11</v>
      </c>
      <c r="C11" s="1" t="s">
        <v>50</v>
      </c>
      <c r="D11" s="1">
        <v>5</v>
      </c>
      <c r="E11" s="1">
        <f>+M10</f>
        <v>131</v>
      </c>
      <c r="F11" s="1">
        <f>+D11*E11</f>
        <v>655</v>
      </c>
      <c r="H11" s="43" t="s">
        <v>51</v>
      </c>
      <c r="I11" s="43">
        <f>SUM(I5:I10)</f>
        <v>7720</v>
      </c>
      <c r="J11" s="43">
        <f>SUM(J5:J10)</f>
        <v>1798</v>
      </c>
      <c r="L11" s="36" t="s">
        <v>12</v>
      </c>
      <c r="M11" s="26">
        <v>8</v>
      </c>
      <c r="O11" s="1" t="s">
        <v>16</v>
      </c>
      <c r="P11">
        <f>+M15</f>
        <v>22</v>
      </c>
    </row>
    <row r="12" spans="2:16" ht="15" thickBot="1" x14ac:dyDescent="0.4">
      <c r="B12" s="1" t="s">
        <v>12</v>
      </c>
      <c r="C12" s="1" t="s">
        <v>50</v>
      </c>
      <c r="D12" s="1">
        <v>8</v>
      </c>
      <c r="E12" s="1">
        <f>+M11</f>
        <v>8</v>
      </c>
      <c r="F12" s="1">
        <f t="shared" ref="F12:F21" si="1">+D12*E12</f>
        <v>64</v>
      </c>
      <c r="L12" s="36" t="s">
        <v>13</v>
      </c>
      <c r="M12" s="26">
        <v>9</v>
      </c>
      <c r="O12" s="1" t="s">
        <v>8</v>
      </c>
      <c r="P12">
        <f>+M7</f>
        <v>191</v>
      </c>
    </row>
    <row r="13" spans="2:16" ht="15" thickBot="1" x14ac:dyDescent="0.4">
      <c r="B13" s="1" t="s">
        <v>13</v>
      </c>
      <c r="C13" s="1" t="s">
        <v>50</v>
      </c>
      <c r="D13" s="1">
        <v>8</v>
      </c>
      <c r="E13" s="1">
        <f>+M12</f>
        <v>9</v>
      </c>
      <c r="F13" s="1">
        <f t="shared" si="1"/>
        <v>72</v>
      </c>
      <c r="L13" s="36" t="s">
        <v>14</v>
      </c>
      <c r="M13" s="26">
        <v>1</v>
      </c>
      <c r="O13" s="1" t="s">
        <v>42</v>
      </c>
      <c r="P13">
        <f>+M42</f>
        <v>8</v>
      </c>
    </row>
    <row r="14" spans="2:16" ht="15" thickBot="1" x14ac:dyDescent="0.4">
      <c r="B14" s="1" t="s">
        <v>14</v>
      </c>
      <c r="C14" s="1" t="s">
        <v>50</v>
      </c>
      <c r="D14" s="1">
        <v>8</v>
      </c>
      <c r="E14" s="1">
        <f>M13</f>
        <v>1</v>
      </c>
      <c r="F14" s="1">
        <f t="shared" si="1"/>
        <v>8</v>
      </c>
      <c r="L14" s="36" t="s">
        <v>15</v>
      </c>
      <c r="M14" s="26">
        <v>0</v>
      </c>
      <c r="O14" s="1" t="s">
        <v>11</v>
      </c>
      <c r="P14">
        <f>+M10</f>
        <v>131</v>
      </c>
    </row>
    <row r="15" spans="2:16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0</v>
      </c>
      <c r="F15" s="1">
        <f t="shared" si="1"/>
        <v>0</v>
      </c>
      <c r="L15" s="36" t="s">
        <v>16</v>
      </c>
      <c r="M15" s="26">
        <v>22</v>
      </c>
      <c r="O15" s="1" t="s">
        <v>7</v>
      </c>
      <c r="P15">
        <f>+M6</f>
        <v>287</v>
      </c>
    </row>
    <row r="16" spans="2:16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22</v>
      </c>
      <c r="F16" s="1">
        <f t="shared" si="1"/>
        <v>176</v>
      </c>
      <c r="L16" s="36" t="s">
        <v>17</v>
      </c>
      <c r="M16" s="26">
        <v>8</v>
      </c>
      <c r="O16" s="1" t="s">
        <v>12</v>
      </c>
      <c r="P16">
        <f>+M11</f>
        <v>8</v>
      </c>
    </row>
    <row r="17" spans="2:16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8</v>
      </c>
      <c r="F17" s="1">
        <f t="shared" si="1"/>
        <v>64</v>
      </c>
      <c r="L17" s="36" t="s">
        <v>18</v>
      </c>
      <c r="M17" s="26">
        <v>25</v>
      </c>
      <c r="O17" s="1" t="s">
        <v>38</v>
      </c>
      <c r="P17">
        <f>+M38</f>
        <v>0</v>
      </c>
    </row>
    <row r="18" spans="2:16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25</v>
      </c>
      <c r="F18" s="1">
        <f t="shared" si="1"/>
        <v>200</v>
      </c>
      <c r="L18" s="36" t="s">
        <v>19</v>
      </c>
      <c r="M18" s="26">
        <v>40</v>
      </c>
      <c r="O18" s="1" t="s">
        <v>27</v>
      </c>
      <c r="P18">
        <f>+M26</f>
        <v>46</v>
      </c>
    </row>
    <row r="19" spans="2:16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40</v>
      </c>
      <c r="F19" s="1">
        <f t="shared" si="1"/>
        <v>320</v>
      </c>
      <c r="L19" s="36" t="s">
        <v>20</v>
      </c>
      <c r="M19" s="26">
        <v>35</v>
      </c>
      <c r="O19" s="1" t="s">
        <v>18</v>
      </c>
      <c r="P19">
        <f>+M17</f>
        <v>25</v>
      </c>
    </row>
    <row r="20" spans="2:16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35</v>
      </c>
      <c r="F20" s="1">
        <f t="shared" si="1"/>
        <v>280</v>
      </c>
      <c r="L20" s="36" t="s">
        <v>21</v>
      </c>
      <c r="M20" s="26">
        <v>2</v>
      </c>
      <c r="O20" s="1" t="s">
        <v>19</v>
      </c>
      <c r="P20">
        <f>+M18</f>
        <v>40</v>
      </c>
    </row>
    <row r="21" spans="2:16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2</v>
      </c>
      <c r="F21" s="1">
        <f t="shared" si="1"/>
        <v>16</v>
      </c>
      <c r="L21" s="35" t="s">
        <v>22</v>
      </c>
      <c r="M21" s="24">
        <v>195</v>
      </c>
      <c r="O21" s="1" t="s">
        <v>47</v>
      </c>
      <c r="P21">
        <f>+M47</f>
        <v>0</v>
      </c>
    </row>
    <row r="22" spans="2:16" ht="19" thickBot="1" x14ac:dyDescent="0.5">
      <c r="B22" s="1" t="s">
        <v>22</v>
      </c>
      <c r="C22" s="1"/>
      <c r="D22" s="1"/>
      <c r="E22" s="4">
        <f>SUM(E23:E29)</f>
        <v>195</v>
      </c>
      <c r="F22" s="4">
        <f>SUM(F23:F29)</f>
        <v>869</v>
      </c>
      <c r="L22" s="36" t="s">
        <v>23</v>
      </c>
      <c r="M22" s="26">
        <v>22</v>
      </c>
      <c r="O22" s="1" t="s">
        <v>15</v>
      </c>
      <c r="P22">
        <f>+M14</f>
        <v>0</v>
      </c>
    </row>
    <row r="23" spans="2:16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22</v>
      </c>
      <c r="F23" s="1">
        <f>+D23*E23</f>
        <v>110</v>
      </c>
      <c r="L23" s="36" t="s">
        <v>24</v>
      </c>
      <c r="M23" s="26">
        <v>13</v>
      </c>
      <c r="O23" s="1" t="s">
        <v>20</v>
      </c>
      <c r="P23">
        <f>+M19</f>
        <v>35</v>
      </c>
    </row>
    <row r="24" spans="2:16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13</v>
      </c>
      <c r="F24" s="1">
        <f t="shared" ref="F24:F29" si="4">+D24*E24</f>
        <v>65</v>
      </c>
      <c r="L24" s="36" t="s">
        <v>25</v>
      </c>
      <c r="M24" s="26">
        <v>75</v>
      </c>
      <c r="O24" s="1" t="s">
        <v>41</v>
      </c>
      <c r="P24">
        <f>+M41</f>
        <v>5</v>
      </c>
    </row>
    <row r="25" spans="2:16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75</v>
      </c>
      <c r="F25" s="1">
        <f t="shared" si="4"/>
        <v>375</v>
      </c>
      <c r="L25" s="36" t="s">
        <v>26</v>
      </c>
      <c r="M25" s="26">
        <v>28</v>
      </c>
      <c r="O25" s="1" t="s">
        <v>17</v>
      </c>
      <c r="P25">
        <f>+M16</f>
        <v>8</v>
      </c>
    </row>
    <row r="26" spans="2:16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28</v>
      </c>
      <c r="F26" s="1">
        <f>+M13</f>
        <v>1</v>
      </c>
      <c r="L26" s="36" t="s">
        <v>27</v>
      </c>
      <c r="M26" s="26">
        <v>46</v>
      </c>
      <c r="O26" s="1" t="s">
        <v>33</v>
      </c>
      <c r="P26">
        <f>+M32</f>
        <v>20</v>
      </c>
    </row>
    <row r="27" spans="2:16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46</v>
      </c>
      <c r="F27" s="1">
        <f t="shared" si="4"/>
        <v>230</v>
      </c>
      <c r="L27" s="36" t="s">
        <v>28</v>
      </c>
      <c r="M27" s="26">
        <v>11</v>
      </c>
      <c r="O27" s="1" t="s">
        <v>45</v>
      </c>
      <c r="P27">
        <f>+M45</f>
        <v>6</v>
      </c>
    </row>
    <row r="28" spans="2:16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11</v>
      </c>
      <c r="F28" s="1">
        <f t="shared" si="4"/>
        <v>88</v>
      </c>
      <c r="L28" s="36" t="s">
        <v>29</v>
      </c>
      <c r="M28" s="25"/>
      <c r="O28" s="1" t="s">
        <v>25</v>
      </c>
      <c r="P28">
        <f>+M24</f>
        <v>75</v>
      </c>
    </row>
    <row r="29" spans="2:16" ht="17.5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108</v>
      </c>
      <c r="O29" s="1" t="s">
        <v>46</v>
      </c>
      <c r="P29">
        <f>+M46</f>
        <v>8</v>
      </c>
    </row>
    <row r="30" spans="2:16" ht="19" thickBot="1" x14ac:dyDescent="0.5">
      <c r="B30" s="1" t="s">
        <v>30</v>
      </c>
      <c r="C30" s="1"/>
      <c r="D30" s="1"/>
      <c r="E30" s="4">
        <f>SUM(E31:E36)</f>
        <v>108</v>
      </c>
      <c r="F30" s="4">
        <f>SUM(F31:F36)</f>
        <v>714</v>
      </c>
      <c r="L30" s="36" t="s">
        <v>32</v>
      </c>
      <c r="M30" s="26">
        <v>50</v>
      </c>
      <c r="O30" s="1" t="s">
        <v>32</v>
      </c>
      <c r="P30">
        <f>+M30</f>
        <v>50</v>
      </c>
    </row>
    <row r="31" spans="2:16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+M30</f>
        <v>50</v>
      </c>
      <c r="F31" s="1">
        <f>+D31*E31</f>
        <v>250</v>
      </c>
      <c r="L31" s="36" t="s">
        <v>31</v>
      </c>
      <c r="M31" s="26">
        <v>20</v>
      </c>
      <c r="O31" s="1" t="s">
        <v>34</v>
      </c>
      <c r="P31">
        <f>+M33</f>
        <v>9</v>
      </c>
    </row>
    <row r="32" spans="2:16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20</v>
      </c>
      <c r="F32" s="1">
        <f t="shared" ref="F32:F36" si="6">+D32*E32</f>
        <v>160</v>
      </c>
      <c r="L32" s="36" t="s">
        <v>33</v>
      </c>
      <c r="M32" s="26">
        <v>20</v>
      </c>
      <c r="O32" s="1" t="s">
        <v>49</v>
      </c>
      <c r="P32">
        <f>+M48</f>
        <v>18</v>
      </c>
    </row>
    <row r="33" spans="2:16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20</v>
      </c>
      <c r="F33" s="1">
        <f t="shared" si="6"/>
        <v>160</v>
      </c>
      <c r="L33" s="36" t="s">
        <v>34</v>
      </c>
      <c r="M33" s="26">
        <v>9</v>
      </c>
      <c r="O33" s="1" t="s">
        <v>29</v>
      </c>
      <c r="P33">
        <f>+M28</f>
        <v>0</v>
      </c>
    </row>
    <row r="34" spans="2:16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9</v>
      </c>
      <c r="F34" s="1">
        <f t="shared" si="6"/>
        <v>72</v>
      </c>
      <c r="L34" s="37" t="s">
        <v>97</v>
      </c>
      <c r="M34" s="26">
        <v>1</v>
      </c>
      <c r="O34" s="1" t="s">
        <v>26</v>
      </c>
      <c r="P34">
        <f>+M25</f>
        <v>28</v>
      </c>
    </row>
    <row r="35" spans="2:16" ht="15" thickBot="1" x14ac:dyDescent="0.4">
      <c r="B35" s="1" t="s">
        <v>155</v>
      </c>
      <c r="C35" s="1" t="s">
        <v>50</v>
      </c>
      <c r="D35" s="1">
        <v>8</v>
      </c>
      <c r="E35" s="1">
        <f t="shared" si="5"/>
        <v>1</v>
      </c>
      <c r="F35" s="1">
        <f t="shared" si="6"/>
        <v>8</v>
      </c>
      <c r="L35" s="37" t="s">
        <v>35</v>
      </c>
      <c r="M35" s="26">
        <v>8</v>
      </c>
      <c r="O35" s="1" t="s">
        <v>21</v>
      </c>
      <c r="P35">
        <f>+M20</f>
        <v>2</v>
      </c>
    </row>
    <row r="36" spans="2:16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8</v>
      </c>
      <c r="F36" s="1">
        <f t="shared" si="6"/>
        <v>64</v>
      </c>
      <c r="L36" s="35" t="s">
        <v>36</v>
      </c>
      <c r="M36" s="24">
        <v>34</v>
      </c>
      <c r="O36" s="1" t="s">
        <v>23</v>
      </c>
      <c r="P36" s="1">
        <f>+M22</f>
        <v>22</v>
      </c>
    </row>
    <row r="37" spans="2:16" ht="19" thickBot="1" x14ac:dyDescent="0.5">
      <c r="B37" s="1" t="s">
        <v>36</v>
      </c>
      <c r="C37" s="1"/>
      <c r="D37" s="1"/>
      <c r="E37" s="4">
        <f>SUM(E38:E43)</f>
        <v>34</v>
      </c>
      <c r="F37" s="4">
        <f>SUM(F38:F43)</f>
        <v>272</v>
      </c>
      <c r="L37" s="36" t="s">
        <v>37</v>
      </c>
      <c r="M37" s="26">
        <v>0</v>
      </c>
      <c r="O37" s="1" t="s">
        <v>24</v>
      </c>
      <c r="P37" s="1">
        <f>+M23</f>
        <v>13</v>
      </c>
    </row>
    <row r="38" spans="2:16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7">+M37</f>
        <v>0</v>
      </c>
      <c r="F38" s="1">
        <f>+D38*E38</f>
        <v>0</v>
      </c>
      <c r="L38" s="36" t="s">
        <v>38</v>
      </c>
      <c r="M38" s="26">
        <v>0</v>
      </c>
      <c r="O38" s="1" t="s">
        <v>9</v>
      </c>
      <c r="P38" s="1">
        <f>+M8</f>
        <v>0</v>
      </c>
    </row>
    <row r="39" spans="2:16" ht="15" thickBot="1" x14ac:dyDescent="0.4">
      <c r="B39" s="1" t="s">
        <v>38</v>
      </c>
      <c r="C39" s="1" t="s">
        <v>50</v>
      </c>
      <c r="D39" s="1">
        <v>8</v>
      </c>
      <c r="E39" s="1">
        <f t="shared" si="7"/>
        <v>0</v>
      </c>
      <c r="F39" s="1">
        <f t="shared" ref="F39:F43" si="8">+D39*E39</f>
        <v>0</v>
      </c>
      <c r="L39" s="36" t="s">
        <v>39</v>
      </c>
      <c r="M39" s="26">
        <v>7</v>
      </c>
      <c r="O39" s="1" t="s">
        <v>155</v>
      </c>
      <c r="P39" s="1">
        <f>+M34</f>
        <v>1</v>
      </c>
    </row>
    <row r="40" spans="2:16" ht="15" thickBot="1" x14ac:dyDescent="0.4">
      <c r="B40" s="1" t="s">
        <v>39</v>
      </c>
      <c r="C40" s="1" t="s">
        <v>50</v>
      </c>
      <c r="D40" s="1">
        <v>8</v>
      </c>
      <c r="E40" s="1">
        <f t="shared" si="7"/>
        <v>7</v>
      </c>
      <c r="F40" s="1">
        <f t="shared" si="8"/>
        <v>56</v>
      </c>
      <c r="L40" s="36" t="s">
        <v>40</v>
      </c>
      <c r="M40" s="26">
        <v>14</v>
      </c>
      <c r="O40" s="1" t="s">
        <v>13</v>
      </c>
      <c r="P40" s="1">
        <f>+M12</f>
        <v>9</v>
      </c>
    </row>
    <row r="41" spans="2:16" ht="15" thickBot="1" x14ac:dyDescent="0.4">
      <c r="B41" s="1" t="s">
        <v>40</v>
      </c>
      <c r="C41" s="1" t="s">
        <v>50</v>
      </c>
      <c r="D41" s="1">
        <v>8</v>
      </c>
      <c r="E41" s="1">
        <f t="shared" si="7"/>
        <v>14</v>
      </c>
      <c r="F41" s="1">
        <f t="shared" si="8"/>
        <v>112</v>
      </c>
      <c r="L41" s="36" t="s">
        <v>98</v>
      </c>
      <c r="M41" s="26">
        <v>5</v>
      </c>
      <c r="O41" s="1" t="s">
        <v>31</v>
      </c>
      <c r="P41" s="1">
        <f>+M31</f>
        <v>20</v>
      </c>
    </row>
    <row r="42" spans="2:16" ht="15" thickBot="1" x14ac:dyDescent="0.4">
      <c r="B42" s="1" t="s">
        <v>41</v>
      </c>
      <c r="C42" s="1" t="s">
        <v>50</v>
      </c>
      <c r="D42" s="1">
        <v>8</v>
      </c>
      <c r="E42" s="1">
        <f t="shared" si="7"/>
        <v>5</v>
      </c>
      <c r="F42" s="1">
        <f t="shared" si="8"/>
        <v>40</v>
      </c>
      <c r="L42" s="36" t="s">
        <v>42</v>
      </c>
      <c r="M42" s="26">
        <v>8</v>
      </c>
      <c r="O42" s="1" t="s">
        <v>37</v>
      </c>
      <c r="P42" s="1">
        <f>+M37</f>
        <v>0</v>
      </c>
    </row>
    <row r="43" spans="2:16" ht="17.5" thickBot="1" x14ac:dyDescent="0.45">
      <c r="B43" s="1" t="s">
        <v>42</v>
      </c>
      <c r="C43" s="1" t="s">
        <v>50</v>
      </c>
      <c r="D43" s="1">
        <v>8</v>
      </c>
      <c r="E43" s="1">
        <f t="shared" si="7"/>
        <v>8</v>
      </c>
      <c r="F43" s="1">
        <f t="shared" si="8"/>
        <v>64</v>
      </c>
      <c r="L43" s="35" t="s">
        <v>43</v>
      </c>
      <c r="M43" s="24">
        <v>94</v>
      </c>
      <c r="O43" s="1" t="s">
        <v>39</v>
      </c>
      <c r="P43" s="1">
        <f>+M39</f>
        <v>7</v>
      </c>
    </row>
    <row r="44" spans="2:16" ht="19" thickBot="1" x14ac:dyDescent="0.5">
      <c r="B44" s="1" t="s">
        <v>43</v>
      </c>
      <c r="C44" s="1"/>
      <c r="D44" s="1"/>
      <c r="E44" s="4">
        <f>SUM(E45:E49)</f>
        <v>94</v>
      </c>
      <c r="F44" s="4">
        <f>SUM(F45:F49)</f>
        <v>752</v>
      </c>
      <c r="L44" s="36" t="s">
        <v>44</v>
      </c>
      <c r="M44" s="26">
        <v>62</v>
      </c>
      <c r="P44" s="97">
        <f>SUBTOTAL(109,P5:P43)</f>
        <v>1798</v>
      </c>
    </row>
    <row r="45" spans="2:16" ht="15" thickBot="1" x14ac:dyDescent="0.4">
      <c r="B45" s="1" t="s">
        <v>44</v>
      </c>
      <c r="C45" s="1" t="s">
        <v>50</v>
      </c>
      <c r="D45" s="1">
        <v>8</v>
      </c>
      <c r="E45" s="1">
        <f>+M44</f>
        <v>62</v>
      </c>
      <c r="F45" s="1">
        <f>+D45*E45</f>
        <v>496</v>
      </c>
      <c r="L45" s="36" t="s">
        <v>45</v>
      </c>
      <c r="M45" s="26">
        <v>6</v>
      </c>
    </row>
    <row r="46" spans="2:16" ht="15" thickBot="1" x14ac:dyDescent="0.4">
      <c r="B46" s="1" t="s">
        <v>45</v>
      </c>
      <c r="C46" s="1" t="s">
        <v>50</v>
      </c>
      <c r="D46" s="1">
        <v>8</v>
      </c>
      <c r="E46" s="1">
        <f>+M45</f>
        <v>6</v>
      </c>
      <c r="F46" s="1">
        <f t="shared" ref="F46:F49" si="9">+D46*E46</f>
        <v>48</v>
      </c>
      <c r="L46" s="36" t="s">
        <v>46</v>
      </c>
      <c r="M46" s="26">
        <v>8</v>
      </c>
    </row>
    <row r="47" spans="2:16" ht="15" thickBot="1" x14ac:dyDescent="0.4">
      <c r="B47" s="1" t="s">
        <v>46</v>
      </c>
      <c r="C47" s="1" t="s">
        <v>50</v>
      </c>
      <c r="D47" s="1">
        <v>8</v>
      </c>
      <c r="E47" s="1">
        <f>+M46</f>
        <v>8</v>
      </c>
      <c r="F47" s="1">
        <f t="shared" si="9"/>
        <v>64</v>
      </c>
      <c r="L47" s="36" t="s">
        <v>47</v>
      </c>
      <c r="M47" s="26">
        <v>0</v>
      </c>
    </row>
    <row r="48" spans="2:16" ht="15" thickBot="1" x14ac:dyDescent="0.4">
      <c r="B48" s="1" t="s">
        <v>47</v>
      </c>
      <c r="C48" s="1" t="s">
        <v>50</v>
      </c>
      <c r="D48" s="1">
        <v>8</v>
      </c>
      <c r="E48" s="1">
        <f>+M47</f>
        <v>0</v>
      </c>
      <c r="F48" s="1">
        <f t="shared" si="9"/>
        <v>0</v>
      </c>
      <c r="L48" s="36" t="s">
        <v>49</v>
      </c>
      <c r="M48" s="26">
        <v>18</v>
      </c>
    </row>
    <row r="49" spans="2:13" ht="15" thickBot="1" x14ac:dyDescent="0.4">
      <c r="B49" s="1" t="s">
        <v>49</v>
      </c>
      <c r="C49" s="1" t="s">
        <v>50</v>
      </c>
      <c r="D49" s="1">
        <v>8</v>
      </c>
      <c r="E49" s="1">
        <f>+M48</f>
        <v>18</v>
      </c>
      <c r="F49" s="1">
        <f t="shared" si="9"/>
        <v>144</v>
      </c>
      <c r="L49" s="21"/>
      <c r="M49" s="21"/>
    </row>
    <row r="50" spans="2:13" ht="19" thickBot="1" x14ac:dyDescent="0.5">
      <c r="B50" s="103" t="s">
        <v>51</v>
      </c>
      <c r="C50" s="104"/>
      <c r="D50" s="105"/>
      <c r="E50" s="4">
        <f>+E44+E37+E30+E22+E10+E5</f>
        <v>1798</v>
      </c>
      <c r="F50" s="4">
        <f>+F44+F37+F30+F22+F10+F5</f>
        <v>7720</v>
      </c>
      <c r="L50" s="21" t="s">
        <v>51</v>
      </c>
      <c r="M50" s="38">
        <v>1798</v>
      </c>
    </row>
    <row r="51" spans="2:13" ht="17.5" thickBot="1" x14ac:dyDescent="0.45">
      <c r="L51" s="21" t="s">
        <v>51</v>
      </c>
      <c r="M51" s="38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FE5D-CBD5-4668-9564-ACDEBE247F0B}">
  <dimension ref="B1:P51"/>
  <sheetViews>
    <sheetView workbookViewId="0">
      <selection activeCell="K14" sqref="K14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5.7265625" bestFit="1" customWidth="1"/>
    <col min="12" max="12" width="13.81640625" bestFit="1" customWidth="1"/>
    <col min="15" max="15" width="13.1796875" bestFit="1" customWidth="1"/>
    <col min="16" max="16" width="10.36328125" bestFit="1" customWidth="1"/>
  </cols>
  <sheetData>
    <row r="1" spans="2:16" ht="15" thickBot="1" x14ac:dyDescent="0.4"/>
    <row r="2" spans="2:16" ht="15" customHeight="1" thickBot="1" x14ac:dyDescent="0.4">
      <c r="B2" s="102" t="s">
        <v>117</v>
      </c>
      <c r="C2" s="102"/>
      <c r="D2" s="102"/>
      <c r="E2" s="102"/>
      <c r="F2" s="102"/>
      <c r="L2" s="33"/>
      <c r="M2" s="33"/>
    </row>
    <row r="3" spans="2:16" ht="44" thickBot="1" x14ac:dyDescent="0.4">
      <c r="L3" s="44" t="s">
        <v>95</v>
      </c>
      <c r="M3" s="45" t="s">
        <v>176</v>
      </c>
    </row>
    <row r="4" spans="2:16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631</v>
      </c>
      <c r="O4" t="s">
        <v>158</v>
      </c>
      <c r="P4" t="s">
        <v>159</v>
      </c>
    </row>
    <row r="5" spans="2:16" ht="19" thickBot="1" x14ac:dyDescent="0.5">
      <c r="B5" s="1" t="s">
        <v>59</v>
      </c>
      <c r="C5" s="1"/>
      <c r="D5" s="1"/>
      <c r="E5" s="4">
        <f>SUM(E6:E9)</f>
        <v>631</v>
      </c>
      <c r="F5" s="4">
        <f>SUM(F6:F9)</f>
        <v>1893</v>
      </c>
      <c r="H5" s="2" t="s">
        <v>67</v>
      </c>
      <c r="I5" s="2">
        <f>+F5</f>
        <v>1893</v>
      </c>
      <c r="J5" s="2">
        <f>+E5</f>
        <v>631</v>
      </c>
      <c r="L5" s="36" t="s">
        <v>6</v>
      </c>
      <c r="M5" s="26">
        <v>358</v>
      </c>
      <c r="O5" s="1" t="s">
        <v>40</v>
      </c>
      <c r="P5" s="1">
        <f>+M40</f>
        <v>13</v>
      </c>
    </row>
    <row r="6" spans="2:16" ht="15" thickBot="1" x14ac:dyDescent="0.4">
      <c r="B6" s="1" t="s">
        <v>6</v>
      </c>
      <c r="C6" s="1" t="s">
        <v>50</v>
      </c>
      <c r="D6" s="1">
        <v>3</v>
      </c>
      <c r="E6" s="1">
        <f>+M5</f>
        <v>358</v>
      </c>
      <c r="F6" s="1">
        <f>+D6*E6</f>
        <v>1074</v>
      </c>
      <c r="H6" s="2" t="s">
        <v>68</v>
      </c>
      <c r="I6" s="2">
        <f>+F10</f>
        <v>897</v>
      </c>
      <c r="J6" s="2">
        <f>+E10</f>
        <v>135</v>
      </c>
      <c r="L6" s="36" t="s">
        <v>7</v>
      </c>
      <c r="M6" s="26">
        <v>169</v>
      </c>
      <c r="O6" s="1" t="s">
        <v>6</v>
      </c>
      <c r="P6" s="1">
        <f>+M5</f>
        <v>358</v>
      </c>
    </row>
    <row r="7" spans="2:16" ht="15" thickBot="1" x14ac:dyDescent="0.4">
      <c r="B7" s="1" t="s">
        <v>7</v>
      </c>
      <c r="C7" s="1" t="s">
        <v>50</v>
      </c>
      <c r="D7" s="1">
        <v>3</v>
      </c>
      <c r="E7" s="1">
        <f>+M6</f>
        <v>169</v>
      </c>
      <c r="F7" s="1">
        <f t="shared" ref="F7:F9" si="0">+D7*E7</f>
        <v>507</v>
      </c>
      <c r="H7" s="2" t="s">
        <v>69</v>
      </c>
      <c r="I7" s="2">
        <f>+F22</f>
        <v>564</v>
      </c>
      <c r="J7" s="2">
        <f>+E22</f>
        <v>119</v>
      </c>
      <c r="L7" s="36" t="s">
        <v>8</v>
      </c>
      <c r="M7" s="26">
        <v>104</v>
      </c>
      <c r="O7" s="1" t="s">
        <v>35</v>
      </c>
      <c r="P7" s="1">
        <f>+M35</f>
        <v>6</v>
      </c>
    </row>
    <row r="8" spans="2:16" ht="15" thickBot="1" x14ac:dyDescent="0.4">
      <c r="B8" s="1" t="s">
        <v>8</v>
      </c>
      <c r="C8" s="1" t="s">
        <v>50</v>
      </c>
      <c r="D8" s="1">
        <v>3</v>
      </c>
      <c r="E8" s="1">
        <f>+M7</f>
        <v>104</v>
      </c>
      <c r="F8" s="1">
        <f t="shared" si="0"/>
        <v>312</v>
      </c>
      <c r="H8" s="2" t="s">
        <v>70</v>
      </c>
      <c r="I8" s="2">
        <f>+F30</f>
        <v>427</v>
      </c>
      <c r="J8" s="2">
        <f>+E30</f>
        <v>65</v>
      </c>
      <c r="L8" s="36" t="s">
        <v>9</v>
      </c>
      <c r="M8" s="25"/>
      <c r="O8" s="1" t="s">
        <v>28</v>
      </c>
      <c r="P8" s="1">
        <f>+M27</f>
        <v>7</v>
      </c>
    </row>
    <row r="9" spans="2:16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+F37</f>
        <v>192</v>
      </c>
      <c r="J9" s="2">
        <f>+E37</f>
        <v>24</v>
      </c>
      <c r="L9" s="35" t="s">
        <v>10</v>
      </c>
      <c r="M9" s="24">
        <v>135</v>
      </c>
      <c r="O9" s="1" t="s">
        <v>44</v>
      </c>
      <c r="P9">
        <f>+M44</f>
        <v>28</v>
      </c>
    </row>
    <row r="10" spans="2:16" ht="19" thickBot="1" x14ac:dyDescent="0.5">
      <c r="B10" s="1" t="s">
        <v>10</v>
      </c>
      <c r="C10" s="1"/>
      <c r="D10" s="1"/>
      <c r="E10" s="4">
        <f>SUM(E11:E21)</f>
        <v>135</v>
      </c>
      <c r="F10" s="4">
        <f>SUM(F11:F21)</f>
        <v>897</v>
      </c>
      <c r="H10" s="2" t="s">
        <v>44</v>
      </c>
      <c r="I10" s="2">
        <f>+F44</f>
        <v>408</v>
      </c>
      <c r="J10" s="2">
        <f>+C44+E44</f>
        <v>51</v>
      </c>
      <c r="L10" s="36" t="s">
        <v>11</v>
      </c>
      <c r="M10" s="26">
        <v>61</v>
      </c>
      <c r="O10" s="1" t="s">
        <v>14</v>
      </c>
      <c r="P10">
        <f>+M13</f>
        <v>3</v>
      </c>
    </row>
    <row r="11" spans="2:16" ht="19" thickBot="1" x14ac:dyDescent="0.5">
      <c r="B11" s="1" t="s">
        <v>11</v>
      </c>
      <c r="C11" s="1" t="s">
        <v>50</v>
      </c>
      <c r="D11" s="1">
        <v>5</v>
      </c>
      <c r="E11" s="1">
        <f>+M10</f>
        <v>61</v>
      </c>
      <c r="F11" s="1">
        <f>+D11*E11</f>
        <v>305</v>
      </c>
      <c r="H11" s="43" t="s">
        <v>51</v>
      </c>
      <c r="I11" s="43">
        <f>SUM(I5:I10)</f>
        <v>4381</v>
      </c>
      <c r="J11" s="43">
        <f>SUM(J5:J10)</f>
        <v>1025</v>
      </c>
      <c r="L11" s="36" t="s">
        <v>12</v>
      </c>
      <c r="M11" s="26">
        <v>8</v>
      </c>
      <c r="O11" s="1" t="s">
        <v>16</v>
      </c>
      <c r="P11">
        <f>+M15</f>
        <v>21</v>
      </c>
    </row>
    <row r="12" spans="2:16" ht="15" thickBot="1" x14ac:dyDescent="0.4">
      <c r="B12" s="1" t="s">
        <v>12</v>
      </c>
      <c r="C12" s="1" t="s">
        <v>50</v>
      </c>
      <c r="D12" s="1">
        <v>8</v>
      </c>
      <c r="E12" s="1">
        <f>+M11</f>
        <v>8</v>
      </c>
      <c r="F12" s="1">
        <f t="shared" ref="F12:F21" si="1">+D12*E12</f>
        <v>64</v>
      </c>
      <c r="L12" s="36" t="s">
        <v>13</v>
      </c>
      <c r="M12" s="26">
        <v>3</v>
      </c>
      <c r="O12" s="1" t="s">
        <v>8</v>
      </c>
      <c r="P12">
        <f>+M7</f>
        <v>104</v>
      </c>
    </row>
    <row r="13" spans="2:16" ht="15" thickBot="1" x14ac:dyDescent="0.4">
      <c r="B13" s="1" t="s">
        <v>13</v>
      </c>
      <c r="C13" s="1" t="s">
        <v>50</v>
      </c>
      <c r="D13" s="1">
        <v>8</v>
      </c>
      <c r="E13" s="1">
        <f>+M12</f>
        <v>3</v>
      </c>
      <c r="F13" s="1">
        <f t="shared" si="1"/>
        <v>24</v>
      </c>
      <c r="L13" s="36" t="s">
        <v>14</v>
      </c>
      <c r="M13" s="26">
        <v>3</v>
      </c>
      <c r="O13" s="1" t="s">
        <v>42</v>
      </c>
      <c r="P13">
        <f>+M42</f>
        <v>4</v>
      </c>
    </row>
    <row r="14" spans="2:16" ht="15" thickBot="1" x14ac:dyDescent="0.4">
      <c r="B14" s="1" t="s">
        <v>14</v>
      </c>
      <c r="C14" s="1" t="s">
        <v>50</v>
      </c>
      <c r="D14" s="1">
        <v>8</v>
      </c>
      <c r="E14" s="1">
        <f>M13</f>
        <v>3</v>
      </c>
      <c r="F14" s="1">
        <f t="shared" si="1"/>
        <v>24</v>
      </c>
      <c r="L14" s="36" t="s">
        <v>15</v>
      </c>
      <c r="M14" s="26">
        <v>0</v>
      </c>
      <c r="O14" s="1" t="s">
        <v>11</v>
      </c>
      <c r="P14">
        <f>+M10</f>
        <v>61</v>
      </c>
    </row>
    <row r="15" spans="2:16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0</v>
      </c>
      <c r="F15" s="1">
        <f t="shared" si="1"/>
        <v>0</v>
      </c>
      <c r="L15" s="36" t="s">
        <v>16</v>
      </c>
      <c r="M15" s="26">
        <v>21</v>
      </c>
      <c r="O15" s="1" t="s">
        <v>7</v>
      </c>
      <c r="P15">
        <f>+M6</f>
        <v>169</v>
      </c>
    </row>
    <row r="16" spans="2:16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21</v>
      </c>
      <c r="F16" s="1">
        <f t="shared" si="1"/>
        <v>168</v>
      </c>
      <c r="L16" s="36" t="s">
        <v>17</v>
      </c>
      <c r="M16" s="26">
        <v>3</v>
      </c>
      <c r="O16" s="1" t="s">
        <v>12</v>
      </c>
      <c r="P16">
        <f>+M11</f>
        <v>8</v>
      </c>
    </row>
    <row r="17" spans="2:16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3</v>
      </c>
      <c r="F17" s="1">
        <f t="shared" si="1"/>
        <v>24</v>
      </c>
      <c r="L17" s="36" t="s">
        <v>18</v>
      </c>
      <c r="M17" s="26">
        <v>7</v>
      </c>
      <c r="O17" s="1" t="s">
        <v>38</v>
      </c>
      <c r="P17">
        <f>+M38</f>
        <v>0</v>
      </c>
    </row>
    <row r="18" spans="2:16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7</v>
      </c>
      <c r="F18" s="1">
        <f t="shared" si="1"/>
        <v>56</v>
      </c>
      <c r="L18" s="36" t="s">
        <v>19</v>
      </c>
      <c r="M18" s="26">
        <v>9</v>
      </c>
      <c r="O18" s="1" t="s">
        <v>27</v>
      </c>
      <c r="P18">
        <f>+M26</f>
        <v>28</v>
      </c>
    </row>
    <row r="19" spans="2:16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9</v>
      </c>
      <c r="F19" s="1">
        <f t="shared" si="1"/>
        <v>72</v>
      </c>
      <c r="L19" s="36" t="s">
        <v>20</v>
      </c>
      <c r="M19" s="26">
        <v>19</v>
      </c>
      <c r="O19" s="1" t="s">
        <v>18</v>
      </c>
      <c r="P19">
        <f>+M17</f>
        <v>7</v>
      </c>
    </row>
    <row r="20" spans="2:16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19</v>
      </c>
      <c r="F20" s="1">
        <f t="shared" si="1"/>
        <v>152</v>
      </c>
      <c r="L20" s="36" t="s">
        <v>21</v>
      </c>
      <c r="M20" s="26">
        <v>1</v>
      </c>
      <c r="O20" s="1" t="s">
        <v>19</v>
      </c>
      <c r="P20">
        <f>+M18</f>
        <v>9</v>
      </c>
    </row>
    <row r="21" spans="2:16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1</v>
      </c>
      <c r="F21" s="1">
        <f t="shared" si="1"/>
        <v>8</v>
      </c>
      <c r="L21" s="35" t="s">
        <v>22</v>
      </c>
      <c r="M21" s="24">
        <v>119</v>
      </c>
      <c r="O21" s="1" t="s">
        <v>47</v>
      </c>
      <c r="P21">
        <f>+M47</f>
        <v>0</v>
      </c>
    </row>
    <row r="22" spans="2:16" ht="19" thickBot="1" x14ac:dyDescent="0.5">
      <c r="B22" s="1" t="s">
        <v>22</v>
      </c>
      <c r="C22" s="1"/>
      <c r="D22" s="1"/>
      <c r="E22" s="4">
        <f>SUM(E23:E29)</f>
        <v>119</v>
      </c>
      <c r="F22" s="4">
        <f>SUM(F23:F29)</f>
        <v>564</v>
      </c>
      <c r="L22" s="36" t="s">
        <v>23</v>
      </c>
      <c r="M22" s="26">
        <v>12</v>
      </c>
      <c r="O22" s="1" t="s">
        <v>15</v>
      </c>
      <c r="P22">
        <f>+M14</f>
        <v>0</v>
      </c>
    </row>
    <row r="23" spans="2:16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12</v>
      </c>
      <c r="F23" s="1">
        <f>+D23*E23</f>
        <v>60</v>
      </c>
      <c r="L23" s="36" t="s">
        <v>24</v>
      </c>
      <c r="M23" s="26">
        <v>10</v>
      </c>
      <c r="O23" s="1" t="s">
        <v>20</v>
      </c>
      <c r="P23">
        <f>+M19</f>
        <v>19</v>
      </c>
    </row>
    <row r="24" spans="2:16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10</v>
      </c>
      <c r="F24" s="1">
        <f t="shared" ref="F24:F29" si="4">+D24*E24</f>
        <v>50</v>
      </c>
      <c r="L24" s="36" t="s">
        <v>25</v>
      </c>
      <c r="M24" s="26">
        <v>51</v>
      </c>
      <c r="O24" s="1" t="s">
        <v>41</v>
      </c>
      <c r="P24">
        <f>+M41</f>
        <v>3</v>
      </c>
    </row>
    <row r="25" spans="2:16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51</v>
      </c>
      <c r="F25" s="1">
        <f t="shared" si="4"/>
        <v>255</v>
      </c>
      <c r="L25" s="36" t="s">
        <v>26</v>
      </c>
      <c r="M25" s="26">
        <v>11</v>
      </c>
      <c r="O25" s="1" t="s">
        <v>17</v>
      </c>
      <c r="P25">
        <f>+M16</f>
        <v>3</v>
      </c>
    </row>
    <row r="26" spans="2:16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11</v>
      </c>
      <c r="F26" s="1">
        <f>+M13</f>
        <v>3</v>
      </c>
      <c r="L26" s="36" t="s">
        <v>27</v>
      </c>
      <c r="M26" s="26">
        <v>28</v>
      </c>
      <c r="O26" s="1" t="s">
        <v>33</v>
      </c>
      <c r="P26">
        <f>+M32</f>
        <v>6</v>
      </c>
    </row>
    <row r="27" spans="2:16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28</v>
      </c>
      <c r="F27" s="1">
        <f t="shared" si="4"/>
        <v>140</v>
      </c>
      <c r="L27" s="36" t="s">
        <v>28</v>
      </c>
      <c r="M27" s="26">
        <v>7</v>
      </c>
      <c r="O27" s="1" t="s">
        <v>45</v>
      </c>
      <c r="P27">
        <f>+M45</f>
        <v>5</v>
      </c>
    </row>
    <row r="28" spans="2:16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7</v>
      </c>
      <c r="F28" s="1">
        <f t="shared" si="4"/>
        <v>56</v>
      </c>
      <c r="L28" s="36" t="s">
        <v>29</v>
      </c>
      <c r="M28" s="25"/>
      <c r="O28" s="1" t="s">
        <v>25</v>
      </c>
      <c r="P28">
        <f>+M24</f>
        <v>51</v>
      </c>
    </row>
    <row r="29" spans="2:16" ht="17.5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65</v>
      </c>
      <c r="O29" s="1" t="s">
        <v>46</v>
      </c>
      <c r="P29">
        <f>+M46</f>
        <v>5</v>
      </c>
    </row>
    <row r="30" spans="2:16" ht="19" thickBot="1" x14ac:dyDescent="0.5">
      <c r="B30" s="1" t="s">
        <v>30</v>
      </c>
      <c r="C30" s="1"/>
      <c r="D30" s="1"/>
      <c r="E30" s="4">
        <f>SUM(E31:E36)</f>
        <v>65</v>
      </c>
      <c r="F30" s="4">
        <f>SUM(F31:F36)</f>
        <v>427</v>
      </c>
      <c r="L30" s="36" t="s">
        <v>32</v>
      </c>
      <c r="M30" s="26">
        <v>31</v>
      </c>
      <c r="O30" s="1" t="s">
        <v>32</v>
      </c>
      <c r="P30">
        <f>+M30</f>
        <v>31</v>
      </c>
    </row>
    <row r="31" spans="2:16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+M30</f>
        <v>31</v>
      </c>
      <c r="F31" s="1">
        <f>+D31*E31</f>
        <v>155</v>
      </c>
      <c r="L31" s="36" t="s">
        <v>31</v>
      </c>
      <c r="M31" s="26">
        <v>18</v>
      </c>
      <c r="O31" s="1" t="s">
        <v>34</v>
      </c>
      <c r="P31">
        <f>+M33</f>
        <v>4</v>
      </c>
    </row>
    <row r="32" spans="2:16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18</v>
      </c>
      <c r="F32" s="1">
        <f t="shared" ref="F32:F36" si="6">+D32*E32</f>
        <v>144</v>
      </c>
      <c r="L32" s="36" t="s">
        <v>33</v>
      </c>
      <c r="M32" s="26">
        <v>6</v>
      </c>
      <c r="O32" s="1" t="s">
        <v>49</v>
      </c>
      <c r="P32">
        <f>+M48</f>
        <v>13</v>
      </c>
    </row>
    <row r="33" spans="2:16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6</v>
      </c>
      <c r="F33" s="1">
        <f t="shared" si="6"/>
        <v>48</v>
      </c>
      <c r="L33" s="36" t="s">
        <v>34</v>
      </c>
      <c r="M33" s="26">
        <v>4</v>
      </c>
      <c r="O33" s="1" t="s">
        <v>29</v>
      </c>
      <c r="P33">
        <f>+M28</f>
        <v>0</v>
      </c>
    </row>
    <row r="34" spans="2:16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4</v>
      </c>
      <c r="F34" s="1">
        <f t="shared" si="6"/>
        <v>32</v>
      </c>
      <c r="L34" s="37" t="s">
        <v>97</v>
      </c>
      <c r="M34" s="26">
        <v>0</v>
      </c>
      <c r="O34" s="1" t="s">
        <v>26</v>
      </c>
      <c r="P34">
        <f>+M25</f>
        <v>11</v>
      </c>
    </row>
    <row r="35" spans="2:16" ht="15" thickBot="1" x14ac:dyDescent="0.4">
      <c r="B35" s="1" t="s">
        <v>155</v>
      </c>
      <c r="C35" s="1" t="s">
        <v>50</v>
      </c>
      <c r="D35" s="1">
        <v>8</v>
      </c>
      <c r="E35" s="1">
        <f t="shared" si="5"/>
        <v>0</v>
      </c>
      <c r="F35" s="1">
        <f t="shared" si="6"/>
        <v>0</v>
      </c>
      <c r="L35" s="37" t="s">
        <v>35</v>
      </c>
      <c r="M35" s="26">
        <v>6</v>
      </c>
      <c r="O35" s="1" t="s">
        <v>21</v>
      </c>
      <c r="P35">
        <f>+M20</f>
        <v>1</v>
      </c>
    </row>
    <row r="36" spans="2:16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6</v>
      </c>
      <c r="F36" s="1">
        <f t="shared" si="6"/>
        <v>48</v>
      </c>
      <c r="L36" s="35" t="s">
        <v>36</v>
      </c>
      <c r="M36" s="24">
        <v>24</v>
      </c>
      <c r="O36" s="1" t="s">
        <v>23</v>
      </c>
      <c r="P36" s="1">
        <f>+M22</f>
        <v>12</v>
      </c>
    </row>
    <row r="37" spans="2:16" ht="19" thickBot="1" x14ac:dyDescent="0.5">
      <c r="B37" s="1" t="s">
        <v>36</v>
      </c>
      <c r="C37" s="1"/>
      <c r="D37" s="1"/>
      <c r="E37" s="4">
        <f>SUM(E38:E43)</f>
        <v>24</v>
      </c>
      <c r="F37" s="4">
        <f>SUM(F38:F43)</f>
        <v>192</v>
      </c>
      <c r="L37" s="36" t="s">
        <v>37</v>
      </c>
      <c r="M37" s="26">
        <v>0</v>
      </c>
      <c r="O37" s="1" t="s">
        <v>24</v>
      </c>
      <c r="P37" s="1">
        <f>+M23</f>
        <v>10</v>
      </c>
    </row>
    <row r="38" spans="2:16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7">+M37</f>
        <v>0</v>
      </c>
      <c r="F38" s="1">
        <f>+D38*E38</f>
        <v>0</v>
      </c>
      <c r="L38" s="36" t="s">
        <v>38</v>
      </c>
      <c r="M38" s="26">
        <v>0</v>
      </c>
      <c r="O38" s="1" t="s">
        <v>9</v>
      </c>
      <c r="P38" s="1">
        <f>+M8</f>
        <v>0</v>
      </c>
    </row>
    <row r="39" spans="2:16" ht="15" thickBot="1" x14ac:dyDescent="0.4">
      <c r="B39" s="1" t="s">
        <v>38</v>
      </c>
      <c r="C39" s="1" t="s">
        <v>50</v>
      </c>
      <c r="D39" s="1">
        <v>8</v>
      </c>
      <c r="E39" s="1">
        <f t="shared" si="7"/>
        <v>0</v>
      </c>
      <c r="F39" s="1">
        <f t="shared" ref="F39:F43" si="8">+D39*E39</f>
        <v>0</v>
      </c>
      <c r="L39" s="36" t="s">
        <v>39</v>
      </c>
      <c r="M39" s="26">
        <v>4</v>
      </c>
      <c r="O39" s="1" t="s">
        <v>155</v>
      </c>
      <c r="P39" s="1">
        <f>+M34</f>
        <v>0</v>
      </c>
    </row>
    <row r="40" spans="2:16" ht="15" thickBot="1" x14ac:dyDescent="0.4">
      <c r="B40" s="1" t="s">
        <v>39</v>
      </c>
      <c r="C40" s="1" t="s">
        <v>50</v>
      </c>
      <c r="D40" s="1">
        <v>8</v>
      </c>
      <c r="E40" s="1">
        <f t="shared" si="7"/>
        <v>4</v>
      </c>
      <c r="F40" s="1">
        <f t="shared" si="8"/>
        <v>32</v>
      </c>
      <c r="L40" s="36" t="s">
        <v>40</v>
      </c>
      <c r="M40" s="26">
        <v>13</v>
      </c>
      <c r="O40" s="1" t="s">
        <v>13</v>
      </c>
      <c r="P40" s="1">
        <f>+M12</f>
        <v>3</v>
      </c>
    </row>
    <row r="41" spans="2:16" ht="15" thickBot="1" x14ac:dyDescent="0.4">
      <c r="B41" s="1" t="s">
        <v>40</v>
      </c>
      <c r="C41" s="1" t="s">
        <v>50</v>
      </c>
      <c r="D41" s="1">
        <v>8</v>
      </c>
      <c r="E41" s="1">
        <f t="shared" si="7"/>
        <v>13</v>
      </c>
      <c r="F41" s="1">
        <f t="shared" si="8"/>
        <v>104</v>
      </c>
      <c r="L41" s="36" t="s">
        <v>98</v>
      </c>
      <c r="M41" s="26">
        <v>3</v>
      </c>
      <c r="O41" s="1" t="s">
        <v>31</v>
      </c>
      <c r="P41" s="1">
        <f>+M31</f>
        <v>18</v>
      </c>
    </row>
    <row r="42" spans="2:16" ht="15" thickBot="1" x14ac:dyDescent="0.4">
      <c r="B42" s="1" t="s">
        <v>41</v>
      </c>
      <c r="C42" s="1" t="s">
        <v>50</v>
      </c>
      <c r="D42" s="1">
        <v>8</v>
      </c>
      <c r="E42" s="1">
        <f t="shared" si="7"/>
        <v>3</v>
      </c>
      <c r="F42" s="1">
        <f t="shared" si="8"/>
        <v>24</v>
      </c>
      <c r="L42" s="36" t="s">
        <v>42</v>
      </c>
      <c r="M42" s="26">
        <v>4</v>
      </c>
      <c r="O42" s="1" t="s">
        <v>37</v>
      </c>
      <c r="P42" s="1">
        <f>+M37</f>
        <v>0</v>
      </c>
    </row>
    <row r="43" spans="2:16" ht="17.5" thickBot="1" x14ac:dyDescent="0.45">
      <c r="B43" s="1" t="s">
        <v>42</v>
      </c>
      <c r="C43" s="1" t="s">
        <v>50</v>
      </c>
      <c r="D43" s="1">
        <v>8</v>
      </c>
      <c r="E43" s="1">
        <f t="shared" si="7"/>
        <v>4</v>
      </c>
      <c r="F43" s="1">
        <f t="shared" si="8"/>
        <v>32</v>
      </c>
      <c r="L43" s="35" t="s">
        <v>43</v>
      </c>
      <c r="M43" s="24">
        <v>51</v>
      </c>
      <c r="O43" s="1" t="s">
        <v>39</v>
      </c>
      <c r="P43" s="1">
        <f>+M39</f>
        <v>4</v>
      </c>
    </row>
    <row r="44" spans="2:16" ht="19" thickBot="1" x14ac:dyDescent="0.5">
      <c r="B44" s="1" t="s">
        <v>43</v>
      </c>
      <c r="C44" s="1"/>
      <c r="D44" s="1"/>
      <c r="E44" s="4">
        <f>SUM(E45:E49)</f>
        <v>51</v>
      </c>
      <c r="F44" s="4">
        <f>SUM(F45:F49)</f>
        <v>408</v>
      </c>
      <c r="L44" s="36" t="s">
        <v>44</v>
      </c>
      <c r="M44" s="26">
        <v>28</v>
      </c>
      <c r="P44" s="97">
        <f>SUBTOTAL(109,P5:P43)</f>
        <v>1025</v>
      </c>
    </row>
    <row r="45" spans="2:16" ht="15" thickBot="1" x14ac:dyDescent="0.4">
      <c r="B45" s="1" t="s">
        <v>44</v>
      </c>
      <c r="C45" s="1" t="s">
        <v>50</v>
      </c>
      <c r="D45" s="1">
        <v>8</v>
      </c>
      <c r="E45" s="1">
        <f>+M44</f>
        <v>28</v>
      </c>
      <c r="F45" s="1">
        <f>+D45*E45</f>
        <v>224</v>
      </c>
      <c r="L45" s="36" t="s">
        <v>45</v>
      </c>
      <c r="M45" s="26">
        <v>5</v>
      </c>
    </row>
    <row r="46" spans="2:16" ht="15" thickBot="1" x14ac:dyDescent="0.4">
      <c r="B46" s="1" t="s">
        <v>45</v>
      </c>
      <c r="C46" s="1" t="s">
        <v>50</v>
      </c>
      <c r="D46" s="1">
        <v>8</v>
      </c>
      <c r="E46" s="1">
        <f>+M45</f>
        <v>5</v>
      </c>
      <c r="F46" s="1">
        <f t="shared" ref="F46:F49" si="9">+D46*E46</f>
        <v>40</v>
      </c>
      <c r="L46" s="36" t="s">
        <v>46</v>
      </c>
      <c r="M46" s="26">
        <v>5</v>
      </c>
    </row>
    <row r="47" spans="2:16" ht="15" thickBot="1" x14ac:dyDescent="0.4">
      <c r="B47" s="1" t="s">
        <v>46</v>
      </c>
      <c r="C47" s="1" t="s">
        <v>50</v>
      </c>
      <c r="D47" s="1">
        <v>8</v>
      </c>
      <c r="E47" s="1">
        <f>+M46</f>
        <v>5</v>
      </c>
      <c r="F47" s="1">
        <f t="shared" si="9"/>
        <v>40</v>
      </c>
      <c r="L47" s="36" t="s">
        <v>47</v>
      </c>
      <c r="M47" s="26">
        <v>0</v>
      </c>
    </row>
    <row r="48" spans="2:16" ht="15" thickBot="1" x14ac:dyDescent="0.4">
      <c r="B48" s="1" t="s">
        <v>47</v>
      </c>
      <c r="C48" s="1" t="s">
        <v>50</v>
      </c>
      <c r="D48" s="1">
        <v>8</v>
      </c>
      <c r="E48" s="1">
        <f>+M47</f>
        <v>0</v>
      </c>
      <c r="F48" s="1">
        <f t="shared" si="9"/>
        <v>0</v>
      </c>
      <c r="L48" s="36" t="s">
        <v>49</v>
      </c>
      <c r="M48" s="26">
        <v>13</v>
      </c>
    </row>
    <row r="49" spans="2:13" ht="15" thickBot="1" x14ac:dyDescent="0.4">
      <c r="B49" s="1" t="s">
        <v>49</v>
      </c>
      <c r="C49" s="1" t="s">
        <v>50</v>
      </c>
      <c r="D49" s="1">
        <v>8</v>
      </c>
      <c r="E49" s="1">
        <f>+M48</f>
        <v>13</v>
      </c>
      <c r="F49" s="1">
        <f t="shared" si="9"/>
        <v>104</v>
      </c>
      <c r="L49" s="21"/>
      <c r="M49" s="21"/>
    </row>
    <row r="50" spans="2:13" ht="19" thickBot="1" x14ac:dyDescent="0.5">
      <c r="B50" s="103" t="s">
        <v>51</v>
      </c>
      <c r="C50" s="104"/>
      <c r="D50" s="105"/>
      <c r="E50" s="4">
        <f>+E44+E37+E30+E22+E10+E5</f>
        <v>1025</v>
      </c>
      <c r="F50" s="4">
        <f>+F44+F37+F30+F22+F10+F5</f>
        <v>4381</v>
      </c>
      <c r="L50" s="21" t="s">
        <v>51</v>
      </c>
      <c r="M50" s="38">
        <v>1025</v>
      </c>
    </row>
    <row r="51" spans="2:13" ht="17.5" thickBot="1" x14ac:dyDescent="0.45">
      <c r="L51" s="21" t="s">
        <v>51</v>
      </c>
      <c r="M51" s="38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DEB7-6563-438C-A2DD-8F2608F39B15}">
  <dimension ref="B1:P51"/>
  <sheetViews>
    <sheetView topLeftCell="B11" workbookViewId="0">
      <selection activeCell="J11" sqref="J11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5.7265625" bestFit="1" customWidth="1"/>
    <col min="12" max="12" width="13.81640625" bestFit="1" customWidth="1"/>
    <col min="15" max="15" width="13.1796875" bestFit="1" customWidth="1"/>
    <col min="16" max="16" width="10.36328125" bestFit="1" customWidth="1"/>
  </cols>
  <sheetData>
    <row r="1" spans="2:16" ht="15" thickBot="1" x14ac:dyDescent="0.4"/>
    <row r="2" spans="2:16" ht="44" thickBot="1" x14ac:dyDescent="0.4">
      <c r="B2" s="102" t="s">
        <v>117</v>
      </c>
      <c r="C2" s="102"/>
      <c r="D2" s="102"/>
      <c r="E2" s="102"/>
      <c r="F2" s="102"/>
      <c r="L2" s="33"/>
      <c r="M2" s="33"/>
    </row>
    <row r="3" spans="2:16" ht="58.5" thickBot="1" x14ac:dyDescent="0.4">
      <c r="L3" s="44" t="s">
        <v>95</v>
      </c>
      <c r="M3" s="45" t="s">
        <v>169</v>
      </c>
    </row>
    <row r="4" spans="2:16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512</v>
      </c>
      <c r="O4" t="s">
        <v>158</v>
      </c>
      <c r="P4" t="s">
        <v>159</v>
      </c>
    </row>
    <row r="5" spans="2:16" ht="19" thickBot="1" x14ac:dyDescent="0.5">
      <c r="B5" s="1" t="s">
        <v>59</v>
      </c>
      <c r="C5" s="1"/>
      <c r="D5" s="1"/>
      <c r="E5" s="4">
        <f>SUM(E6:E9)</f>
        <v>0</v>
      </c>
      <c r="F5" s="4">
        <f>SUM(F6:F9)</f>
        <v>0</v>
      </c>
      <c r="H5" s="2" t="s">
        <v>67</v>
      </c>
      <c r="I5" s="2">
        <f>+F5</f>
        <v>0</v>
      </c>
      <c r="J5" s="2">
        <f>+E5</f>
        <v>0</v>
      </c>
      <c r="L5" s="36" t="s">
        <v>6</v>
      </c>
      <c r="M5" s="26"/>
      <c r="O5" s="1" t="s">
        <v>40</v>
      </c>
      <c r="P5" s="1">
        <f>+M40</f>
        <v>0</v>
      </c>
    </row>
    <row r="6" spans="2:16" ht="15" thickBot="1" x14ac:dyDescent="0.4">
      <c r="B6" s="1" t="s">
        <v>6</v>
      </c>
      <c r="C6" s="1" t="s">
        <v>50</v>
      </c>
      <c r="D6" s="1">
        <v>3</v>
      </c>
      <c r="E6" s="1">
        <f>+M5</f>
        <v>0</v>
      </c>
      <c r="F6" s="1">
        <f>+D6*E6</f>
        <v>0</v>
      </c>
      <c r="H6" s="2" t="s">
        <v>68</v>
      </c>
      <c r="I6" s="2">
        <f>+F10</f>
        <v>0</v>
      </c>
      <c r="J6" s="2">
        <f>+E10</f>
        <v>0</v>
      </c>
      <c r="L6" s="36" t="s">
        <v>7</v>
      </c>
      <c r="M6" s="26"/>
      <c r="O6" s="1" t="s">
        <v>6</v>
      </c>
      <c r="P6" s="1">
        <f>+M5</f>
        <v>0</v>
      </c>
    </row>
    <row r="7" spans="2:16" ht="15" thickBot="1" x14ac:dyDescent="0.4">
      <c r="B7" s="1" t="s">
        <v>7</v>
      </c>
      <c r="C7" s="1" t="s">
        <v>50</v>
      </c>
      <c r="D7" s="1">
        <v>3</v>
      </c>
      <c r="E7" s="1">
        <f>+M6</f>
        <v>0</v>
      </c>
      <c r="F7" s="1">
        <f t="shared" ref="F7:F9" si="0">+D7*E7</f>
        <v>0</v>
      </c>
      <c r="H7" s="2" t="s">
        <v>69</v>
      </c>
      <c r="I7" s="2">
        <f>+F22</f>
        <v>0</v>
      </c>
      <c r="J7" s="2">
        <f>+E22</f>
        <v>0</v>
      </c>
      <c r="L7" s="36" t="s">
        <v>8</v>
      </c>
      <c r="M7" s="26"/>
      <c r="O7" s="1" t="s">
        <v>35</v>
      </c>
      <c r="P7" s="1">
        <f>+M35</f>
        <v>0</v>
      </c>
    </row>
    <row r="8" spans="2:16" ht="15" thickBot="1" x14ac:dyDescent="0.4">
      <c r="B8" s="1" t="s">
        <v>8</v>
      </c>
      <c r="C8" s="1" t="s">
        <v>50</v>
      </c>
      <c r="D8" s="1">
        <v>3</v>
      </c>
      <c r="E8" s="1">
        <f>+M7</f>
        <v>0</v>
      </c>
      <c r="F8" s="1">
        <f t="shared" si="0"/>
        <v>0</v>
      </c>
      <c r="H8" s="2" t="s">
        <v>70</v>
      </c>
      <c r="I8" s="2">
        <f>+F30</f>
        <v>0</v>
      </c>
      <c r="J8" s="2">
        <f>+E30</f>
        <v>0</v>
      </c>
      <c r="L8" s="36" t="s">
        <v>9</v>
      </c>
      <c r="M8" s="25"/>
      <c r="O8" s="1" t="s">
        <v>28</v>
      </c>
      <c r="P8" s="1">
        <f>+M27</f>
        <v>0</v>
      </c>
    </row>
    <row r="9" spans="2:16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+F37</f>
        <v>0</v>
      </c>
      <c r="J9" s="2">
        <f>+E37</f>
        <v>0</v>
      </c>
      <c r="L9" s="35" t="s">
        <v>10</v>
      </c>
      <c r="M9" s="24">
        <v>157</v>
      </c>
      <c r="O9" s="1" t="s">
        <v>44</v>
      </c>
      <c r="P9">
        <f>+M44</f>
        <v>0</v>
      </c>
    </row>
    <row r="10" spans="2:16" ht="19" thickBot="1" x14ac:dyDescent="0.5">
      <c r="B10" s="1" t="s">
        <v>10</v>
      </c>
      <c r="C10" s="1"/>
      <c r="D10" s="1"/>
      <c r="E10" s="4">
        <f>SUM(E11:E21)</f>
        <v>0</v>
      </c>
      <c r="F10" s="4">
        <f>SUM(F11:F21)</f>
        <v>0</v>
      </c>
      <c r="H10" s="2" t="s">
        <v>44</v>
      </c>
      <c r="I10" s="2">
        <f>+F44</f>
        <v>0</v>
      </c>
      <c r="J10" s="2">
        <f>+E44</f>
        <v>0</v>
      </c>
      <c r="L10" s="36" t="s">
        <v>11</v>
      </c>
      <c r="M10" s="26"/>
      <c r="O10" s="1" t="s">
        <v>14</v>
      </c>
      <c r="P10">
        <f>+M13</f>
        <v>0</v>
      </c>
    </row>
    <row r="11" spans="2:16" ht="19" thickBot="1" x14ac:dyDescent="0.5">
      <c r="B11" s="1" t="s">
        <v>11</v>
      </c>
      <c r="C11" s="1" t="s">
        <v>50</v>
      </c>
      <c r="D11" s="1">
        <v>5</v>
      </c>
      <c r="E11" s="1">
        <f>+M10</f>
        <v>0</v>
      </c>
      <c r="F11" s="1">
        <f>+D11*E11</f>
        <v>0</v>
      </c>
      <c r="H11" s="43" t="s">
        <v>51</v>
      </c>
      <c r="I11" s="43">
        <f>SUM(I5:I10)</f>
        <v>0</v>
      </c>
      <c r="J11" s="43">
        <f>SUM(J5:J10)</f>
        <v>0</v>
      </c>
      <c r="L11" s="36" t="s">
        <v>12</v>
      </c>
      <c r="M11" s="26"/>
      <c r="O11" s="1" t="s">
        <v>16</v>
      </c>
      <c r="P11">
        <f>+M15</f>
        <v>0</v>
      </c>
    </row>
    <row r="12" spans="2:16" ht="15" thickBot="1" x14ac:dyDescent="0.4">
      <c r="B12" s="1" t="s">
        <v>12</v>
      </c>
      <c r="C12" s="1" t="s">
        <v>50</v>
      </c>
      <c r="D12" s="1">
        <v>8</v>
      </c>
      <c r="E12" s="1">
        <f>+M11</f>
        <v>0</v>
      </c>
      <c r="F12" s="1">
        <f t="shared" ref="F12:F21" si="1">+D12*E12</f>
        <v>0</v>
      </c>
      <c r="L12" s="36" t="s">
        <v>13</v>
      </c>
      <c r="M12" s="26"/>
      <c r="O12" s="1" t="s">
        <v>8</v>
      </c>
      <c r="P12">
        <f>+M7</f>
        <v>0</v>
      </c>
    </row>
    <row r="13" spans="2:16" ht="15" thickBot="1" x14ac:dyDescent="0.4">
      <c r="B13" s="1" t="s">
        <v>13</v>
      </c>
      <c r="C13" s="1" t="s">
        <v>50</v>
      </c>
      <c r="D13" s="1">
        <v>8</v>
      </c>
      <c r="E13" s="1">
        <f>+M12</f>
        <v>0</v>
      </c>
      <c r="F13" s="1">
        <f t="shared" si="1"/>
        <v>0</v>
      </c>
      <c r="L13" s="36" t="s">
        <v>14</v>
      </c>
      <c r="M13" s="26"/>
      <c r="O13" s="1" t="s">
        <v>42</v>
      </c>
      <c r="P13">
        <f>+M42</f>
        <v>0</v>
      </c>
    </row>
    <row r="14" spans="2:16" ht="15" thickBot="1" x14ac:dyDescent="0.4">
      <c r="B14" s="1" t="s">
        <v>14</v>
      </c>
      <c r="C14" s="1" t="s">
        <v>50</v>
      </c>
      <c r="D14" s="1">
        <v>8</v>
      </c>
      <c r="E14" s="1">
        <f>M13</f>
        <v>0</v>
      </c>
      <c r="F14" s="1">
        <f t="shared" si="1"/>
        <v>0</v>
      </c>
      <c r="L14" s="36" t="s">
        <v>15</v>
      </c>
      <c r="M14" s="26"/>
      <c r="O14" s="1" t="s">
        <v>11</v>
      </c>
      <c r="P14">
        <f>+M10</f>
        <v>0</v>
      </c>
    </row>
    <row r="15" spans="2:16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0</v>
      </c>
      <c r="F15" s="1">
        <f t="shared" si="1"/>
        <v>0</v>
      </c>
      <c r="L15" s="36" t="s">
        <v>16</v>
      </c>
      <c r="M15" s="26"/>
      <c r="O15" s="1" t="s">
        <v>7</v>
      </c>
      <c r="P15">
        <f>+M6</f>
        <v>0</v>
      </c>
    </row>
    <row r="16" spans="2:16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0</v>
      </c>
      <c r="F16" s="1">
        <f t="shared" si="1"/>
        <v>0</v>
      </c>
      <c r="L16" s="36" t="s">
        <v>17</v>
      </c>
      <c r="M16" s="26"/>
      <c r="O16" s="1" t="s">
        <v>12</v>
      </c>
      <c r="P16">
        <f>+M11</f>
        <v>0</v>
      </c>
    </row>
    <row r="17" spans="2:16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0</v>
      </c>
      <c r="F17" s="1">
        <f t="shared" si="1"/>
        <v>0</v>
      </c>
      <c r="L17" s="36" t="s">
        <v>18</v>
      </c>
      <c r="M17" s="26"/>
      <c r="O17" s="1" t="s">
        <v>38</v>
      </c>
      <c r="P17">
        <f>+M38</f>
        <v>0</v>
      </c>
    </row>
    <row r="18" spans="2:16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0</v>
      </c>
      <c r="F18" s="1">
        <f t="shared" si="1"/>
        <v>0</v>
      </c>
      <c r="L18" s="36" t="s">
        <v>19</v>
      </c>
      <c r="M18" s="26"/>
      <c r="O18" s="1" t="s">
        <v>27</v>
      </c>
      <c r="P18">
        <f>+M26</f>
        <v>0</v>
      </c>
    </row>
    <row r="19" spans="2:16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0</v>
      </c>
      <c r="F19" s="1">
        <f t="shared" si="1"/>
        <v>0</v>
      </c>
      <c r="L19" s="36" t="s">
        <v>20</v>
      </c>
      <c r="M19" s="26"/>
      <c r="O19" s="1" t="s">
        <v>18</v>
      </c>
      <c r="P19">
        <f>+M17</f>
        <v>0</v>
      </c>
    </row>
    <row r="20" spans="2:16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0</v>
      </c>
      <c r="F20" s="1">
        <f t="shared" si="1"/>
        <v>0</v>
      </c>
      <c r="L20" s="36" t="s">
        <v>21</v>
      </c>
      <c r="M20" s="26"/>
      <c r="O20" s="1" t="s">
        <v>19</v>
      </c>
      <c r="P20">
        <f>+M18</f>
        <v>0</v>
      </c>
    </row>
    <row r="21" spans="2:16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0</v>
      </c>
      <c r="F21" s="1">
        <f t="shared" si="1"/>
        <v>0</v>
      </c>
      <c r="L21" s="35" t="s">
        <v>22</v>
      </c>
      <c r="M21" s="24">
        <v>115</v>
      </c>
      <c r="O21" s="1" t="s">
        <v>47</v>
      </c>
      <c r="P21">
        <f>+M47</f>
        <v>0</v>
      </c>
    </row>
    <row r="22" spans="2:16" ht="19" thickBot="1" x14ac:dyDescent="0.5">
      <c r="B22" s="1" t="s">
        <v>22</v>
      </c>
      <c r="C22" s="1"/>
      <c r="D22" s="1"/>
      <c r="E22" s="4">
        <f>SUM(E23:E29)</f>
        <v>0</v>
      </c>
      <c r="F22" s="4">
        <f>SUM(F23:F29)</f>
        <v>0</v>
      </c>
      <c r="L22" s="36" t="s">
        <v>23</v>
      </c>
      <c r="M22" s="26"/>
      <c r="O22" s="1" t="s">
        <v>15</v>
      </c>
      <c r="P22">
        <f>+M14</f>
        <v>0</v>
      </c>
    </row>
    <row r="23" spans="2:16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0</v>
      </c>
      <c r="F23" s="1">
        <f>+D23*E23</f>
        <v>0</v>
      </c>
      <c r="L23" s="36" t="s">
        <v>24</v>
      </c>
      <c r="M23" s="26"/>
      <c r="O23" s="1" t="s">
        <v>20</v>
      </c>
      <c r="P23">
        <f>+M19</f>
        <v>0</v>
      </c>
    </row>
    <row r="24" spans="2:16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0</v>
      </c>
      <c r="F24" s="1">
        <f t="shared" ref="F24:F29" si="4">+D24*E24</f>
        <v>0</v>
      </c>
      <c r="L24" s="36" t="s">
        <v>25</v>
      </c>
      <c r="M24" s="26"/>
      <c r="O24" s="1" t="s">
        <v>41</v>
      </c>
      <c r="P24">
        <f>+M41</f>
        <v>0</v>
      </c>
    </row>
    <row r="25" spans="2:16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0</v>
      </c>
      <c r="F25" s="1">
        <f t="shared" si="4"/>
        <v>0</v>
      </c>
      <c r="L25" s="36" t="s">
        <v>26</v>
      </c>
      <c r="M25" s="26"/>
      <c r="O25" s="1" t="s">
        <v>17</v>
      </c>
      <c r="P25">
        <f>+M16</f>
        <v>0</v>
      </c>
    </row>
    <row r="26" spans="2:16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0</v>
      </c>
      <c r="F26" s="1">
        <f t="shared" si="4"/>
        <v>0</v>
      </c>
      <c r="L26" s="36" t="s">
        <v>27</v>
      </c>
      <c r="M26" s="26"/>
      <c r="O26" s="1" t="s">
        <v>33</v>
      </c>
      <c r="P26">
        <f>+M32</f>
        <v>0</v>
      </c>
    </row>
    <row r="27" spans="2:16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0</v>
      </c>
      <c r="F27" s="1">
        <f t="shared" si="4"/>
        <v>0</v>
      </c>
      <c r="L27" s="36" t="s">
        <v>28</v>
      </c>
      <c r="M27" s="26"/>
      <c r="O27" s="1" t="s">
        <v>45</v>
      </c>
      <c r="P27">
        <f>+M45</f>
        <v>0</v>
      </c>
    </row>
    <row r="28" spans="2:16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0</v>
      </c>
      <c r="F28" s="1">
        <f t="shared" si="4"/>
        <v>0</v>
      </c>
      <c r="L28" s="36" t="s">
        <v>29</v>
      </c>
      <c r="M28" s="25"/>
      <c r="O28" s="1" t="s">
        <v>25</v>
      </c>
      <c r="P28">
        <f>+M24</f>
        <v>0</v>
      </c>
    </row>
    <row r="29" spans="2:16" ht="17.5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43</v>
      </c>
      <c r="O29" s="1" t="s">
        <v>46</v>
      </c>
      <c r="P29">
        <f>+M46</f>
        <v>0</v>
      </c>
    </row>
    <row r="30" spans="2:16" ht="19" thickBot="1" x14ac:dyDescent="0.5">
      <c r="B30" s="1" t="s">
        <v>30</v>
      </c>
      <c r="C30" s="1"/>
      <c r="D30" s="1"/>
      <c r="E30" s="4">
        <f>SUM(E31:E36)</f>
        <v>0</v>
      </c>
      <c r="F30" s="4">
        <f>SUM(F31:F36)</f>
        <v>0</v>
      </c>
      <c r="L30" s="36" t="s">
        <v>32</v>
      </c>
      <c r="M30" s="26"/>
      <c r="O30" s="1" t="s">
        <v>32</v>
      </c>
      <c r="P30">
        <f>+M30</f>
        <v>0</v>
      </c>
    </row>
    <row r="31" spans="2:16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+M30</f>
        <v>0</v>
      </c>
      <c r="F31" s="1">
        <f>+D31*E31</f>
        <v>0</v>
      </c>
      <c r="L31" s="36" t="s">
        <v>31</v>
      </c>
      <c r="M31" s="26"/>
      <c r="O31" s="1" t="s">
        <v>34</v>
      </c>
      <c r="P31">
        <f>+M33</f>
        <v>0</v>
      </c>
    </row>
    <row r="32" spans="2:16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0</v>
      </c>
      <c r="F32" s="1">
        <f t="shared" ref="F32:F36" si="6">+D32*E32</f>
        <v>0</v>
      </c>
      <c r="L32" s="36" t="s">
        <v>33</v>
      </c>
      <c r="M32" s="26"/>
      <c r="O32" s="1" t="s">
        <v>49</v>
      </c>
      <c r="P32">
        <f>+M48</f>
        <v>0</v>
      </c>
    </row>
    <row r="33" spans="2:16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0</v>
      </c>
      <c r="F33" s="1">
        <f t="shared" si="6"/>
        <v>0</v>
      </c>
      <c r="L33" s="36" t="s">
        <v>34</v>
      </c>
      <c r="M33" s="26"/>
      <c r="O33" s="1" t="s">
        <v>29</v>
      </c>
      <c r="P33">
        <f>+M28</f>
        <v>0</v>
      </c>
    </row>
    <row r="34" spans="2:16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0</v>
      </c>
      <c r="F34" s="1">
        <f t="shared" si="6"/>
        <v>0</v>
      </c>
      <c r="L34" s="37" t="s">
        <v>97</v>
      </c>
      <c r="M34" s="26"/>
      <c r="O34" s="1" t="s">
        <v>26</v>
      </c>
      <c r="P34">
        <f>+M25</f>
        <v>0</v>
      </c>
    </row>
    <row r="35" spans="2:16" ht="15" thickBot="1" x14ac:dyDescent="0.4">
      <c r="B35" s="1" t="s">
        <v>155</v>
      </c>
      <c r="C35" s="1" t="s">
        <v>50</v>
      </c>
      <c r="D35" s="1">
        <v>8</v>
      </c>
      <c r="E35" s="1">
        <f t="shared" si="5"/>
        <v>0</v>
      </c>
      <c r="F35" s="1">
        <f t="shared" si="6"/>
        <v>0</v>
      </c>
      <c r="L35" s="37" t="s">
        <v>35</v>
      </c>
      <c r="M35" s="26"/>
      <c r="O35" s="1" t="s">
        <v>21</v>
      </c>
      <c r="P35">
        <f>+M20</f>
        <v>0</v>
      </c>
    </row>
    <row r="36" spans="2:16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0</v>
      </c>
      <c r="F36" s="1">
        <f t="shared" si="6"/>
        <v>0</v>
      </c>
      <c r="L36" s="35" t="s">
        <v>36</v>
      </c>
      <c r="M36" s="24">
        <v>19</v>
      </c>
      <c r="O36" s="1" t="s">
        <v>23</v>
      </c>
      <c r="P36" s="1">
        <f>+M22</f>
        <v>0</v>
      </c>
    </row>
    <row r="37" spans="2:16" ht="19" thickBot="1" x14ac:dyDescent="0.5">
      <c r="B37" s="1" t="s">
        <v>36</v>
      </c>
      <c r="C37" s="1"/>
      <c r="D37" s="1"/>
      <c r="E37" s="4">
        <f>SUM(E38:E43)</f>
        <v>0</v>
      </c>
      <c r="F37" s="4">
        <f>SUM(F38:F43)</f>
        <v>0</v>
      </c>
      <c r="L37" s="36" t="s">
        <v>37</v>
      </c>
      <c r="M37" s="26"/>
      <c r="O37" s="1" t="s">
        <v>24</v>
      </c>
      <c r="P37" s="1">
        <f>+M23</f>
        <v>0</v>
      </c>
    </row>
    <row r="38" spans="2:16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7">+M37</f>
        <v>0</v>
      </c>
      <c r="F38" s="1">
        <f>+D38*E38</f>
        <v>0</v>
      </c>
      <c r="L38" s="36" t="s">
        <v>38</v>
      </c>
      <c r="M38" s="26"/>
      <c r="O38" s="1" t="s">
        <v>9</v>
      </c>
      <c r="P38" s="1">
        <f>+M8</f>
        <v>0</v>
      </c>
    </row>
    <row r="39" spans="2:16" ht="15" thickBot="1" x14ac:dyDescent="0.4">
      <c r="B39" s="1" t="s">
        <v>38</v>
      </c>
      <c r="C39" s="1" t="s">
        <v>50</v>
      </c>
      <c r="D39" s="1">
        <v>8</v>
      </c>
      <c r="E39" s="1">
        <f t="shared" si="7"/>
        <v>0</v>
      </c>
      <c r="F39" s="1">
        <f t="shared" ref="F39:F43" si="8">+D39*E39</f>
        <v>0</v>
      </c>
      <c r="L39" s="36" t="s">
        <v>39</v>
      </c>
      <c r="M39" s="26"/>
      <c r="O39" s="1" t="s">
        <v>155</v>
      </c>
      <c r="P39" s="1">
        <f>+M34</f>
        <v>0</v>
      </c>
    </row>
    <row r="40" spans="2:16" ht="15" thickBot="1" x14ac:dyDescent="0.4">
      <c r="B40" s="1" t="s">
        <v>39</v>
      </c>
      <c r="C40" s="1" t="s">
        <v>50</v>
      </c>
      <c r="D40" s="1">
        <v>8</v>
      </c>
      <c r="E40" s="1">
        <f t="shared" si="7"/>
        <v>0</v>
      </c>
      <c r="F40" s="1">
        <f t="shared" si="8"/>
        <v>0</v>
      </c>
      <c r="L40" s="36" t="s">
        <v>40</v>
      </c>
      <c r="M40" s="26"/>
      <c r="O40" s="1" t="s">
        <v>13</v>
      </c>
      <c r="P40" s="1">
        <f>+M12</f>
        <v>0</v>
      </c>
    </row>
    <row r="41" spans="2:16" ht="15" thickBot="1" x14ac:dyDescent="0.4">
      <c r="B41" s="1" t="s">
        <v>40</v>
      </c>
      <c r="C41" s="1" t="s">
        <v>50</v>
      </c>
      <c r="D41" s="1">
        <v>8</v>
      </c>
      <c r="E41" s="1">
        <f t="shared" si="7"/>
        <v>0</v>
      </c>
      <c r="F41" s="1">
        <f t="shared" si="8"/>
        <v>0</v>
      </c>
      <c r="L41" s="36" t="s">
        <v>98</v>
      </c>
      <c r="M41" s="26"/>
      <c r="O41" s="1" t="s">
        <v>31</v>
      </c>
      <c r="P41" s="1">
        <f>+M31</f>
        <v>0</v>
      </c>
    </row>
    <row r="42" spans="2:16" ht="15" thickBot="1" x14ac:dyDescent="0.4">
      <c r="B42" s="1" t="s">
        <v>41</v>
      </c>
      <c r="C42" s="1" t="s">
        <v>50</v>
      </c>
      <c r="D42" s="1">
        <v>8</v>
      </c>
      <c r="E42" s="1">
        <f t="shared" si="7"/>
        <v>0</v>
      </c>
      <c r="F42" s="1">
        <f t="shared" si="8"/>
        <v>0</v>
      </c>
      <c r="L42" s="36" t="s">
        <v>42</v>
      </c>
      <c r="M42" s="26"/>
      <c r="O42" s="1" t="s">
        <v>37</v>
      </c>
      <c r="P42" s="1">
        <f>+M37</f>
        <v>0</v>
      </c>
    </row>
    <row r="43" spans="2:16" ht="17.5" thickBot="1" x14ac:dyDescent="0.45">
      <c r="B43" s="1" t="s">
        <v>42</v>
      </c>
      <c r="C43" s="1" t="s">
        <v>50</v>
      </c>
      <c r="D43" s="1">
        <v>8</v>
      </c>
      <c r="E43" s="1">
        <f t="shared" si="7"/>
        <v>0</v>
      </c>
      <c r="F43" s="1">
        <f t="shared" si="8"/>
        <v>0</v>
      </c>
      <c r="L43" s="35" t="s">
        <v>43</v>
      </c>
      <c r="M43" s="24">
        <v>59</v>
      </c>
      <c r="O43" s="1" t="s">
        <v>39</v>
      </c>
      <c r="P43" s="1">
        <f>+M39</f>
        <v>0</v>
      </c>
    </row>
    <row r="44" spans="2:16" ht="19" thickBot="1" x14ac:dyDescent="0.5">
      <c r="B44" s="1" t="s">
        <v>43</v>
      </c>
      <c r="C44" s="1"/>
      <c r="D44" s="1"/>
      <c r="E44" s="4">
        <f>SUM(E45:E49)</f>
        <v>0</v>
      </c>
      <c r="F44" s="4">
        <f>SUM(F45:F49)</f>
        <v>0</v>
      </c>
      <c r="L44" s="36" t="s">
        <v>44</v>
      </c>
      <c r="M44" s="26"/>
      <c r="P44" s="97">
        <f>SUBTOTAL(109,P5:P43)</f>
        <v>0</v>
      </c>
    </row>
    <row r="45" spans="2:16" ht="15" thickBot="1" x14ac:dyDescent="0.4">
      <c r="B45" s="1" t="s">
        <v>44</v>
      </c>
      <c r="C45" s="1" t="s">
        <v>50</v>
      </c>
      <c r="D45" s="1">
        <v>8</v>
      </c>
      <c r="E45" s="1">
        <f>+M44</f>
        <v>0</v>
      </c>
      <c r="F45" s="1">
        <f>+D45*E45</f>
        <v>0</v>
      </c>
      <c r="L45" s="36" t="s">
        <v>45</v>
      </c>
      <c r="M45" s="26"/>
    </row>
    <row r="46" spans="2:16" ht="15" thickBot="1" x14ac:dyDescent="0.4">
      <c r="B46" s="1" t="s">
        <v>45</v>
      </c>
      <c r="C46" s="1" t="s">
        <v>50</v>
      </c>
      <c r="D46" s="1">
        <v>8</v>
      </c>
      <c r="E46" s="1">
        <f>+M45</f>
        <v>0</v>
      </c>
      <c r="F46" s="1">
        <f t="shared" ref="F46:F49" si="9">+D46*E46</f>
        <v>0</v>
      </c>
      <c r="L46" s="36" t="s">
        <v>46</v>
      </c>
      <c r="M46" s="26"/>
    </row>
    <row r="47" spans="2:16" ht="15" thickBot="1" x14ac:dyDescent="0.4">
      <c r="B47" s="1" t="s">
        <v>46</v>
      </c>
      <c r="C47" s="1" t="s">
        <v>50</v>
      </c>
      <c r="D47" s="1">
        <v>8</v>
      </c>
      <c r="E47" s="1">
        <f>+M46</f>
        <v>0</v>
      </c>
      <c r="F47" s="1">
        <f t="shared" si="9"/>
        <v>0</v>
      </c>
      <c r="L47" s="36" t="s">
        <v>47</v>
      </c>
      <c r="M47" s="26"/>
    </row>
    <row r="48" spans="2:16" ht="15" thickBot="1" x14ac:dyDescent="0.4">
      <c r="B48" s="1" t="s">
        <v>47</v>
      </c>
      <c r="C48" s="1" t="s">
        <v>50</v>
      </c>
      <c r="D48" s="1">
        <v>8</v>
      </c>
      <c r="E48" s="1">
        <f>+M47</f>
        <v>0</v>
      </c>
      <c r="F48" s="1">
        <f t="shared" si="9"/>
        <v>0</v>
      </c>
      <c r="L48" s="36" t="s">
        <v>49</v>
      </c>
      <c r="M48" s="26"/>
    </row>
    <row r="49" spans="2:13" ht="15" thickBot="1" x14ac:dyDescent="0.4">
      <c r="B49" s="1" t="s">
        <v>49</v>
      </c>
      <c r="C49" s="1" t="s">
        <v>50</v>
      </c>
      <c r="D49" s="1">
        <v>8</v>
      </c>
      <c r="E49" s="1">
        <f>+M48</f>
        <v>0</v>
      </c>
      <c r="F49" s="1">
        <f t="shared" si="9"/>
        <v>0</v>
      </c>
      <c r="L49" s="21"/>
      <c r="M49" s="21"/>
    </row>
    <row r="50" spans="2:13" ht="19" thickBot="1" x14ac:dyDescent="0.5">
      <c r="B50" s="103" t="s">
        <v>51</v>
      </c>
      <c r="C50" s="104"/>
      <c r="D50" s="105"/>
      <c r="E50" s="4">
        <f>+E44+E37+E30+E22+E10+E5</f>
        <v>0</v>
      </c>
      <c r="F50" s="4">
        <f>+F44+F37+F30+F22+F10+F5</f>
        <v>0</v>
      </c>
      <c r="L50" s="21" t="s">
        <v>51</v>
      </c>
      <c r="M50" s="38"/>
    </row>
    <row r="51" spans="2:13" ht="17.5" thickBot="1" x14ac:dyDescent="0.45">
      <c r="L51" s="21" t="s">
        <v>51</v>
      </c>
      <c r="M51" s="3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E5A9-8399-456B-B5EB-6540E4AC67A3}">
  <dimension ref="B2:J49"/>
  <sheetViews>
    <sheetView topLeftCell="A17" workbookViewId="0">
      <selection activeCell="H44" sqref="H44"/>
    </sheetView>
  </sheetViews>
  <sheetFormatPr baseColWidth="10" defaultRowHeight="14.5" x14ac:dyDescent="0.35"/>
  <cols>
    <col min="2" max="2" width="13.1796875" bestFit="1" customWidth="1"/>
  </cols>
  <sheetData>
    <row r="2" spans="2:10" x14ac:dyDescent="0.35">
      <c r="B2" s="110" t="s">
        <v>0</v>
      </c>
      <c r="C2" s="110"/>
      <c r="D2" s="110"/>
      <c r="E2" s="110"/>
      <c r="F2" s="110"/>
    </row>
    <row r="3" spans="2:10" ht="15" thickBot="1" x14ac:dyDescent="0.4"/>
    <row r="4" spans="2:10" ht="15" thickBot="1" x14ac:dyDescent="0.4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I4" t="s">
        <v>74</v>
      </c>
      <c r="J4" t="s">
        <v>75</v>
      </c>
    </row>
    <row r="5" spans="2:10" ht="19" thickBot="1" x14ac:dyDescent="0.5">
      <c r="B5" s="1" t="s">
        <v>5</v>
      </c>
      <c r="C5" s="1"/>
      <c r="D5" s="1"/>
      <c r="E5" s="4">
        <f>SUM(E6:E9)</f>
        <v>456</v>
      </c>
      <c r="F5" s="4">
        <f>SUM(F6:F9)</f>
        <v>1368</v>
      </c>
      <c r="H5" t="s">
        <v>67</v>
      </c>
      <c r="I5">
        <f>+F5</f>
        <v>1368</v>
      </c>
      <c r="J5">
        <f>+E5</f>
        <v>456</v>
      </c>
    </row>
    <row r="6" spans="2:10" ht="15" thickBot="1" x14ac:dyDescent="0.4">
      <c r="B6" s="1" t="s">
        <v>6</v>
      </c>
      <c r="C6" s="1" t="s">
        <v>50</v>
      </c>
      <c r="D6" s="1">
        <v>3</v>
      </c>
      <c r="E6" s="1">
        <f>44+110</f>
        <v>154</v>
      </c>
      <c r="F6" s="1">
        <f>+D6*E6</f>
        <v>462</v>
      </c>
      <c r="H6" t="s">
        <v>68</v>
      </c>
      <c r="I6">
        <f>+F10</f>
        <v>952</v>
      </c>
      <c r="J6">
        <f>+E10</f>
        <v>182</v>
      </c>
    </row>
    <row r="7" spans="2:10" ht="15" thickBot="1" x14ac:dyDescent="0.4">
      <c r="B7" s="1" t="s">
        <v>7</v>
      </c>
      <c r="C7" s="1" t="s">
        <v>50</v>
      </c>
      <c r="D7" s="1">
        <v>3</v>
      </c>
      <c r="E7" s="1">
        <v>162</v>
      </c>
      <c r="F7" s="1">
        <f t="shared" ref="F7:F48" si="0">+D7*E7</f>
        <v>486</v>
      </c>
      <c r="H7" t="s">
        <v>69</v>
      </c>
      <c r="I7">
        <f>+F22</f>
        <v>5</v>
      </c>
      <c r="J7">
        <f>+E22</f>
        <v>1</v>
      </c>
    </row>
    <row r="8" spans="2:10" ht="15" thickBot="1" x14ac:dyDescent="0.4">
      <c r="B8" s="1" t="s">
        <v>8</v>
      </c>
      <c r="C8" s="1" t="s">
        <v>50</v>
      </c>
      <c r="D8" s="1">
        <v>3</v>
      </c>
      <c r="E8" s="1">
        <v>123</v>
      </c>
      <c r="F8" s="1">
        <f t="shared" si="0"/>
        <v>369</v>
      </c>
      <c r="H8" t="s">
        <v>70</v>
      </c>
      <c r="I8">
        <f>+F30</f>
        <v>0</v>
      </c>
      <c r="J8">
        <f>+E30</f>
        <v>0</v>
      </c>
    </row>
    <row r="9" spans="2:10" ht="15" thickBot="1" x14ac:dyDescent="0.4">
      <c r="B9" s="1" t="s">
        <v>9</v>
      </c>
      <c r="C9" s="1" t="s">
        <v>50</v>
      </c>
      <c r="D9" s="1">
        <v>3</v>
      </c>
      <c r="E9" s="1">
        <v>17</v>
      </c>
      <c r="F9" s="1">
        <f t="shared" si="0"/>
        <v>51</v>
      </c>
      <c r="H9" t="s">
        <v>71</v>
      </c>
      <c r="I9">
        <f>+F36</f>
        <v>0</v>
      </c>
      <c r="J9">
        <f>+E36</f>
        <v>0</v>
      </c>
    </row>
    <row r="10" spans="2:10" ht="19" thickBot="1" x14ac:dyDescent="0.5">
      <c r="B10" s="1" t="s">
        <v>10</v>
      </c>
      <c r="C10" s="1"/>
      <c r="D10" s="1"/>
      <c r="E10" s="4">
        <f>SUM(E11:E21)</f>
        <v>182</v>
      </c>
      <c r="F10" s="4">
        <f>SUM(F11:F21)</f>
        <v>952</v>
      </c>
      <c r="H10" t="s">
        <v>44</v>
      </c>
      <c r="I10">
        <f>+F43</f>
        <v>904</v>
      </c>
      <c r="J10">
        <f>+C43+E43</f>
        <v>113</v>
      </c>
    </row>
    <row r="11" spans="2:10" ht="15" thickBot="1" x14ac:dyDescent="0.4">
      <c r="B11" s="1" t="s">
        <v>11</v>
      </c>
      <c r="C11" s="1" t="s">
        <v>50</v>
      </c>
      <c r="D11" s="1">
        <v>5</v>
      </c>
      <c r="E11" s="1">
        <v>168</v>
      </c>
      <c r="F11" s="1">
        <f t="shared" si="0"/>
        <v>840</v>
      </c>
      <c r="I11">
        <f>SUM(I5:I10)</f>
        <v>3229</v>
      </c>
      <c r="J11">
        <f>SUM(J5:J10)</f>
        <v>752</v>
      </c>
    </row>
    <row r="12" spans="2:10" ht="15" thickBot="1" x14ac:dyDescent="0.4">
      <c r="B12" s="1" t="s">
        <v>12</v>
      </c>
      <c r="C12" s="1" t="s">
        <v>50</v>
      </c>
      <c r="D12" s="1">
        <v>8</v>
      </c>
      <c r="E12" s="1"/>
      <c r="F12" s="1">
        <f t="shared" si="0"/>
        <v>0</v>
      </c>
    </row>
    <row r="13" spans="2:10" ht="15" thickBot="1" x14ac:dyDescent="0.4">
      <c r="B13" s="1" t="s">
        <v>13</v>
      </c>
      <c r="C13" s="1" t="s">
        <v>50</v>
      </c>
      <c r="D13" s="1">
        <v>8</v>
      </c>
      <c r="E13" s="1"/>
      <c r="F13" s="1">
        <f t="shared" si="0"/>
        <v>0</v>
      </c>
    </row>
    <row r="14" spans="2:10" ht="15" thickBot="1" x14ac:dyDescent="0.4">
      <c r="B14" s="1" t="s">
        <v>14</v>
      </c>
      <c r="C14" s="1" t="s">
        <v>50</v>
      </c>
      <c r="D14" s="1">
        <v>8</v>
      </c>
      <c r="E14" s="1"/>
      <c r="F14" s="1">
        <f t="shared" si="0"/>
        <v>0</v>
      </c>
    </row>
    <row r="15" spans="2:10" ht="15" thickBot="1" x14ac:dyDescent="0.4">
      <c r="B15" s="1" t="s">
        <v>15</v>
      </c>
      <c r="C15" s="1" t="s">
        <v>50</v>
      </c>
      <c r="D15" s="1">
        <v>8</v>
      </c>
      <c r="E15" s="1"/>
      <c r="F15" s="1">
        <f t="shared" si="0"/>
        <v>0</v>
      </c>
    </row>
    <row r="16" spans="2:10" ht="15" thickBot="1" x14ac:dyDescent="0.4">
      <c r="B16" s="1" t="s">
        <v>16</v>
      </c>
      <c r="C16" s="1" t="s">
        <v>50</v>
      </c>
      <c r="D16" s="1">
        <v>8</v>
      </c>
      <c r="E16" s="1"/>
      <c r="F16" s="1">
        <f t="shared" si="0"/>
        <v>0</v>
      </c>
    </row>
    <row r="17" spans="2:6" ht="15" thickBot="1" x14ac:dyDescent="0.4">
      <c r="B17" s="1" t="s">
        <v>17</v>
      </c>
      <c r="C17" s="1" t="s">
        <v>50</v>
      </c>
      <c r="D17" s="1">
        <v>8</v>
      </c>
      <c r="E17" s="1"/>
      <c r="F17" s="1">
        <f t="shared" si="0"/>
        <v>0</v>
      </c>
    </row>
    <row r="18" spans="2:6" ht="15" thickBot="1" x14ac:dyDescent="0.4">
      <c r="B18" s="1" t="s">
        <v>18</v>
      </c>
      <c r="C18" s="1" t="s">
        <v>50</v>
      </c>
      <c r="D18" s="1">
        <v>8</v>
      </c>
      <c r="E18" s="1">
        <v>14</v>
      </c>
      <c r="F18" s="1">
        <f t="shared" si="0"/>
        <v>112</v>
      </c>
    </row>
    <row r="19" spans="2:6" ht="15" thickBot="1" x14ac:dyDescent="0.4">
      <c r="B19" s="1" t="s">
        <v>19</v>
      </c>
      <c r="C19" s="1" t="s">
        <v>50</v>
      </c>
      <c r="D19" s="1">
        <v>8</v>
      </c>
      <c r="E19" s="1"/>
      <c r="F19" s="1">
        <f>+D19*E19</f>
        <v>0</v>
      </c>
    </row>
    <row r="20" spans="2:6" ht="15" thickBot="1" x14ac:dyDescent="0.4">
      <c r="B20" s="1" t="s">
        <v>20</v>
      </c>
      <c r="C20" s="1" t="s">
        <v>50</v>
      </c>
      <c r="D20" s="1">
        <v>8</v>
      </c>
      <c r="E20" s="1"/>
      <c r="F20" s="1">
        <f t="shared" si="0"/>
        <v>0</v>
      </c>
    </row>
    <row r="21" spans="2:6" ht="15" thickBot="1" x14ac:dyDescent="0.4">
      <c r="B21" s="1" t="s">
        <v>21</v>
      </c>
      <c r="C21" s="1" t="s">
        <v>50</v>
      </c>
      <c r="D21" s="1">
        <v>8</v>
      </c>
      <c r="E21" s="1"/>
      <c r="F21" s="1">
        <f t="shared" si="0"/>
        <v>0</v>
      </c>
    </row>
    <row r="22" spans="2:6" ht="19" thickBot="1" x14ac:dyDescent="0.5">
      <c r="B22" s="1" t="s">
        <v>22</v>
      </c>
      <c r="C22" s="1"/>
      <c r="D22" s="1"/>
      <c r="E22" s="4">
        <f>SUM(E23:E29)</f>
        <v>1</v>
      </c>
      <c r="F22" s="4">
        <f>SUM(F23:F29)</f>
        <v>5</v>
      </c>
    </row>
    <row r="23" spans="2:6" ht="15" thickBot="1" x14ac:dyDescent="0.4">
      <c r="B23" s="1" t="s">
        <v>23</v>
      </c>
      <c r="C23" s="1" t="s">
        <v>50</v>
      </c>
      <c r="D23" s="1">
        <v>5</v>
      </c>
      <c r="E23" s="1">
        <v>0</v>
      </c>
      <c r="F23" s="1">
        <f t="shared" si="0"/>
        <v>0</v>
      </c>
    </row>
    <row r="24" spans="2:6" ht="15" thickBot="1" x14ac:dyDescent="0.4">
      <c r="B24" s="1" t="s">
        <v>24</v>
      </c>
      <c r="C24" s="1" t="s">
        <v>50</v>
      </c>
      <c r="D24" s="1">
        <v>5</v>
      </c>
      <c r="E24" s="1"/>
      <c r="F24" s="1">
        <f t="shared" si="0"/>
        <v>0</v>
      </c>
    </row>
    <row r="25" spans="2:6" ht="15" thickBot="1" x14ac:dyDescent="0.4">
      <c r="B25" s="1" t="s">
        <v>25</v>
      </c>
      <c r="C25" s="1" t="s">
        <v>50</v>
      </c>
      <c r="D25" s="1">
        <v>5</v>
      </c>
      <c r="E25" s="1">
        <v>1</v>
      </c>
      <c r="F25" s="1">
        <f t="shared" si="0"/>
        <v>5</v>
      </c>
    </row>
    <row r="26" spans="2:6" ht="15" thickBot="1" x14ac:dyDescent="0.4">
      <c r="B26" s="1" t="s">
        <v>26</v>
      </c>
      <c r="C26" s="1" t="s">
        <v>50</v>
      </c>
      <c r="D26" s="1">
        <v>5</v>
      </c>
      <c r="E26" s="1"/>
      <c r="F26" s="1">
        <f t="shared" si="0"/>
        <v>0</v>
      </c>
    </row>
    <row r="27" spans="2:6" ht="15" thickBot="1" x14ac:dyDescent="0.4">
      <c r="B27" s="1" t="s">
        <v>27</v>
      </c>
      <c r="C27" s="1" t="s">
        <v>50</v>
      </c>
      <c r="D27" s="1">
        <v>5</v>
      </c>
      <c r="E27" s="1"/>
      <c r="F27" s="1">
        <f t="shared" si="0"/>
        <v>0</v>
      </c>
    </row>
    <row r="28" spans="2:6" ht="15" thickBot="1" x14ac:dyDescent="0.4">
      <c r="B28" s="1" t="s">
        <v>28</v>
      </c>
      <c r="C28" s="1" t="s">
        <v>50</v>
      </c>
      <c r="D28" s="1">
        <v>8</v>
      </c>
      <c r="E28" s="1"/>
      <c r="F28" s="1">
        <f t="shared" si="0"/>
        <v>0</v>
      </c>
    </row>
    <row r="29" spans="2:6" ht="15" thickBot="1" x14ac:dyDescent="0.4">
      <c r="B29" s="1" t="s">
        <v>29</v>
      </c>
      <c r="C29" s="1" t="s">
        <v>50</v>
      </c>
      <c r="D29" s="1">
        <v>8</v>
      </c>
      <c r="E29" s="1"/>
      <c r="F29" s="1">
        <f t="shared" si="0"/>
        <v>0</v>
      </c>
    </row>
    <row r="30" spans="2:6" ht="19" thickBot="1" x14ac:dyDescent="0.5">
      <c r="B30" s="1" t="s">
        <v>30</v>
      </c>
      <c r="C30" s="1"/>
      <c r="D30" s="1"/>
      <c r="E30" s="4">
        <f>SUM(E31:E36)</f>
        <v>0</v>
      </c>
      <c r="F30" s="4">
        <f>SUM(F31:F35)</f>
        <v>0</v>
      </c>
    </row>
    <row r="31" spans="2:6" ht="15" thickBot="1" x14ac:dyDescent="0.4">
      <c r="B31" s="1" t="s">
        <v>32</v>
      </c>
      <c r="C31" s="1" t="s">
        <v>50</v>
      </c>
      <c r="D31" s="1">
        <v>5</v>
      </c>
      <c r="E31" s="1"/>
      <c r="F31" s="1">
        <f t="shared" si="0"/>
        <v>0</v>
      </c>
    </row>
    <row r="32" spans="2:6" ht="15" thickBot="1" x14ac:dyDescent="0.4">
      <c r="B32" s="1" t="s">
        <v>31</v>
      </c>
      <c r="C32" s="1" t="s">
        <v>50</v>
      </c>
      <c r="D32" s="1">
        <v>8</v>
      </c>
      <c r="E32" s="1"/>
      <c r="F32" s="1">
        <f t="shared" si="0"/>
        <v>0</v>
      </c>
    </row>
    <row r="33" spans="2:6" ht="15" thickBot="1" x14ac:dyDescent="0.4">
      <c r="B33" s="1" t="s">
        <v>33</v>
      </c>
      <c r="C33" s="1" t="s">
        <v>50</v>
      </c>
      <c r="D33" s="1">
        <v>8</v>
      </c>
      <c r="E33" s="1"/>
      <c r="F33" s="1">
        <f t="shared" si="0"/>
        <v>0</v>
      </c>
    </row>
    <row r="34" spans="2:6" ht="15" thickBot="1" x14ac:dyDescent="0.4">
      <c r="B34" s="1" t="s">
        <v>34</v>
      </c>
      <c r="C34" s="1" t="s">
        <v>50</v>
      </c>
      <c r="D34" s="1">
        <v>8</v>
      </c>
      <c r="E34" s="1"/>
      <c r="F34" s="1">
        <f t="shared" si="0"/>
        <v>0</v>
      </c>
    </row>
    <row r="35" spans="2:6" ht="15" thickBot="1" x14ac:dyDescent="0.4">
      <c r="B35" s="1" t="s">
        <v>35</v>
      </c>
      <c r="C35" s="1" t="s">
        <v>50</v>
      </c>
      <c r="D35" s="1">
        <v>8</v>
      </c>
      <c r="E35" s="1"/>
      <c r="F35" s="1">
        <f t="shared" si="0"/>
        <v>0</v>
      </c>
    </row>
    <row r="36" spans="2:6" ht="19" thickBot="1" x14ac:dyDescent="0.5">
      <c r="B36" s="1" t="s">
        <v>36</v>
      </c>
      <c r="C36" s="1"/>
      <c r="D36" s="1"/>
      <c r="E36" s="4">
        <f>SUM(E37:E42)</f>
        <v>0</v>
      </c>
      <c r="F36" s="4">
        <f>SUM(F37:F42)</f>
        <v>0</v>
      </c>
    </row>
    <row r="37" spans="2:6" ht="15" thickBot="1" x14ac:dyDescent="0.4">
      <c r="B37" s="1" t="s">
        <v>37</v>
      </c>
      <c r="C37" s="1" t="s">
        <v>50</v>
      </c>
      <c r="D37" s="1">
        <v>8</v>
      </c>
      <c r="E37" s="1"/>
      <c r="F37" s="1">
        <f t="shared" si="0"/>
        <v>0</v>
      </c>
    </row>
    <row r="38" spans="2:6" ht="15" thickBot="1" x14ac:dyDescent="0.4">
      <c r="B38" s="1" t="s">
        <v>38</v>
      </c>
      <c r="C38" s="1" t="s">
        <v>50</v>
      </c>
      <c r="D38" s="1">
        <v>8</v>
      </c>
      <c r="E38" s="1"/>
      <c r="F38" s="1">
        <f t="shared" si="0"/>
        <v>0</v>
      </c>
    </row>
    <row r="39" spans="2:6" ht="15" thickBot="1" x14ac:dyDescent="0.4">
      <c r="B39" s="1" t="s">
        <v>39</v>
      </c>
      <c r="C39" s="1" t="s">
        <v>50</v>
      </c>
      <c r="D39" s="1">
        <v>8</v>
      </c>
      <c r="E39" s="1"/>
      <c r="F39" s="1">
        <f t="shared" si="0"/>
        <v>0</v>
      </c>
    </row>
    <row r="40" spans="2:6" ht="15" thickBot="1" x14ac:dyDescent="0.4">
      <c r="B40" s="1" t="s">
        <v>40</v>
      </c>
      <c r="C40" s="1" t="s">
        <v>50</v>
      </c>
      <c r="D40" s="1">
        <v>8</v>
      </c>
      <c r="E40" s="1"/>
      <c r="F40" s="1">
        <f t="shared" si="0"/>
        <v>0</v>
      </c>
    </row>
    <row r="41" spans="2:6" ht="15" thickBot="1" x14ac:dyDescent="0.4">
      <c r="B41" s="1" t="s">
        <v>41</v>
      </c>
      <c r="C41" s="1" t="s">
        <v>50</v>
      </c>
      <c r="D41" s="1">
        <v>8</v>
      </c>
      <c r="E41" s="1"/>
      <c r="F41" s="1">
        <f t="shared" si="0"/>
        <v>0</v>
      </c>
    </row>
    <row r="42" spans="2:6" ht="15" thickBot="1" x14ac:dyDescent="0.4">
      <c r="B42" s="1" t="s">
        <v>42</v>
      </c>
      <c r="C42" s="1" t="s">
        <v>50</v>
      </c>
      <c r="D42" s="1">
        <v>8</v>
      </c>
      <c r="E42" s="1"/>
      <c r="F42" s="1">
        <f t="shared" si="0"/>
        <v>0</v>
      </c>
    </row>
    <row r="43" spans="2:6" ht="19" thickBot="1" x14ac:dyDescent="0.5">
      <c r="B43" s="1" t="s">
        <v>43</v>
      </c>
      <c r="C43" s="1"/>
      <c r="D43" s="1"/>
      <c r="E43" s="4">
        <f>SUM(E44:E48)</f>
        <v>113</v>
      </c>
      <c r="F43" s="4">
        <f>SUM(F44:F48)</f>
        <v>904</v>
      </c>
    </row>
    <row r="44" spans="2:6" ht="15" thickBot="1" x14ac:dyDescent="0.4">
      <c r="B44" s="1" t="s">
        <v>44</v>
      </c>
      <c r="C44" s="1" t="s">
        <v>50</v>
      </c>
      <c r="D44" s="1">
        <v>8</v>
      </c>
      <c r="E44" s="1">
        <v>113</v>
      </c>
      <c r="F44" s="1">
        <f t="shared" si="0"/>
        <v>904</v>
      </c>
    </row>
    <row r="45" spans="2:6" ht="15" thickBot="1" x14ac:dyDescent="0.4">
      <c r="B45" s="1" t="s">
        <v>45</v>
      </c>
      <c r="C45" s="1" t="s">
        <v>50</v>
      </c>
      <c r="D45" s="1">
        <v>8</v>
      </c>
      <c r="E45" s="1">
        <v>0</v>
      </c>
      <c r="F45" s="1">
        <f t="shared" si="0"/>
        <v>0</v>
      </c>
    </row>
    <row r="46" spans="2:6" ht="15" thickBot="1" x14ac:dyDescent="0.4">
      <c r="B46" s="1" t="s">
        <v>46</v>
      </c>
      <c r="C46" s="1" t="s">
        <v>50</v>
      </c>
      <c r="D46" s="1">
        <v>8</v>
      </c>
      <c r="E46" s="1">
        <v>0</v>
      </c>
      <c r="F46" s="1">
        <f t="shared" si="0"/>
        <v>0</v>
      </c>
    </row>
    <row r="47" spans="2:6" ht="15" thickBot="1" x14ac:dyDescent="0.4">
      <c r="B47" s="1" t="s">
        <v>47</v>
      </c>
      <c r="C47" s="1" t="s">
        <v>50</v>
      </c>
      <c r="D47" s="1">
        <v>8</v>
      </c>
      <c r="E47" s="1">
        <v>0</v>
      </c>
      <c r="F47" s="1">
        <f>+D47*E47</f>
        <v>0</v>
      </c>
    </row>
    <row r="48" spans="2:6" ht="15" thickBot="1" x14ac:dyDescent="0.4">
      <c r="B48" s="1" t="s">
        <v>49</v>
      </c>
      <c r="C48" s="1" t="s">
        <v>50</v>
      </c>
      <c r="D48" s="1">
        <v>8</v>
      </c>
      <c r="E48" s="1">
        <v>0</v>
      </c>
      <c r="F48" s="1">
        <f t="shared" si="0"/>
        <v>0</v>
      </c>
    </row>
    <row r="49" spans="2:6" ht="19" thickBot="1" x14ac:dyDescent="0.5">
      <c r="B49" s="111" t="s">
        <v>51</v>
      </c>
      <c r="C49" s="111"/>
      <c r="D49" s="111"/>
      <c r="E49" s="4">
        <f>+E48+E47+E46+E45+E44+E42+E41+E40+E39+E38+E37+E35+E34+E33+E32+E31+E29+E28+E27+E26+E25+E24+E23+E21+E20+E19+E18+E17+E16+E15+E14+E13+E12+E11+E9+E8+E7+E6</f>
        <v>752</v>
      </c>
      <c r="F49" s="4">
        <f>+F43+F36+F30+F22+F10+F5</f>
        <v>3229</v>
      </c>
    </row>
  </sheetData>
  <mergeCells count="2">
    <mergeCell ref="B2:F2"/>
    <mergeCell ref="B49:D4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912F-8F87-474E-A593-34134E0CC857}">
  <dimension ref="B1:P51"/>
  <sheetViews>
    <sheetView topLeftCell="B5" workbookViewId="0">
      <selection activeCell="I20" sqref="I20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5.7265625" bestFit="1" customWidth="1"/>
    <col min="12" max="12" width="13.81640625" bestFit="1" customWidth="1"/>
    <col min="15" max="15" width="13.1796875" bestFit="1" customWidth="1"/>
    <col min="16" max="16" width="10.36328125" bestFit="1" customWidth="1"/>
  </cols>
  <sheetData>
    <row r="1" spans="2:16" ht="15" thickBot="1" x14ac:dyDescent="0.4"/>
    <row r="2" spans="2:16" ht="44" thickBot="1" x14ac:dyDescent="0.4">
      <c r="B2" s="102" t="s">
        <v>117</v>
      </c>
      <c r="C2" s="102"/>
      <c r="D2" s="102"/>
      <c r="E2" s="102"/>
      <c r="F2" s="102"/>
      <c r="L2" s="33"/>
      <c r="M2" s="33"/>
    </row>
    <row r="3" spans="2:16" ht="58.5" thickBot="1" x14ac:dyDescent="0.4">
      <c r="L3" s="44" t="s">
        <v>95</v>
      </c>
      <c r="M3" s="45" t="s">
        <v>169</v>
      </c>
    </row>
    <row r="4" spans="2:16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512</v>
      </c>
      <c r="O4" t="s">
        <v>158</v>
      </c>
      <c r="P4" t="s">
        <v>159</v>
      </c>
    </row>
    <row r="5" spans="2:16" ht="19" thickBot="1" x14ac:dyDescent="0.5">
      <c r="B5" s="1" t="s">
        <v>59</v>
      </c>
      <c r="C5" s="1"/>
      <c r="D5" s="1"/>
      <c r="E5" s="4">
        <f>SUM(E6:E9)</f>
        <v>0</v>
      </c>
      <c r="F5" s="4">
        <f>SUM(F6:F9)</f>
        <v>0</v>
      </c>
      <c r="H5" s="2" t="s">
        <v>67</v>
      </c>
      <c r="I5" s="2">
        <f>+F5</f>
        <v>0</v>
      </c>
      <c r="J5" s="2">
        <f>+E5</f>
        <v>0</v>
      </c>
      <c r="L5" s="36" t="s">
        <v>6</v>
      </c>
      <c r="M5" s="26"/>
      <c r="O5" s="1" t="s">
        <v>40</v>
      </c>
      <c r="P5" s="1">
        <f>+M40</f>
        <v>0</v>
      </c>
    </row>
    <row r="6" spans="2:16" ht="15" thickBot="1" x14ac:dyDescent="0.4">
      <c r="B6" s="1" t="s">
        <v>6</v>
      </c>
      <c r="C6" s="1" t="s">
        <v>50</v>
      </c>
      <c r="D6" s="1">
        <v>3</v>
      </c>
      <c r="E6" s="1">
        <f>+M5</f>
        <v>0</v>
      </c>
      <c r="F6" s="1">
        <f>+D6*E6</f>
        <v>0</v>
      </c>
      <c r="H6" s="2" t="s">
        <v>68</v>
      </c>
      <c r="I6" s="2">
        <f>+F10</f>
        <v>0</v>
      </c>
      <c r="J6" s="2">
        <f>+E10</f>
        <v>0</v>
      </c>
      <c r="L6" s="36" t="s">
        <v>7</v>
      </c>
      <c r="M6" s="26"/>
      <c r="O6" s="1" t="s">
        <v>6</v>
      </c>
      <c r="P6" s="1">
        <f>+M5</f>
        <v>0</v>
      </c>
    </row>
    <row r="7" spans="2:16" ht="15" thickBot="1" x14ac:dyDescent="0.4">
      <c r="B7" s="1" t="s">
        <v>7</v>
      </c>
      <c r="C7" s="1" t="s">
        <v>50</v>
      </c>
      <c r="D7" s="1">
        <v>3</v>
      </c>
      <c r="E7" s="1">
        <f>+M6</f>
        <v>0</v>
      </c>
      <c r="F7" s="1">
        <f t="shared" ref="F7:F9" si="0">+D7*E7</f>
        <v>0</v>
      </c>
      <c r="H7" s="2" t="s">
        <v>69</v>
      </c>
      <c r="I7" s="2">
        <f>+F22</f>
        <v>0</v>
      </c>
      <c r="J7" s="2">
        <f>+E22</f>
        <v>0</v>
      </c>
      <c r="L7" s="36" t="s">
        <v>8</v>
      </c>
      <c r="M7" s="26"/>
      <c r="O7" s="1" t="s">
        <v>35</v>
      </c>
      <c r="P7" s="1">
        <f>+M35</f>
        <v>0</v>
      </c>
    </row>
    <row r="8" spans="2:16" ht="15" thickBot="1" x14ac:dyDescent="0.4">
      <c r="B8" s="1" t="s">
        <v>8</v>
      </c>
      <c r="C8" s="1" t="s">
        <v>50</v>
      </c>
      <c r="D8" s="1">
        <v>3</v>
      </c>
      <c r="E8" s="1">
        <f>+M7</f>
        <v>0</v>
      </c>
      <c r="F8" s="1">
        <f t="shared" si="0"/>
        <v>0</v>
      </c>
      <c r="H8" s="2" t="s">
        <v>70</v>
      </c>
      <c r="I8" s="2">
        <f>+F30</f>
        <v>0</v>
      </c>
      <c r="J8" s="2">
        <f>+E30</f>
        <v>0</v>
      </c>
      <c r="L8" s="36" t="s">
        <v>9</v>
      </c>
      <c r="M8" s="25"/>
      <c r="O8" s="1" t="s">
        <v>28</v>
      </c>
      <c r="P8" s="1">
        <f>+M27</f>
        <v>0</v>
      </c>
    </row>
    <row r="9" spans="2:16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+F37</f>
        <v>0</v>
      </c>
      <c r="J9" s="2">
        <f>+E37</f>
        <v>0</v>
      </c>
      <c r="L9" s="35" t="s">
        <v>10</v>
      </c>
      <c r="M9" s="24">
        <v>157</v>
      </c>
      <c r="O9" s="1" t="s">
        <v>44</v>
      </c>
      <c r="P9">
        <f>+M44</f>
        <v>0</v>
      </c>
    </row>
    <row r="10" spans="2:16" ht="19" thickBot="1" x14ac:dyDescent="0.5">
      <c r="B10" s="1" t="s">
        <v>10</v>
      </c>
      <c r="C10" s="1"/>
      <c r="D10" s="1"/>
      <c r="E10" s="4">
        <f>SUM(E11:E21)</f>
        <v>0</v>
      </c>
      <c r="F10" s="4">
        <f>SUM(F11:F21)</f>
        <v>0</v>
      </c>
      <c r="H10" s="2" t="s">
        <v>44</v>
      </c>
      <c r="I10" s="2">
        <f>+F44</f>
        <v>0</v>
      </c>
      <c r="J10" s="2">
        <f>+E44</f>
        <v>0</v>
      </c>
      <c r="L10" s="36" t="s">
        <v>11</v>
      </c>
      <c r="M10" s="26"/>
      <c r="O10" s="1" t="s">
        <v>14</v>
      </c>
      <c r="P10">
        <f>+M13</f>
        <v>0</v>
      </c>
    </row>
    <row r="11" spans="2:16" ht="19" thickBot="1" x14ac:dyDescent="0.5">
      <c r="B11" s="1" t="s">
        <v>11</v>
      </c>
      <c r="C11" s="1" t="s">
        <v>50</v>
      </c>
      <c r="D11" s="1">
        <v>5</v>
      </c>
      <c r="E11" s="1">
        <f>+M10</f>
        <v>0</v>
      </c>
      <c r="F11" s="1">
        <f>+D11*E11</f>
        <v>0</v>
      </c>
      <c r="H11" s="43" t="s">
        <v>51</v>
      </c>
      <c r="I11" s="43">
        <f>SUM(I5:I10)</f>
        <v>0</v>
      </c>
      <c r="J11" s="43">
        <f>SUM(J5:J10)</f>
        <v>0</v>
      </c>
      <c r="L11" s="36" t="s">
        <v>12</v>
      </c>
      <c r="M11" s="26"/>
      <c r="O11" s="1" t="s">
        <v>16</v>
      </c>
      <c r="P11">
        <f>+M15</f>
        <v>0</v>
      </c>
    </row>
    <row r="12" spans="2:16" ht="15" thickBot="1" x14ac:dyDescent="0.4">
      <c r="B12" s="1" t="s">
        <v>12</v>
      </c>
      <c r="C12" s="1" t="s">
        <v>50</v>
      </c>
      <c r="D12" s="1">
        <v>8</v>
      </c>
      <c r="E12" s="1">
        <f>+M11</f>
        <v>0</v>
      </c>
      <c r="F12" s="1">
        <f t="shared" ref="F12:F21" si="1">+D12*E12</f>
        <v>0</v>
      </c>
      <c r="L12" s="36" t="s">
        <v>13</v>
      </c>
      <c r="M12" s="26"/>
      <c r="O12" s="1" t="s">
        <v>8</v>
      </c>
      <c r="P12">
        <f>+M7</f>
        <v>0</v>
      </c>
    </row>
    <row r="13" spans="2:16" ht="15" thickBot="1" x14ac:dyDescent="0.4">
      <c r="B13" s="1" t="s">
        <v>13</v>
      </c>
      <c r="C13" s="1" t="s">
        <v>50</v>
      </c>
      <c r="D13" s="1">
        <v>8</v>
      </c>
      <c r="E13" s="1">
        <f>+M12</f>
        <v>0</v>
      </c>
      <c r="F13" s="1">
        <f t="shared" si="1"/>
        <v>0</v>
      </c>
      <c r="L13" s="36" t="s">
        <v>14</v>
      </c>
      <c r="M13" s="26"/>
      <c r="O13" s="1" t="s">
        <v>42</v>
      </c>
      <c r="P13">
        <f>+M42</f>
        <v>0</v>
      </c>
    </row>
    <row r="14" spans="2:16" ht="15" thickBot="1" x14ac:dyDescent="0.4">
      <c r="B14" s="1" t="s">
        <v>14</v>
      </c>
      <c r="C14" s="1" t="s">
        <v>50</v>
      </c>
      <c r="D14" s="1">
        <v>8</v>
      </c>
      <c r="E14" s="1">
        <f>M13</f>
        <v>0</v>
      </c>
      <c r="F14" s="1">
        <f t="shared" si="1"/>
        <v>0</v>
      </c>
      <c r="L14" s="36" t="s">
        <v>15</v>
      </c>
      <c r="M14" s="26"/>
      <c r="O14" s="1" t="s">
        <v>11</v>
      </c>
      <c r="P14">
        <f>+M10</f>
        <v>0</v>
      </c>
    </row>
    <row r="15" spans="2:16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0</v>
      </c>
      <c r="F15" s="1">
        <f t="shared" si="1"/>
        <v>0</v>
      </c>
      <c r="L15" s="36" t="s">
        <v>16</v>
      </c>
      <c r="M15" s="26"/>
      <c r="O15" s="1" t="s">
        <v>7</v>
      </c>
      <c r="P15">
        <f>+M6</f>
        <v>0</v>
      </c>
    </row>
    <row r="16" spans="2:16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0</v>
      </c>
      <c r="F16" s="1">
        <f t="shared" si="1"/>
        <v>0</v>
      </c>
      <c r="L16" s="36" t="s">
        <v>17</v>
      </c>
      <c r="M16" s="26"/>
      <c r="O16" s="1" t="s">
        <v>12</v>
      </c>
      <c r="P16">
        <f>+M11</f>
        <v>0</v>
      </c>
    </row>
    <row r="17" spans="2:16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0</v>
      </c>
      <c r="F17" s="1">
        <f t="shared" si="1"/>
        <v>0</v>
      </c>
      <c r="L17" s="36" t="s">
        <v>18</v>
      </c>
      <c r="M17" s="26"/>
      <c r="O17" s="1" t="s">
        <v>38</v>
      </c>
      <c r="P17">
        <f>+M38</f>
        <v>0</v>
      </c>
    </row>
    <row r="18" spans="2:16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0</v>
      </c>
      <c r="F18" s="1">
        <f t="shared" si="1"/>
        <v>0</v>
      </c>
      <c r="L18" s="36" t="s">
        <v>19</v>
      </c>
      <c r="M18" s="26"/>
      <c r="O18" s="1" t="s">
        <v>27</v>
      </c>
      <c r="P18">
        <f>+M26</f>
        <v>0</v>
      </c>
    </row>
    <row r="19" spans="2:16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0</v>
      </c>
      <c r="F19" s="1">
        <f t="shared" si="1"/>
        <v>0</v>
      </c>
      <c r="L19" s="36" t="s">
        <v>20</v>
      </c>
      <c r="M19" s="26"/>
      <c r="O19" s="1" t="s">
        <v>18</v>
      </c>
      <c r="P19">
        <f>+M17</f>
        <v>0</v>
      </c>
    </row>
    <row r="20" spans="2:16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0</v>
      </c>
      <c r="F20" s="1">
        <f t="shared" si="1"/>
        <v>0</v>
      </c>
      <c r="L20" s="36" t="s">
        <v>21</v>
      </c>
      <c r="M20" s="26"/>
      <c r="O20" s="1" t="s">
        <v>19</v>
      </c>
      <c r="P20">
        <f>+M18</f>
        <v>0</v>
      </c>
    </row>
    <row r="21" spans="2:16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0</v>
      </c>
      <c r="F21" s="1">
        <f t="shared" si="1"/>
        <v>0</v>
      </c>
      <c r="L21" s="35" t="s">
        <v>22</v>
      </c>
      <c r="M21" s="24">
        <v>115</v>
      </c>
      <c r="O21" s="1" t="s">
        <v>47</v>
      </c>
      <c r="P21">
        <f>+M47</f>
        <v>0</v>
      </c>
    </row>
    <row r="22" spans="2:16" ht="19" thickBot="1" x14ac:dyDescent="0.5">
      <c r="B22" s="1" t="s">
        <v>22</v>
      </c>
      <c r="C22" s="1"/>
      <c r="D22" s="1"/>
      <c r="E22" s="4">
        <f>SUM(E23:E29)</f>
        <v>0</v>
      </c>
      <c r="F22" s="4">
        <f>SUM(F23:F29)</f>
        <v>0</v>
      </c>
      <c r="L22" s="36" t="s">
        <v>23</v>
      </c>
      <c r="M22" s="26"/>
      <c r="O22" s="1" t="s">
        <v>15</v>
      </c>
      <c r="P22">
        <f>+M14</f>
        <v>0</v>
      </c>
    </row>
    <row r="23" spans="2:16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0</v>
      </c>
      <c r="F23" s="1">
        <f>+D23*E23</f>
        <v>0</v>
      </c>
      <c r="L23" s="36" t="s">
        <v>24</v>
      </c>
      <c r="M23" s="26"/>
      <c r="O23" s="1" t="s">
        <v>20</v>
      </c>
      <c r="P23">
        <f>+M19</f>
        <v>0</v>
      </c>
    </row>
    <row r="24" spans="2:16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0</v>
      </c>
      <c r="F24" s="1">
        <f t="shared" ref="F24:F29" si="4">+D24*E24</f>
        <v>0</v>
      </c>
      <c r="L24" s="36" t="s">
        <v>25</v>
      </c>
      <c r="M24" s="26"/>
      <c r="O24" s="1" t="s">
        <v>41</v>
      </c>
      <c r="P24">
        <f>+M41</f>
        <v>0</v>
      </c>
    </row>
    <row r="25" spans="2:16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0</v>
      </c>
      <c r="F25" s="1">
        <f t="shared" si="4"/>
        <v>0</v>
      </c>
      <c r="L25" s="36" t="s">
        <v>26</v>
      </c>
      <c r="M25" s="26"/>
      <c r="O25" s="1" t="s">
        <v>17</v>
      </c>
      <c r="P25">
        <f>+M16</f>
        <v>0</v>
      </c>
    </row>
    <row r="26" spans="2:16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0</v>
      </c>
      <c r="F26" s="1">
        <f t="shared" si="4"/>
        <v>0</v>
      </c>
      <c r="L26" s="36" t="s">
        <v>27</v>
      </c>
      <c r="M26" s="26"/>
      <c r="O26" s="1" t="s">
        <v>33</v>
      </c>
      <c r="P26">
        <f>+M32</f>
        <v>0</v>
      </c>
    </row>
    <row r="27" spans="2:16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0</v>
      </c>
      <c r="F27" s="1">
        <f t="shared" si="4"/>
        <v>0</v>
      </c>
      <c r="L27" s="36" t="s">
        <v>28</v>
      </c>
      <c r="M27" s="26"/>
      <c r="O27" s="1" t="s">
        <v>45</v>
      </c>
      <c r="P27">
        <f>+M45</f>
        <v>0</v>
      </c>
    </row>
    <row r="28" spans="2:16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0</v>
      </c>
      <c r="F28" s="1">
        <f t="shared" si="4"/>
        <v>0</v>
      </c>
      <c r="L28" s="36" t="s">
        <v>29</v>
      </c>
      <c r="M28" s="25"/>
      <c r="O28" s="1" t="s">
        <v>25</v>
      </c>
      <c r="P28">
        <f>+M24</f>
        <v>0</v>
      </c>
    </row>
    <row r="29" spans="2:16" ht="17.5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43</v>
      </c>
      <c r="O29" s="1" t="s">
        <v>46</v>
      </c>
      <c r="P29">
        <f>+M46</f>
        <v>0</v>
      </c>
    </row>
    <row r="30" spans="2:16" ht="19" thickBot="1" x14ac:dyDescent="0.5">
      <c r="B30" s="1" t="s">
        <v>30</v>
      </c>
      <c r="C30" s="1"/>
      <c r="D30" s="1"/>
      <c r="E30" s="4">
        <f>SUM(E31:E36)</f>
        <v>0</v>
      </c>
      <c r="F30" s="4">
        <f>SUM(F31:F36)</f>
        <v>0</v>
      </c>
      <c r="L30" s="36" t="s">
        <v>32</v>
      </c>
      <c r="M30" s="26"/>
      <c r="O30" s="1" t="s">
        <v>32</v>
      </c>
      <c r="P30">
        <f>+M30</f>
        <v>0</v>
      </c>
    </row>
    <row r="31" spans="2:16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+M30</f>
        <v>0</v>
      </c>
      <c r="F31" s="1">
        <f>+D31*E31</f>
        <v>0</v>
      </c>
      <c r="L31" s="36" t="s">
        <v>31</v>
      </c>
      <c r="M31" s="26"/>
      <c r="O31" s="1" t="s">
        <v>34</v>
      </c>
      <c r="P31">
        <f>+M33</f>
        <v>0</v>
      </c>
    </row>
    <row r="32" spans="2:16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0</v>
      </c>
      <c r="F32" s="1">
        <f t="shared" ref="F32:F36" si="6">+D32*E32</f>
        <v>0</v>
      </c>
      <c r="L32" s="36" t="s">
        <v>33</v>
      </c>
      <c r="M32" s="26"/>
      <c r="O32" s="1" t="s">
        <v>49</v>
      </c>
      <c r="P32">
        <f>+M48</f>
        <v>0</v>
      </c>
    </row>
    <row r="33" spans="2:16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0</v>
      </c>
      <c r="F33" s="1">
        <f t="shared" si="6"/>
        <v>0</v>
      </c>
      <c r="L33" s="36" t="s">
        <v>34</v>
      </c>
      <c r="M33" s="26"/>
      <c r="O33" s="1" t="s">
        <v>29</v>
      </c>
      <c r="P33">
        <f>+M28</f>
        <v>0</v>
      </c>
    </row>
    <row r="34" spans="2:16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0</v>
      </c>
      <c r="F34" s="1">
        <f t="shared" si="6"/>
        <v>0</v>
      </c>
      <c r="L34" s="37" t="s">
        <v>97</v>
      </c>
      <c r="M34" s="26"/>
      <c r="O34" s="1" t="s">
        <v>26</v>
      </c>
      <c r="P34">
        <f>+M25</f>
        <v>0</v>
      </c>
    </row>
    <row r="35" spans="2:16" ht="15" thickBot="1" x14ac:dyDescent="0.4">
      <c r="B35" s="1" t="s">
        <v>155</v>
      </c>
      <c r="C35" s="1" t="s">
        <v>50</v>
      </c>
      <c r="D35" s="1">
        <v>8</v>
      </c>
      <c r="E35" s="1">
        <f t="shared" si="5"/>
        <v>0</v>
      </c>
      <c r="F35" s="1">
        <f t="shared" si="6"/>
        <v>0</v>
      </c>
      <c r="L35" s="37" t="s">
        <v>35</v>
      </c>
      <c r="M35" s="26"/>
      <c r="O35" s="1" t="s">
        <v>21</v>
      </c>
      <c r="P35">
        <f>+M20</f>
        <v>0</v>
      </c>
    </row>
    <row r="36" spans="2:16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0</v>
      </c>
      <c r="F36" s="1">
        <f t="shared" si="6"/>
        <v>0</v>
      </c>
      <c r="L36" s="35" t="s">
        <v>36</v>
      </c>
      <c r="M36" s="24">
        <v>19</v>
      </c>
      <c r="O36" s="1" t="s">
        <v>23</v>
      </c>
      <c r="P36" s="1">
        <f>+M22</f>
        <v>0</v>
      </c>
    </row>
    <row r="37" spans="2:16" ht="19" thickBot="1" x14ac:dyDescent="0.5">
      <c r="B37" s="1" t="s">
        <v>36</v>
      </c>
      <c r="C37" s="1"/>
      <c r="D37" s="1"/>
      <c r="E37" s="4">
        <f>SUM(E38:E43)</f>
        <v>0</v>
      </c>
      <c r="F37" s="4">
        <f>SUM(F38:F43)</f>
        <v>0</v>
      </c>
      <c r="L37" s="36" t="s">
        <v>37</v>
      </c>
      <c r="M37" s="26"/>
      <c r="O37" s="1" t="s">
        <v>24</v>
      </c>
      <c r="P37" s="1">
        <f>+M23</f>
        <v>0</v>
      </c>
    </row>
    <row r="38" spans="2:16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7">+M37</f>
        <v>0</v>
      </c>
      <c r="F38" s="1">
        <f>+D38*E38</f>
        <v>0</v>
      </c>
      <c r="L38" s="36" t="s">
        <v>38</v>
      </c>
      <c r="M38" s="26"/>
      <c r="O38" s="1" t="s">
        <v>9</v>
      </c>
      <c r="P38" s="1">
        <f>+M8</f>
        <v>0</v>
      </c>
    </row>
    <row r="39" spans="2:16" ht="15" thickBot="1" x14ac:dyDescent="0.4">
      <c r="B39" s="1" t="s">
        <v>38</v>
      </c>
      <c r="C39" s="1" t="s">
        <v>50</v>
      </c>
      <c r="D39" s="1">
        <v>8</v>
      </c>
      <c r="E39" s="1">
        <f t="shared" si="7"/>
        <v>0</v>
      </c>
      <c r="F39" s="1">
        <f t="shared" ref="F39:F43" si="8">+D39*E39</f>
        <v>0</v>
      </c>
      <c r="L39" s="36" t="s">
        <v>39</v>
      </c>
      <c r="M39" s="26"/>
      <c r="O39" s="1" t="s">
        <v>155</v>
      </c>
      <c r="P39" s="1">
        <f>+M34</f>
        <v>0</v>
      </c>
    </row>
    <row r="40" spans="2:16" ht="15" thickBot="1" x14ac:dyDescent="0.4">
      <c r="B40" s="1" t="s">
        <v>39</v>
      </c>
      <c r="C40" s="1" t="s">
        <v>50</v>
      </c>
      <c r="D40" s="1">
        <v>8</v>
      </c>
      <c r="E40" s="1">
        <f t="shared" si="7"/>
        <v>0</v>
      </c>
      <c r="F40" s="1">
        <f t="shared" si="8"/>
        <v>0</v>
      </c>
      <c r="L40" s="36" t="s">
        <v>40</v>
      </c>
      <c r="M40" s="26"/>
      <c r="O40" s="1" t="s">
        <v>13</v>
      </c>
      <c r="P40" s="1">
        <f>+M12</f>
        <v>0</v>
      </c>
    </row>
    <row r="41" spans="2:16" ht="15" thickBot="1" x14ac:dyDescent="0.4">
      <c r="B41" s="1" t="s">
        <v>40</v>
      </c>
      <c r="C41" s="1" t="s">
        <v>50</v>
      </c>
      <c r="D41" s="1">
        <v>8</v>
      </c>
      <c r="E41" s="1">
        <f t="shared" si="7"/>
        <v>0</v>
      </c>
      <c r="F41" s="1">
        <f t="shared" si="8"/>
        <v>0</v>
      </c>
      <c r="L41" s="36" t="s">
        <v>98</v>
      </c>
      <c r="M41" s="26"/>
      <c r="O41" s="1" t="s">
        <v>31</v>
      </c>
      <c r="P41" s="1">
        <f>+M31</f>
        <v>0</v>
      </c>
    </row>
    <row r="42" spans="2:16" ht="15" thickBot="1" x14ac:dyDescent="0.4">
      <c r="B42" s="1" t="s">
        <v>41</v>
      </c>
      <c r="C42" s="1" t="s">
        <v>50</v>
      </c>
      <c r="D42" s="1">
        <v>8</v>
      </c>
      <c r="E42" s="1">
        <f t="shared" si="7"/>
        <v>0</v>
      </c>
      <c r="F42" s="1">
        <f t="shared" si="8"/>
        <v>0</v>
      </c>
      <c r="L42" s="36" t="s">
        <v>42</v>
      </c>
      <c r="M42" s="26"/>
      <c r="O42" s="1" t="s">
        <v>37</v>
      </c>
      <c r="P42" s="1">
        <f>+M37</f>
        <v>0</v>
      </c>
    </row>
    <row r="43" spans="2:16" ht="17.5" thickBot="1" x14ac:dyDescent="0.45">
      <c r="B43" s="1" t="s">
        <v>42</v>
      </c>
      <c r="C43" s="1" t="s">
        <v>50</v>
      </c>
      <c r="D43" s="1">
        <v>8</v>
      </c>
      <c r="E43" s="1">
        <f t="shared" si="7"/>
        <v>0</v>
      </c>
      <c r="F43" s="1">
        <f t="shared" si="8"/>
        <v>0</v>
      </c>
      <c r="L43" s="35" t="s">
        <v>43</v>
      </c>
      <c r="M43" s="24">
        <v>59</v>
      </c>
      <c r="O43" s="1" t="s">
        <v>39</v>
      </c>
      <c r="P43" s="1">
        <f>+M39</f>
        <v>0</v>
      </c>
    </row>
    <row r="44" spans="2:16" ht="19" thickBot="1" x14ac:dyDescent="0.5">
      <c r="B44" s="1" t="s">
        <v>43</v>
      </c>
      <c r="C44" s="1"/>
      <c r="D44" s="1"/>
      <c r="E44" s="4">
        <f>SUM(E45:E49)</f>
        <v>0</v>
      </c>
      <c r="F44" s="4">
        <f>SUM(F45:F49)</f>
        <v>0</v>
      </c>
      <c r="L44" s="36" t="s">
        <v>44</v>
      </c>
      <c r="M44" s="26"/>
      <c r="P44" s="97">
        <f>SUBTOTAL(109,P5:P43)</f>
        <v>0</v>
      </c>
    </row>
    <row r="45" spans="2:16" ht="15" thickBot="1" x14ac:dyDescent="0.4">
      <c r="B45" s="1" t="s">
        <v>44</v>
      </c>
      <c r="C45" s="1" t="s">
        <v>50</v>
      </c>
      <c r="D45" s="1">
        <v>8</v>
      </c>
      <c r="E45" s="1">
        <f>+M44</f>
        <v>0</v>
      </c>
      <c r="F45" s="1">
        <f>+D45*E45</f>
        <v>0</v>
      </c>
      <c r="L45" s="36" t="s">
        <v>45</v>
      </c>
      <c r="M45" s="26"/>
    </row>
    <row r="46" spans="2:16" ht="15" thickBot="1" x14ac:dyDescent="0.4">
      <c r="B46" s="1" t="s">
        <v>45</v>
      </c>
      <c r="C46" s="1" t="s">
        <v>50</v>
      </c>
      <c r="D46" s="1">
        <v>8</v>
      </c>
      <c r="E46" s="1">
        <f>+M45</f>
        <v>0</v>
      </c>
      <c r="F46" s="1">
        <f t="shared" ref="F46:F49" si="9">+D46*E46</f>
        <v>0</v>
      </c>
      <c r="L46" s="36" t="s">
        <v>46</v>
      </c>
      <c r="M46" s="26"/>
    </row>
    <row r="47" spans="2:16" ht="15" thickBot="1" x14ac:dyDescent="0.4">
      <c r="B47" s="1" t="s">
        <v>46</v>
      </c>
      <c r="C47" s="1" t="s">
        <v>50</v>
      </c>
      <c r="D47" s="1">
        <v>8</v>
      </c>
      <c r="E47" s="1">
        <f>+M46</f>
        <v>0</v>
      </c>
      <c r="F47" s="1">
        <f t="shared" si="9"/>
        <v>0</v>
      </c>
      <c r="L47" s="36" t="s">
        <v>47</v>
      </c>
      <c r="M47" s="26"/>
    </row>
    <row r="48" spans="2:16" ht="15" thickBot="1" x14ac:dyDescent="0.4">
      <c r="B48" s="1" t="s">
        <v>47</v>
      </c>
      <c r="C48" s="1" t="s">
        <v>50</v>
      </c>
      <c r="D48" s="1">
        <v>8</v>
      </c>
      <c r="E48" s="1">
        <f>+M47</f>
        <v>0</v>
      </c>
      <c r="F48" s="1">
        <f t="shared" si="9"/>
        <v>0</v>
      </c>
      <c r="L48" s="36" t="s">
        <v>49</v>
      </c>
      <c r="M48" s="26"/>
    </row>
    <row r="49" spans="2:13" ht="15" thickBot="1" x14ac:dyDescent="0.4">
      <c r="B49" s="1" t="s">
        <v>49</v>
      </c>
      <c r="C49" s="1" t="s">
        <v>50</v>
      </c>
      <c r="D49" s="1">
        <v>8</v>
      </c>
      <c r="E49" s="1">
        <f>+M48</f>
        <v>0</v>
      </c>
      <c r="F49" s="1">
        <f t="shared" si="9"/>
        <v>0</v>
      </c>
      <c r="L49" s="21"/>
      <c r="M49" s="21"/>
    </row>
    <row r="50" spans="2:13" ht="19" thickBot="1" x14ac:dyDescent="0.5">
      <c r="B50" s="103" t="s">
        <v>51</v>
      </c>
      <c r="C50" s="104"/>
      <c r="D50" s="105"/>
      <c r="E50" s="4">
        <f>+E44+E37+E30+E22+E10+E5</f>
        <v>0</v>
      </c>
      <c r="F50" s="4">
        <f>+F44+F37+F30+F22+F10+F5</f>
        <v>0</v>
      </c>
      <c r="L50" s="21" t="s">
        <v>51</v>
      </c>
      <c r="M50" s="38"/>
    </row>
    <row r="51" spans="2:13" ht="17.5" thickBot="1" x14ac:dyDescent="0.45">
      <c r="L51" s="21" t="s">
        <v>51</v>
      </c>
      <c r="M51" s="38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CC10-F712-457E-B98A-FC8803AA7E83}">
  <dimension ref="B1:P51"/>
  <sheetViews>
    <sheetView topLeftCell="A2" workbookViewId="0">
      <selection activeCell="J12" sqref="J12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5.7265625" bestFit="1" customWidth="1"/>
    <col min="12" max="12" width="13.81640625" bestFit="1" customWidth="1"/>
    <col min="15" max="15" width="13.1796875" bestFit="1" customWidth="1"/>
    <col min="16" max="16" width="10.36328125" bestFit="1" customWidth="1"/>
  </cols>
  <sheetData>
    <row r="1" spans="2:16" ht="15" thickBot="1" x14ac:dyDescent="0.4"/>
    <row r="2" spans="2:16" ht="44" thickBot="1" x14ac:dyDescent="0.4">
      <c r="B2" s="102" t="s">
        <v>117</v>
      </c>
      <c r="C2" s="102"/>
      <c r="D2" s="102"/>
      <c r="E2" s="102"/>
      <c r="F2" s="102"/>
      <c r="L2" s="33"/>
      <c r="M2" s="33"/>
    </row>
    <row r="3" spans="2:16" ht="58.5" thickBot="1" x14ac:dyDescent="0.4">
      <c r="L3" s="44" t="s">
        <v>95</v>
      </c>
      <c r="M3" s="45" t="s">
        <v>169</v>
      </c>
    </row>
    <row r="4" spans="2:16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512</v>
      </c>
      <c r="O4" t="s">
        <v>158</v>
      </c>
      <c r="P4" t="s">
        <v>159</v>
      </c>
    </row>
    <row r="5" spans="2:16" ht="19" thickBot="1" x14ac:dyDescent="0.5">
      <c r="B5" s="1" t="s">
        <v>59</v>
      </c>
      <c r="C5" s="1"/>
      <c r="D5" s="1"/>
      <c r="E5" s="4">
        <f>SUM(E6:E9)</f>
        <v>0</v>
      </c>
      <c r="F5" s="4">
        <f>SUM(F6:F9)</f>
        <v>0</v>
      </c>
      <c r="H5" s="2" t="s">
        <v>67</v>
      </c>
      <c r="I5" s="2">
        <f>+F5</f>
        <v>0</v>
      </c>
      <c r="J5" s="2">
        <f>+E5</f>
        <v>0</v>
      </c>
      <c r="L5" s="36" t="s">
        <v>6</v>
      </c>
      <c r="M5" s="26"/>
      <c r="O5" s="1" t="s">
        <v>40</v>
      </c>
      <c r="P5" s="1">
        <f>+M40</f>
        <v>0</v>
      </c>
    </row>
    <row r="6" spans="2:16" ht="15" thickBot="1" x14ac:dyDescent="0.4">
      <c r="B6" s="1" t="s">
        <v>6</v>
      </c>
      <c r="C6" s="1" t="s">
        <v>50</v>
      </c>
      <c r="D6" s="1">
        <v>3</v>
      </c>
      <c r="E6" s="1">
        <f>+M5</f>
        <v>0</v>
      </c>
      <c r="F6" s="1">
        <f>+D6*E6</f>
        <v>0</v>
      </c>
      <c r="H6" s="2" t="s">
        <v>68</v>
      </c>
      <c r="I6" s="2">
        <f>+F10</f>
        <v>0</v>
      </c>
      <c r="J6" s="2">
        <f>+E10</f>
        <v>0</v>
      </c>
      <c r="L6" s="36" t="s">
        <v>7</v>
      </c>
      <c r="M6" s="26"/>
      <c r="O6" s="1" t="s">
        <v>6</v>
      </c>
      <c r="P6" s="1">
        <f>+M5</f>
        <v>0</v>
      </c>
    </row>
    <row r="7" spans="2:16" ht="15" thickBot="1" x14ac:dyDescent="0.4">
      <c r="B7" s="1" t="s">
        <v>7</v>
      </c>
      <c r="C7" s="1" t="s">
        <v>50</v>
      </c>
      <c r="D7" s="1">
        <v>3</v>
      </c>
      <c r="E7" s="1">
        <f>+M6</f>
        <v>0</v>
      </c>
      <c r="F7" s="1">
        <f t="shared" ref="F7:F9" si="0">+D7*E7</f>
        <v>0</v>
      </c>
      <c r="H7" s="2" t="s">
        <v>69</v>
      </c>
      <c r="I7" s="2">
        <f>+F22</f>
        <v>0</v>
      </c>
      <c r="J7" s="2">
        <f>+E22</f>
        <v>0</v>
      </c>
      <c r="L7" s="36" t="s">
        <v>8</v>
      </c>
      <c r="M7" s="26"/>
      <c r="O7" s="1" t="s">
        <v>35</v>
      </c>
      <c r="P7" s="1">
        <f>+M35</f>
        <v>0</v>
      </c>
    </row>
    <row r="8" spans="2:16" ht="15" thickBot="1" x14ac:dyDescent="0.4">
      <c r="B8" s="1" t="s">
        <v>8</v>
      </c>
      <c r="C8" s="1" t="s">
        <v>50</v>
      </c>
      <c r="D8" s="1">
        <v>3</v>
      </c>
      <c r="E8" s="1">
        <f>+M7</f>
        <v>0</v>
      </c>
      <c r="F8" s="1">
        <f t="shared" si="0"/>
        <v>0</v>
      </c>
      <c r="H8" s="2" t="s">
        <v>70</v>
      </c>
      <c r="I8" s="2">
        <f>+F30</f>
        <v>0</v>
      </c>
      <c r="J8" s="2">
        <f>+E30</f>
        <v>0</v>
      </c>
      <c r="L8" s="36" t="s">
        <v>9</v>
      </c>
      <c r="M8" s="25"/>
      <c r="O8" s="1" t="s">
        <v>28</v>
      </c>
      <c r="P8" s="1">
        <f>+M27</f>
        <v>0</v>
      </c>
    </row>
    <row r="9" spans="2:16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+F37</f>
        <v>0</v>
      </c>
      <c r="J9" s="2">
        <f>+E37</f>
        <v>0</v>
      </c>
      <c r="L9" s="35" t="s">
        <v>10</v>
      </c>
      <c r="M9" s="24">
        <v>157</v>
      </c>
      <c r="O9" s="1" t="s">
        <v>44</v>
      </c>
      <c r="P9">
        <f>+M44</f>
        <v>0</v>
      </c>
    </row>
    <row r="10" spans="2:16" ht="19" thickBot="1" x14ac:dyDescent="0.5">
      <c r="B10" s="1" t="s">
        <v>10</v>
      </c>
      <c r="C10" s="1"/>
      <c r="D10" s="1"/>
      <c r="E10" s="4">
        <f>SUM(E11:E21)</f>
        <v>0</v>
      </c>
      <c r="F10" s="4">
        <f>SUM(F11:F21)</f>
        <v>0</v>
      </c>
      <c r="H10" s="2" t="s">
        <v>44</v>
      </c>
      <c r="I10" s="2">
        <f>+F44</f>
        <v>0</v>
      </c>
      <c r="J10" s="2">
        <f>+E44</f>
        <v>0</v>
      </c>
      <c r="L10" s="36" t="s">
        <v>11</v>
      </c>
      <c r="M10" s="26"/>
      <c r="O10" s="1" t="s">
        <v>14</v>
      </c>
      <c r="P10">
        <f>+M13</f>
        <v>0</v>
      </c>
    </row>
    <row r="11" spans="2:16" ht="19" thickBot="1" x14ac:dyDescent="0.5">
      <c r="B11" s="1" t="s">
        <v>11</v>
      </c>
      <c r="C11" s="1" t="s">
        <v>50</v>
      </c>
      <c r="D11" s="1">
        <v>5</v>
      </c>
      <c r="E11" s="1">
        <f>+M10</f>
        <v>0</v>
      </c>
      <c r="F11" s="1">
        <f>+D11*E11</f>
        <v>0</v>
      </c>
      <c r="H11" s="43" t="s">
        <v>51</v>
      </c>
      <c r="I11" s="43">
        <f>SUM(I5:I10)</f>
        <v>0</v>
      </c>
      <c r="J11" s="43">
        <f>SUM(J5:J10)</f>
        <v>0</v>
      </c>
      <c r="L11" s="36" t="s">
        <v>12</v>
      </c>
      <c r="M11" s="26"/>
      <c r="O11" s="1" t="s">
        <v>16</v>
      </c>
      <c r="P11">
        <f>+M15</f>
        <v>0</v>
      </c>
    </row>
    <row r="12" spans="2:16" ht="15" thickBot="1" x14ac:dyDescent="0.4">
      <c r="B12" s="1" t="s">
        <v>12</v>
      </c>
      <c r="C12" s="1" t="s">
        <v>50</v>
      </c>
      <c r="D12" s="1">
        <v>8</v>
      </c>
      <c r="E12" s="1">
        <f>+M11</f>
        <v>0</v>
      </c>
      <c r="F12" s="1">
        <f t="shared" ref="F12:F21" si="1">+D12*E12</f>
        <v>0</v>
      </c>
      <c r="L12" s="36" t="s">
        <v>13</v>
      </c>
      <c r="M12" s="26"/>
      <c r="O12" s="1" t="s">
        <v>8</v>
      </c>
      <c r="P12">
        <f>+M7</f>
        <v>0</v>
      </c>
    </row>
    <row r="13" spans="2:16" ht="15" thickBot="1" x14ac:dyDescent="0.4">
      <c r="B13" s="1" t="s">
        <v>13</v>
      </c>
      <c r="C13" s="1" t="s">
        <v>50</v>
      </c>
      <c r="D13" s="1">
        <v>8</v>
      </c>
      <c r="E13" s="1">
        <f>+M12</f>
        <v>0</v>
      </c>
      <c r="F13" s="1">
        <f t="shared" si="1"/>
        <v>0</v>
      </c>
      <c r="L13" s="36" t="s">
        <v>14</v>
      </c>
      <c r="M13" s="26"/>
      <c r="O13" s="1" t="s">
        <v>42</v>
      </c>
      <c r="P13">
        <f>+M42</f>
        <v>0</v>
      </c>
    </row>
    <row r="14" spans="2:16" ht="15" thickBot="1" x14ac:dyDescent="0.4">
      <c r="B14" s="1" t="s">
        <v>14</v>
      </c>
      <c r="C14" s="1" t="s">
        <v>50</v>
      </c>
      <c r="D14" s="1">
        <v>8</v>
      </c>
      <c r="E14" s="1">
        <f>M13</f>
        <v>0</v>
      </c>
      <c r="F14" s="1">
        <f t="shared" si="1"/>
        <v>0</v>
      </c>
      <c r="L14" s="36" t="s">
        <v>15</v>
      </c>
      <c r="M14" s="26"/>
      <c r="O14" s="1" t="s">
        <v>11</v>
      </c>
      <c r="P14">
        <f>+M10</f>
        <v>0</v>
      </c>
    </row>
    <row r="15" spans="2:16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0</v>
      </c>
      <c r="F15" s="1">
        <f t="shared" si="1"/>
        <v>0</v>
      </c>
      <c r="L15" s="36" t="s">
        <v>16</v>
      </c>
      <c r="M15" s="26"/>
      <c r="O15" s="1" t="s">
        <v>7</v>
      </c>
      <c r="P15">
        <f>+M6</f>
        <v>0</v>
      </c>
    </row>
    <row r="16" spans="2:16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0</v>
      </c>
      <c r="F16" s="1">
        <f t="shared" si="1"/>
        <v>0</v>
      </c>
      <c r="L16" s="36" t="s">
        <v>17</v>
      </c>
      <c r="M16" s="26"/>
      <c r="O16" s="1" t="s">
        <v>12</v>
      </c>
      <c r="P16">
        <f>+M11</f>
        <v>0</v>
      </c>
    </row>
    <row r="17" spans="2:16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0</v>
      </c>
      <c r="F17" s="1">
        <f t="shared" si="1"/>
        <v>0</v>
      </c>
      <c r="L17" s="36" t="s">
        <v>18</v>
      </c>
      <c r="M17" s="26"/>
      <c r="O17" s="1" t="s">
        <v>38</v>
      </c>
      <c r="P17">
        <f>+M38</f>
        <v>0</v>
      </c>
    </row>
    <row r="18" spans="2:16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0</v>
      </c>
      <c r="F18" s="1">
        <f t="shared" si="1"/>
        <v>0</v>
      </c>
      <c r="L18" s="36" t="s">
        <v>19</v>
      </c>
      <c r="M18" s="26"/>
      <c r="O18" s="1" t="s">
        <v>27</v>
      </c>
      <c r="P18">
        <f>+M26</f>
        <v>0</v>
      </c>
    </row>
    <row r="19" spans="2:16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0</v>
      </c>
      <c r="F19" s="1">
        <f t="shared" si="1"/>
        <v>0</v>
      </c>
      <c r="L19" s="36" t="s">
        <v>20</v>
      </c>
      <c r="M19" s="26"/>
      <c r="O19" s="1" t="s">
        <v>18</v>
      </c>
      <c r="P19">
        <f>+M17</f>
        <v>0</v>
      </c>
    </row>
    <row r="20" spans="2:16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0</v>
      </c>
      <c r="F20" s="1">
        <f t="shared" si="1"/>
        <v>0</v>
      </c>
      <c r="L20" s="36" t="s">
        <v>21</v>
      </c>
      <c r="M20" s="26"/>
      <c r="O20" s="1" t="s">
        <v>19</v>
      </c>
      <c r="P20">
        <f>+M18</f>
        <v>0</v>
      </c>
    </row>
    <row r="21" spans="2:16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0</v>
      </c>
      <c r="F21" s="1">
        <f t="shared" si="1"/>
        <v>0</v>
      </c>
      <c r="L21" s="35" t="s">
        <v>22</v>
      </c>
      <c r="M21" s="24">
        <v>115</v>
      </c>
      <c r="O21" s="1" t="s">
        <v>47</v>
      </c>
      <c r="P21">
        <f>+M47</f>
        <v>0</v>
      </c>
    </row>
    <row r="22" spans="2:16" ht="19" thickBot="1" x14ac:dyDescent="0.5">
      <c r="B22" s="1" t="s">
        <v>22</v>
      </c>
      <c r="C22" s="1"/>
      <c r="D22" s="1"/>
      <c r="E22" s="4">
        <f>SUM(E23:E29)</f>
        <v>0</v>
      </c>
      <c r="F22" s="4">
        <f>SUM(F23:F29)</f>
        <v>0</v>
      </c>
      <c r="L22" s="36" t="s">
        <v>23</v>
      </c>
      <c r="M22" s="26"/>
      <c r="O22" s="1" t="s">
        <v>15</v>
      </c>
      <c r="P22">
        <f>+M14</f>
        <v>0</v>
      </c>
    </row>
    <row r="23" spans="2:16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0</v>
      </c>
      <c r="F23" s="1">
        <f>+D23*E23</f>
        <v>0</v>
      </c>
      <c r="L23" s="36" t="s">
        <v>24</v>
      </c>
      <c r="M23" s="26"/>
      <c r="O23" s="1" t="s">
        <v>20</v>
      </c>
      <c r="P23">
        <f>+M19</f>
        <v>0</v>
      </c>
    </row>
    <row r="24" spans="2:16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0</v>
      </c>
      <c r="F24" s="1">
        <f t="shared" ref="F24:F29" si="4">+D24*E24</f>
        <v>0</v>
      </c>
      <c r="L24" s="36" t="s">
        <v>25</v>
      </c>
      <c r="M24" s="26"/>
      <c r="O24" s="1" t="s">
        <v>41</v>
      </c>
      <c r="P24">
        <f>+M41</f>
        <v>0</v>
      </c>
    </row>
    <row r="25" spans="2:16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0</v>
      </c>
      <c r="F25" s="1">
        <f t="shared" si="4"/>
        <v>0</v>
      </c>
      <c r="L25" s="36" t="s">
        <v>26</v>
      </c>
      <c r="M25" s="26"/>
      <c r="O25" s="1" t="s">
        <v>17</v>
      </c>
      <c r="P25">
        <f>+M16</f>
        <v>0</v>
      </c>
    </row>
    <row r="26" spans="2:16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0</v>
      </c>
      <c r="F26" s="1">
        <f t="shared" si="4"/>
        <v>0</v>
      </c>
      <c r="L26" s="36" t="s">
        <v>27</v>
      </c>
      <c r="M26" s="26"/>
      <c r="O26" s="1" t="s">
        <v>33</v>
      </c>
      <c r="P26">
        <f>+M32</f>
        <v>0</v>
      </c>
    </row>
    <row r="27" spans="2:16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0</v>
      </c>
      <c r="F27" s="1">
        <f t="shared" si="4"/>
        <v>0</v>
      </c>
      <c r="L27" s="36" t="s">
        <v>28</v>
      </c>
      <c r="M27" s="26"/>
      <c r="O27" s="1" t="s">
        <v>45</v>
      </c>
      <c r="P27">
        <f>+M45</f>
        <v>0</v>
      </c>
    </row>
    <row r="28" spans="2:16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0</v>
      </c>
      <c r="F28" s="1">
        <f t="shared" si="4"/>
        <v>0</v>
      </c>
      <c r="L28" s="36" t="s">
        <v>29</v>
      </c>
      <c r="M28" s="25"/>
      <c r="O28" s="1" t="s">
        <v>25</v>
      </c>
      <c r="P28">
        <f>+M24</f>
        <v>0</v>
      </c>
    </row>
    <row r="29" spans="2:16" ht="17.5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43</v>
      </c>
      <c r="O29" s="1" t="s">
        <v>46</v>
      </c>
      <c r="P29">
        <f>+M46</f>
        <v>0</v>
      </c>
    </row>
    <row r="30" spans="2:16" ht="19" thickBot="1" x14ac:dyDescent="0.5">
      <c r="B30" s="1" t="s">
        <v>30</v>
      </c>
      <c r="C30" s="1"/>
      <c r="D30" s="1"/>
      <c r="E30" s="4">
        <f>SUM(E31:E36)</f>
        <v>0</v>
      </c>
      <c r="F30" s="4">
        <f>SUM(F31:F36)</f>
        <v>0</v>
      </c>
      <c r="L30" s="36" t="s">
        <v>32</v>
      </c>
      <c r="M30" s="26"/>
      <c r="O30" s="1" t="s">
        <v>32</v>
      </c>
      <c r="P30">
        <f>+M30</f>
        <v>0</v>
      </c>
    </row>
    <row r="31" spans="2:16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+M30</f>
        <v>0</v>
      </c>
      <c r="F31" s="1">
        <f>+D31*E31</f>
        <v>0</v>
      </c>
      <c r="L31" s="36" t="s">
        <v>31</v>
      </c>
      <c r="M31" s="26"/>
      <c r="O31" s="1" t="s">
        <v>34</v>
      </c>
      <c r="P31">
        <f>+M33</f>
        <v>0</v>
      </c>
    </row>
    <row r="32" spans="2:16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0</v>
      </c>
      <c r="F32" s="1">
        <f t="shared" ref="F32:F36" si="6">+D32*E32</f>
        <v>0</v>
      </c>
      <c r="L32" s="36" t="s">
        <v>33</v>
      </c>
      <c r="M32" s="26"/>
      <c r="O32" s="1" t="s">
        <v>49</v>
      </c>
      <c r="P32">
        <f>+M48</f>
        <v>0</v>
      </c>
    </row>
    <row r="33" spans="2:16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0</v>
      </c>
      <c r="F33" s="1">
        <f t="shared" si="6"/>
        <v>0</v>
      </c>
      <c r="L33" s="36" t="s">
        <v>34</v>
      </c>
      <c r="M33" s="26"/>
      <c r="O33" s="1" t="s">
        <v>29</v>
      </c>
      <c r="P33">
        <f>+M28</f>
        <v>0</v>
      </c>
    </row>
    <row r="34" spans="2:16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0</v>
      </c>
      <c r="F34" s="1">
        <f t="shared" si="6"/>
        <v>0</v>
      </c>
      <c r="L34" s="37" t="s">
        <v>97</v>
      </c>
      <c r="M34" s="26"/>
      <c r="O34" s="1" t="s">
        <v>26</v>
      </c>
      <c r="P34">
        <f>+M25</f>
        <v>0</v>
      </c>
    </row>
    <row r="35" spans="2:16" ht="15" thickBot="1" x14ac:dyDescent="0.4">
      <c r="B35" s="1" t="s">
        <v>155</v>
      </c>
      <c r="C35" s="1" t="s">
        <v>50</v>
      </c>
      <c r="D35" s="1">
        <v>8</v>
      </c>
      <c r="E35" s="1">
        <f t="shared" si="5"/>
        <v>0</v>
      </c>
      <c r="F35" s="1">
        <f t="shared" si="6"/>
        <v>0</v>
      </c>
      <c r="L35" s="37" t="s">
        <v>35</v>
      </c>
      <c r="M35" s="26"/>
      <c r="O35" s="1" t="s">
        <v>21</v>
      </c>
      <c r="P35">
        <f>+M20</f>
        <v>0</v>
      </c>
    </row>
    <row r="36" spans="2:16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0</v>
      </c>
      <c r="F36" s="1">
        <f t="shared" si="6"/>
        <v>0</v>
      </c>
      <c r="L36" s="35" t="s">
        <v>36</v>
      </c>
      <c r="M36" s="24">
        <v>19</v>
      </c>
      <c r="O36" s="1" t="s">
        <v>23</v>
      </c>
      <c r="P36" s="1">
        <f>+M22</f>
        <v>0</v>
      </c>
    </row>
    <row r="37" spans="2:16" ht="19" thickBot="1" x14ac:dyDescent="0.5">
      <c r="B37" s="1" t="s">
        <v>36</v>
      </c>
      <c r="C37" s="1"/>
      <c r="D37" s="1"/>
      <c r="E37" s="4">
        <f>SUM(E38:E43)</f>
        <v>0</v>
      </c>
      <c r="F37" s="4">
        <f>SUM(F38:F43)</f>
        <v>0</v>
      </c>
      <c r="L37" s="36" t="s">
        <v>37</v>
      </c>
      <c r="M37" s="26"/>
      <c r="O37" s="1" t="s">
        <v>24</v>
      </c>
      <c r="P37" s="1">
        <f>+M23</f>
        <v>0</v>
      </c>
    </row>
    <row r="38" spans="2:16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7">+M37</f>
        <v>0</v>
      </c>
      <c r="F38" s="1">
        <f>+D38*E38</f>
        <v>0</v>
      </c>
      <c r="L38" s="36" t="s">
        <v>38</v>
      </c>
      <c r="M38" s="26"/>
      <c r="O38" s="1" t="s">
        <v>9</v>
      </c>
      <c r="P38" s="1">
        <f>+M8</f>
        <v>0</v>
      </c>
    </row>
    <row r="39" spans="2:16" ht="15" thickBot="1" x14ac:dyDescent="0.4">
      <c r="B39" s="1" t="s">
        <v>38</v>
      </c>
      <c r="C39" s="1" t="s">
        <v>50</v>
      </c>
      <c r="D39" s="1">
        <v>8</v>
      </c>
      <c r="E39" s="1">
        <f t="shared" si="7"/>
        <v>0</v>
      </c>
      <c r="F39" s="1">
        <f t="shared" ref="F39:F43" si="8">+D39*E39</f>
        <v>0</v>
      </c>
      <c r="L39" s="36" t="s">
        <v>39</v>
      </c>
      <c r="M39" s="26"/>
      <c r="O39" s="1" t="s">
        <v>155</v>
      </c>
      <c r="P39" s="1">
        <f>+M34</f>
        <v>0</v>
      </c>
    </row>
    <row r="40" spans="2:16" ht="15" thickBot="1" x14ac:dyDescent="0.4">
      <c r="B40" s="1" t="s">
        <v>39</v>
      </c>
      <c r="C40" s="1" t="s">
        <v>50</v>
      </c>
      <c r="D40" s="1">
        <v>8</v>
      </c>
      <c r="E40" s="1">
        <f t="shared" si="7"/>
        <v>0</v>
      </c>
      <c r="F40" s="1">
        <f t="shared" si="8"/>
        <v>0</v>
      </c>
      <c r="L40" s="36" t="s">
        <v>40</v>
      </c>
      <c r="M40" s="26"/>
      <c r="O40" s="1" t="s">
        <v>13</v>
      </c>
      <c r="P40" s="1">
        <f>+M12</f>
        <v>0</v>
      </c>
    </row>
    <row r="41" spans="2:16" ht="15" thickBot="1" x14ac:dyDescent="0.4">
      <c r="B41" s="1" t="s">
        <v>40</v>
      </c>
      <c r="C41" s="1" t="s">
        <v>50</v>
      </c>
      <c r="D41" s="1">
        <v>8</v>
      </c>
      <c r="E41" s="1">
        <f t="shared" si="7"/>
        <v>0</v>
      </c>
      <c r="F41" s="1">
        <f t="shared" si="8"/>
        <v>0</v>
      </c>
      <c r="L41" s="36" t="s">
        <v>98</v>
      </c>
      <c r="M41" s="26"/>
      <c r="O41" s="1" t="s">
        <v>31</v>
      </c>
      <c r="P41" s="1">
        <f>+M31</f>
        <v>0</v>
      </c>
    </row>
    <row r="42" spans="2:16" ht="15" thickBot="1" x14ac:dyDescent="0.4">
      <c r="B42" s="1" t="s">
        <v>41</v>
      </c>
      <c r="C42" s="1" t="s">
        <v>50</v>
      </c>
      <c r="D42" s="1">
        <v>8</v>
      </c>
      <c r="E42" s="1">
        <f t="shared" si="7"/>
        <v>0</v>
      </c>
      <c r="F42" s="1">
        <f t="shared" si="8"/>
        <v>0</v>
      </c>
      <c r="L42" s="36" t="s">
        <v>42</v>
      </c>
      <c r="M42" s="26"/>
      <c r="O42" s="1" t="s">
        <v>37</v>
      </c>
      <c r="P42" s="1">
        <f>+M37</f>
        <v>0</v>
      </c>
    </row>
    <row r="43" spans="2:16" ht="17.5" thickBot="1" x14ac:dyDescent="0.45">
      <c r="B43" s="1" t="s">
        <v>42</v>
      </c>
      <c r="C43" s="1" t="s">
        <v>50</v>
      </c>
      <c r="D43" s="1">
        <v>8</v>
      </c>
      <c r="E43" s="1">
        <f t="shared" si="7"/>
        <v>0</v>
      </c>
      <c r="F43" s="1">
        <f t="shared" si="8"/>
        <v>0</v>
      </c>
      <c r="L43" s="35" t="s">
        <v>43</v>
      </c>
      <c r="M43" s="24">
        <v>59</v>
      </c>
      <c r="O43" s="1" t="s">
        <v>39</v>
      </c>
      <c r="P43" s="1">
        <f>+M39</f>
        <v>0</v>
      </c>
    </row>
    <row r="44" spans="2:16" ht="19" thickBot="1" x14ac:dyDescent="0.5">
      <c r="B44" s="1" t="s">
        <v>43</v>
      </c>
      <c r="C44" s="1"/>
      <c r="D44" s="1"/>
      <c r="E44" s="4">
        <f>SUM(E45:E49)</f>
        <v>0</v>
      </c>
      <c r="F44" s="4">
        <f>SUM(F45:F49)</f>
        <v>0</v>
      </c>
      <c r="L44" s="36" t="s">
        <v>44</v>
      </c>
      <c r="M44" s="26"/>
      <c r="P44" s="97">
        <f>SUBTOTAL(109,P5:P43)</f>
        <v>0</v>
      </c>
    </row>
    <row r="45" spans="2:16" ht="15" thickBot="1" x14ac:dyDescent="0.4">
      <c r="B45" s="1" t="s">
        <v>44</v>
      </c>
      <c r="C45" s="1" t="s">
        <v>50</v>
      </c>
      <c r="D45" s="1">
        <v>8</v>
      </c>
      <c r="E45" s="1">
        <f>+M44</f>
        <v>0</v>
      </c>
      <c r="F45" s="1">
        <f>+D45*E45</f>
        <v>0</v>
      </c>
      <c r="L45" s="36" t="s">
        <v>45</v>
      </c>
      <c r="M45" s="26"/>
    </row>
    <row r="46" spans="2:16" ht="15" thickBot="1" x14ac:dyDescent="0.4">
      <c r="B46" s="1" t="s">
        <v>45</v>
      </c>
      <c r="C46" s="1" t="s">
        <v>50</v>
      </c>
      <c r="D46" s="1">
        <v>8</v>
      </c>
      <c r="E46" s="1">
        <f>+M45</f>
        <v>0</v>
      </c>
      <c r="F46" s="1">
        <f t="shared" ref="F46:F49" si="9">+D46*E46</f>
        <v>0</v>
      </c>
      <c r="L46" s="36" t="s">
        <v>46</v>
      </c>
      <c r="M46" s="26"/>
    </row>
    <row r="47" spans="2:16" ht="15" thickBot="1" x14ac:dyDescent="0.4">
      <c r="B47" s="1" t="s">
        <v>46</v>
      </c>
      <c r="C47" s="1" t="s">
        <v>50</v>
      </c>
      <c r="D47" s="1">
        <v>8</v>
      </c>
      <c r="E47" s="1">
        <f>+M46</f>
        <v>0</v>
      </c>
      <c r="F47" s="1">
        <f t="shared" si="9"/>
        <v>0</v>
      </c>
      <c r="L47" s="36" t="s">
        <v>47</v>
      </c>
      <c r="M47" s="26"/>
    </row>
    <row r="48" spans="2:16" ht="15" thickBot="1" x14ac:dyDescent="0.4">
      <c r="B48" s="1" t="s">
        <v>47</v>
      </c>
      <c r="C48" s="1" t="s">
        <v>50</v>
      </c>
      <c r="D48" s="1">
        <v>8</v>
      </c>
      <c r="E48" s="1">
        <f>+M47</f>
        <v>0</v>
      </c>
      <c r="F48" s="1">
        <f t="shared" si="9"/>
        <v>0</v>
      </c>
      <c r="L48" s="36" t="s">
        <v>49</v>
      </c>
      <c r="M48" s="26"/>
    </row>
    <row r="49" spans="2:13" ht="15" thickBot="1" x14ac:dyDescent="0.4">
      <c r="B49" s="1" t="s">
        <v>49</v>
      </c>
      <c r="C49" s="1" t="s">
        <v>50</v>
      </c>
      <c r="D49" s="1">
        <v>8</v>
      </c>
      <c r="E49" s="1">
        <f>+M48</f>
        <v>0</v>
      </c>
      <c r="F49" s="1">
        <f t="shared" si="9"/>
        <v>0</v>
      </c>
      <c r="L49" s="21"/>
      <c r="M49" s="21"/>
    </row>
    <row r="50" spans="2:13" ht="19" thickBot="1" x14ac:dyDescent="0.5">
      <c r="B50" s="103" t="s">
        <v>51</v>
      </c>
      <c r="C50" s="104"/>
      <c r="D50" s="105"/>
      <c r="E50" s="4">
        <f>+E44+E37+E30+E22+E10+E5</f>
        <v>0</v>
      </c>
      <c r="F50" s="4">
        <f>+F44+F37+F30+F22+F10+F5</f>
        <v>0</v>
      </c>
      <c r="L50" s="21" t="s">
        <v>51</v>
      </c>
      <c r="M50" s="38"/>
    </row>
    <row r="51" spans="2:13" ht="17.5" thickBot="1" x14ac:dyDescent="0.45">
      <c r="L51" s="21" t="s">
        <v>51</v>
      </c>
      <c r="M51" s="38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D199-9474-4505-B409-B90D743FB9E1}">
  <dimension ref="B1:P51"/>
  <sheetViews>
    <sheetView zoomScale="86" workbookViewId="0">
      <selection activeCell="J11" sqref="J11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5.7265625" bestFit="1" customWidth="1"/>
    <col min="12" max="12" width="13.81640625" bestFit="1" customWidth="1"/>
    <col min="15" max="15" width="13.1796875" bestFit="1" customWidth="1"/>
    <col min="16" max="16" width="10.36328125" bestFit="1" customWidth="1"/>
  </cols>
  <sheetData>
    <row r="1" spans="2:16" ht="15" thickBot="1" x14ac:dyDescent="0.4"/>
    <row r="2" spans="2:16" ht="44" thickBot="1" x14ac:dyDescent="0.4">
      <c r="B2" s="102" t="s">
        <v>117</v>
      </c>
      <c r="C2" s="102"/>
      <c r="D2" s="102"/>
      <c r="E2" s="102"/>
      <c r="F2" s="102"/>
      <c r="L2" s="33"/>
      <c r="M2" s="33"/>
    </row>
    <row r="3" spans="2:16" ht="58.5" thickBot="1" x14ac:dyDescent="0.4">
      <c r="L3" s="44" t="s">
        <v>95</v>
      </c>
      <c r="M3" s="45" t="s">
        <v>169</v>
      </c>
    </row>
    <row r="4" spans="2:16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512</v>
      </c>
      <c r="O4" t="s">
        <v>158</v>
      </c>
      <c r="P4" t="s">
        <v>159</v>
      </c>
    </row>
    <row r="5" spans="2:16" ht="19" thickBot="1" x14ac:dyDescent="0.5">
      <c r="B5" s="1" t="s">
        <v>59</v>
      </c>
      <c r="C5" s="1"/>
      <c r="D5" s="1"/>
      <c r="E5" s="4">
        <f>SUM(E6:E9)</f>
        <v>512</v>
      </c>
      <c r="F5" s="4">
        <f>SUM(F6:F9)</f>
        <v>1536</v>
      </c>
      <c r="H5" s="2" t="s">
        <v>67</v>
      </c>
      <c r="I5" s="2">
        <f>+F5</f>
        <v>1536</v>
      </c>
      <c r="J5" s="2">
        <f>+E5</f>
        <v>512</v>
      </c>
      <c r="L5" s="36" t="s">
        <v>6</v>
      </c>
      <c r="M5" s="26">
        <v>301</v>
      </c>
      <c r="O5" s="1" t="s">
        <v>40</v>
      </c>
      <c r="P5" s="1">
        <f>+M40</f>
        <v>11</v>
      </c>
    </row>
    <row r="6" spans="2:16" ht="15" thickBot="1" x14ac:dyDescent="0.4">
      <c r="B6" s="1" t="s">
        <v>6</v>
      </c>
      <c r="C6" s="1" t="s">
        <v>50</v>
      </c>
      <c r="D6" s="1">
        <v>3</v>
      </c>
      <c r="E6" s="1">
        <f>+M5</f>
        <v>301</v>
      </c>
      <c r="F6" s="1">
        <f>+D6*E6</f>
        <v>903</v>
      </c>
      <c r="H6" s="2" t="s">
        <v>68</v>
      </c>
      <c r="I6" s="2">
        <f>+F10</f>
        <v>1019</v>
      </c>
      <c r="J6" s="2">
        <f>+E10</f>
        <v>157</v>
      </c>
      <c r="L6" s="36" t="s">
        <v>7</v>
      </c>
      <c r="M6" s="26">
        <v>115</v>
      </c>
      <c r="O6" s="1" t="s">
        <v>6</v>
      </c>
      <c r="P6" s="1">
        <f>+M5</f>
        <v>301</v>
      </c>
    </row>
    <row r="7" spans="2:16" ht="15" thickBot="1" x14ac:dyDescent="0.4">
      <c r="B7" s="1" t="s">
        <v>7</v>
      </c>
      <c r="C7" s="1" t="s">
        <v>50</v>
      </c>
      <c r="D7" s="1">
        <v>3</v>
      </c>
      <c r="E7" s="1">
        <f>+M6</f>
        <v>115</v>
      </c>
      <c r="F7" s="1">
        <f t="shared" ref="F7:F9" si="0">+D7*E7</f>
        <v>345</v>
      </c>
      <c r="H7" s="2" t="s">
        <v>69</v>
      </c>
      <c r="I7" s="2">
        <f>+F22</f>
        <v>605</v>
      </c>
      <c r="J7" s="2">
        <f>+E22</f>
        <v>115</v>
      </c>
      <c r="L7" s="36" t="s">
        <v>8</v>
      </c>
      <c r="M7" s="26">
        <v>96</v>
      </c>
      <c r="O7" s="1" t="s">
        <v>35</v>
      </c>
      <c r="P7" s="1">
        <f>+M35</f>
        <v>4</v>
      </c>
    </row>
    <row r="8" spans="2:16" ht="15" thickBot="1" x14ac:dyDescent="0.4">
      <c r="B8" s="1" t="s">
        <v>8</v>
      </c>
      <c r="C8" s="1" t="s">
        <v>50</v>
      </c>
      <c r="D8" s="1">
        <v>3</v>
      </c>
      <c r="E8" s="1">
        <f>+M7</f>
        <v>96</v>
      </c>
      <c r="F8" s="1">
        <f t="shared" si="0"/>
        <v>288</v>
      </c>
      <c r="H8" s="2" t="s">
        <v>70</v>
      </c>
      <c r="I8" s="2">
        <f>+F30</f>
        <v>293</v>
      </c>
      <c r="J8" s="2">
        <f>+E30</f>
        <v>43</v>
      </c>
      <c r="L8" s="36" t="s">
        <v>9</v>
      </c>
      <c r="M8" s="25"/>
      <c r="O8" s="1" t="s">
        <v>28</v>
      </c>
      <c r="P8" s="1">
        <f>+M27</f>
        <v>10</v>
      </c>
    </row>
    <row r="9" spans="2:16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+F37</f>
        <v>152</v>
      </c>
      <c r="J9" s="2">
        <f>+E37</f>
        <v>19</v>
      </c>
      <c r="L9" s="35" t="s">
        <v>10</v>
      </c>
      <c r="M9" s="24">
        <v>157</v>
      </c>
      <c r="O9" s="1" t="s">
        <v>44</v>
      </c>
      <c r="P9">
        <f>+M44</f>
        <v>59</v>
      </c>
    </row>
    <row r="10" spans="2:16" ht="19" thickBot="1" x14ac:dyDescent="0.5">
      <c r="B10" s="1" t="s">
        <v>10</v>
      </c>
      <c r="C10" s="1"/>
      <c r="D10" s="1"/>
      <c r="E10" s="4">
        <f>SUM(E11:E21)</f>
        <v>157</v>
      </c>
      <c r="F10" s="4">
        <f>SUM(F11:F21)</f>
        <v>1019</v>
      </c>
      <c r="H10" s="2" t="s">
        <v>44</v>
      </c>
      <c r="I10" s="2">
        <f>+F44</f>
        <v>472</v>
      </c>
      <c r="J10" s="2">
        <f>+E44</f>
        <v>59</v>
      </c>
      <c r="L10" s="36" t="s">
        <v>11</v>
      </c>
      <c r="M10" s="26">
        <v>79</v>
      </c>
      <c r="O10" s="1" t="s">
        <v>14</v>
      </c>
      <c r="P10">
        <f>+M13</f>
        <v>0</v>
      </c>
    </row>
    <row r="11" spans="2:16" ht="19" thickBot="1" x14ac:dyDescent="0.5">
      <c r="B11" s="1" t="s">
        <v>11</v>
      </c>
      <c r="C11" s="1" t="s">
        <v>50</v>
      </c>
      <c r="D11" s="1">
        <v>5</v>
      </c>
      <c r="E11" s="1">
        <f>+M10</f>
        <v>79</v>
      </c>
      <c r="F11" s="1">
        <f>+D11*E11</f>
        <v>395</v>
      </c>
      <c r="H11" s="43" t="s">
        <v>51</v>
      </c>
      <c r="I11" s="43">
        <f>SUM(I5:I10)</f>
        <v>4077</v>
      </c>
      <c r="J11" s="43">
        <f>SUM(J5:J10)</f>
        <v>905</v>
      </c>
      <c r="L11" s="36" t="s">
        <v>12</v>
      </c>
      <c r="M11" s="26">
        <v>6</v>
      </c>
      <c r="O11" s="1" t="s">
        <v>16</v>
      </c>
      <c r="P11">
        <f>+M15</f>
        <v>12</v>
      </c>
    </row>
    <row r="12" spans="2:16" ht="15" thickBot="1" x14ac:dyDescent="0.4">
      <c r="B12" s="1" t="s">
        <v>12</v>
      </c>
      <c r="C12" s="1" t="s">
        <v>50</v>
      </c>
      <c r="D12" s="1">
        <v>8</v>
      </c>
      <c r="E12" s="1">
        <f>+M11</f>
        <v>6</v>
      </c>
      <c r="F12" s="1">
        <f t="shared" ref="F12:F21" si="1">+D12*E12</f>
        <v>48</v>
      </c>
      <c r="L12" s="36" t="s">
        <v>13</v>
      </c>
      <c r="M12" s="26">
        <v>10</v>
      </c>
      <c r="O12" s="1" t="s">
        <v>8</v>
      </c>
      <c r="P12">
        <f>+M7</f>
        <v>96</v>
      </c>
    </row>
    <row r="13" spans="2:16" ht="15" thickBot="1" x14ac:dyDescent="0.4">
      <c r="B13" s="1" t="s">
        <v>13</v>
      </c>
      <c r="C13" s="1" t="s">
        <v>50</v>
      </c>
      <c r="D13" s="1">
        <v>8</v>
      </c>
      <c r="E13" s="1">
        <f>+M12</f>
        <v>10</v>
      </c>
      <c r="F13" s="1">
        <f t="shared" si="1"/>
        <v>80</v>
      </c>
      <c r="L13" s="36" t="s">
        <v>14</v>
      </c>
      <c r="M13" s="26">
        <v>0</v>
      </c>
      <c r="O13" s="1" t="s">
        <v>42</v>
      </c>
      <c r="P13">
        <f>+M42</f>
        <v>4</v>
      </c>
    </row>
    <row r="14" spans="2:16" ht="15" thickBot="1" x14ac:dyDescent="0.4">
      <c r="B14" s="1" t="s">
        <v>14</v>
      </c>
      <c r="C14" s="1" t="s">
        <v>50</v>
      </c>
      <c r="D14" s="1">
        <v>8</v>
      </c>
      <c r="E14" s="1">
        <f>M13</f>
        <v>0</v>
      </c>
      <c r="F14" s="1">
        <f t="shared" si="1"/>
        <v>0</v>
      </c>
      <c r="L14" s="36" t="s">
        <v>15</v>
      </c>
      <c r="M14" s="26">
        <v>0</v>
      </c>
      <c r="O14" s="1" t="s">
        <v>11</v>
      </c>
      <c r="P14">
        <f>+M10</f>
        <v>79</v>
      </c>
    </row>
    <row r="15" spans="2:16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0</v>
      </c>
      <c r="F15" s="1">
        <f t="shared" si="1"/>
        <v>0</v>
      </c>
      <c r="L15" s="36" t="s">
        <v>16</v>
      </c>
      <c r="M15" s="26">
        <v>12</v>
      </c>
      <c r="O15" s="1" t="s">
        <v>7</v>
      </c>
      <c r="P15">
        <f>+M6</f>
        <v>115</v>
      </c>
    </row>
    <row r="16" spans="2:16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12</v>
      </c>
      <c r="F16" s="1">
        <f t="shared" si="1"/>
        <v>96</v>
      </c>
      <c r="L16" s="36" t="s">
        <v>17</v>
      </c>
      <c r="M16" s="26">
        <v>2</v>
      </c>
      <c r="O16" s="1" t="s">
        <v>12</v>
      </c>
      <c r="P16">
        <f>+M11</f>
        <v>6</v>
      </c>
    </row>
    <row r="17" spans="2:16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2</v>
      </c>
      <c r="F17" s="1">
        <f t="shared" si="1"/>
        <v>16</v>
      </c>
      <c r="L17" s="36" t="s">
        <v>18</v>
      </c>
      <c r="M17" s="26">
        <v>9</v>
      </c>
      <c r="O17" s="1" t="s">
        <v>38</v>
      </c>
      <c r="P17">
        <f>+M38</f>
        <v>0</v>
      </c>
    </row>
    <row r="18" spans="2:16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9</v>
      </c>
      <c r="F18" s="1">
        <f t="shared" si="1"/>
        <v>72</v>
      </c>
      <c r="L18" s="36" t="s">
        <v>19</v>
      </c>
      <c r="M18" s="26">
        <v>17</v>
      </c>
      <c r="O18" s="1" t="s">
        <v>27</v>
      </c>
      <c r="P18">
        <f>+M26</f>
        <v>25</v>
      </c>
    </row>
    <row r="19" spans="2:16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17</v>
      </c>
      <c r="F19" s="1">
        <f t="shared" si="1"/>
        <v>136</v>
      </c>
      <c r="L19" s="36" t="s">
        <v>20</v>
      </c>
      <c r="M19" s="26">
        <v>22</v>
      </c>
      <c r="O19" s="1" t="s">
        <v>18</v>
      </c>
      <c r="P19">
        <f>+M17</f>
        <v>9</v>
      </c>
    </row>
    <row r="20" spans="2:16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22</v>
      </c>
      <c r="F20" s="1">
        <f t="shared" si="1"/>
        <v>176</v>
      </c>
      <c r="L20" s="36" t="s">
        <v>21</v>
      </c>
      <c r="M20" s="26">
        <v>0</v>
      </c>
      <c r="O20" s="1" t="s">
        <v>19</v>
      </c>
      <c r="P20">
        <f>+M18</f>
        <v>17</v>
      </c>
    </row>
    <row r="21" spans="2:16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0</v>
      </c>
      <c r="F21" s="1">
        <f t="shared" si="1"/>
        <v>0</v>
      </c>
      <c r="L21" s="35" t="s">
        <v>22</v>
      </c>
      <c r="M21" s="24">
        <v>115</v>
      </c>
      <c r="O21" s="1" t="s">
        <v>47</v>
      </c>
      <c r="P21">
        <f>+M47</f>
        <v>0</v>
      </c>
    </row>
    <row r="22" spans="2:16" ht="19" thickBot="1" x14ac:dyDescent="0.5">
      <c r="B22" s="1" t="s">
        <v>22</v>
      </c>
      <c r="C22" s="1"/>
      <c r="D22" s="1"/>
      <c r="E22" s="4">
        <f>SUM(E23:E29)</f>
        <v>115</v>
      </c>
      <c r="F22" s="4">
        <f>SUM(F23:F29)</f>
        <v>605</v>
      </c>
      <c r="L22" s="36" t="s">
        <v>23</v>
      </c>
      <c r="M22" s="26">
        <v>11</v>
      </c>
      <c r="O22" s="1" t="s">
        <v>15</v>
      </c>
      <c r="P22">
        <f>+M14</f>
        <v>0</v>
      </c>
    </row>
    <row r="23" spans="2:16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11</v>
      </c>
      <c r="F23" s="1">
        <f>+D23*E23</f>
        <v>55</v>
      </c>
      <c r="L23" s="36" t="s">
        <v>24</v>
      </c>
      <c r="M23" s="26">
        <v>7</v>
      </c>
      <c r="O23" s="1" t="s">
        <v>20</v>
      </c>
      <c r="P23">
        <f>+M19</f>
        <v>22</v>
      </c>
    </row>
    <row r="24" spans="2:16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7</v>
      </c>
      <c r="F24" s="1">
        <f t="shared" ref="F24:F29" si="4">+D24*E24</f>
        <v>35</v>
      </c>
      <c r="L24" s="36" t="s">
        <v>25</v>
      </c>
      <c r="M24" s="26">
        <v>51</v>
      </c>
      <c r="O24" s="1" t="s">
        <v>41</v>
      </c>
      <c r="P24">
        <f>+M41</f>
        <v>2</v>
      </c>
    </row>
    <row r="25" spans="2:16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51</v>
      </c>
      <c r="F25" s="1">
        <f t="shared" si="4"/>
        <v>255</v>
      </c>
      <c r="L25" s="36" t="s">
        <v>26</v>
      </c>
      <c r="M25" s="26">
        <v>11</v>
      </c>
      <c r="O25" s="1" t="s">
        <v>17</v>
      </c>
      <c r="P25">
        <f>+M16</f>
        <v>2</v>
      </c>
    </row>
    <row r="26" spans="2:16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11</v>
      </c>
      <c r="F26" s="1">
        <f t="shared" si="4"/>
        <v>55</v>
      </c>
      <c r="L26" s="36" t="s">
        <v>27</v>
      </c>
      <c r="M26" s="26">
        <v>25</v>
      </c>
      <c r="O26" s="1" t="s">
        <v>33</v>
      </c>
      <c r="P26">
        <f>+M32</f>
        <v>7</v>
      </c>
    </row>
    <row r="27" spans="2:16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25</v>
      </c>
      <c r="F27" s="1">
        <f t="shared" si="4"/>
        <v>125</v>
      </c>
      <c r="L27" s="36" t="s">
        <v>28</v>
      </c>
      <c r="M27" s="26">
        <v>10</v>
      </c>
      <c r="O27" s="1" t="s">
        <v>45</v>
      </c>
      <c r="P27">
        <f>+M45</f>
        <v>0</v>
      </c>
    </row>
    <row r="28" spans="2:16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10</v>
      </c>
      <c r="F28" s="1">
        <f t="shared" si="4"/>
        <v>80</v>
      </c>
      <c r="L28" s="36" t="s">
        <v>29</v>
      </c>
      <c r="M28" s="25"/>
      <c r="O28" s="1" t="s">
        <v>25</v>
      </c>
      <c r="P28">
        <f>+M24</f>
        <v>51</v>
      </c>
    </row>
    <row r="29" spans="2:16" ht="17.5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43</v>
      </c>
      <c r="O29" s="1" t="s">
        <v>46</v>
      </c>
      <c r="P29">
        <f>+M46</f>
        <v>0</v>
      </c>
    </row>
    <row r="30" spans="2:16" ht="19" thickBot="1" x14ac:dyDescent="0.5">
      <c r="B30" s="1" t="s">
        <v>30</v>
      </c>
      <c r="C30" s="1"/>
      <c r="D30" s="1"/>
      <c r="E30" s="4">
        <f>SUM(E31:E36)</f>
        <v>43</v>
      </c>
      <c r="F30" s="4">
        <f>SUM(F31:F36)</f>
        <v>293</v>
      </c>
      <c r="L30" s="36" t="s">
        <v>32</v>
      </c>
      <c r="M30" s="26">
        <v>17</v>
      </c>
      <c r="O30" s="1" t="s">
        <v>32</v>
      </c>
      <c r="P30">
        <f>+M30</f>
        <v>17</v>
      </c>
    </row>
    <row r="31" spans="2:16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+M30</f>
        <v>17</v>
      </c>
      <c r="F31" s="1">
        <f>+D31*E31</f>
        <v>85</v>
      </c>
      <c r="L31" s="36" t="s">
        <v>31</v>
      </c>
      <c r="M31" s="26">
        <v>11</v>
      </c>
      <c r="O31" s="1" t="s">
        <v>34</v>
      </c>
      <c r="P31">
        <f>+M33</f>
        <v>3</v>
      </c>
    </row>
    <row r="32" spans="2:16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11</v>
      </c>
      <c r="F32" s="1">
        <f t="shared" ref="F32:F35" si="6">+D32*E32</f>
        <v>88</v>
      </c>
      <c r="L32" s="36" t="s">
        <v>33</v>
      </c>
      <c r="M32" s="26">
        <v>7</v>
      </c>
      <c r="O32" s="1" t="s">
        <v>49</v>
      </c>
      <c r="P32">
        <f>+M48</f>
        <v>0</v>
      </c>
    </row>
    <row r="33" spans="2:16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7</v>
      </c>
      <c r="F33" s="1">
        <f t="shared" si="6"/>
        <v>56</v>
      </c>
      <c r="L33" s="36" t="s">
        <v>34</v>
      </c>
      <c r="M33" s="26">
        <v>3</v>
      </c>
      <c r="O33" s="1" t="s">
        <v>29</v>
      </c>
      <c r="P33">
        <f>+M28</f>
        <v>0</v>
      </c>
    </row>
    <row r="34" spans="2:16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3</v>
      </c>
      <c r="F34" s="1">
        <f t="shared" si="6"/>
        <v>24</v>
      </c>
      <c r="L34" s="37" t="s">
        <v>97</v>
      </c>
      <c r="M34" s="26">
        <v>1</v>
      </c>
      <c r="O34" s="1" t="s">
        <v>26</v>
      </c>
      <c r="P34">
        <f>+M25</f>
        <v>11</v>
      </c>
    </row>
    <row r="35" spans="2:16" ht="15" thickBot="1" x14ac:dyDescent="0.4">
      <c r="B35" s="1" t="s">
        <v>155</v>
      </c>
      <c r="C35" s="1" t="s">
        <v>50</v>
      </c>
      <c r="D35" s="1">
        <v>8</v>
      </c>
      <c r="E35" s="1">
        <f t="shared" si="5"/>
        <v>1</v>
      </c>
      <c r="F35" s="1">
        <f t="shared" si="6"/>
        <v>8</v>
      </c>
      <c r="L35" s="37" t="s">
        <v>35</v>
      </c>
      <c r="M35" s="26">
        <v>4</v>
      </c>
      <c r="O35" s="1" t="s">
        <v>21</v>
      </c>
      <c r="P35">
        <f>+M20</f>
        <v>0</v>
      </c>
    </row>
    <row r="36" spans="2:16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4</v>
      </c>
      <c r="F36" s="1">
        <f t="shared" ref="F36" si="7">+D36*E36</f>
        <v>32</v>
      </c>
      <c r="L36" s="35" t="s">
        <v>36</v>
      </c>
      <c r="M36" s="24">
        <v>19</v>
      </c>
      <c r="O36" s="1" t="s">
        <v>23</v>
      </c>
      <c r="P36" s="1">
        <f>+M22</f>
        <v>11</v>
      </c>
    </row>
    <row r="37" spans="2:16" ht="19" thickBot="1" x14ac:dyDescent="0.5">
      <c r="B37" s="1" t="s">
        <v>36</v>
      </c>
      <c r="C37" s="1"/>
      <c r="D37" s="1"/>
      <c r="E37" s="4">
        <f>SUM(E38:E43)</f>
        <v>19</v>
      </c>
      <c r="F37" s="4">
        <f>SUM(F38:F43)</f>
        <v>152</v>
      </c>
      <c r="L37" s="36" t="s">
        <v>37</v>
      </c>
      <c r="M37" s="26">
        <v>0</v>
      </c>
      <c r="O37" s="1" t="s">
        <v>24</v>
      </c>
      <c r="P37" s="1">
        <f>+M23</f>
        <v>7</v>
      </c>
    </row>
    <row r="38" spans="2:16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8">+M37</f>
        <v>0</v>
      </c>
      <c r="F38" s="1">
        <f>+D38*E38</f>
        <v>0</v>
      </c>
      <c r="L38" s="36" t="s">
        <v>38</v>
      </c>
      <c r="M38" s="26">
        <v>0</v>
      </c>
      <c r="O38" s="1" t="s">
        <v>9</v>
      </c>
      <c r="P38" s="1">
        <f>+M8</f>
        <v>0</v>
      </c>
    </row>
    <row r="39" spans="2:16" ht="15" thickBot="1" x14ac:dyDescent="0.4">
      <c r="B39" s="1" t="s">
        <v>38</v>
      </c>
      <c r="C39" s="1" t="s">
        <v>50</v>
      </c>
      <c r="D39" s="1">
        <v>8</v>
      </c>
      <c r="E39" s="1">
        <f t="shared" si="8"/>
        <v>0</v>
      </c>
      <c r="F39" s="1">
        <f t="shared" ref="F39:F43" si="9">+D39*E39</f>
        <v>0</v>
      </c>
      <c r="L39" s="36" t="s">
        <v>39</v>
      </c>
      <c r="M39" s="26">
        <v>2</v>
      </c>
      <c r="O39" s="1" t="s">
        <v>155</v>
      </c>
      <c r="P39" s="1">
        <f>+M34</f>
        <v>1</v>
      </c>
    </row>
    <row r="40" spans="2:16" ht="15" thickBot="1" x14ac:dyDescent="0.4">
      <c r="B40" s="1" t="s">
        <v>39</v>
      </c>
      <c r="C40" s="1" t="s">
        <v>50</v>
      </c>
      <c r="D40" s="1">
        <v>8</v>
      </c>
      <c r="E40" s="1">
        <f t="shared" si="8"/>
        <v>2</v>
      </c>
      <c r="F40" s="1">
        <f t="shared" si="9"/>
        <v>16</v>
      </c>
      <c r="L40" s="36" t="s">
        <v>40</v>
      </c>
      <c r="M40" s="26">
        <v>11</v>
      </c>
      <c r="O40" s="1" t="s">
        <v>13</v>
      </c>
      <c r="P40" s="1">
        <f>+M12</f>
        <v>10</v>
      </c>
    </row>
    <row r="41" spans="2:16" ht="15" thickBot="1" x14ac:dyDescent="0.4">
      <c r="B41" s="1" t="s">
        <v>40</v>
      </c>
      <c r="C41" s="1" t="s">
        <v>50</v>
      </c>
      <c r="D41" s="1">
        <v>8</v>
      </c>
      <c r="E41" s="1">
        <f t="shared" si="8"/>
        <v>11</v>
      </c>
      <c r="F41" s="1">
        <f t="shared" si="9"/>
        <v>88</v>
      </c>
      <c r="L41" s="36" t="s">
        <v>98</v>
      </c>
      <c r="M41" s="26">
        <v>2</v>
      </c>
      <c r="O41" s="1" t="s">
        <v>31</v>
      </c>
      <c r="P41" s="1">
        <f>+M31</f>
        <v>11</v>
      </c>
    </row>
    <row r="42" spans="2:16" ht="15" thickBot="1" x14ac:dyDescent="0.4">
      <c r="B42" s="1" t="s">
        <v>41</v>
      </c>
      <c r="C42" s="1" t="s">
        <v>50</v>
      </c>
      <c r="D42" s="1">
        <v>8</v>
      </c>
      <c r="E42" s="1">
        <f t="shared" si="8"/>
        <v>2</v>
      </c>
      <c r="F42" s="1">
        <f t="shared" si="9"/>
        <v>16</v>
      </c>
      <c r="L42" s="36" t="s">
        <v>42</v>
      </c>
      <c r="M42" s="26">
        <v>4</v>
      </c>
      <c r="O42" s="1" t="s">
        <v>37</v>
      </c>
      <c r="P42" s="1">
        <f>+M37</f>
        <v>0</v>
      </c>
    </row>
    <row r="43" spans="2:16" ht="17.5" thickBot="1" x14ac:dyDescent="0.45">
      <c r="B43" s="1" t="s">
        <v>42</v>
      </c>
      <c r="C43" s="1" t="s">
        <v>50</v>
      </c>
      <c r="D43" s="1">
        <v>8</v>
      </c>
      <c r="E43" s="1">
        <f t="shared" si="8"/>
        <v>4</v>
      </c>
      <c r="F43" s="1">
        <f t="shared" si="9"/>
        <v>32</v>
      </c>
      <c r="L43" s="35" t="s">
        <v>43</v>
      </c>
      <c r="M43" s="24">
        <v>59</v>
      </c>
      <c r="O43" s="1" t="s">
        <v>39</v>
      </c>
      <c r="P43" s="1">
        <f>+M39</f>
        <v>2</v>
      </c>
    </row>
    <row r="44" spans="2:16" ht="19" thickBot="1" x14ac:dyDescent="0.5">
      <c r="B44" s="1" t="s">
        <v>43</v>
      </c>
      <c r="C44" s="1"/>
      <c r="D44" s="1"/>
      <c r="E44" s="4">
        <f>SUM(E45:E49)</f>
        <v>59</v>
      </c>
      <c r="F44" s="4">
        <f>SUM(F45:F49)</f>
        <v>472</v>
      </c>
      <c r="L44" s="36" t="s">
        <v>44</v>
      </c>
      <c r="M44" s="26">
        <v>59</v>
      </c>
      <c r="P44" s="97">
        <f>SUBTOTAL(109,P5:P43)</f>
        <v>905</v>
      </c>
    </row>
    <row r="45" spans="2:16" ht="15" thickBot="1" x14ac:dyDescent="0.4">
      <c r="B45" s="1" t="s">
        <v>44</v>
      </c>
      <c r="C45" s="1" t="s">
        <v>50</v>
      </c>
      <c r="D45" s="1">
        <v>8</v>
      </c>
      <c r="E45" s="1">
        <f>+M44</f>
        <v>59</v>
      </c>
      <c r="F45" s="1">
        <f>+D45*E45</f>
        <v>472</v>
      </c>
      <c r="L45" s="36" t="s">
        <v>45</v>
      </c>
      <c r="M45" s="26">
        <v>0</v>
      </c>
    </row>
    <row r="46" spans="2:16" ht="15" thickBot="1" x14ac:dyDescent="0.4">
      <c r="B46" s="1" t="s">
        <v>45</v>
      </c>
      <c r="C46" s="1" t="s">
        <v>50</v>
      </c>
      <c r="D46" s="1">
        <v>8</v>
      </c>
      <c r="E46" s="1">
        <f>+M45</f>
        <v>0</v>
      </c>
      <c r="F46" s="1">
        <f t="shared" ref="F46:F49" si="10">+D46*E46</f>
        <v>0</v>
      </c>
      <c r="L46" s="36" t="s">
        <v>46</v>
      </c>
      <c r="M46" s="26">
        <v>0</v>
      </c>
    </row>
    <row r="47" spans="2:16" ht="15" thickBot="1" x14ac:dyDescent="0.4">
      <c r="B47" s="1" t="s">
        <v>46</v>
      </c>
      <c r="C47" s="1" t="s">
        <v>50</v>
      </c>
      <c r="D47" s="1">
        <v>8</v>
      </c>
      <c r="E47" s="1">
        <f>+M46</f>
        <v>0</v>
      </c>
      <c r="F47" s="1">
        <f t="shared" si="10"/>
        <v>0</v>
      </c>
      <c r="L47" s="36" t="s">
        <v>47</v>
      </c>
      <c r="M47" s="26">
        <v>0</v>
      </c>
    </row>
    <row r="48" spans="2:16" ht="15" thickBot="1" x14ac:dyDescent="0.4">
      <c r="B48" s="1" t="s">
        <v>47</v>
      </c>
      <c r="C48" s="1" t="s">
        <v>50</v>
      </c>
      <c r="D48" s="1">
        <v>8</v>
      </c>
      <c r="E48" s="1">
        <f>+M47</f>
        <v>0</v>
      </c>
      <c r="F48" s="1">
        <f t="shared" si="10"/>
        <v>0</v>
      </c>
      <c r="L48" s="36" t="s">
        <v>49</v>
      </c>
      <c r="M48" s="26">
        <v>0</v>
      </c>
    </row>
    <row r="49" spans="2:13" ht="15" thickBot="1" x14ac:dyDescent="0.4">
      <c r="B49" s="1" t="s">
        <v>49</v>
      </c>
      <c r="C49" s="1" t="s">
        <v>50</v>
      </c>
      <c r="D49" s="1">
        <v>8</v>
      </c>
      <c r="E49" s="1">
        <f>+M48</f>
        <v>0</v>
      </c>
      <c r="F49" s="1">
        <f t="shared" si="10"/>
        <v>0</v>
      </c>
      <c r="L49" s="21"/>
      <c r="M49" s="21"/>
    </row>
    <row r="50" spans="2:13" ht="19" thickBot="1" x14ac:dyDescent="0.5">
      <c r="B50" s="103" t="s">
        <v>51</v>
      </c>
      <c r="C50" s="104"/>
      <c r="D50" s="105"/>
      <c r="E50" s="4">
        <f>+E44+E37+E30+E22+E10+E5</f>
        <v>905</v>
      </c>
      <c r="F50" s="4">
        <f>+F44+F37+F30+F22+F10+F5</f>
        <v>4077</v>
      </c>
      <c r="L50" s="21" t="s">
        <v>51</v>
      </c>
      <c r="M50" s="38">
        <v>905</v>
      </c>
    </row>
    <row r="51" spans="2:13" ht="17.5" thickBot="1" x14ac:dyDescent="0.45">
      <c r="L51" s="21" t="s">
        <v>51</v>
      </c>
      <c r="M51" s="38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36AC-70F7-4A83-8053-5DFC323AACBA}">
  <dimension ref="B1:P51"/>
  <sheetViews>
    <sheetView topLeftCell="A30" workbookViewId="0">
      <selection activeCell="J11" sqref="J11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5.7265625" bestFit="1" customWidth="1"/>
    <col min="12" max="12" width="13.81640625" bestFit="1" customWidth="1"/>
    <col min="15" max="15" width="13.1796875" bestFit="1" customWidth="1"/>
    <col min="16" max="16" width="10.36328125" bestFit="1" customWidth="1"/>
  </cols>
  <sheetData>
    <row r="1" spans="2:16" ht="15" thickBot="1" x14ac:dyDescent="0.4"/>
    <row r="2" spans="2:16" ht="44" thickBot="1" x14ac:dyDescent="0.4">
      <c r="B2" s="102" t="s">
        <v>117</v>
      </c>
      <c r="C2" s="102"/>
      <c r="D2" s="102"/>
      <c r="E2" s="102"/>
      <c r="F2" s="102"/>
      <c r="L2" s="33"/>
      <c r="M2" s="33"/>
    </row>
    <row r="3" spans="2:16" ht="58.5" thickBot="1" x14ac:dyDescent="0.4">
      <c r="L3" s="44" t="s">
        <v>95</v>
      </c>
      <c r="M3" s="45" t="s">
        <v>169</v>
      </c>
    </row>
    <row r="4" spans="2:16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700</v>
      </c>
      <c r="O4" t="s">
        <v>158</v>
      </c>
      <c r="P4" t="s">
        <v>159</v>
      </c>
    </row>
    <row r="5" spans="2:16" ht="19" thickBot="1" x14ac:dyDescent="0.5">
      <c r="B5" s="1" t="s">
        <v>59</v>
      </c>
      <c r="C5" s="1"/>
      <c r="D5" s="1"/>
      <c r="E5" s="4">
        <f>SUM(E6:E9)</f>
        <v>700</v>
      </c>
      <c r="F5" s="4">
        <f>SUM(F6:F9)</f>
        <v>2100</v>
      </c>
      <c r="H5" s="2" t="s">
        <v>67</v>
      </c>
      <c r="I5" s="2">
        <f>+F5</f>
        <v>2100</v>
      </c>
      <c r="J5" s="2">
        <f>+E5</f>
        <v>700</v>
      </c>
      <c r="L5" s="36" t="s">
        <v>6</v>
      </c>
      <c r="M5" s="26">
        <v>387</v>
      </c>
      <c r="O5" s="1" t="s">
        <v>40</v>
      </c>
      <c r="P5" s="1">
        <f>+M40</f>
        <v>8</v>
      </c>
    </row>
    <row r="6" spans="2:16" ht="15" thickBot="1" x14ac:dyDescent="0.4">
      <c r="B6" s="1" t="s">
        <v>6</v>
      </c>
      <c r="C6" s="1" t="s">
        <v>50</v>
      </c>
      <c r="D6" s="1">
        <v>3</v>
      </c>
      <c r="E6" s="1">
        <f>+M5</f>
        <v>387</v>
      </c>
      <c r="F6" s="1">
        <f>+D6*E6</f>
        <v>1161</v>
      </c>
      <c r="H6" s="2" t="s">
        <v>68</v>
      </c>
      <c r="I6" s="2">
        <f>+F10</f>
        <v>1206</v>
      </c>
      <c r="J6" s="2">
        <f>+E10</f>
        <v>180</v>
      </c>
      <c r="L6" s="36" t="s">
        <v>7</v>
      </c>
      <c r="M6" s="26">
        <v>181</v>
      </c>
      <c r="O6" s="1" t="s">
        <v>6</v>
      </c>
      <c r="P6" s="1">
        <f>+M5</f>
        <v>387</v>
      </c>
    </row>
    <row r="7" spans="2:16" ht="15" thickBot="1" x14ac:dyDescent="0.4">
      <c r="B7" s="1" t="s">
        <v>7</v>
      </c>
      <c r="C7" s="1" t="s">
        <v>50</v>
      </c>
      <c r="D7" s="1">
        <v>3</v>
      </c>
      <c r="E7" s="1">
        <f>+M6</f>
        <v>181</v>
      </c>
      <c r="F7" s="1">
        <f t="shared" ref="F7:F9" si="0">+D7*E7</f>
        <v>543</v>
      </c>
      <c r="H7" s="2" t="s">
        <v>69</v>
      </c>
      <c r="I7" s="2">
        <f>+F22</f>
        <v>800</v>
      </c>
      <c r="J7" s="2">
        <f>+E22</f>
        <v>151</v>
      </c>
      <c r="L7" s="36" t="s">
        <v>8</v>
      </c>
      <c r="M7" s="26">
        <v>132</v>
      </c>
      <c r="O7" s="1" t="s">
        <v>35</v>
      </c>
      <c r="P7" s="1">
        <f>+M35</f>
        <v>11</v>
      </c>
    </row>
    <row r="8" spans="2:16" ht="15" thickBot="1" x14ac:dyDescent="0.4">
      <c r="B8" s="1" t="s">
        <v>8</v>
      </c>
      <c r="C8" s="1" t="s">
        <v>50</v>
      </c>
      <c r="D8" s="1">
        <v>3</v>
      </c>
      <c r="E8" s="1">
        <f>+M7</f>
        <v>132</v>
      </c>
      <c r="F8" s="1">
        <f t="shared" si="0"/>
        <v>396</v>
      </c>
      <c r="H8" s="2" t="s">
        <v>70</v>
      </c>
      <c r="I8" s="2">
        <f>+F30</f>
        <v>545</v>
      </c>
      <c r="J8" s="2">
        <f>+E30</f>
        <v>79</v>
      </c>
      <c r="L8" s="36" t="s">
        <v>9</v>
      </c>
      <c r="M8" s="25"/>
      <c r="O8" s="1" t="s">
        <v>28</v>
      </c>
      <c r="P8" s="1">
        <f>+M27</f>
        <v>15</v>
      </c>
    </row>
    <row r="9" spans="2:16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+F37</f>
        <v>224</v>
      </c>
      <c r="J9" s="2">
        <f>+E37</f>
        <v>28</v>
      </c>
      <c r="L9" s="35" t="s">
        <v>10</v>
      </c>
      <c r="M9" s="24">
        <v>180</v>
      </c>
      <c r="O9" s="1" t="s">
        <v>44</v>
      </c>
      <c r="P9">
        <f>+M44</f>
        <v>58</v>
      </c>
    </row>
    <row r="10" spans="2:16" ht="19" thickBot="1" x14ac:dyDescent="0.5">
      <c r="B10" s="1" t="s">
        <v>10</v>
      </c>
      <c r="C10" s="1"/>
      <c r="D10" s="1"/>
      <c r="E10" s="4">
        <f>SUM(E11:E21)</f>
        <v>180</v>
      </c>
      <c r="F10" s="4">
        <f>SUM(F11:F21)</f>
        <v>1206</v>
      </c>
      <c r="H10" s="2" t="s">
        <v>44</v>
      </c>
      <c r="I10" s="2">
        <f>+F44</f>
        <v>576</v>
      </c>
      <c r="J10" s="2">
        <f>+E44</f>
        <v>72</v>
      </c>
      <c r="L10" s="36" t="s">
        <v>11</v>
      </c>
      <c r="M10" s="26">
        <v>78</v>
      </c>
      <c r="O10" s="1" t="s">
        <v>14</v>
      </c>
      <c r="P10">
        <f>+M13</f>
        <v>2</v>
      </c>
    </row>
    <row r="11" spans="2:16" ht="19" thickBot="1" x14ac:dyDescent="0.5">
      <c r="B11" s="1" t="s">
        <v>11</v>
      </c>
      <c r="C11" s="1" t="s">
        <v>50</v>
      </c>
      <c r="D11" s="1">
        <v>5</v>
      </c>
      <c r="E11" s="1">
        <f>+M10</f>
        <v>78</v>
      </c>
      <c r="F11" s="1">
        <f>+D11*E11</f>
        <v>390</v>
      </c>
      <c r="H11" s="43" t="s">
        <v>51</v>
      </c>
      <c r="I11" s="43">
        <f>SUM(I5:I10)</f>
        <v>5451</v>
      </c>
      <c r="J11" s="43">
        <f>SUM(J5:J10)</f>
        <v>1210</v>
      </c>
      <c r="L11" s="36" t="s">
        <v>12</v>
      </c>
      <c r="M11" s="26">
        <v>13</v>
      </c>
      <c r="O11" s="1" t="s">
        <v>16</v>
      </c>
      <c r="P11">
        <f>+M15</f>
        <v>11</v>
      </c>
    </row>
    <row r="12" spans="2:16" ht="15" thickBot="1" x14ac:dyDescent="0.4">
      <c r="B12" s="1" t="s">
        <v>12</v>
      </c>
      <c r="C12" s="1" t="s">
        <v>50</v>
      </c>
      <c r="D12" s="1">
        <v>8</v>
      </c>
      <c r="E12" s="1">
        <f>+M11</f>
        <v>13</v>
      </c>
      <c r="F12" s="1">
        <f t="shared" ref="F12:F21" si="1">+D12*E12</f>
        <v>104</v>
      </c>
      <c r="L12" s="36" t="s">
        <v>13</v>
      </c>
      <c r="M12" s="26">
        <v>8</v>
      </c>
      <c r="O12" s="1" t="s">
        <v>8</v>
      </c>
      <c r="P12">
        <f>+M7</f>
        <v>132</v>
      </c>
    </row>
    <row r="13" spans="2:16" ht="15" thickBot="1" x14ac:dyDescent="0.4">
      <c r="B13" s="1" t="s">
        <v>13</v>
      </c>
      <c r="C13" s="1" t="s">
        <v>50</v>
      </c>
      <c r="D13" s="1">
        <v>8</v>
      </c>
      <c r="E13" s="1">
        <f>+M12</f>
        <v>8</v>
      </c>
      <c r="F13" s="1">
        <f t="shared" si="1"/>
        <v>64</v>
      </c>
      <c r="L13" s="36" t="s">
        <v>14</v>
      </c>
      <c r="M13" s="26">
        <v>2</v>
      </c>
      <c r="O13" s="1" t="s">
        <v>42</v>
      </c>
      <c r="P13">
        <f>+M42</f>
        <v>17</v>
      </c>
    </row>
    <row r="14" spans="2:16" ht="15" thickBot="1" x14ac:dyDescent="0.4">
      <c r="B14" s="1" t="s">
        <v>14</v>
      </c>
      <c r="C14" s="1" t="s">
        <v>50</v>
      </c>
      <c r="D14" s="1">
        <v>8</v>
      </c>
      <c r="E14" s="1">
        <f>M13</f>
        <v>2</v>
      </c>
      <c r="F14" s="1">
        <f t="shared" si="1"/>
        <v>16</v>
      </c>
      <c r="L14" s="36" t="s">
        <v>15</v>
      </c>
      <c r="M14" s="26">
        <v>0</v>
      </c>
      <c r="O14" s="1" t="s">
        <v>11</v>
      </c>
      <c r="P14">
        <f>+M10</f>
        <v>78</v>
      </c>
    </row>
    <row r="15" spans="2:16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0</v>
      </c>
      <c r="F15" s="1">
        <f t="shared" si="1"/>
        <v>0</v>
      </c>
      <c r="L15" s="36" t="s">
        <v>16</v>
      </c>
      <c r="M15" s="26">
        <v>11</v>
      </c>
      <c r="O15" s="1" t="s">
        <v>7</v>
      </c>
      <c r="P15">
        <f>+M6</f>
        <v>181</v>
      </c>
    </row>
    <row r="16" spans="2:16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11</v>
      </c>
      <c r="F16" s="1">
        <f t="shared" si="1"/>
        <v>88</v>
      </c>
      <c r="L16" s="36" t="s">
        <v>17</v>
      </c>
      <c r="M16" s="26">
        <v>3</v>
      </c>
      <c r="O16" s="1" t="s">
        <v>12</v>
      </c>
      <c r="P16">
        <f>+M11</f>
        <v>13</v>
      </c>
    </row>
    <row r="17" spans="2:16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3</v>
      </c>
      <c r="F17" s="1">
        <f t="shared" si="1"/>
        <v>24</v>
      </c>
      <c r="L17" s="36" t="s">
        <v>18</v>
      </c>
      <c r="M17" s="26">
        <v>16</v>
      </c>
      <c r="O17" s="1" t="s">
        <v>38</v>
      </c>
      <c r="P17">
        <f>+M38</f>
        <v>0</v>
      </c>
    </row>
    <row r="18" spans="2:16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16</v>
      </c>
      <c r="F18" s="1">
        <f t="shared" si="1"/>
        <v>128</v>
      </c>
      <c r="L18" s="36" t="s">
        <v>19</v>
      </c>
      <c r="M18" s="26">
        <v>16</v>
      </c>
      <c r="O18" s="1" t="s">
        <v>27</v>
      </c>
      <c r="P18">
        <f>+M26</f>
        <v>30</v>
      </c>
    </row>
    <row r="19" spans="2:16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16</v>
      </c>
      <c r="F19" s="1">
        <f t="shared" si="1"/>
        <v>128</v>
      </c>
      <c r="L19" s="36" t="s">
        <v>20</v>
      </c>
      <c r="M19" s="26">
        <v>29</v>
      </c>
      <c r="O19" s="1" t="s">
        <v>18</v>
      </c>
      <c r="P19">
        <f>+M17</f>
        <v>16</v>
      </c>
    </row>
    <row r="20" spans="2:16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29</v>
      </c>
      <c r="F20" s="1">
        <f t="shared" si="1"/>
        <v>232</v>
      </c>
      <c r="L20" s="36" t="s">
        <v>21</v>
      </c>
      <c r="M20" s="26">
        <v>4</v>
      </c>
      <c r="O20" s="1" t="s">
        <v>19</v>
      </c>
      <c r="P20">
        <f>+M18</f>
        <v>16</v>
      </c>
    </row>
    <row r="21" spans="2:16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4</v>
      </c>
      <c r="F21" s="1">
        <f t="shared" si="1"/>
        <v>32</v>
      </c>
      <c r="L21" s="35" t="s">
        <v>22</v>
      </c>
      <c r="M21" s="24">
        <v>151</v>
      </c>
      <c r="O21" s="1" t="s">
        <v>47</v>
      </c>
      <c r="P21">
        <f>+M47</f>
        <v>0</v>
      </c>
    </row>
    <row r="22" spans="2:16" ht="19" thickBot="1" x14ac:dyDescent="0.5">
      <c r="B22" s="1" t="s">
        <v>22</v>
      </c>
      <c r="C22" s="1"/>
      <c r="D22" s="1"/>
      <c r="E22" s="4">
        <f>SUM(E23:E29)</f>
        <v>151</v>
      </c>
      <c r="F22" s="4">
        <f>SUM(F23:F29)</f>
        <v>800</v>
      </c>
      <c r="L22" s="36" t="s">
        <v>23</v>
      </c>
      <c r="M22" s="26">
        <v>12</v>
      </c>
      <c r="O22" s="1" t="s">
        <v>15</v>
      </c>
      <c r="P22">
        <f>+M14</f>
        <v>0</v>
      </c>
    </row>
    <row r="23" spans="2:16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12</v>
      </c>
      <c r="F23" s="1">
        <f>+D23*E23</f>
        <v>60</v>
      </c>
      <c r="L23" s="36" t="s">
        <v>24</v>
      </c>
      <c r="M23" s="26">
        <v>8</v>
      </c>
      <c r="O23" s="1" t="s">
        <v>20</v>
      </c>
      <c r="P23">
        <f>+M19</f>
        <v>29</v>
      </c>
    </row>
    <row r="24" spans="2:16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8</v>
      </c>
      <c r="F24" s="1">
        <f t="shared" ref="F24:F29" si="4">+D24*E24</f>
        <v>40</v>
      </c>
      <c r="L24" s="36" t="s">
        <v>25</v>
      </c>
      <c r="M24" s="26">
        <v>74</v>
      </c>
      <c r="O24" s="1" t="s">
        <v>41</v>
      </c>
      <c r="P24">
        <f>+M41</f>
        <v>0</v>
      </c>
    </row>
    <row r="25" spans="2:16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74</v>
      </c>
      <c r="F25" s="1">
        <f t="shared" si="4"/>
        <v>370</v>
      </c>
      <c r="L25" s="36" t="s">
        <v>26</v>
      </c>
      <c r="M25" s="26">
        <v>12</v>
      </c>
      <c r="O25" s="1" t="s">
        <v>17</v>
      </c>
      <c r="P25">
        <f>+M16</f>
        <v>3</v>
      </c>
    </row>
    <row r="26" spans="2:16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12</v>
      </c>
      <c r="F26" s="1">
        <f t="shared" si="4"/>
        <v>60</v>
      </c>
      <c r="L26" s="36" t="s">
        <v>27</v>
      </c>
      <c r="M26" s="26">
        <v>30</v>
      </c>
      <c r="O26" s="1" t="s">
        <v>33</v>
      </c>
      <c r="P26">
        <f>+M32</f>
        <v>10</v>
      </c>
    </row>
    <row r="27" spans="2:16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30</v>
      </c>
      <c r="F27" s="1">
        <f t="shared" si="4"/>
        <v>150</v>
      </c>
      <c r="L27" s="36" t="s">
        <v>28</v>
      </c>
      <c r="M27" s="26">
        <v>15</v>
      </c>
      <c r="O27" s="1" t="s">
        <v>45</v>
      </c>
      <c r="P27">
        <f>+M45</f>
        <v>14</v>
      </c>
    </row>
    <row r="28" spans="2:16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15</v>
      </c>
      <c r="F28" s="1">
        <f t="shared" si="4"/>
        <v>120</v>
      </c>
      <c r="L28" s="36" t="s">
        <v>29</v>
      </c>
      <c r="M28" s="25"/>
      <c r="O28" s="1" t="s">
        <v>25</v>
      </c>
      <c r="P28">
        <f>+M24</f>
        <v>74</v>
      </c>
    </row>
    <row r="29" spans="2:16" ht="17.5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79</v>
      </c>
      <c r="O29" s="1" t="s">
        <v>46</v>
      </c>
      <c r="P29">
        <f>+M46</f>
        <v>0</v>
      </c>
    </row>
    <row r="30" spans="2:16" ht="19" thickBot="1" x14ac:dyDescent="0.5">
      <c r="B30" s="1" t="s">
        <v>30</v>
      </c>
      <c r="C30" s="1"/>
      <c r="D30" s="1"/>
      <c r="E30" s="4">
        <f>SUM(E31:E36)</f>
        <v>79</v>
      </c>
      <c r="F30" s="4">
        <f>SUM(F31:F36)</f>
        <v>545</v>
      </c>
      <c r="L30" s="36" t="s">
        <v>32</v>
      </c>
      <c r="M30" s="26">
        <v>29</v>
      </c>
      <c r="O30" s="1" t="s">
        <v>32</v>
      </c>
      <c r="P30">
        <f>+M30</f>
        <v>29</v>
      </c>
    </row>
    <row r="31" spans="2:16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+M30</f>
        <v>29</v>
      </c>
      <c r="F31" s="1">
        <f>+D31*E31</f>
        <v>145</v>
      </c>
      <c r="L31" s="36" t="s">
        <v>31</v>
      </c>
      <c r="M31" s="26">
        <v>24</v>
      </c>
      <c r="O31" s="1" t="s">
        <v>34</v>
      </c>
      <c r="P31">
        <f>+M33</f>
        <v>5</v>
      </c>
    </row>
    <row r="32" spans="2:16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24</v>
      </c>
      <c r="F32" s="1">
        <f t="shared" ref="F32:F36" si="6">+D32*E32</f>
        <v>192</v>
      </c>
      <c r="L32" s="36" t="s">
        <v>33</v>
      </c>
      <c r="M32" s="26">
        <v>10</v>
      </c>
      <c r="O32" s="1" t="s">
        <v>49</v>
      </c>
      <c r="P32">
        <f>+M48</f>
        <v>0</v>
      </c>
    </row>
    <row r="33" spans="2:16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10</v>
      </c>
      <c r="F33" s="1">
        <f t="shared" si="6"/>
        <v>80</v>
      </c>
      <c r="L33" s="36" t="s">
        <v>34</v>
      </c>
      <c r="M33" s="26">
        <v>5</v>
      </c>
      <c r="O33" s="1" t="s">
        <v>29</v>
      </c>
      <c r="P33">
        <f>+M28</f>
        <v>0</v>
      </c>
    </row>
    <row r="34" spans="2:16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5</v>
      </c>
      <c r="F34" s="1">
        <f t="shared" si="6"/>
        <v>40</v>
      </c>
      <c r="L34" s="37" t="s">
        <v>97</v>
      </c>
      <c r="M34" s="26">
        <v>0</v>
      </c>
      <c r="O34" s="1" t="s">
        <v>26</v>
      </c>
      <c r="P34">
        <f>+M25</f>
        <v>12</v>
      </c>
    </row>
    <row r="35" spans="2:16" ht="15" thickBot="1" x14ac:dyDescent="0.4">
      <c r="B35" s="1" t="s">
        <v>155</v>
      </c>
      <c r="C35" s="1" t="s">
        <v>50</v>
      </c>
      <c r="D35" s="1">
        <v>8</v>
      </c>
      <c r="E35" s="1">
        <f t="shared" si="5"/>
        <v>0</v>
      </c>
      <c r="F35" s="1">
        <f t="shared" si="6"/>
        <v>0</v>
      </c>
      <c r="L35" s="37" t="s">
        <v>35</v>
      </c>
      <c r="M35" s="26">
        <v>11</v>
      </c>
      <c r="O35" s="1" t="s">
        <v>21</v>
      </c>
      <c r="P35">
        <f>+M20</f>
        <v>4</v>
      </c>
    </row>
    <row r="36" spans="2:16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11</v>
      </c>
      <c r="F36" s="1">
        <f t="shared" si="6"/>
        <v>88</v>
      </c>
      <c r="L36" s="35" t="s">
        <v>36</v>
      </c>
      <c r="M36" s="24">
        <v>28</v>
      </c>
      <c r="O36" s="1" t="s">
        <v>23</v>
      </c>
      <c r="P36" s="1">
        <f>+M22</f>
        <v>12</v>
      </c>
    </row>
    <row r="37" spans="2:16" ht="19" thickBot="1" x14ac:dyDescent="0.5">
      <c r="B37" s="1" t="s">
        <v>36</v>
      </c>
      <c r="C37" s="1"/>
      <c r="D37" s="1"/>
      <c r="E37" s="4">
        <f>SUM(E38:E43)</f>
        <v>28</v>
      </c>
      <c r="F37" s="4">
        <f>SUM(F38:F43)</f>
        <v>224</v>
      </c>
      <c r="L37" s="36" t="s">
        <v>37</v>
      </c>
      <c r="M37" s="26">
        <v>0</v>
      </c>
      <c r="O37" s="1" t="s">
        <v>24</v>
      </c>
      <c r="P37" s="1">
        <f>+M23</f>
        <v>8</v>
      </c>
    </row>
    <row r="38" spans="2:16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7">+M37</f>
        <v>0</v>
      </c>
      <c r="F38" s="1">
        <f>+D38*E38</f>
        <v>0</v>
      </c>
      <c r="L38" s="36" t="s">
        <v>38</v>
      </c>
      <c r="M38" s="26">
        <v>0</v>
      </c>
      <c r="O38" s="1" t="s">
        <v>9</v>
      </c>
      <c r="P38" s="1">
        <f>+M8</f>
        <v>0</v>
      </c>
    </row>
    <row r="39" spans="2:16" ht="15" thickBot="1" x14ac:dyDescent="0.4">
      <c r="B39" s="1" t="s">
        <v>38</v>
      </c>
      <c r="C39" s="1" t="s">
        <v>50</v>
      </c>
      <c r="D39" s="1">
        <v>8</v>
      </c>
      <c r="E39" s="1">
        <f t="shared" si="7"/>
        <v>0</v>
      </c>
      <c r="F39" s="1">
        <f t="shared" ref="F39:F43" si="8">+D39*E39</f>
        <v>0</v>
      </c>
      <c r="L39" s="36" t="s">
        <v>39</v>
      </c>
      <c r="M39" s="26">
        <v>3</v>
      </c>
      <c r="O39" s="1" t="s">
        <v>155</v>
      </c>
      <c r="P39" s="1">
        <f>+M34</f>
        <v>0</v>
      </c>
    </row>
    <row r="40" spans="2:16" ht="15" thickBot="1" x14ac:dyDescent="0.4">
      <c r="B40" s="1" t="s">
        <v>39</v>
      </c>
      <c r="C40" s="1" t="s">
        <v>50</v>
      </c>
      <c r="D40" s="1">
        <v>8</v>
      </c>
      <c r="E40" s="1">
        <f t="shared" si="7"/>
        <v>3</v>
      </c>
      <c r="F40" s="1">
        <f t="shared" si="8"/>
        <v>24</v>
      </c>
      <c r="L40" s="36" t="s">
        <v>40</v>
      </c>
      <c r="M40" s="26">
        <v>8</v>
      </c>
      <c r="O40" s="1" t="s">
        <v>13</v>
      </c>
      <c r="P40" s="1">
        <f>+M12</f>
        <v>8</v>
      </c>
    </row>
    <row r="41" spans="2:16" ht="15" thickBot="1" x14ac:dyDescent="0.4">
      <c r="B41" s="1" t="s">
        <v>40</v>
      </c>
      <c r="C41" s="1" t="s">
        <v>50</v>
      </c>
      <c r="D41" s="1">
        <v>8</v>
      </c>
      <c r="E41" s="1">
        <f t="shared" si="7"/>
        <v>8</v>
      </c>
      <c r="F41" s="1">
        <f t="shared" si="8"/>
        <v>64</v>
      </c>
      <c r="L41" s="36" t="s">
        <v>98</v>
      </c>
      <c r="M41" s="26">
        <v>0</v>
      </c>
      <c r="O41" s="1" t="s">
        <v>31</v>
      </c>
      <c r="P41" s="1">
        <f>+M31</f>
        <v>24</v>
      </c>
    </row>
    <row r="42" spans="2:16" ht="15" thickBot="1" x14ac:dyDescent="0.4">
      <c r="B42" s="1" t="s">
        <v>41</v>
      </c>
      <c r="C42" s="1" t="s">
        <v>50</v>
      </c>
      <c r="D42" s="1">
        <v>8</v>
      </c>
      <c r="E42" s="1">
        <f t="shared" si="7"/>
        <v>0</v>
      </c>
      <c r="F42" s="1">
        <f t="shared" si="8"/>
        <v>0</v>
      </c>
      <c r="L42" s="36" t="s">
        <v>42</v>
      </c>
      <c r="M42" s="26">
        <v>17</v>
      </c>
      <c r="O42" s="1" t="s">
        <v>37</v>
      </c>
      <c r="P42" s="1">
        <f>+M37</f>
        <v>0</v>
      </c>
    </row>
    <row r="43" spans="2:16" ht="17.5" thickBot="1" x14ac:dyDescent="0.45">
      <c r="B43" s="1" t="s">
        <v>42</v>
      </c>
      <c r="C43" s="1" t="s">
        <v>50</v>
      </c>
      <c r="D43" s="1">
        <v>8</v>
      </c>
      <c r="E43" s="1">
        <f t="shared" si="7"/>
        <v>17</v>
      </c>
      <c r="F43" s="1">
        <f t="shared" si="8"/>
        <v>136</v>
      </c>
      <c r="L43" s="35" t="s">
        <v>43</v>
      </c>
      <c r="M43" s="24">
        <v>72</v>
      </c>
      <c r="O43" s="1" t="s">
        <v>39</v>
      </c>
      <c r="P43" s="1">
        <f>+M39</f>
        <v>3</v>
      </c>
    </row>
    <row r="44" spans="2:16" ht="19" thickBot="1" x14ac:dyDescent="0.5">
      <c r="B44" s="1" t="s">
        <v>43</v>
      </c>
      <c r="C44" s="1"/>
      <c r="D44" s="1"/>
      <c r="E44" s="4">
        <f>SUM(E45:E49)</f>
        <v>72</v>
      </c>
      <c r="F44" s="4">
        <f>SUM(F45:F49)</f>
        <v>576</v>
      </c>
      <c r="L44" s="36" t="s">
        <v>44</v>
      </c>
      <c r="M44" s="26">
        <v>58</v>
      </c>
      <c r="P44" s="97">
        <f>SUBTOTAL(109,P5:P43)</f>
        <v>1210</v>
      </c>
    </row>
    <row r="45" spans="2:16" ht="15" thickBot="1" x14ac:dyDescent="0.4">
      <c r="B45" s="1" t="s">
        <v>44</v>
      </c>
      <c r="C45" s="1" t="s">
        <v>50</v>
      </c>
      <c r="D45" s="1">
        <v>8</v>
      </c>
      <c r="E45" s="1">
        <f>+M44</f>
        <v>58</v>
      </c>
      <c r="F45" s="1">
        <f>+D45*E45</f>
        <v>464</v>
      </c>
      <c r="L45" s="36" t="s">
        <v>45</v>
      </c>
      <c r="M45" s="26">
        <v>14</v>
      </c>
    </row>
    <row r="46" spans="2:16" ht="15" thickBot="1" x14ac:dyDescent="0.4">
      <c r="B46" s="1" t="s">
        <v>45</v>
      </c>
      <c r="C46" s="1" t="s">
        <v>50</v>
      </c>
      <c r="D46" s="1">
        <v>8</v>
      </c>
      <c r="E46" s="1">
        <f>+M45</f>
        <v>14</v>
      </c>
      <c r="F46" s="1">
        <f t="shared" ref="F46:F49" si="9">+D46*E46</f>
        <v>112</v>
      </c>
      <c r="L46" s="36" t="s">
        <v>46</v>
      </c>
      <c r="M46" s="26">
        <v>0</v>
      </c>
    </row>
    <row r="47" spans="2:16" ht="15" thickBot="1" x14ac:dyDescent="0.4">
      <c r="B47" s="1" t="s">
        <v>46</v>
      </c>
      <c r="C47" s="1" t="s">
        <v>50</v>
      </c>
      <c r="D47" s="1">
        <v>8</v>
      </c>
      <c r="E47" s="1">
        <f>+M46</f>
        <v>0</v>
      </c>
      <c r="F47" s="1">
        <f t="shared" si="9"/>
        <v>0</v>
      </c>
      <c r="L47" s="36" t="s">
        <v>47</v>
      </c>
      <c r="M47" s="26">
        <v>0</v>
      </c>
    </row>
    <row r="48" spans="2:16" ht="15" thickBot="1" x14ac:dyDescent="0.4">
      <c r="B48" s="1" t="s">
        <v>47</v>
      </c>
      <c r="C48" s="1" t="s">
        <v>50</v>
      </c>
      <c r="D48" s="1">
        <v>8</v>
      </c>
      <c r="E48" s="1">
        <f>+M47</f>
        <v>0</v>
      </c>
      <c r="F48" s="1">
        <f t="shared" si="9"/>
        <v>0</v>
      </c>
      <c r="L48" s="36" t="s">
        <v>49</v>
      </c>
      <c r="M48" s="26">
        <v>0</v>
      </c>
    </row>
    <row r="49" spans="2:13" ht="15" thickBot="1" x14ac:dyDescent="0.4">
      <c r="B49" s="1" t="s">
        <v>49</v>
      </c>
      <c r="C49" s="1" t="s">
        <v>50</v>
      </c>
      <c r="D49" s="1">
        <v>8</v>
      </c>
      <c r="E49" s="1">
        <f>+M48</f>
        <v>0</v>
      </c>
      <c r="F49" s="1">
        <f t="shared" si="9"/>
        <v>0</v>
      </c>
      <c r="L49" s="21"/>
      <c r="M49" s="21"/>
    </row>
    <row r="50" spans="2:13" ht="19" thickBot="1" x14ac:dyDescent="0.5">
      <c r="B50" s="103" t="s">
        <v>51</v>
      </c>
      <c r="C50" s="104"/>
      <c r="D50" s="105"/>
      <c r="E50" s="4">
        <f>+E44+E37+E30+E22+E10+E5</f>
        <v>1210</v>
      </c>
      <c r="F50" s="4">
        <f>+F44+F37+F30+F22+F10+F5</f>
        <v>5451</v>
      </c>
      <c r="L50" s="21" t="s">
        <v>51</v>
      </c>
      <c r="M50" s="38">
        <v>1210</v>
      </c>
    </row>
    <row r="51" spans="2:13" ht="17.5" thickBot="1" x14ac:dyDescent="0.45">
      <c r="L51" s="21" t="s">
        <v>51</v>
      </c>
      <c r="M51" s="38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1262-A8BB-4DD5-AD42-162BFD268C2C}">
  <dimension ref="B1:P51"/>
  <sheetViews>
    <sheetView workbookViewId="0">
      <selection activeCell="J11" sqref="J11"/>
    </sheetView>
  </sheetViews>
  <sheetFormatPr baseColWidth="10" defaultRowHeight="14.5" x14ac:dyDescent="0.35"/>
  <cols>
    <col min="2" max="2" width="13.1796875" bestFit="1" customWidth="1"/>
    <col min="9" max="9" width="10.36328125" bestFit="1" customWidth="1"/>
    <col min="10" max="10" width="15.7265625" bestFit="1" customWidth="1"/>
    <col min="12" max="12" width="13.81640625" bestFit="1" customWidth="1"/>
    <col min="15" max="15" width="13.1796875" bestFit="1" customWidth="1"/>
    <col min="16" max="16" width="10.36328125" bestFit="1" customWidth="1"/>
  </cols>
  <sheetData>
    <row r="1" spans="2:16" ht="15" thickBot="1" x14ac:dyDescent="0.4"/>
    <row r="2" spans="2:16" ht="44" thickBot="1" x14ac:dyDescent="0.4">
      <c r="B2" s="102" t="s">
        <v>117</v>
      </c>
      <c r="C2" s="102"/>
      <c r="D2" s="102"/>
      <c r="E2" s="102"/>
      <c r="F2" s="102"/>
      <c r="L2" s="33"/>
      <c r="M2" s="33"/>
    </row>
    <row r="3" spans="2:16" ht="58.5" thickBot="1" x14ac:dyDescent="0.4">
      <c r="L3" s="44" t="s">
        <v>95</v>
      </c>
      <c r="M3" s="45" t="s">
        <v>169</v>
      </c>
    </row>
    <row r="4" spans="2:16" ht="17.5" thickBot="1" x14ac:dyDescent="0.45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46" t="s">
        <v>116</v>
      </c>
      <c r="I4" s="46" t="s">
        <v>114</v>
      </c>
      <c r="J4" s="46" t="s">
        <v>115</v>
      </c>
      <c r="L4" s="35" t="s">
        <v>59</v>
      </c>
      <c r="M4" s="24">
        <v>640</v>
      </c>
      <c r="O4" t="s">
        <v>158</v>
      </c>
      <c r="P4" t="s">
        <v>159</v>
      </c>
    </row>
    <row r="5" spans="2:16" ht="19" thickBot="1" x14ac:dyDescent="0.5">
      <c r="B5" s="1" t="s">
        <v>59</v>
      </c>
      <c r="C5" s="1"/>
      <c r="D5" s="1"/>
      <c r="E5" s="4">
        <f>SUM(E6:E9)</f>
        <v>640</v>
      </c>
      <c r="F5" s="4">
        <f>SUM(F6:F9)</f>
        <v>1920</v>
      </c>
      <c r="H5" s="2" t="s">
        <v>67</v>
      </c>
      <c r="I5" s="2">
        <f>+F5</f>
        <v>1920</v>
      </c>
      <c r="J5" s="2">
        <f>+E5</f>
        <v>640</v>
      </c>
      <c r="L5" s="36" t="s">
        <v>6</v>
      </c>
      <c r="M5" s="26">
        <v>343</v>
      </c>
      <c r="O5" s="1" t="s">
        <v>40</v>
      </c>
      <c r="P5" s="1">
        <f>+M40</f>
        <v>5</v>
      </c>
    </row>
    <row r="6" spans="2:16" ht="15" thickBot="1" x14ac:dyDescent="0.4">
      <c r="B6" s="1" t="s">
        <v>6</v>
      </c>
      <c r="C6" s="1" t="s">
        <v>50</v>
      </c>
      <c r="D6" s="1">
        <v>3</v>
      </c>
      <c r="E6" s="1">
        <f>+M5</f>
        <v>343</v>
      </c>
      <c r="F6" s="1">
        <f>+D6*E6</f>
        <v>1029</v>
      </c>
      <c r="H6" s="2" t="s">
        <v>68</v>
      </c>
      <c r="I6" s="2">
        <f>+F10</f>
        <v>1141</v>
      </c>
      <c r="J6" s="2">
        <f>+E10</f>
        <v>176</v>
      </c>
      <c r="L6" s="36" t="s">
        <v>7</v>
      </c>
      <c r="M6" s="26">
        <v>181</v>
      </c>
      <c r="O6" s="1" t="s">
        <v>6</v>
      </c>
      <c r="P6" s="1">
        <f>+M5</f>
        <v>343</v>
      </c>
    </row>
    <row r="7" spans="2:16" ht="15" thickBot="1" x14ac:dyDescent="0.4">
      <c r="B7" s="1" t="s">
        <v>7</v>
      </c>
      <c r="C7" s="1" t="s">
        <v>50</v>
      </c>
      <c r="D7" s="1">
        <v>3</v>
      </c>
      <c r="E7" s="1">
        <f>+M6</f>
        <v>181</v>
      </c>
      <c r="F7" s="1">
        <f t="shared" ref="F7:F9" si="0">+D7*E7</f>
        <v>543</v>
      </c>
      <c r="H7" s="2" t="s">
        <v>69</v>
      </c>
      <c r="I7" s="2">
        <f>+F22</f>
        <v>764</v>
      </c>
      <c r="J7" s="2">
        <f>+E22</f>
        <v>145</v>
      </c>
      <c r="L7" s="36" t="s">
        <v>8</v>
      </c>
      <c r="M7" s="26">
        <v>116</v>
      </c>
      <c r="O7" s="1" t="s">
        <v>35</v>
      </c>
      <c r="P7" s="1">
        <f>+M35</f>
        <v>13</v>
      </c>
    </row>
    <row r="8" spans="2:16" ht="15" thickBot="1" x14ac:dyDescent="0.4">
      <c r="B8" s="1" t="s">
        <v>8</v>
      </c>
      <c r="C8" s="1" t="s">
        <v>50</v>
      </c>
      <c r="D8" s="1">
        <v>3</v>
      </c>
      <c r="E8" s="1">
        <f>+M7</f>
        <v>116</v>
      </c>
      <c r="F8" s="1">
        <f t="shared" si="0"/>
        <v>348</v>
      </c>
      <c r="H8" s="2" t="s">
        <v>70</v>
      </c>
      <c r="I8" s="2">
        <f>+F30</f>
        <v>491</v>
      </c>
      <c r="J8" s="2">
        <f>+E30</f>
        <v>76</v>
      </c>
      <c r="L8" s="36" t="s">
        <v>9</v>
      </c>
      <c r="M8" s="25"/>
      <c r="O8" s="1" t="s">
        <v>28</v>
      </c>
      <c r="P8" s="1">
        <f>+M27</f>
        <v>13</v>
      </c>
    </row>
    <row r="9" spans="2:16" ht="17.5" thickBot="1" x14ac:dyDescent="0.45">
      <c r="B9" s="1" t="s">
        <v>9</v>
      </c>
      <c r="C9" s="1" t="s">
        <v>50</v>
      </c>
      <c r="D9" s="1">
        <v>3</v>
      </c>
      <c r="E9" s="1">
        <f>+M8</f>
        <v>0</v>
      </c>
      <c r="F9" s="1">
        <f t="shared" si="0"/>
        <v>0</v>
      </c>
      <c r="H9" s="2" t="s">
        <v>71</v>
      </c>
      <c r="I9" s="2">
        <f>+F37</f>
        <v>112</v>
      </c>
      <c r="J9" s="2">
        <f>+E37</f>
        <v>14</v>
      </c>
      <c r="L9" s="35" t="s">
        <v>10</v>
      </c>
      <c r="M9" s="24">
        <v>176</v>
      </c>
      <c r="O9" s="1" t="s">
        <v>44</v>
      </c>
      <c r="P9">
        <f>+M44</f>
        <v>33</v>
      </c>
    </row>
    <row r="10" spans="2:16" ht="19" thickBot="1" x14ac:dyDescent="0.5">
      <c r="B10" s="1" t="s">
        <v>10</v>
      </c>
      <c r="C10" s="1"/>
      <c r="D10" s="1"/>
      <c r="E10" s="4">
        <f>SUM(E11:E21)</f>
        <v>176</v>
      </c>
      <c r="F10" s="4">
        <f>SUM(F11:F21)</f>
        <v>1141</v>
      </c>
      <c r="H10" s="2" t="s">
        <v>44</v>
      </c>
      <c r="I10" s="2">
        <f>+F44</f>
        <v>496</v>
      </c>
      <c r="J10" s="2">
        <f>+E44</f>
        <v>62</v>
      </c>
      <c r="L10" s="36" t="s">
        <v>11</v>
      </c>
      <c r="M10" s="26">
        <v>89</v>
      </c>
      <c r="O10" s="1" t="s">
        <v>14</v>
      </c>
      <c r="P10">
        <f>+M13</f>
        <v>4</v>
      </c>
    </row>
    <row r="11" spans="2:16" ht="19" thickBot="1" x14ac:dyDescent="0.5">
      <c r="B11" s="1" t="s">
        <v>11</v>
      </c>
      <c r="C11" s="1" t="s">
        <v>50</v>
      </c>
      <c r="D11" s="1">
        <v>5</v>
      </c>
      <c r="E11" s="1">
        <f>+M10</f>
        <v>89</v>
      </c>
      <c r="F11" s="1">
        <f>+D11*E11</f>
        <v>445</v>
      </c>
      <c r="H11" s="43" t="s">
        <v>51</v>
      </c>
      <c r="I11" s="43">
        <f>SUM(I5:I10)</f>
        <v>4924</v>
      </c>
      <c r="J11" s="43">
        <f>SUM(J5:J10)</f>
        <v>1113</v>
      </c>
      <c r="L11" s="36" t="s">
        <v>12</v>
      </c>
      <c r="M11" s="26">
        <v>8</v>
      </c>
      <c r="O11" s="1" t="s">
        <v>16</v>
      </c>
      <c r="P11">
        <f>+M15</f>
        <v>15</v>
      </c>
    </row>
    <row r="12" spans="2:16" ht="15" thickBot="1" x14ac:dyDescent="0.4">
      <c r="B12" s="1" t="s">
        <v>12</v>
      </c>
      <c r="C12" s="1" t="s">
        <v>50</v>
      </c>
      <c r="D12" s="1">
        <v>8</v>
      </c>
      <c r="E12" s="1">
        <f>+M11</f>
        <v>8</v>
      </c>
      <c r="F12" s="1">
        <f t="shared" ref="F12:F21" si="1">+D12*E12</f>
        <v>64</v>
      </c>
      <c r="L12" s="36" t="s">
        <v>13</v>
      </c>
      <c r="M12" s="26">
        <v>6</v>
      </c>
      <c r="O12" s="1" t="s">
        <v>8</v>
      </c>
      <c r="P12">
        <f>+M7</f>
        <v>116</v>
      </c>
    </row>
    <row r="13" spans="2:16" ht="15" thickBot="1" x14ac:dyDescent="0.4">
      <c r="B13" s="1" t="s">
        <v>13</v>
      </c>
      <c r="C13" s="1" t="s">
        <v>50</v>
      </c>
      <c r="D13" s="1">
        <v>8</v>
      </c>
      <c r="E13" s="1">
        <f>+M12</f>
        <v>6</v>
      </c>
      <c r="F13" s="1">
        <f t="shared" si="1"/>
        <v>48</v>
      </c>
      <c r="L13" s="36" t="s">
        <v>14</v>
      </c>
      <c r="M13" s="26">
        <v>4</v>
      </c>
      <c r="O13" s="1" t="s">
        <v>42</v>
      </c>
      <c r="P13">
        <f>+M42</f>
        <v>4</v>
      </c>
    </row>
    <row r="14" spans="2:16" ht="15" thickBot="1" x14ac:dyDescent="0.4">
      <c r="B14" s="1" t="s">
        <v>14</v>
      </c>
      <c r="C14" s="1" t="s">
        <v>50</v>
      </c>
      <c r="D14" s="1">
        <v>8</v>
      </c>
      <c r="E14" s="1">
        <f>M13</f>
        <v>4</v>
      </c>
      <c r="F14" s="1">
        <f t="shared" si="1"/>
        <v>32</v>
      </c>
      <c r="L14" s="36" t="s">
        <v>15</v>
      </c>
      <c r="M14" s="26">
        <v>3</v>
      </c>
      <c r="O14" s="1" t="s">
        <v>11</v>
      </c>
      <c r="P14">
        <f>+M10</f>
        <v>89</v>
      </c>
    </row>
    <row r="15" spans="2:16" ht="15" thickBot="1" x14ac:dyDescent="0.4">
      <c r="B15" s="1" t="s">
        <v>15</v>
      </c>
      <c r="C15" s="1" t="s">
        <v>50</v>
      </c>
      <c r="D15" s="1">
        <v>8</v>
      </c>
      <c r="E15" s="1">
        <f t="shared" ref="E15:E21" si="2">+M14</f>
        <v>3</v>
      </c>
      <c r="F15" s="1">
        <f t="shared" si="1"/>
        <v>24</v>
      </c>
      <c r="L15" s="36" t="s">
        <v>16</v>
      </c>
      <c r="M15" s="26">
        <v>15</v>
      </c>
      <c r="O15" s="1" t="s">
        <v>7</v>
      </c>
      <c r="P15">
        <f>+M6</f>
        <v>181</v>
      </c>
    </row>
    <row r="16" spans="2:16" ht="15" thickBot="1" x14ac:dyDescent="0.4">
      <c r="B16" s="1" t="s">
        <v>16</v>
      </c>
      <c r="C16" s="1" t="s">
        <v>50</v>
      </c>
      <c r="D16" s="1">
        <v>8</v>
      </c>
      <c r="E16" s="1">
        <f t="shared" si="2"/>
        <v>15</v>
      </c>
      <c r="F16" s="1">
        <f t="shared" si="1"/>
        <v>120</v>
      </c>
      <c r="L16" s="36" t="s">
        <v>17</v>
      </c>
      <c r="M16" s="26">
        <v>8</v>
      </c>
      <c r="O16" s="1" t="s">
        <v>12</v>
      </c>
      <c r="P16">
        <f>+M11</f>
        <v>8</v>
      </c>
    </row>
    <row r="17" spans="2:16" ht="15" thickBot="1" x14ac:dyDescent="0.4">
      <c r="B17" s="1" t="s">
        <v>17</v>
      </c>
      <c r="C17" s="1" t="s">
        <v>50</v>
      </c>
      <c r="D17" s="1">
        <v>8</v>
      </c>
      <c r="E17" s="1">
        <f t="shared" si="2"/>
        <v>8</v>
      </c>
      <c r="F17" s="1">
        <f t="shared" si="1"/>
        <v>64</v>
      </c>
      <c r="L17" s="36" t="s">
        <v>18</v>
      </c>
      <c r="M17" s="26">
        <v>11</v>
      </c>
      <c r="O17" s="1" t="s">
        <v>38</v>
      </c>
      <c r="P17">
        <f>+M38</f>
        <v>0</v>
      </c>
    </row>
    <row r="18" spans="2:16" ht="15" thickBot="1" x14ac:dyDescent="0.4">
      <c r="B18" s="1" t="s">
        <v>18</v>
      </c>
      <c r="C18" s="1" t="s">
        <v>50</v>
      </c>
      <c r="D18" s="1">
        <v>8</v>
      </c>
      <c r="E18" s="1">
        <f t="shared" si="2"/>
        <v>11</v>
      </c>
      <c r="F18" s="1">
        <f t="shared" si="1"/>
        <v>88</v>
      </c>
      <c r="L18" s="36" t="s">
        <v>19</v>
      </c>
      <c r="M18" s="26">
        <v>17</v>
      </c>
      <c r="O18" s="1" t="s">
        <v>27</v>
      </c>
      <c r="P18">
        <f>+M26</f>
        <v>27</v>
      </c>
    </row>
    <row r="19" spans="2:16" ht="15" thickBot="1" x14ac:dyDescent="0.4">
      <c r="B19" s="1" t="s">
        <v>19</v>
      </c>
      <c r="C19" s="1" t="s">
        <v>50</v>
      </c>
      <c r="D19" s="1">
        <v>8</v>
      </c>
      <c r="E19" s="1">
        <f t="shared" si="2"/>
        <v>17</v>
      </c>
      <c r="F19" s="1">
        <f t="shared" si="1"/>
        <v>136</v>
      </c>
      <c r="L19" s="36" t="s">
        <v>20</v>
      </c>
      <c r="M19" s="26">
        <v>15</v>
      </c>
      <c r="O19" s="1" t="s">
        <v>18</v>
      </c>
      <c r="P19">
        <f>+M17</f>
        <v>11</v>
      </c>
    </row>
    <row r="20" spans="2:16" ht="15" thickBot="1" x14ac:dyDescent="0.4">
      <c r="B20" s="1" t="s">
        <v>20</v>
      </c>
      <c r="C20" s="1" t="s">
        <v>50</v>
      </c>
      <c r="D20" s="1">
        <v>8</v>
      </c>
      <c r="E20" s="1">
        <f t="shared" si="2"/>
        <v>15</v>
      </c>
      <c r="F20" s="1">
        <f t="shared" si="1"/>
        <v>120</v>
      </c>
      <c r="L20" s="36" t="s">
        <v>21</v>
      </c>
      <c r="M20" s="26">
        <v>0</v>
      </c>
      <c r="O20" s="1" t="s">
        <v>19</v>
      </c>
      <c r="P20">
        <f>+M18</f>
        <v>17</v>
      </c>
    </row>
    <row r="21" spans="2:16" ht="17.5" thickBot="1" x14ac:dyDescent="0.45">
      <c r="B21" s="1" t="s">
        <v>21</v>
      </c>
      <c r="C21" s="1" t="s">
        <v>50</v>
      </c>
      <c r="D21" s="1">
        <v>8</v>
      </c>
      <c r="E21" s="1">
        <f t="shared" si="2"/>
        <v>0</v>
      </c>
      <c r="F21" s="1">
        <f t="shared" si="1"/>
        <v>0</v>
      </c>
      <c r="L21" s="35" t="s">
        <v>22</v>
      </c>
      <c r="M21" s="24">
        <v>145</v>
      </c>
      <c r="O21" s="1" t="s">
        <v>47</v>
      </c>
      <c r="P21">
        <f>+M47</f>
        <v>0</v>
      </c>
    </row>
    <row r="22" spans="2:16" ht="19" thickBot="1" x14ac:dyDescent="0.5">
      <c r="B22" s="1" t="s">
        <v>22</v>
      </c>
      <c r="C22" s="1"/>
      <c r="D22" s="1"/>
      <c r="E22" s="4">
        <f>SUM(E23:E29)</f>
        <v>145</v>
      </c>
      <c r="F22" s="4">
        <f>SUM(F23:F29)</f>
        <v>764</v>
      </c>
      <c r="L22" s="36" t="s">
        <v>23</v>
      </c>
      <c r="M22" s="26">
        <v>14</v>
      </c>
      <c r="O22" s="1" t="s">
        <v>15</v>
      </c>
      <c r="P22">
        <f>+M14</f>
        <v>3</v>
      </c>
    </row>
    <row r="23" spans="2:16" ht="15" thickBot="1" x14ac:dyDescent="0.4">
      <c r="B23" s="1" t="s">
        <v>23</v>
      </c>
      <c r="C23" s="1" t="s">
        <v>50</v>
      </c>
      <c r="D23" s="1">
        <v>5</v>
      </c>
      <c r="E23" s="1">
        <f t="shared" ref="E23:E29" si="3">+M22</f>
        <v>14</v>
      </c>
      <c r="F23" s="1">
        <f>+D23*E23</f>
        <v>70</v>
      </c>
      <c r="L23" s="36" t="s">
        <v>24</v>
      </c>
      <c r="M23" s="26">
        <v>9</v>
      </c>
      <c r="O23" s="1" t="s">
        <v>20</v>
      </c>
      <c r="P23">
        <f>+M19</f>
        <v>15</v>
      </c>
    </row>
    <row r="24" spans="2:16" ht="15" thickBot="1" x14ac:dyDescent="0.4">
      <c r="B24" s="1" t="s">
        <v>24</v>
      </c>
      <c r="C24" s="1" t="s">
        <v>50</v>
      </c>
      <c r="D24" s="1">
        <v>5</v>
      </c>
      <c r="E24" s="1">
        <f t="shared" si="3"/>
        <v>9</v>
      </c>
      <c r="F24" s="1">
        <f t="shared" ref="F24:F29" si="4">+D24*E24</f>
        <v>45</v>
      </c>
      <c r="L24" s="36" t="s">
        <v>25</v>
      </c>
      <c r="M24" s="26">
        <v>68</v>
      </c>
      <c r="O24" s="1" t="s">
        <v>41</v>
      </c>
      <c r="P24">
        <f>+M41</f>
        <v>2</v>
      </c>
    </row>
    <row r="25" spans="2:16" ht="15" thickBot="1" x14ac:dyDescent="0.4">
      <c r="B25" s="1" t="s">
        <v>25</v>
      </c>
      <c r="C25" s="1" t="s">
        <v>50</v>
      </c>
      <c r="D25" s="1">
        <v>5</v>
      </c>
      <c r="E25" s="1">
        <f t="shared" si="3"/>
        <v>68</v>
      </c>
      <c r="F25" s="1">
        <f t="shared" si="4"/>
        <v>340</v>
      </c>
      <c r="L25" s="36" t="s">
        <v>26</v>
      </c>
      <c r="M25" s="26">
        <v>14</v>
      </c>
      <c r="O25" s="1" t="s">
        <v>17</v>
      </c>
      <c r="P25">
        <f>+M16</f>
        <v>8</v>
      </c>
    </row>
    <row r="26" spans="2:16" ht="15" thickBot="1" x14ac:dyDescent="0.4">
      <c r="B26" s="1" t="s">
        <v>26</v>
      </c>
      <c r="C26" s="1" t="s">
        <v>50</v>
      </c>
      <c r="D26" s="1">
        <v>5</v>
      </c>
      <c r="E26" s="1">
        <f t="shared" si="3"/>
        <v>14</v>
      </c>
      <c r="F26" s="1">
        <f t="shared" si="4"/>
        <v>70</v>
      </c>
      <c r="L26" s="36" t="s">
        <v>27</v>
      </c>
      <c r="M26" s="26">
        <v>27</v>
      </c>
      <c r="O26" s="1" t="s">
        <v>33</v>
      </c>
      <c r="P26">
        <f>+M32</f>
        <v>6</v>
      </c>
    </row>
    <row r="27" spans="2:16" ht="15" thickBot="1" x14ac:dyDescent="0.4">
      <c r="B27" s="1" t="s">
        <v>27</v>
      </c>
      <c r="C27" s="1" t="s">
        <v>50</v>
      </c>
      <c r="D27" s="1">
        <v>5</v>
      </c>
      <c r="E27" s="1">
        <f t="shared" si="3"/>
        <v>27</v>
      </c>
      <c r="F27" s="1">
        <f t="shared" si="4"/>
        <v>135</v>
      </c>
      <c r="L27" s="36" t="s">
        <v>28</v>
      </c>
      <c r="M27" s="26">
        <v>13</v>
      </c>
      <c r="O27" s="1" t="s">
        <v>45</v>
      </c>
      <c r="P27">
        <f>+M45</f>
        <v>8</v>
      </c>
    </row>
    <row r="28" spans="2:16" ht="15" thickBot="1" x14ac:dyDescent="0.4">
      <c r="B28" s="1" t="s">
        <v>28</v>
      </c>
      <c r="C28" s="1" t="s">
        <v>50</v>
      </c>
      <c r="D28" s="1">
        <v>8</v>
      </c>
      <c r="E28" s="1">
        <f t="shared" si="3"/>
        <v>13</v>
      </c>
      <c r="F28" s="1">
        <f t="shared" si="4"/>
        <v>104</v>
      </c>
      <c r="L28" s="36" t="s">
        <v>29</v>
      </c>
      <c r="M28" s="25"/>
      <c r="O28" s="1" t="s">
        <v>25</v>
      </c>
      <c r="P28">
        <f>+M24</f>
        <v>68</v>
      </c>
    </row>
    <row r="29" spans="2:16" ht="17.5" thickBot="1" x14ac:dyDescent="0.45">
      <c r="B29" s="1" t="s">
        <v>29</v>
      </c>
      <c r="C29" s="1" t="s">
        <v>50</v>
      </c>
      <c r="D29" s="1">
        <v>8</v>
      </c>
      <c r="E29" s="1">
        <f t="shared" si="3"/>
        <v>0</v>
      </c>
      <c r="F29" s="1">
        <f t="shared" si="4"/>
        <v>0</v>
      </c>
      <c r="L29" s="35" t="s">
        <v>30</v>
      </c>
      <c r="M29" s="24">
        <v>76</v>
      </c>
      <c r="O29" s="1" t="s">
        <v>46</v>
      </c>
      <c r="P29">
        <f>+M46</f>
        <v>6</v>
      </c>
    </row>
    <row r="30" spans="2:16" ht="19" thickBot="1" x14ac:dyDescent="0.5">
      <c r="B30" s="1" t="s">
        <v>30</v>
      </c>
      <c r="C30" s="1"/>
      <c r="D30" s="1"/>
      <c r="E30" s="4">
        <f>SUM(E31:E36)</f>
        <v>76</v>
      </c>
      <c r="F30" s="4">
        <f>SUM(F31:F36)</f>
        <v>491</v>
      </c>
      <c r="L30" s="36" t="s">
        <v>32</v>
      </c>
      <c r="M30" s="26">
        <v>39</v>
      </c>
      <c r="O30" s="1" t="s">
        <v>32</v>
      </c>
      <c r="P30">
        <f>+M30</f>
        <v>39</v>
      </c>
    </row>
    <row r="31" spans="2:16" ht="15" thickBot="1" x14ac:dyDescent="0.4">
      <c r="B31" s="1" t="s">
        <v>32</v>
      </c>
      <c r="C31" s="1" t="s">
        <v>50</v>
      </c>
      <c r="D31" s="1">
        <v>5</v>
      </c>
      <c r="E31" s="1">
        <f t="shared" ref="E31:E36" si="5">+M30</f>
        <v>39</v>
      </c>
      <c r="F31" s="1">
        <f>+D31*E31</f>
        <v>195</v>
      </c>
      <c r="L31" s="36" t="s">
        <v>31</v>
      </c>
      <c r="M31" s="26">
        <v>12</v>
      </c>
      <c r="O31" s="1" t="s">
        <v>34</v>
      </c>
      <c r="P31">
        <f>+M33</f>
        <v>6</v>
      </c>
    </row>
    <row r="32" spans="2:16" ht="15" thickBot="1" x14ac:dyDescent="0.4">
      <c r="B32" s="1" t="s">
        <v>31</v>
      </c>
      <c r="C32" s="1" t="s">
        <v>50</v>
      </c>
      <c r="D32" s="1">
        <v>8</v>
      </c>
      <c r="E32" s="1">
        <f t="shared" si="5"/>
        <v>12</v>
      </c>
      <c r="F32" s="1">
        <f t="shared" ref="F32:F36" si="6">+D32*E32</f>
        <v>96</v>
      </c>
      <c r="L32" s="36" t="s">
        <v>33</v>
      </c>
      <c r="M32" s="26">
        <v>6</v>
      </c>
      <c r="O32" s="1" t="s">
        <v>49</v>
      </c>
      <c r="P32">
        <f>+M48</f>
        <v>15</v>
      </c>
    </row>
    <row r="33" spans="2:16" ht="15" thickBot="1" x14ac:dyDescent="0.4">
      <c r="B33" s="1" t="s">
        <v>33</v>
      </c>
      <c r="C33" s="1" t="s">
        <v>50</v>
      </c>
      <c r="D33" s="1">
        <v>8</v>
      </c>
      <c r="E33" s="1">
        <f t="shared" si="5"/>
        <v>6</v>
      </c>
      <c r="F33" s="1">
        <f t="shared" si="6"/>
        <v>48</v>
      </c>
      <c r="L33" s="36" t="s">
        <v>34</v>
      </c>
      <c r="M33" s="26">
        <v>6</v>
      </c>
      <c r="O33" s="1" t="s">
        <v>29</v>
      </c>
      <c r="P33">
        <f>+M28</f>
        <v>0</v>
      </c>
    </row>
    <row r="34" spans="2:16" ht="15" thickBot="1" x14ac:dyDescent="0.4">
      <c r="B34" s="1" t="s">
        <v>34</v>
      </c>
      <c r="C34" s="1" t="s">
        <v>50</v>
      </c>
      <c r="D34" s="1">
        <v>8</v>
      </c>
      <c r="E34" s="1">
        <f t="shared" si="5"/>
        <v>6</v>
      </c>
      <c r="F34" s="1">
        <f t="shared" si="6"/>
        <v>48</v>
      </c>
      <c r="L34" s="37" t="s">
        <v>97</v>
      </c>
      <c r="M34" s="26">
        <v>0</v>
      </c>
      <c r="O34" s="1" t="s">
        <v>26</v>
      </c>
      <c r="P34">
        <f>+M25</f>
        <v>14</v>
      </c>
    </row>
    <row r="35" spans="2:16" ht="15" thickBot="1" x14ac:dyDescent="0.4">
      <c r="B35" s="1" t="s">
        <v>155</v>
      </c>
      <c r="C35" s="1" t="s">
        <v>50</v>
      </c>
      <c r="D35" s="1">
        <v>8</v>
      </c>
      <c r="E35" s="1">
        <f t="shared" si="5"/>
        <v>0</v>
      </c>
      <c r="F35" s="1">
        <f t="shared" si="6"/>
        <v>0</v>
      </c>
      <c r="L35" s="37" t="s">
        <v>35</v>
      </c>
      <c r="M35" s="26">
        <v>13</v>
      </c>
      <c r="O35" s="1" t="s">
        <v>21</v>
      </c>
      <c r="P35">
        <f>+M20</f>
        <v>0</v>
      </c>
    </row>
    <row r="36" spans="2:16" ht="30" thickBot="1" x14ac:dyDescent="0.45">
      <c r="B36" s="1" t="s">
        <v>35</v>
      </c>
      <c r="C36" s="1" t="s">
        <v>50</v>
      </c>
      <c r="D36" s="1">
        <v>8</v>
      </c>
      <c r="E36" s="1">
        <f t="shared" si="5"/>
        <v>13</v>
      </c>
      <c r="F36" s="1">
        <f t="shared" si="6"/>
        <v>104</v>
      </c>
      <c r="L36" s="35" t="s">
        <v>36</v>
      </c>
      <c r="M36" s="24">
        <v>14</v>
      </c>
      <c r="O36" s="1" t="s">
        <v>23</v>
      </c>
      <c r="P36" s="1">
        <f>+M22</f>
        <v>14</v>
      </c>
    </row>
    <row r="37" spans="2:16" ht="19" thickBot="1" x14ac:dyDescent="0.5">
      <c r="B37" s="1" t="s">
        <v>36</v>
      </c>
      <c r="C37" s="1"/>
      <c r="D37" s="1"/>
      <c r="E37" s="4">
        <f>SUM(E38:E43)</f>
        <v>14</v>
      </c>
      <c r="F37" s="4">
        <f>SUM(F38:F43)</f>
        <v>112</v>
      </c>
      <c r="L37" s="36" t="s">
        <v>37</v>
      </c>
      <c r="M37" s="26">
        <v>0</v>
      </c>
      <c r="O37" s="1" t="s">
        <v>24</v>
      </c>
      <c r="P37" s="1">
        <f>+M23</f>
        <v>9</v>
      </c>
    </row>
    <row r="38" spans="2:16" ht="15" thickBot="1" x14ac:dyDescent="0.4">
      <c r="B38" s="1" t="s">
        <v>37</v>
      </c>
      <c r="C38" s="1" t="s">
        <v>50</v>
      </c>
      <c r="D38" s="1">
        <v>8</v>
      </c>
      <c r="E38" s="1">
        <f t="shared" ref="E38:E43" si="7">+M37</f>
        <v>0</v>
      </c>
      <c r="F38" s="1">
        <f>+D38*E38</f>
        <v>0</v>
      </c>
      <c r="L38" s="36" t="s">
        <v>38</v>
      </c>
      <c r="M38" s="26">
        <v>0</v>
      </c>
      <c r="O38" s="1" t="s">
        <v>9</v>
      </c>
      <c r="P38" s="1">
        <f>+M8</f>
        <v>0</v>
      </c>
    </row>
    <row r="39" spans="2:16" ht="15" thickBot="1" x14ac:dyDescent="0.4">
      <c r="B39" s="1" t="s">
        <v>38</v>
      </c>
      <c r="C39" s="1" t="s">
        <v>50</v>
      </c>
      <c r="D39" s="1">
        <v>8</v>
      </c>
      <c r="E39" s="1">
        <f t="shared" si="7"/>
        <v>0</v>
      </c>
      <c r="F39" s="1">
        <f t="shared" ref="F39:F43" si="8">+D39*E39</f>
        <v>0</v>
      </c>
      <c r="L39" s="36" t="s">
        <v>39</v>
      </c>
      <c r="M39" s="26">
        <v>3</v>
      </c>
      <c r="O39" s="1" t="s">
        <v>155</v>
      </c>
      <c r="P39" s="1">
        <f>+M34</f>
        <v>0</v>
      </c>
    </row>
    <row r="40" spans="2:16" ht="15" thickBot="1" x14ac:dyDescent="0.4">
      <c r="B40" s="1" t="s">
        <v>39</v>
      </c>
      <c r="C40" s="1" t="s">
        <v>50</v>
      </c>
      <c r="D40" s="1">
        <v>8</v>
      </c>
      <c r="E40" s="1">
        <f t="shared" si="7"/>
        <v>3</v>
      </c>
      <c r="F40" s="1">
        <f t="shared" si="8"/>
        <v>24</v>
      </c>
      <c r="L40" s="36" t="s">
        <v>40</v>
      </c>
      <c r="M40" s="26">
        <v>5</v>
      </c>
      <c r="O40" s="1" t="s">
        <v>13</v>
      </c>
      <c r="P40" s="1">
        <f>+M12</f>
        <v>6</v>
      </c>
    </row>
    <row r="41" spans="2:16" ht="15" thickBot="1" x14ac:dyDescent="0.4">
      <c r="B41" s="1" t="s">
        <v>40</v>
      </c>
      <c r="C41" s="1" t="s">
        <v>50</v>
      </c>
      <c r="D41" s="1">
        <v>8</v>
      </c>
      <c r="E41" s="1">
        <f t="shared" si="7"/>
        <v>5</v>
      </c>
      <c r="F41" s="1">
        <f t="shared" si="8"/>
        <v>40</v>
      </c>
      <c r="L41" s="36" t="s">
        <v>98</v>
      </c>
      <c r="M41" s="26">
        <v>2</v>
      </c>
      <c r="O41" s="1" t="s">
        <v>31</v>
      </c>
      <c r="P41" s="1">
        <f>+M31</f>
        <v>12</v>
      </c>
    </row>
    <row r="42" spans="2:16" ht="15" thickBot="1" x14ac:dyDescent="0.4">
      <c r="B42" s="1" t="s">
        <v>41</v>
      </c>
      <c r="C42" s="1" t="s">
        <v>50</v>
      </c>
      <c r="D42" s="1">
        <v>8</v>
      </c>
      <c r="E42" s="1">
        <f t="shared" si="7"/>
        <v>2</v>
      </c>
      <c r="F42" s="1">
        <f t="shared" si="8"/>
        <v>16</v>
      </c>
      <c r="L42" s="36" t="s">
        <v>42</v>
      </c>
      <c r="M42" s="26">
        <v>4</v>
      </c>
      <c r="O42" s="1" t="s">
        <v>37</v>
      </c>
      <c r="P42" s="1">
        <f>+M37</f>
        <v>0</v>
      </c>
    </row>
    <row r="43" spans="2:16" ht="17.5" thickBot="1" x14ac:dyDescent="0.45">
      <c r="B43" s="1" t="s">
        <v>42</v>
      </c>
      <c r="C43" s="1" t="s">
        <v>50</v>
      </c>
      <c r="D43" s="1">
        <v>8</v>
      </c>
      <c r="E43" s="1">
        <f t="shared" si="7"/>
        <v>4</v>
      </c>
      <c r="F43" s="1">
        <f t="shared" si="8"/>
        <v>32</v>
      </c>
      <c r="L43" s="35" t="s">
        <v>43</v>
      </c>
      <c r="M43" s="24">
        <v>62</v>
      </c>
      <c r="O43" s="1" t="s">
        <v>39</v>
      </c>
      <c r="P43" s="1">
        <f>+M39</f>
        <v>3</v>
      </c>
    </row>
    <row r="44" spans="2:16" ht="19" thickBot="1" x14ac:dyDescent="0.5">
      <c r="B44" s="1" t="s">
        <v>43</v>
      </c>
      <c r="C44" s="1"/>
      <c r="D44" s="1"/>
      <c r="E44" s="4">
        <f>SUM(E45:E49)</f>
        <v>62</v>
      </c>
      <c r="F44" s="4">
        <f>SUM(F45:F49)</f>
        <v>496</v>
      </c>
      <c r="L44" s="36" t="s">
        <v>44</v>
      </c>
      <c r="M44" s="26">
        <v>33</v>
      </c>
      <c r="P44" s="97">
        <f>SUBTOTAL(109,P5:P43)</f>
        <v>1113</v>
      </c>
    </row>
    <row r="45" spans="2:16" ht="15" thickBot="1" x14ac:dyDescent="0.4">
      <c r="B45" s="1" t="s">
        <v>44</v>
      </c>
      <c r="C45" s="1" t="s">
        <v>50</v>
      </c>
      <c r="D45" s="1">
        <v>8</v>
      </c>
      <c r="E45" s="1">
        <f>+M44</f>
        <v>33</v>
      </c>
      <c r="F45" s="1">
        <f>+D45*E45</f>
        <v>264</v>
      </c>
      <c r="L45" s="36" t="s">
        <v>45</v>
      </c>
      <c r="M45" s="26">
        <v>8</v>
      </c>
    </row>
    <row r="46" spans="2:16" ht="15" thickBot="1" x14ac:dyDescent="0.4">
      <c r="B46" s="1" t="s">
        <v>45</v>
      </c>
      <c r="C46" s="1" t="s">
        <v>50</v>
      </c>
      <c r="D46" s="1">
        <v>8</v>
      </c>
      <c r="E46" s="1">
        <f>+M45</f>
        <v>8</v>
      </c>
      <c r="F46" s="1">
        <f t="shared" ref="F46:F49" si="9">+D46*E46</f>
        <v>64</v>
      </c>
      <c r="L46" s="36" t="s">
        <v>46</v>
      </c>
      <c r="M46" s="26">
        <v>6</v>
      </c>
    </row>
    <row r="47" spans="2:16" ht="15" thickBot="1" x14ac:dyDescent="0.4">
      <c r="B47" s="1" t="s">
        <v>46</v>
      </c>
      <c r="C47" s="1" t="s">
        <v>50</v>
      </c>
      <c r="D47" s="1">
        <v>8</v>
      </c>
      <c r="E47" s="1">
        <f>+M46</f>
        <v>6</v>
      </c>
      <c r="F47" s="1">
        <f t="shared" si="9"/>
        <v>48</v>
      </c>
      <c r="L47" s="36" t="s">
        <v>47</v>
      </c>
      <c r="M47" s="26">
        <v>0</v>
      </c>
    </row>
    <row r="48" spans="2:16" ht="15" thickBot="1" x14ac:dyDescent="0.4">
      <c r="B48" s="1" t="s">
        <v>47</v>
      </c>
      <c r="C48" s="1" t="s">
        <v>50</v>
      </c>
      <c r="D48" s="1">
        <v>8</v>
      </c>
      <c r="E48" s="1">
        <f>+M47</f>
        <v>0</v>
      </c>
      <c r="F48" s="1">
        <f t="shared" si="9"/>
        <v>0</v>
      </c>
      <c r="L48" s="36" t="s">
        <v>49</v>
      </c>
      <c r="M48" s="26">
        <v>15</v>
      </c>
    </row>
    <row r="49" spans="2:13" ht="15" thickBot="1" x14ac:dyDescent="0.4">
      <c r="B49" s="1" t="s">
        <v>49</v>
      </c>
      <c r="C49" s="1" t="s">
        <v>50</v>
      </c>
      <c r="D49" s="1">
        <v>8</v>
      </c>
      <c r="E49" s="1">
        <f>+M48</f>
        <v>15</v>
      </c>
      <c r="F49" s="1">
        <f t="shared" si="9"/>
        <v>120</v>
      </c>
      <c r="L49" s="21"/>
      <c r="M49" s="21"/>
    </row>
    <row r="50" spans="2:13" ht="19" thickBot="1" x14ac:dyDescent="0.5">
      <c r="B50" s="103" t="s">
        <v>51</v>
      </c>
      <c r="C50" s="104"/>
      <c r="D50" s="105"/>
      <c r="E50" s="4">
        <f>+E44+E37+E30+E22+E10+E5</f>
        <v>1113</v>
      </c>
      <c r="F50" s="4">
        <f>+F44+F37+F30+F22+F10+F5</f>
        <v>4924</v>
      </c>
      <c r="L50" s="21" t="s">
        <v>51</v>
      </c>
      <c r="M50" s="38">
        <v>1113</v>
      </c>
    </row>
    <row r="51" spans="2:13" ht="17.5" thickBot="1" x14ac:dyDescent="0.45">
      <c r="L51" s="21" t="s">
        <v>51</v>
      </c>
      <c r="M51" s="38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719E-292E-4EC1-A4A0-FB748FC8532E}">
  <dimension ref="B3:AT37"/>
  <sheetViews>
    <sheetView tabSelected="1" topLeftCell="E9" zoomScale="67" zoomScaleNormal="94" workbookViewId="0">
      <selection activeCell="X37" sqref="X37"/>
    </sheetView>
  </sheetViews>
  <sheetFormatPr baseColWidth="10" defaultRowHeight="14.5" x14ac:dyDescent="0.35"/>
  <cols>
    <col min="2" max="2" width="14.26953125" bestFit="1" customWidth="1"/>
    <col min="3" max="4" width="14.26953125" customWidth="1"/>
  </cols>
  <sheetData>
    <row r="3" spans="2:46" ht="18.5" x14ac:dyDescent="0.45">
      <c r="B3" s="123" t="s">
        <v>60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</row>
    <row r="4" spans="2:46" ht="14.5" customHeight="1" x14ac:dyDescent="0.35">
      <c r="B4" s="118" t="s">
        <v>62</v>
      </c>
      <c r="C4" s="125" t="s">
        <v>65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  <c r="R4" s="2"/>
    </row>
    <row r="5" spans="2:46" x14ac:dyDescent="0.35">
      <c r="B5" s="118"/>
      <c r="C5" s="124" t="s">
        <v>87</v>
      </c>
      <c r="D5" s="124"/>
      <c r="E5" s="124" t="s">
        <v>63</v>
      </c>
      <c r="F5" s="124"/>
      <c r="G5" s="124" t="s">
        <v>53</v>
      </c>
      <c r="H5" s="124"/>
      <c r="I5" s="124" t="s">
        <v>54</v>
      </c>
      <c r="J5" s="124"/>
      <c r="K5" s="124" t="s">
        <v>55</v>
      </c>
      <c r="L5" s="124"/>
      <c r="M5" s="124" t="s">
        <v>64</v>
      </c>
      <c r="N5" s="124"/>
      <c r="O5" s="124" t="s">
        <v>56</v>
      </c>
      <c r="P5" s="124"/>
      <c r="Q5" s="124" t="s">
        <v>57</v>
      </c>
      <c r="R5" s="124"/>
      <c r="S5" s="124" t="s">
        <v>90</v>
      </c>
      <c r="T5" s="124"/>
      <c r="U5" s="124" t="s">
        <v>99</v>
      </c>
      <c r="V5" s="124"/>
      <c r="W5" s="124" t="s">
        <v>107</v>
      </c>
      <c r="X5" s="124"/>
      <c r="Y5" s="124" t="s">
        <v>108</v>
      </c>
      <c r="Z5" s="124"/>
      <c r="AA5" s="124" t="s">
        <v>113</v>
      </c>
      <c r="AB5" s="124"/>
      <c r="AC5" s="124" t="s">
        <v>156</v>
      </c>
      <c r="AD5" s="124"/>
      <c r="AE5" s="124" t="s">
        <v>165</v>
      </c>
      <c r="AF5" s="124"/>
      <c r="AG5" s="124" t="s">
        <v>167</v>
      </c>
      <c r="AH5" s="124"/>
      <c r="AI5" s="124" t="s">
        <v>170</v>
      </c>
      <c r="AJ5" s="124"/>
      <c r="AK5" s="124" t="s">
        <v>173</v>
      </c>
      <c r="AL5" s="124"/>
      <c r="AM5" s="124" t="s">
        <v>177</v>
      </c>
      <c r="AN5" s="124"/>
      <c r="AO5" s="124" t="s">
        <v>179</v>
      </c>
      <c r="AP5" s="124"/>
      <c r="AQ5" s="124" t="s">
        <v>222</v>
      </c>
      <c r="AR5" s="124"/>
      <c r="AS5" s="124" t="s">
        <v>224</v>
      </c>
      <c r="AT5" s="124"/>
    </row>
    <row r="6" spans="2:46" x14ac:dyDescent="0.35">
      <c r="B6" s="11"/>
      <c r="C6" s="2" t="s">
        <v>3</v>
      </c>
      <c r="D6" s="2" t="s">
        <v>66</v>
      </c>
      <c r="E6" s="2" t="s">
        <v>3</v>
      </c>
      <c r="F6" s="2" t="s">
        <v>66</v>
      </c>
      <c r="G6" s="2" t="s">
        <v>3</v>
      </c>
      <c r="H6" s="2" t="s">
        <v>66</v>
      </c>
      <c r="I6" s="2" t="s">
        <v>3</v>
      </c>
      <c r="J6" s="2" t="s">
        <v>66</v>
      </c>
      <c r="K6" s="2" t="s">
        <v>3</v>
      </c>
      <c r="L6" s="2" t="s">
        <v>66</v>
      </c>
      <c r="M6" s="2" t="s">
        <v>3</v>
      </c>
      <c r="N6" s="2" t="s">
        <v>66</v>
      </c>
      <c r="O6" s="2" t="s">
        <v>3</v>
      </c>
      <c r="P6" s="2" t="s">
        <v>66</v>
      </c>
      <c r="Q6" s="2" t="s">
        <v>3</v>
      </c>
      <c r="R6" s="2" t="s">
        <v>66</v>
      </c>
      <c r="S6" s="2" t="s">
        <v>3</v>
      </c>
      <c r="T6" s="2" t="s">
        <v>66</v>
      </c>
      <c r="U6" s="2" t="s">
        <v>3</v>
      </c>
      <c r="V6" s="2" t="s">
        <v>66</v>
      </c>
      <c r="W6" s="2" t="s">
        <v>3</v>
      </c>
      <c r="X6" s="2" t="s">
        <v>66</v>
      </c>
      <c r="Y6" s="2" t="s">
        <v>3</v>
      </c>
      <c r="Z6" s="2" t="s">
        <v>66</v>
      </c>
      <c r="AA6" s="2" t="s">
        <v>3</v>
      </c>
      <c r="AB6" s="2" t="s">
        <v>66</v>
      </c>
      <c r="AC6" s="2" t="s">
        <v>3</v>
      </c>
      <c r="AD6" s="2" t="s">
        <v>66</v>
      </c>
      <c r="AE6" s="2" t="s">
        <v>3</v>
      </c>
      <c r="AF6" s="2" t="s">
        <v>66</v>
      </c>
      <c r="AG6" s="2" t="s">
        <v>3</v>
      </c>
      <c r="AH6" s="2" t="s">
        <v>66</v>
      </c>
      <c r="AI6" s="2" t="s">
        <v>3</v>
      </c>
      <c r="AJ6" s="2" t="s">
        <v>66</v>
      </c>
      <c r="AK6" s="2" t="s">
        <v>3</v>
      </c>
      <c r="AL6" s="2" t="s">
        <v>66</v>
      </c>
      <c r="AM6" s="2" t="s">
        <v>3</v>
      </c>
      <c r="AN6" s="2" t="s">
        <v>66</v>
      </c>
      <c r="AO6" s="2" t="s">
        <v>3</v>
      </c>
      <c r="AP6" s="2" t="s">
        <v>66</v>
      </c>
      <c r="AQ6" s="2" t="s">
        <v>3</v>
      </c>
      <c r="AR6" s="2" t="s">
        <v>66</v>
      </c>
      <c r="AS6" s="2" t="s">
        <v>3</v>
      </c>
      <c r="AT6" s="2" t="s">
        <v>66</v>
      </c>
    </row>
    <row r="7" spans="2:46" x14ac:dyDescent="0.35">
      <c r="B7" s="2" t="s">
        <v>59</v>
      </c>
      <c r="C7" s="2"/>
      <c r="D7" s="2"/>
      <c r="E7" s="2">
        <f>+'VAL 24 - 07'!J5</f>
        <v>286</v>
      </c>
      <c r="F7" s="2">
        <f>+'VAL 24 - 07'!I5</f>
        <v>858</v>
      </c>
      <c r="G7" s="2">
        <f>+'VAL 30-07'!J5</f>
        <v>456</v>
      </c>
      <c r="H7" s="2">
        <f>+'VAL 30-07'!I5</f>
        <v>1368</v>
      </c>
      <c r="I7" s="2">
        <f>+'VAL 02- 08'!J5</f>
        <v>192</v>
      </c>
      <c r="J7" s="2">
        <f>+'VAL 02- 08'!I5</f>
        <v>576</v>
      </c>
      <c r="K7" s="2">
        <f>0+'VAL 05-08'!E5</f>
        <v>5</v>
      </c>
      <c r="L7" s="2">
        <f>+'VAL 05-08'!I5</f>
        <v>15</v>
      </c>
      <c r="M7" s="2">
        <f>0+'VAL 07 -08'!E5</f>
        <v>697</v>
      </c>
      <c r="N7" s="2">
        <f>+'VAL 07 -08'!I5</f>
        <v>2091</v>
      </c>
      <c r="O7" s="2">
        <f>0+'VAL 11-08'!E5</f>
        <v>773</v>
      </c>
      <c r="P7" s="2">
        <f>+'VAL 11-08'!I5</f>
        <v>2319</v>
      </c>
      <c r="Q7" s="2">
        <f>0+'VAL 15 - 08'!E5</f>
        <v>546</v>
      </c>
      <c r="R7" s="2">
        <f>+'VAL 15 - 08'!I5</f>
        <v>1638</v>
      </c>
      <c r="S7" s="2">
        <f>0+'VAL 19- 08'!J5</f>
        <v>802</v>
      </c>
      <c r="T7" s="2">
        <f>0+'VAL 19- 08'!I5</f>
        <v>2406</v>
      </c>
      <c r="U7" s="2">
        <f>0+'VAL 26  - 08'!J5</f>
        <v>766</v>
      </c>
      <c r="V7" s="2">
        <f>0+'VAL 26  - 08'!I5</f>
        <v>2298</v>
      </c>
      <c r="W7" s="2">
        <f>+'VAL 03- 09'!J5</f>
        <v>636</v>
      </c>
      <c r="X7" s="2">
        <f>+'VAL 03- 09'!I5</f>
        <v>1908</v>
      </c>
      <c r="Y7" s="2">
        <f>+'VAL 04 - 09'!J5</f>
        <v>371</v>
      </c>
      <c r="Z7" s="2">
        <f>+'VAL 04 - 09'!I5</f>
        <v>1113</v>
      </c>
      <c r="AA7" s="2">
        <f>+'VAL 11 - 09'!J5</f>
        <v>291</v>
      </c>
      <c r="AB7" s="2">
        <f>+'VAL 11 - 09'!I5</f>
        <v>873</v>
      </c>
      <c r="AC7" s="2">
        <f>+'VAL 15 - 09'!J5</f>
        <v>267</v>
      </c>
      <c r="AD7" s="2">
        <f>+'VAL 15 - 09'!I5</f>
        <v>801</v>
      </c>
      <c r="AE7" s="2">
        <f>+'VAL 18 - 09'!J5</f>
        <v>393</v>
      </c>
      <c r="AF7" s="2">
        <f>+'VAL 18 - 09'!I5</f>
        <v>1179</v>
      </c>
      <c r="AG7" s="2">
        <f>+'VAL 22 -09'!J5</f>
        <v>731</v>
      </c>
      <c r="AH7" s="2">
        <f>+'VAL 22 -09'!I5</f>
        <v>2193</v>
      </c>
      <c r="AI7" s="2">
        <f>+'VAL 26 - 09'!J5</f>
        <v>658</v>
      </c>
      <c r="AJ7" s="2">
        <f>+'VAL 26 - 09'!I5</f>
        <v>1974</v>
      </c>
      <c r="AK7" s="2">
        <f>+'VAL 02 - 10'!J5</f>
        <v>1086</v>
      </c>
      <c r="AL7" s="2">
        <f>+'VAL 02 - 10'!I5</f>
        <v>3258</v>
      </c>
      <c r="AM7" s="2">
        <f>+'VAL 09 - 10'!J5</f>
        <v>631</v>
      </c>
      <c r="AN7" s="2">
        <f>+'VAL 09 - 10'!I5</f>
        <v>1893</v>
      </c>
      <c r="AO7" s="2">
        <f>+'VL 13 - 10'!J5</f>
        <v>512</v>
      </c>
      <c r="AP7" s="2">
        <f>+'VL 13 - 10'!I5</f>
        <v>1536</v>
      </c>
      <c r="AQ7" s="2">
        <f>+'VAL 17 - 10'!J5</f>
        <v>700</v>
      </c>
      <c r="AR7" s="2">
        <f>+'VAL 17 - 10'!I5</f>
        <v>2100</v>
      </c>
      <c r="AS7" s="2">
        <f>+'VAL 20 - 10'!J5</f>
        <v>640</v>
      </c>
      <c r="AT7" s="2">
        <f>+'VAL 20 - 10'!I5</f>
        <v>1920</v>
      </c>
    </row>
    <row r="8" spans="2:46" x14ac:dyDescent="0.35">
      <c r="B8" s="2" t="s">
        <v>10</v>
      </c>
      <c r="C8" s="2"/>
      <c r="D8" s="2"/>
      <c r="E8" s="2">
        <f>+'VAL 24 - 07'!J6</f>
        <v>321</v>
      </c>
      <c r="F8" s="2">
        <f>+'VAL 24 - 07'!I6</f>
        <v>2166</v>
      </c>
      <c r="G8" s="2">
        <f>+'VAL 30-07'!J6</f>
        <v>182</v>
      </c>
      <c r="H8" s="2">
        <f>+'VAL 30-07'!I6</f>
        <v>952</v>
      </c>
      <c r="I8" s="2">
        <f>+'VAL 02- 08'!J6</f>
        <v>140</v>
      </c>
      <c r="J8" s="2">
        <f>+'VAL 02- 08'!I6</f>
        <v>949</v>
      </c>
      <c r="K8" s="2">
        <f>0+'VAL 05-08'!E10</f>
        <v>126</v>
      </c>
      <c r="L8" s="2">
        <f>+'VAL 05-08'!I6</f>
        <v>687</v>
      </c>
      <c r="M8" s="2">
        <f>0+'VAL 07 -08'!E10</f>
        <v>3</v>
      </c>
      <c r="N8" s="2">
        <f>+'VAL 07 -08'!I6</f>
        <v>24</v>
      </c>
      <c r="O8" s="2">
        <f>0+'VAL 11-08'!E10</f>
        <v>231</v>
      </c>
      <c r="P8" s="2">
        <f>+'VAL 11-08'!I6</f>
        <v>1230</v>
      </c>
      <c r="Q8" s="2">
        <f>0+'VAL 15 - 08'!E10</f>
        <v>150</v>
      </c>
      <c r="R8" s="2">
        <f>+'VAL 15 - 08'!I6</f>
        <v>1200</v>
      </c>
      <c r="S8" s="2">
        <f>0+'VAL 19- 08'!J6</f>
        <v>179</v>
      </c>
      <c r="T8" s="2">
        <f>0+'VAL 19- 08'!I6</f>
        <v>1432</v>
      </c>
      <c r="U8" s="2">
        <f>0+'VAL 26  - 08'!J6</f>
        <v>200</v>
      </c>
      <c r="V8" s="2">
        <f>0+'VAL 26  - 08'!I6</f>
        <v>1351</v>
      </c>
      <c r="W8" s="2">
        <f>+'VAL 03- 09'!J6</f>
        <v>0</v>
      </c>
      <c r="X8" s="2">
        <f>+'VAL 03- 09'!I6</f>
        <v>0</v>
      </c>
      <c r="Y8" s="2">
        <f>+'VAL 04 - 09'!J6</f>
        <v>111</v>
      </c>
      <c r="Z8" s="2">
        <f>+'VAL 04 - 09'!I6</f>
        <v>888</v>
      </c>
      <c r="AA8" s="2">
        <f>+'VAL 11 - 09'!J6</f>
        <v>169</v>
      </c>
      <c r="AB8" s="2">
        <f>+'VAL 11 - 09'!I6</f>
        <v>1352</v>
      </c>
      <c r="AC8" s="2">
        <f>+'VAL 15 - 09'!J6</f>
        <v>122</v>
      </c>
      <c r="AD8" s="2">
        <f>+'VAL 15 - 09'!I6</f>
        <v>976</v>
      </c>
      <c r="AE8" s="2">
        <f>+'VAL 18 - 09'!J6</f>
        <v>120</v>
      </c>
      <c r="AF8" s="2">
        <f>+'VAL 18 - 09'!I6</f>
        <v>660</v>
      </c>
      <c r="AG8" s="2">
        <f>+'VAL 22 -09'!J6</f>
        <v>260</v>
      </c>
      <c r="AH8" s="2">
        <f>+'VAL 22 -09'!I6</f>
        <v>1732</v>
      </c>
      <c r="AI8" s="2">
        <f>+'VAL 26 - 09'!J6</f>
        <v>243</v>
      </c>
      <c r="AJ8" s="2">
        <f>+'VAL 26 - 09'!I6</f>
        <v>1563</v>
      </c>
      <c r="AK8" s="2">
        <f>+'VAL 02 - 10'!J6</f>
        <v>281</v>
      </c>
      <c r="AL8" s="2">
        <f>+'VAL 02 - 10'!I6</f>
        <v>1855</v>
      </c>
      <c r="AM8" s="2">
        <f>+'VAL 09 - 10'!J6</f>
        <v>135</v>
      </c>
      <c r="AN8" s="2">
        <f>+'VAL 09 - 10'!I6</f>
        <v>897</v>
      </c>
      <c r="AO8" s="2">
        <f>+'VL 13 - 10'!J6</f>
        <v>157</v>
      </c>
      <c r="AP8" s="2">
        <f>+'VL 13 - 10'!I6</f>
        <v>1019</v>
      </c>
      <c r="AQ8" s="2">
        <f>+'VAL 17 - 10'!J6</f>
        <v>180</v>
      </c>
      <c r="AR8" s="2">
        <f>+'VAL 17 - 10'!I6</f>
        <v>1206</v>
      </c>
      <c r="AS8" s="2">
        <f>+'VAL 20 - 10'!J6</f>
        <v>176</v>
      </c>
      <c r="AT8" s="2">
        <f>+'VAL 20 - 10'!I6</f>
        <v>1141</v>
      </c>
    </row>
    <row r="9" spans="2:46" x14ac:dyDescent="0.35">
      <c r="B9" s="2" t="s">
        <v>22</v>
      </c>
      <c r="C9" s="2"/>
      <c r="D9" s="2"/>
      <c r="E9" s="2">
        <f>+'VAL 24 - 07'!J7</f>
        <v>273</v>
      </c>
      <c r="F9" s="2">
        <f>+'VAL 24 - 07'!I7</f>
        <v>1422</v>
      </c>
      <c r="G9" s="2">
        <f>+'VAL 30-07'!J7</f>
        <v>1</v>
      </c>
      <c r="H9" s="2">
        <f>+'VAL 30-07'!I7</f>
        <v>5</v>
      </c>
      <c r="I9" s="2">
        <f>+'VAL 02- 08'!J7</f>
        <v>37</v>
      </c>
      <c r="J9" s="2">
        <f>+'VAL 02- 08'!I7</f>
        <v>200</v>
      </c>
      <c r="K9" s="2">
        <f>0+'VAL 05-08'!E22</f>
        <v>0</v>
      </c>
      <c r="L9" s="2">
        <f>+'VAL 05-08'!I7</f>
        <v>0</v>
      </c>
      <c r="M9" s="2">
        <f>0+'VAL 07 -08'!E22</f>
        <v>116</v>
      </c>
      <c r="N9" s="2">
        <f>+'VAL 07 -08'!I7</f>
        <v>580</v>
      </c>
      <c r="O9" s="2">
        <f>0+'VAL 11-08'!E22</f>
        <v>0</v>
      </c>
      <c r="P9" s="2">
        <f>+'VAL 11-08'!I7</f>
        <v>0</v>
      </c>
      <c r="Q9" s="2">
        <f>0+'VAL 15 - 08'!E22</f>
        <v>127</v>
      </c>
      <c r="R9" s="2">
        <f>+'VAL 15 - 08'!I7</f>
        <v>707</v>
      </c>
      <c r="S9" s="2">
        <f>0+'VAL 19- 08'!J7</f>
        <v>164</v>
      </c>
      <c r="T9" s="2">
        <f>0+'VAL 19- 08'!I7</f>
        <v>820</v>
      </c>
      <c r="U9" s="2">
        <f>0+'VAL 26  - 08'!J7</f>
        <v>154</v>
      </c>
      <c r="V9" s="2">
        <f>0+'VAL 26  - 08'!I7</f>
        <v>806</v>
      </c>
      <c r="W9" s="2">
        <f>+'VAL 03- 09'!J7</f>
        <v>102</v>
      </c>
      <c r="X9" s="2">
        <f>+'VAL 03- 09'!I7</f>
        <v>564</v>
      </c>
      <c r="Y9" s="2">
        <f>+'VAL 04 - 09'!J7</f>
        <v>77</v>
      </c>
      <c r="Z9" s="2">
        <f>+'VAL 04 - 09'!I7</f>
        <v>430</v>
      </c>
      <c r="AA9" s="2">
        <f>+'VAL 11 - 09'!J7</f>
        <v>118</v>
      </c>
      <c r="AB9" s="2">
        <f>+'VAL 11 - 09'!I7</f>
        <v>656</v>
      </c>
      <c r="AC9" s="2">
        <f>+'VAL 15 - 09'!J7</f>
        <v>67</v>
      </c>
      <c r="AD9" s="2">
        <f>+'VAL 15 - 09'!I7</f>
        <v>371</v>
      </c>
      <c r="AE9" s="2">
        <f>+'VAL 18 - 09'!J7</f>
        <v>70</v>
      </c>
      <c r="AF9" s="2">
        <f>+'VAL 18 - 09'!I7</f>
        <v>302</v>
      </c>
      <c r="AG9" s="2">
        <f>+'VAL 22 -09'!J7</f>
        <v>203</v>
      </c>
      <c r="AH9" s="2">
        <f>+'VAL 22 -09'!I7</f>
        <v>925</v>
      </c>
      <c r="AI9" s="2">
        <f>+'VAL 26 - 09'!J7</f>
        <v>226</v>
      </c>
      <c r="AJ9" s="2">
        <f>+'VAL 26 - 09'!I7</f>
        <v>1065</v>
      </c>
      <c r="AK9" s="2">
        <f>+'VAL 02 - 10'!J7</f>
        <v>195</v>
      </c>
      <c r="AL9" s="2">
        <f>+'VAL 02 - 10'!I7</f>
        <v>869</v>
      </c>
      <c r="AM9" s="2">
        <f>+'VAL 09 - 10'!J7</f>
        <v>119</v>
      </c>
      <c r="AN9" s="2">
        <f>+'VAL 09 - 10'!I7</f>
        <v>564</v>
      </c>
      <c r="AO9" s="2">
        <f>+'VL 13 - 10'!J7</f>
        <v>115</v>
      </c>
      <c r="AP9" s="2">
        <f>+'VL 13 - 10'!I7</f>
        <v>605</v>
      </c>
      <c r="AQ9" s="2">
        <f>+'VAL 17 - 10'!J7</f>
        <v>151</v>
      </c>
      <c r="AR9" s="2">
        <f>+'VAL 17 - 10'!I7</f>
        <v>800</v>
      </c>
      <c r="AS9" s="2">
        <f>+'VAL 20 - 10'!J7</f>
        <v>145</v>
      </c>
      <c r="AT9" s="2">
        <f>+'VAL 20 - 10'!I7</f>
        <v>764</v>
      </c>
    </row>
    <row r="10" spans="2:46" x14ac:dyDescent="0.35">
      <c r="B10" s="2" t="s">
        <v>61</v>
      </c>
      <c r="C10" s="2"/>
      <c r="D10" s="2"/>
      <c r="E10" s="2">
        <f>+'VAL 24 - 07'!J8</f>
        <v>137</v>
      </c>
      <c r="F10" s="2">
        <f>+'VAL 24 - 07'!I8</f>
        <v>925</v>
      </c>
      <c r="G10" s="2">
        <f>+'VAL 30-07'!J8</f>
        <v>0</v>
      </c>
      <c r="H10" s="2">
        <f>+'VAL 30-07'!I8</f>
        <v>0</v>
      </c>
      <c r="I10" s="2">
        <f>+'VAL 02- 08'!J8</f>
        <v>52</v>
      </c>
      <c r="J10" s="2">
        <f>+'VAL 02- 08'!I8</f>
        <v>368</v>
      </c>
      <c r="K10" s="2">
        <f>0+'VAL 05-08'!E30</f>
        <v>0</v>
      </c>
      <c r="L10" s="2">
        <f>+'VAL 05-08'!I8</f>
        <v>0</v>
      </c>
      <c r="M10" s="2">
        <f>0+'VAL 07 -08'!E30</f>
        <v>126</v>
      </c>
      <c r="N10" s="2">
        <f>+'VAL 07 -08'!I8</f>
        <v>528</v>
      </c>
      <c r="O10" s="2">
        <f>0+'VAL 11-08'!E30</f>
        <v>174</v>
      </c>
      <c r="P10" s="2">
        <f>+'VAL 11-08'!I8</f>
        <v>1158</v>
      </c>
      <c r="Q10" s="2">
        <f>0+'VAL 15 - 08'!E30</f>
        <v>0</v>
      </c>
      <c r="R10" s="2">
        <f>+'VAL 15 - 08'!I8</f>
        <v>0</v>
      </c>
      <c r="S10" s="2">
        <f>0+'VAL 19- 08'!J8</f>
        <v>141</v>
      </c>
      <c r="T10" s="2">
        <f>0+'VAL 19- 08'!I8</f>
        <v>912</v>
      </c>
      <c r="U10" s="2">
        <f>0+'VAL 26  - 08'!J8</f>
        <v>115</v>
      </c>
      <c r="V10" s="2">
        <f>0+'VAL 26  - 08'!I8</f>
        <v>809</v>
      </c>
      <c r="W10" s="2">
        <f>+'VAL 03- 09'!J8</f>
        <v>0</v>
      </c>
      <c r="X10" s="2">
        <f>+'VAL 03- 09'!I8</f>
        <v>0</v>
      </c>
      <c r="Y10" s="2">
        <f>+'VAL 04 - 09'!J8</f>
        <v>0</v>
      </c>
      <c r="Z10" s="2">
        <f>+'VAL 04 - 09'!I8</f>
        <v>0</v>
      </c>
      <c r="AA10" s="2">
        <f>+'VAL 11 - 09'!J8</f>
        <v>159</v>
      </c>
      <c r="AB10" s="2">
        <f>+'VAL 11 - 09'!I8</f>
        <v>1056</v>
      </c>
      <c r="AC10" s="2">
        <f>+'VAL 15 - 09'!J8</f>
        <v>100</v>
      </c>
      <c r="AD10" s="2">
        <f>+'VAL 15 - 09'!I8</f>
        <v>692</v>
      </c>
      <c r="AE10" s="2">
        <f>+'VAL 18 - 09'!J8</f>
        <v>111</v>
      </c>
      <c r="AF10" s="2">
        <f>+'VAL 18 - 09'!I8</f>
        <v>774</v>
      </c>
      <c r="AG10" s="2">
        <f>+'VAL 22 -09'!J8</f>
        <v>100</v>
      </c>
      <c r="AH10" s="2">
        <f>+'VAL 22 -09'!I8</f>
        <v>683</v>
      </c>
      <c r="AI10" s="2">
        <f>+'VAL 26 - 09'!J8</f>
        <v>106</v>
      </c>
      <c r="AJ10" s="2">
        <f>+'VAL 26 - 09'!I8</f>
        <v>731</v>
      </c>
      <c r="AK10" s="2">
        <f>+'VAL 02 - 10'!J8</f>
        <v>108</v>
      </c>
      <c r="AL10" s="2">
        <f>+'VAL 02 - 10'!I8</f>
        <v>714</v>
      </c>
      <c r="AM10" s="2">
        <f>+'VAL 09 - 10'!J8</f>
        <v>65</v>
      </c>
      <c r="AN10" s="2">
        <f>+'VAL 09 - 10'!I8</f>
        <v>427</v>
      </c>
      <c r="AO10" s="2">
        <f>+'VL 13 - 10'!J8</f>
        <v>43</v>
      </c>
      <c r="AP10" s="2">
        <f>+'VL 13 - 10'!I8</f>
        <v>293</v>
      </c>
      <c r="AQ10" s="2">
        <f>+'VAL 17 - 10'!J8</f>
        <v>79</v>
      </c>
      <c r="AR10" s="2">
        <f>+'VAL 17 - 10'!I8</f>
        <v>545</v>
      </c>
      <c r="AS10" s="2">
        <f>+'VAL 20 - 10'!J8</f>
        <v>76</v>
      </c>
      <c r="AT10" s="2">
        <f>+'VAL 20 - 10'!I8</f>
        <v>491</v>
      </c>
    </row>
    <row r="11" spans="2:46" x14ac:dyDescent="0.35">
      <c r="B11" s="2" t="s">
        <v>36</v>
      </c>
      <c r="C11" s="2"/>
      <c r="D11" s="2"/>
      <c r="E11" s="2">
        <f>+'VAL 24 - 07'!J9</f>
        <v>53</v>
      </c>
      <c r="F11" s="2">
        <f>+'VAL 24 - 07'!I9</f>
        <v>424</v>
      </c>
      <c r="G11" s="2">
        <f>+'VAL 30-07'!J9</f>
        <v>0</v>
      </c>
      <c r="H11" s="2">
        <f>+'VAL 30-07'!I9</f>
        <v>0</v>
      </c>
      <c r="I11" s="2">
        <f>+'VAL 02- 08'!J9</f>
        <v>0</v>
      </c>
      <c r="J11" s="2">
        <f>+'VAL 02- 08'!I9</f>
        <v>0</v>
      </c>
      <c r="K11" s="2">
        <f>0+'VAL 05-08'!E36</f>
        <v>85</v>
      </c>
      <c r="L11" s="2">
        <f>+'VAL 05-08'!I9</f>
        <v>680</v>
      </c>
      <c r="M11" s="2">
        <f>0+'VAL 07 -08'!E36</f>
        <v>56</v>
      </c>
      <c r="N11" s="2">
        <f>+'VAL 07 -08'!I9</f>
        <v>448</v>
      </c>
      <c r="O11" s="2">
        <f>0+'VAL 11-08'!E36</f>
        <v>66</v>
      </c>
      <c r="P11" s="2">
        <f>+'VAL 11-08'!I9</f>
        <v>528</v>
      </c>
      <c r="Q11" s="2">
        <f>0+'VAL 15 - 08'!E36</f>
        <v>45</v>
      </c>
      <c r="R11" s="2">
        <f>+'VAL 15 - 08'!I9</f>
        <v>360</v>
      </c>
      <c r="S11" s="2">
        <f>0+'VAL 19- 08'!J9</f>
        <v>0</v>
      </c>
      <c r="T11" s="2">
        <f>0+'VAL 19- 08'!I9</f>
        <v>0</v>
      </c>
      <c r="U11" s="2">
        <f>0+'VAL 26  - 08'!J9</f>
        <v>22</v>
      </c>
      <c r="V11" s="2">
        <f>0+'VAL 26  - 08'!I9</f>
        <v>176</v>
      </c>
      <c r="W11" s="2">
        <f>+'VAL 03- 09'!J9</f>
        <v>0</v>
      </c>
      <c r="X11" s="2">
        <f>+'VAL 03- 09'!I9</f>
        <v>0</v>
      </c>
      <c r="Y11" s="2">
        <f>+'VAL 04 - 09'!J9</f>
        <v>0</v>
      </c>
      <c r="Z11" s="2">
        <f>+'VAL 04 - 09'!I9</f>
        <v>0</v>
      </c>
      <c r="AA11" s="2">
        <f>+'VAL 11 - 09'!J9</f>
        <v>48</v>
      </c>
      <c r="AB11" s="2">
        <f>+'VAL 11 - 09'!I9</f>
        <v>384</v>
      </c>
      <c r="AC11" s="2">
        <f>+'VAL 15 - 09'!J9</f>
        <v>38</v>
      </c>
      <c r="AD11" s="2">
        <f>+'VAL 15 - 09'!I9</f>
        <v>304</v>
      </c>
      <c r="AE11" s="2">
        <f>+'VAL 18 - 09'!J9</f>
        <v>35</v>
      </c>
      <c r="AF11" s="2">
        <f>+'VAL 18 - 09'!I9</f>
        <v>280</v>
      </c>
      <c r="AG11" s="2">
        <f>+'VAL 22 -09'!J9</f>
        <v>36</v>
      </c>
      <c r="AH11" s="2">
        <f>+'VAL 22 -09'!I9</f>
        <v>288</v>
      </c>
      <c r="AI11" s="2">
        <f>+'VAL 26 - 09'!J9</f>
        <v>38</v>
      </c>
      <c r="AJ11" s="2">
        <f>+'VAL 26 - 09'!I9</f>
        <v>304</v>
      </c>
      <c r="AK11" s="2">
        <f>+'VAL 02 - 10'!J9</f>
        <v>34</v>
      </c>
      <c r="AL11" s="2">
        <f>+'VAL 02 - 10'!I9</f>
        <v>272</v>
      </c>
      <c r="AM11" s="2">
        <f>+'VAL 09 - 10'!J9</f>
        <v>24</v>
      </c>
      <c r="AN11" s="2">
        <f>+'VAL 09 - 10'!I9</f>
        <v>192</v>
      </c>
      <c r="AO11" s="2">
        <f>+'VL 13 - 10'!J9</f>
        <v>19</v>
      </c>
      <c r="AP11" s="2">
        <f>+'VL 13 - 10'!I9</f>
        <v>152</v>
      </c>
      <c r="AQ11" s="2">
        <f>+'VAL 17 - 10'!J9</f>
        <v>28</v>
      </c>
      <c r="AR11" s="2">
        <f>+'VAL 17 - 10'!I9</f>
        <v>224</v>
      </c>
      <c r="AS11" s="2">
        <f>+'VAL 20 - 10'!J9</f>
        <v>14</v>
      </c>
      <c r="AT11" s="2">
        <f>+'VAL 20 - 10'!I9</f>
        <v>112</v>
      </c>
    </row>
    <row r="12" spans="2:46" x14ac:dyDescent="0.35">
      <c r="B12" s="2" t="s">
        <v>43</v>
      </c>
      <c r="C12" s="2"/>
      <c r="D12" s="2"/>
      <c r="E12" s="2">
        <f>+'VAL 24 - 07'!J10</f>
        <v>0</v>
      </c>
      <c r="F12" s="2">
        <f>+'VAL 24 - 07'!I10</f>
        <v>0</v>
      </c>
      <c r="G12" s="2">
        <f>+'VAL 30-07'!J10</f>
        <v>113</v>
      </c>
      <c r="H12" s="2">
        <f>+'VAL 30-07'!I10</f>
        <v>904</v>
      </c>
      <c r="I12" s="2">
        <f>+'VAL 02- 08'!J10</f>
        <v>0</v>
      </c>
      <c r="J12" s="2">
        <f>+'VAL 02- 08'!I10</f>
        <v>0</v>
      </c>
      <c r="K12" s="2">
        <f>0+'VAL 05-08'!E43</f>
        <v>187</v>
      </c>
      <c r="L12" s="2">
        <f>+'VAL 05-08'!I10</f>
        <v>1496</v>
      </c>
      <c r="M12" s="2">
        <f>0+'VAL 07 -08'!E43</f>
        <v>3</v>
      </c>
      <c r="N12" s="2">
        <f>+'VAL 07 -08'!I10</f>
        <v>24</v>
      </c>
      <c r="O12" s="2">
        <f>0+'VAL 11-08'!E43</f>
        <v>135</v>
      </c>
      <c r="P12" s="2">
        <f>+'VAL 11-08'!I10</f>
        <v>1080</v>
      </c>
      <c r="Q12" s="2">
        <f>0+'VAL 15 - 08'!E43</f>
        <v>0</v>
      </c>
      <c r="R12" s="2">
        <f>+'VAL 15 - 08'!I10</f>
        <v>0</v>
      </c>
      <c r="S12" s="2">
        <f>0+'VAL 19- 08'!J10</f>
        <v>171</v>
      </c>
      <c r="T12" s="2">
        <f>0+'VAL 19- 08'!I10</f>
        <v>1368</v>
      </c>
      <c r="U12" s="2">
        <f>0+'VAL 26  - 08'!J10</f>
        <v>68</v>
      </c>
      <c r="V12" s="2">
        <f>0+'VAL 26  - 08'!I10</f>
        <v>544</v>
      </c>
      <c r="W12" s="2">
        <f>+'VAL 03- 09'!J10</f>
        <v>93</v>
      </c>
      <c r="X12" s="2">
        <f>+'VAL 03- 09'!I10</f>
        <v>744</v>
      </c>
      <c r="Y12" s="2">
        <f>+'VAL 04 - 09'!J10</f>
        <v>108</v>
      </c>
      <c r="Z12" s="2">
        <f>+'VAL 04 - 09'!I10</f>
        <v>864</v>
      </c>
      <c r="AA12" s="2">
        <f>+'VAL 11 - 09'!J10</f>
        <v>131</v>
      </c>
      <c r="AB12" s="2">
        <f>+'VAL 11 - 09'!I10</f>
        <v>1048</v>
      </c>
      <c r="AC12" s="2">
        <f>+'VAL 15 - 09'!J10</f>
        <v>0</v>
      </c>
      <c r="AD12" s="2">
        <f>+'VAL 15 - 09'!I10</f>
        <v>0</v>
      </c>
      <c r="AE12" s="2">
        <f>+'VAL 18 - 09'!J10</f>
        <v>79</v>
      </c>
      <c r="AF12" s="2">
        <f>+'VAL 18 - 09'!I10</f>
        <v>632</v>
      </c>
      <c r="AG12" s="2">
        <f>+'VAL 22 -09'!J10</f>
        <v>97</v>
      </c>
      <c r="AH12" s="2">
        <f>+'VAL 22 -09'!I10</f>
        <v>776</v>
      </c>
      <c r="AI12" s="2">
        <f>+'VAL 26 - 09'!J10</f>
        <v>93</v>
      </c>
      <c r="AJ12" s="2">
        <f>+'VAL 26 - 09'!I10</f>
        <v>744</v>
      </c>
      <c r="AK12" s="2">
        <f>+'VAL 02 - 10'!J10</f>
        <v>94</v>
      </c>
      <c r="AL12" s="2">
        <f>+'VAL 02 - 10'!I10</f>
        <v>752</v>
      </c>
      <c r="AM12" s="2">
        <f>+'VAL 09 - 10'!J10</f>
        <v>51</v>
      </c>
      <c r="AN12" s="2">
        <f>+'VAL 09 - 10'!I10</f>
        <v>408</v>
      </c>
      <c r="AO12" s="2">
        <f>+'VL 13 - 10'!J10</f>
        <v>59</v>
      </c>
      <c r="AP12" s="2">
        <f>+'VL 13 - 10'!I10</f>
        <v>472</v>
      </c>
      <c r="AQ12" s="2">
        <f>+'VAL 17 - 10'!J10</f>
        <v>72</v>
      </c>
      <c r="AR12" s="2">
        <f>+'VAL 17 - 10'!I10</f>
        <v>576</v>
      </c>
      <c r="AS12" s="2">
        <f>+'VAL 20 - 10'!J10</f>
        <v>62</v>
      </c>
      <c r="AT12" s="2">
        <f>+'VAL 20 - 10'!I10</f>
        <v>496</v>
      </c>
    </row>
    <row r="13" spans="2:46" x14ac:dyDescent="0.35">
      <c r="B13" s="2" t="s">
        <v>51</v>
      </c>
      <c r="C13" s="2">
        <v>577</v>
      </c>
      <c r="D13" s="2">
        <f>+C13*4.5</f>
        <v>2596.5</v>
      </c>
      <c r="E13" s="2">
        <f>+'VAL 24 - 07'!J11</f>
        <v>1070</v>
      </c>
      <c r="F13" s="2">
        <f t="shared" ref="F13:K13" si="0">SUM(F7:F12)</f>
        <v>5795</v>
      </c>
      <c r="G13" s="2">
        <f t="shared" si="0"/>
        <v>752</v>
      </c>
      <c r="H13" s="2">
        <f t="shared" si="0"/>
        <v>3229</v>
      </c>
      <c r="I13" s="2">
        <f t="shared" si="0"/>
        <v>421</v>
      </c>
      <c r="J13" s="2">
        <f t="shared" si="0"/>
        <v>2093</v>
      </c>
      <c r="K13" s="2">
        <f t="shared" si="0"/>
        <v>403</v>
      </c>
      <c r="L13" s="2">
        <f t="shared" ref="L13:T13" si="1">SUM(L7:L12)</f>
        <v>2878</v>
      </c>
      <c r="M13" s="2">
        <f t="shared" si="1"/>
        <v>1001</v>
      </c>
      <c r="N13" s="2">
        <f t="shared" si="1"/>
        <v>3695</v>
      </c>
      <c r="O13" s="2">
        <f t="shared" si="1"/>
        <v>1379</v>
      </c>
      <c r="P13" s="2">
        <f t="shared" si="1"/>
        <v>6315</v>
      </c>
      <c r="Q13" s="2">
        <f t="shared" si="1"/>
        <v>868</v>
      </c>
      <c r="R13" s="15">
        <f t="shared" si="1"/>
        <v>3905</v>
      </c>
      <c r="S13" s="2">
        <f t="shared" si="1"/>
        <v>1457</v>
      </c>
      <c r="T13" s="2">
        <f t="shared" si="1"/>
        <v>6938</v>
      </c>
      <c r="U13" s="2">
        <f>0+'VAL 26  - 08'!J11</f>
        <v>1325</v>
      </c>
      <c r="V13" s="2">
        <f>0+'VAL 26  - 08'!I11</f>
        <v>5984</v>
      </c>
      <c r="W13" s="2">
        <f>+'VAL 03- 09'!J11</f>
        <v>831</v>
      </c>
      <c r="X13" s="2">
        <f>+'VAL 03- 09'!I11</f>
        <v>3216</v>
      </c>
      <c r="Y13" s="2">
        <f>+'VAL 04 - 09'!J11</f>
        <v>667</v>
      </c>
      <c r="Z13" s="2">
        <f>+'VAL 04 - 09'!I11</f>
        <v>3295</v>
      </c>
      <c r="AA13" s="2">
        <f>+'VAL 11 - 09'!J11</f>
        <v>916</v>
      </c>
      <c r="AB13" s="2">
        <f>+'VAL 11 - 09'!I11</f>
        <v>5369</v>
      </c>
      <c r="AC13" s="2">
        <f>+'VAL 15 - 09'!J11</f>
        <v>594</v>
      </c>
      <c r="AD13" s="2">
        <f>+'VAL 15 - 09'!I11</f>
        <v>3144</v>
      </c>
      <c r="AE13" s="2">
        <f>+'VAL 18 - 09'!J11</f>
        <v>808</v>
      </c>
      <c r="AF13" s="2">
        <f>+'VAL 18 - 09'!I11</f>
        <v>3827</v>
      </c>
      <c r="AG13" s="2">
        <f>+'VAL 22 -09'!J11</f>
        <v>1427</v>
      </c>
      <c r="AH13" s="2">
        <f>+'VAL 22 -09'!I11</f>
        <v>6597</v>
      </c>
      <c r="AI13" s="2">
        <f>+'VAL 26 - 09'!J11</f>
        <v>1364</v>
      </c>
      <c r="AJ13" s="2">
        <f>+'VAL 26 - 09'!I11</f>
        <v>6381</v>
      </c>
      <c r="AK13" s="2">
        <f>+'VAL 02 - 10'!J11</f>
        <v>1798</v>
      </c>
      <c r="AL13" s="2">
        <f>+'VAL 02 - 10'!I11</f>
        <v>7720</v>
      </c>
      <c r="AM13" s="2">
        <f>+'VAL 09 - 10'!J11</f>
        <v>1025</v>
      </c>
      <c r="AN13" s="2">
        <f>+'VAL 09 - 10'!I11</f>
        <v>4381</v>
      </c>
      <c r="AO13" s="2">
        <f>+'VL 13 - 10'!J11</f>
        <v>905</v>
      </c>
      <c r="AP13" s="2">
        <f>+'VL 13 - 10'!I11</f>
        <v>4077</v>
      </c>
      <c r="AQ13" s="2">
        <f>+'VAL 17 - 10'!J11</f>
        <v>1210</v>
      </c>
      <c r="AR13" s="2">
        <f>+'VAL 17 - 10'!I11</f>
        <v>5451</v>
      </c>
      <c r="AS13" s="2">
        <f>+'VAL 20 - 10'!J11</f>
        <v>1113</v>
      </c>
      <c r="AT13" s="2">
        <f>+'VAL 20 - 10'!I11</f>
        <v>4924</v>
      </c>
    </row>
    <row r="19" spans="2:24" x14ac:dyDescent="0.35">
      <c r="B19" s="118" t="s">
        <v>62</v>
      </c>
      <c r="C19" s="29" t="s">
        <v>87</v>
      </c>
      <c r="D19" s="29" t="s">
        <v>63</v>
      </c>
      <c r="E19" s="29" t="s">
        <v>53</v>
      </c>
      <c r="F19" s="29" t="s">
        <v>54</v>
      </c>
      <c r="G19" s="29" t="s">
        <v>55</v>
      </c>
      <c r="H19" s="29" t="s">
        <v>64</v>
      </c>
      <c r="I19" s="29" t="s">
        <v>56</v>
      </c>
      <c r="J19" s="29" t="s">
        <v>57</v>
      </c>
      <c r="K19" s="29" t="s">
        <v>90</v>
      </c>
      <c r="L19" s="29" t="s">
        <v>99</v>
      </c>
      <c r="M19" s="29" t="s">
        <v>107</v>
      </c>
      <c r="N19" s="29" t="s">
        <v>108</v>
      </c>
      <c r="O19" s="29" t="s">
        <v>113</v>
      </c>
      <c r="P19" s="29" t="s">
        <v>156</v>
      </c>
      <c r="Q19" s="29" t="s">
        <v>165</v>
      </c>
      <c r="R19" s="29" t="s">
        <v>167</v>
      </c>
      <c r="S19" s="29" t="s">
        <v>170</v>
      </c>
      <c r="T19" s="29" t="s">
        <v>173</v>
      </c>
      <c r="U19" s="29" t="s">
        <v>177</v>
      </c>
      <c r="V19" s="29" t="s">
        <v>179</v>
      </c>
      <c r="W19" s="29" t="s">
        <v>222</v>
      </c>
      <c r="X19" s="29" t="s">
        <v>224</v>
      </c>
    </row>
    <row r="20" spans="2:24" x14ac:dyDescent="0.35">
      <c r="B20" s="118"/>
      <c r="C20" s="30" t="s">
        <v>3</v>
      </c>
      <c r="D20" s="30" t="s">
        <v>3</v>
      </c>
      <c r="E20" s="30" t="s">
        <v>3</v>
      </c>
      <c r="F20" s="30" t="s">
        <v>3</v>
      </c>
      <c r="G20" s="30" t="s">
        <v>3</v>
      </c>
      <c r="H20" s="30" t="s">
        <v>3</v>
      </c>
      <c r="I20" s="30" t="s">
        <v>3</v>
      </c>
      <c r="J20" s="30" t="s">
        <v>3</v>
      </c>
      <c r="K20" s="30" t="s">
        <v>3</v>
      </c>
      <c r="L20" s="30" t="s">
        <v>3</v>
      </c>
      <c r="M20" s="30" t="s">
        <v>3</v>
      </c>
      <c r="N20" s="30" t="s">
        <v>3</v>
      </c>
      <c r="O20" s="30" t="s">
        <v>3</v>
      </c>
      <c r="P20" s="30" t="s">
        <v>3</v>
      </c>
      <c r="Q20" s="30" t="s">
        <v>3</v>
      </c>
      <c r="R20" s="30" t="s">
        <v>3</v>
      </c>
      <c r="S20" s="30" t="s">
        <v>3</v>
      </c>
      <c r="T20" s="30" t="s">
        <v>3</v>
      </c>
      <c r="U20" s="30" t="s">
        <v>3</v>
      </c>
      <c r="V20" s="30" t="s">
        <v>3</v>
      </c>
      <c r="W20" s="30" t="s">
        <v>3</v>
      </c>
      <c r="X20" s="30" t="s">
        <v>3</v>
      </c>
    </row>
    <row r="21" spans="2:24" x14ac:dyDescent="0.35">
      <c r="B21" s="2" t="s">
        <v>59</v>
      </c>
      <c r="D21">
        <v>286</v>
      </c>
      <c r="E21" s="2">
        <v>456</v>
      </c>
      <c r="F21" s="2">
        <v>192</v>
      </c>
      <c r="G21">
        <v>5</v>
      </c>
      <c r="H21">
        <v>697</v>
      </c>
      <c r="I21">
        <v>773</v>
      </c>
      <c r="J21">
        <v>546</v>
      </c>
      <c r="K21">
        <v>802</v>
      </c>
      <c r="L21">
        <v>766</v>
      </c>
      <c r="M21">
        <f>+W7</f>
        <v>636</v>
      </c>
      <c r="N21">
        <f>+Y7</f>
        <v>371</v>
      </c>
      <c r="O21">
        <f>+AA7</f>
        <v>291</v>
      </c>
      <c r="P21">
        <f>+AC7</f>
        <v>267</v>
      </c>
      <c r="Q21">
        <f>+AE7</f>
        <v>393</v>
      </c>
      <c r="R21">
        <f>+AG7</f>
        <v>731</v>
      </c>
      <c r="S21">
        <f>+AI7</f>
        <v>658</v>
      </c>
      <c r="T21">
        <f>+AK7</f>
        <v>1086</v>
      </c>
      <c r="U21" s="32">
        <f>+AM7</f>
        <v>631</v>
      </c>
      <c r="V21">
        <f>+AO7</f>
        <v>512</v>
      </c>
      <c r="W21">
        <f>+AQ7</f>
        <v>700</v>
      </c>
      <c r="X21">
        <f>+AS7</f>
        <v>640</v>
      </c>
    </row>
    <row r="22" spans="2:24" x14ac:dyDescent="0.35">
      <c r="B22" s="2" t="s">
        <v>10</v>
      </c>
      <c r="D22">
        <f>321-134</f>
        <v>187</v>
      </c>
      <c r="E22" s="2">
        <f>182-168</f>
        <v>14</v>
      </c>
      <c r="F22" s="2">
        <f>140-57</f>
        <v>83</v>
      </c>
      <c r="G22">
        <f>126-107</f>
        <v>19</v>
      </c>
      <c r="H22">
        <v>3</v>
      </c>
      <c r="I22">
        <f>231-206</f>
        <v>25</v>
      </c>
      <c r="J22">
        <f>150-0</f>
        <v>150</v>
      </c>
      <c r="K22">
        <v>179</v>
      </c>
      <c r="L22">
        <f>200-83</f>
        <v>117</v>
      </c>
      <c r="M22">
        <f t="shared" ref="M22:M27" si="2">+W8</f>
        <v>0</v>
      </c>
      <c r="N22">
        <f t="shared" ref="N22:N27" si="3">+Y8</f>
        <v>111</v>
      </c>
      <c r="O22">
        <f t="shared" ref="O22:O27" si="4">+AA8</f>
        <v>169</v>
      </c>
      <c r="P22">
        <f t="shared" ref="P22:P27" si="5">+AC8</f>
        <v>122</v>
      </c>
      <c r="Q22">
        <f t="shared" ref="Q22:Q27" si="6">+AE8</f>
        <v>120</v>
      </c>
      <c r="R22">
        <f t="shared" ref="R22:R27" si="7">+AG8</f>
        <v>260</v>
      </c>
      <c r="S22">
        <f t="shared" ref="S22:S27" si="8">+AI8</f>
        <v>243</v>
      </c>
      <c r="T22">
        <f t="shared" ref="T22:T27" si="9">+AK8</f>
        <v>281</v>
      </c>
      <c r="U22" s="32">
        <f t="shared" ref="U22:U27" si="10">+AM8</f>
        <v>135</v>
      </c>
      <c r="V22">
        <f t="shared" ref="V22:V27" si="11">+AO8</f>
        <v>157</v>
      </c>
      <c r="W22">
        <f t="shared" ref="W22:W27" si="12">+AQ8</f>
        <v>180</v>
      </c>
      <c r="X22">
        <f t="shared" ref="X22:X27" si="13">+AS8</f>
        <v>176</v>
      </c>
    </row>
    <row r="23" spans="2:24" x14ac:dyDescent="0.35">
      <c r="B23" s="2" t="s">
        <v>22</v>
      </c>
      <c r="D23">
        <v>273</v>
      </c>
      <c r="E23" s="2">
        <v>1</v>
      </c>
      <c r="F23" s="2">
        <v>37</v>
      </c>
      <c r="G23">
        <v>0</v>
      </c>
      <c r="H23">
        <v>116</v>
      </c>
      <c r="I23">
        <v>0</v>
      </c>
      <c r="J23">
        <v>127</v>
      </c>
      <c r="K23">
        <v>164</v>
      </c>
      <c r="L23">
        <v>154</v>
      </c>
      <c r="M23">
        <f t="shared" si="2"/>
        <v>102</v>
      </c>
      <c r="N23">
        <f t="shared" si="3"/>
        <v>77</v>
      </c>
      <c r="O23">
        <f t="shared" si="4"/>
        <v>118</v>
      </c>
      <c r="P23">
        <f t="shared" si="5"/>
        <v>67</v>
      </c>
      <c r="Q23">
        <f t="shared" si="6"/>
        <v>70</v>
      </c>
      <c r="R23">
        <f t="shared" si="7"/>
        <v>203</v>
      </c>
      <c r="S23">
        <f t="shared" si="8"/>
        <v>226</v>
      </c>
      <c r="T23">
        <f t="shared" si="9"/>
        <v>195</v>
      </c>
      <c r="U23" s="32">
        <f t="shared" si="10"/>
        <v>119</v>
      </c>
      <c r="V23">
        <f t="shared" si="11"/>
        <v>115</v>
      </c>
      <c r="W23">
        <f t="shared" si="12"/>
        <v>151</v>
      </c>
      <c r="X23">
        <f t="shared" si="13"/>
        <v>145</v>
      </c>
    </row>
    <row r="24" spans="2:24" x14ac:dyDescent="0.35">
      <c r="B24" s="2" t="s">
        <v>61</v>
      </c>
      <c r="D24">
        <v>137</v>
      </c>
      <c r="E24" s="2">
        <v>0</v>
      </c>
      <c r="F24" s="2">
        <v>52</v>
      </c>
      <c r="G24">
        <v>0</v>
      </c>
      <c r="H24">
        <v>126</v>
      </c>
      <c r="I24">
        <v>174</v>
      </c>
      <c r="J24">
        <v>0</v>
      </c>
      <c r="K24">
        <v>141</v>
      </c>
      <c r="L24">
        <v>115</v>
      </c>
      <c r="M24">
        <f t="shared" si="2"/>
        <v>0</v>
      </c>
      <c r="N24">
        <f t="shared" si="3"/>
        <v>0</v>
      </c>
      <c r="O24">
        <f t="shared" si="4"/>
        <v>159</v>
      </c>
      <c r="P24">
        <f t="shared" si="5"/>
        <v>100</v>
      </c>
      <c r="Q24">
        <f t="shared" si="6"/>
        <v>111</v>
      </c>
      <c r="R24">
        <f t="shared" si="7"/>
        <v>100</v>
      </c>
      <c r="S24">
        <f t="shared" si="8"/>
        <v>106</v>
      </c>
      <c r="T24">
        <f t="shared" si="9"/>
        <v>108</v>
      </c>
      <c r="U24" s="32">
        <f t="shared" si="10"/>
        <v>65</v>
      </c>
      <c r="V24">
        <f t="shared" si="11"/>
        <v>43</v>
      </c>
      <c r="W24">
        <f t="shared" si="12"/>
        <v>79</v>
      </c>
      <c r="X24">
        <f t="shared" si="13"/>
        <v>76</v>
      </c>
    </row>
    <row r="25" spans="2:24" x14ac:dyDescent="0.35">
      <c r="B25" s="2" t="s">
        <v>36</v>
      </c>
      <c r="D25">
        <v>53</v>
      </c>
      <c r="E25" s="2">
        <v>0</v>
      </c>
      <c r="F25" s="2">
        <v>0</v>
      </c>
      <c r="G25">
        <v>85</v>
      </c>
      <c r="H25">
        <v>56</v>
      </c>
      <c r="I25">
        <v>66</v>
      </c>
      <c r="J25">
        <v>45</v>
      </c>
      <c r="K25">
        <v>0</v>
      </c>
      <c r="L25">
        <v>22</v>
      </c>
      <c r="M25">
        <f t="shared" si="2"/>
        <v>0</v>
      </c>
      <c r="N25">
        <f t="shared" si="3"/>
        <v>0</v>
      </c>
      <c r="O25">
        <f t="shared" si="4"/>
        <v>48</v>
      </c>
      <c r="P25">
        <f t="shared" si="5"/>
        <v>38</v>
      </c>
      <c r="Q25">
        <f t="shared" si="6"/>
        <v>35</v>
      </c>
      <c r="R25">
        <f t="shared" si="7"/>
        <v>36</v>
      </c>
      <c r="S25">
        <f t="shared" si="8"/>
        <v>38</v>
      </c>
      <c r="T25">
        <f t="shared" si="9"/>
        <v>34</v>
      </c>
      <c r="U25" s="32">
        <f t="shared" si="10"/>
        <v>24</v>
      </c>
      <c r="V25">
        <f t="shared" si="11"/>
        <v>19</v>
      </c>
      <c r="W25">
        <f t="shared" si="12"/>
        <v>28</v>
      </c>
      <c r="X25">
        <f t="shared" si="13"/>
        <v>14</v>
      </c>
    </row>
    <row r="26" spans="2:24" x14ac:dyDescent="0.35">
      <c r="B26" s="2" t="s">
        <v>43</v>
      </c>
      <c r="D26">
        <v>0</v>
      </c>
      <c r="E26" s="2">
        <v>113</v>
      </c>
      <c r="F26" s="2">
        <v>0</v>
      </c>
      <c r="G26">
        <v>187</v>
      </c>
      <c r="H26">
        <v>3</v>
      </c>
      <c r="I26">
        <v>135</v>
      </c>
      <c r="J26">
        <v>0</v>
      </c>
      <c r="K26">
        <v>171</v>
      </c>
      <c r="L26">
        <v>68</v>
      </c>
      <c r="M26">
        <f t="shared" si="2"/>
        <v>93</v>
      </c>
      <c r="N26">
        <f t="shared" si="3"/>
        <v>108</v>
      </c>
      <c r="O26">
        <f t="shared" si="4"/>
        <v>131</v>
      </c>
      <c r="P26">
        <f t="shared" si="5"/>
        <v>0</v>
      </c>
      <c r="Q26">
        <f t="shared" si="6"/>
        <v>79</v>
      </c>
      <c r="R26">
        <f t="shared" si="7"/>
        <v>97</v>
      </c>
      <c r="S26">
        <f t="shared" si="8"/>
        <v>93</v>
      </c>
      <c r="T26">
        <f t="shared" si="9"/>
        <v>94</v>
      </c>
      <c r="U26" s="32">
        <f t="shared" si="10"/>
        <v>51</v>
      </c>
      <c r="V26">
        <f t="shared" si="11"/>
        <v>59</v>
      </c>
      <c r="W26">
        <f t="shared" si="12"/>
        <v>72</v>
      </c>
      <c r="X26">
        <f t="shared" si="13"/>
        <v>62</v>
      </c>
    </row>
    <row r="27" spans="2:24" x14ac:dyDescent="0.35">
      <c r="B27" s="2" t="s">
        <v>51</v>
      </c>
      <c r="D27">
        <v>1070</v>
      </c>
      <c r="E27" s="2">
        <v>752</v>
      </c>
      <c r="F27" s="2">
        <v>421</v>
      </c>
      <c r="G27">
        <v>403</v>
      </c>
      <c r="H27">
        <v>1001</v>
      </c>
      <c r="I27">
        <v>1379</v>
      </c>
      <c r="J27">
        <v>868</v>
      </c>
      <c r="K27">
        <v>1457</v>
      </c>
      <c r="L27">
        <v>1325</v>
      </c>
      <c r="M27">
        <f t="shared" si="2"/>
        <v>831</v>
      </c>
      <c r="N27">
        <f t="shared" si="3"/>
        <v>667</v>
      </c>
      <c r="O27">
        <f t="shared" si="4"/>
        <v>916</v>
      </c>
      <c r="P27">
        <f t="shared" si="5"/>
        <v>594</v>
      </c>
      <c r="Q27">
        <f t="shared" si="6"/>
        <v>808</v>
      </c>
      <c r="R27">
        <f t="shared" si="7"/>
        <v>1427</v>
      </c>
      <c r="S27">
        <f t="shared" si="8"/>
        <v>1364</v>
      </c>
      <c r="T27">
        <f t="shared" si="9"/>
        <v>1798</v>
      </c>
      <c r="U27" s="32">
        <f t="shared" si="10"/>
        <v>1025</v>
      </c>
      <c r="V27">
        <f t="shared" si="11"/>
        <v>905</v>
      </c>
      <c r="W27">
        <f t="shared" si="12"/>
        <v>1210</v>
      </c>
      <c r="X27">
        <f t="shared" si="13"/>
        <v>1113</v>
      </c>
    </row>
    <row r="30" spans="2:24" ht="18.5" x14ac:dyDescent="0.45">
      <c r="B30" s="123" t="s">
        <v>104</v>
      </c>
      <c r="C30" s="123"/>
      <c r="D30" s="123"/>
      <c r="E30" s="123"/>
      <c r="F30" s="123"/>
      <c r="G30" s="123"/>
      <c r="H30" s="123"/>
      <c r="I30" s="123"/>
      <c r="J30" s="123"/>
      <c r="K30" s="123"/>
      <c r="L30" s="123"/>
    </row>
    <row r="31" spans="2:24" x14ac:dyDescent="0.35">
      <c r="B31" s="11" t="s">
        <v>62</v>
      </c>
      <c r="C31" s="2" t="s">
        <v>87</v>
      </c>
      <c r="D31" s="2" t="s">
        <v>63</v>
      </c>
      <c r="E31" s="2" t="s">
        <v>53</v>
      </c>
      <c r="F31" s="2" t="s">
        <v>54</v>
      </c>
      <c r="G31" s="2" t="s">
        <v>55</v>
      </c>
      <c r="H31" s="2" t="s">
        <v>64</v>
      </c>
      <c r="I31" s="2" t="s">
        <v>56</v>
      </c>
      <c r="J31" s="2" t="s">
        <v>57</v>
      </c>
      <c r="K31" s="2" t="s">
        <v>90</v>
      </c>
      <c r="L31" s="2" t="s">
        <v>99</v>
      </c>
      <c r="M31" s="29" t="s">
        <v>107</v>
      </c>
      <c r="N31" s="29" t="s">
        <v>108</v>
      </c>
      <c r="O31" s="29" t="s">
        <v>113</v>
      </c>
      <c r="P31" s="29" t="s">
        <v>156</v>
      </c>
      <c r="Q31" s="29" t="s">
        <v>165</v>
      </c>
      <c r="R31" s="29" t="s">
        <v>167</v>
      </c>
      <c r="S31" s="29" t="s">
        <v>170</v>
      </c>
      <c r="T31" s="29" t="s">
        <v>173</v>
      </c>
      <c r="U31" s="29" t="s">
        <v>177</v>
      </c>
      <c r="V31" s="29" t="s">
        <v>179</v>
      </c>
      <c r="W31" s="29" t="s">
        <v>222</v>
      </c>
      <c r="X31" s="29" t="s">
        <v>224</v>
      </c>
    </row>
    <row r="32" spans="2:24" x14ac:dyDescent="0.35">
      <c r="B32" s="2"/>
      <c r="C32" s="2" t="s">
        <v>3</v>
      </c>
      <c r="D32" s="2" t="s">
        <v>3</v>
      </c>
      <c r="E32" s="2" t="s">
        <v>3</v>
      </c>
      <c r="F32" s="2" t="s">
        <v>3</v>
      </c>
      <c r="G32" s="2" t="s">
        <v>3</v>
      </c>
      <c r="H32" s="2" t="s">
        <v>3</v>
      </c>
      <c r="I32" s="2" t="s">
        <v>3</v>
      </c>
      <c r="J32" s="2" t="s">
        <v>3</v>
      </c>
      <c r="K32" s="2" t="s">
        <v>3</v>
      </c>
      <c r="L32" s="2" t="s">
        <v>3</v>
      </c>
      <c r="M32" s="2" t="s">
        <v>3</v>
      </c>
      <c r="N32" s="2" t="s">
        <v>3</v>
      </c>
      <c r="O32" s="2" t="s">
        <v>3</v>
      </c>
      <c r="P32" s="2" t="s">
        <v>3</v>
      </c>
      <c r="Q32" s="2" t="s">
        <v>3</v>
      </c>
      <c r="R32" s="2" t="s">
        <v>3</v>
      </c>
      <c r="S32" s="2" t="s">
        <v>3</v>
      </c>
      <c r="T32" s="2" t="s">
        <v>3</v>
      </c>
      <c r="U32" s="2" t="s">
        <v>3</v>
      </c>
      <c r="V32" s="2" t="s">
        <v>3</v>
      </c>
      <c r="W32" s="2" t="s">
        <v>3</v>
      </c>
      <c r="X32" s="2" t="s">
        <v>3</v>
      </c>
    </row>
    <row r="33" spans="2:24" x14ac:dyDescent="0.35">
      <c r="B33" s="2" t="s">
        <v>10</v>
      </c>
      <c r="C33" s="2"/>
      <c r="D33" s="2">
        <f>187-'VAL 24 - 07'!E11</f>
        <v>53</v>
      </c>
      <c r="E33" s="2">
        <v>14</v>
      </c>
      <c r="F33" s="2">
        <v>83</v>
      </c>
      <c r="G33" s="2">
        <v>19</v>
      </c>
      <c r="H33" s="2">
        <v>3</v>
      </c>
      <c r="I33" s="2">
        <v>25</v>
      </c>
      <c r="J33" s="2">
        <v>150</v>
      </c>
      <c r="K33" s="2">
        <v>179</v>
      </c>
      <c r="L33" s="2">
        <v>117</v>
      </c>
      <c r="M33">
        <f>+M22</f>
        <v>0</v>
      </c>
      <c r="N33">
        <f>+N22</f>
        <v>111</v>
      </c>
      <c r="O33">
        <f>+O22</f>
        <v>169</v>
      </c>
      <c r="P33">
        <f>+P22</f>
        <v>122</v>
      </c>
      <c r="Q33">
        <f>+Q22-100</f>
        <v>20</v>
      </c>
      <c r="R33">
        <f>+R22-116</f>
        <v>144</v>
      </c>
      <c r="S33">
        <f>+S22-127</f>
        <v>116</v>
      </c>
      <c r="T33">
        <f>+T22-131</f>
        <v>150</v>
      </c>
      <c r="U33" s="32">
        <f>+U22-61</f>
        <v>74</v>
      </c>
      <c r="V33">
        <f>+V22-79</f>
        <v>78</v>
      </c>
      <c r="W33">
        <f>+W22-78</f>
        <v>102</v>
      </c>
      <c r="X33">
        <f>+X22-89</f>
        <v>87</v>
      </c>
    </row>
    <row r="34" spans="2:24" x14ac:dyDescent="0.35">
      <c r="B34" s="2" t="s">
        <v>61</v>
      </c>
      <c r="C34" s="2"/>
      <c r="D34" s="2">
        <v>137</v>
      </c>
      <c r="E34" s="2">
        <v>0</v>
      </c>
      <c r="F34" s="2">
        <v>52</v>
      </c>
      <c r="G34" s="2">
        <v>0</v>
      </c>
      <c r="H34" s="2">
        <v>126</v>
      </c>
      <c r="I34" s="2">
        <v>174</v>
      </c>
      <c r="J34" s="2">
        <v>0</v>
      </c>
      <c r="K34" s="2">
        <v>141</v>
      </c>
      <c r="L34" s="2">
        <v>115</v>
      </c>
      <c r="M34">
        <f>+M24</f>
        <v>0</v>
      </c>
      <c r="N34">
        <f>+N24</f>
        <v>0</v>
      </c>
      <c r="O34">
        <f>+O24</f>
        <v>159</v>
      </c>
      <c r="P34">
        <f>+P24</f>
        <v>100</v>
      </c>
      <c r="Q34">
        <f>+Q24</f>
        <v>111</v>
      </c>
      <c r="R34">
        <f>+R24</f>
        <v>100</v>
      </c>
      <c r="S34">
        <f>+S24</f>
        <v>106</v>
      </c>
      <c r="T34">
        <f>+T24</f>
        <v>108</v>
      </c>
      <c r="U34" s="32">
        <f>+U24</f>
        <v>65</v>
      </c>
      <c r="V34">
        <f>+V24</f>
        <v>43</v>
      </c>
      <c r="W34">
        <f>+W24</f>
        <v>79</v>
      </c>
      <c r="X34">
        <f>+X24</f>
        <v>76</v>
      </c>
    </row>
    <row r="35" spans="2:24" x14ac:dyDescent="0.35">
      <c r="B35" s="2" t="s">
        <v>36</v>
      </c>
      <c r="C35" s="2"/>
      <c r="D35" s="2">
        <v>53</v>
      </c>
      <c r="E35" s="2">
        <v>0</v>
      </c>
      <c r="F35" s="2">
        <v>0</v>
      </c>
      <c r="G35" s="2">
        <v>85</v>
      </c>
      <c r="H35" s="2">
        <v>56</v>
      </c>
      <c r="I35" s="2">
        <v>66</v>
      </c>
      <c r="J35" s="2">
        <v>45</v>
      </c>
      <c r="K35" s="2">
        <v>0</v>
      </c>
      <c r="L35" s="2">
        <v>22</v>
      </c>
      <c r="M35">
        <f>+M25</f>
        <v>0</v>
      </c>
      <c r="N35">
        <f>+N25</f>
        <v>0</v>
      </c>
      <c r="O35">
        <f t="shared" ref="O35:W36" si="14">+O25</f>
        <v>48</v>
      </c>
      <c r="P35">
        <f t="shared" si="14"/>
        <v>38</v>
      </c>
      <c r="Q35">
        <f t="shared" si="14"/>
        <v>35</v>
      </c>
      <c r="R35">
        <f t="shared" si="14"/>
        <v>36</v>
      </c>
      <c r="S35">
        <f t="shared" si="14"/>
        <v>38</v>
      </c>
      <c r="T35">
        <f t="shared" si="14"/>
        <v>34</v>
      </c>
      <c r="U35" s="32">
        <f t="shared" si="14"/>
        <v>24</v>
      </c>
      <c r="V35">
        <f t="shared" si="14"/>
        <v>19</v>
      </c>
      <c r="W35">
        <f t="shared" si="14"/>
        <v>28</v>
      </c>
      <c r="X35">
        <f t="shared" ref="X35:X36" si="15">+X25</f>
        <v>14</v>
      </c>
    </row>
    <row r="36" spans="2:24" x14ac:dyDescent="0.35">
      <c r="B36" s="2" t="s">
        <v>43</v>
      </c>
      <c r="C36" s="2"/>
      <c r="D36" s="2">
        <v>0</v>
      </c>
      <c r="E36" s="2">
        <v>113</v>
      </c>
      <c r="F36" s="2">
        <v>0</v>
      </c>
      <c r="G36" s="2">
        <v>187</v>
      </c>
      <c r="H36" s="2">
        <v>3</v>
      </c>
      <c r="I36" s="2">
        <v>135</v>
      </c>
      <c r="J36" s="2">
        <v>0</v>
      </c>
      <c r="K36" s="2">
        <v>171</v>
      </c>
      <c r="L36" s="2">
        <v>68</v>
      </c>
      <c r="M36">
        <f t="shared" ref="M34:M36" si="16">+M25</f>
        <v>0</v>
      </c>
      <c r="N36">
        <f>+N26</f>
        <v>108</v>
      </c>
      <c r="O36">
        <f t="shared" si="14"/>
        <v>131</v>
      </c>
      <c r="P36">
        <f t="shared" si="14"/>
        <v>0</v>
      </c>
      <c r="Q36">
        <f t="shared" si="14"/>
        <v>79</v>
      </c>
      <c r="R36">
        <f t="shared" si="14"/>
        <v>97</v>
      </c>
      <c r="S36">
        <f t="shared" si="14"/>
        <v>93</v>
      </c>
      <c r="T36">
        <f t="shared" si="14"/>
        <v>94</v>
      </c>
      <c r="U36" s="32">
        <f t="shared" si="14"/>
        <v>51</v>
      </c>
      <c r="V36">
        <f t="shared" si="14"/>
        <v>59</v>
      </c>
      <c r="W36">
        <f t="shared" si="14"/>
        <v>72</v>
      </c>
      <c r="X36">
        <f t="shared" si="15"/>
        <v>62</v>
      </c>
    </row>
    <row r="37" spans="2:24" x14ac:dyDescent="0.35">
      <c r="B37" s="2" t="s">
        <v>51</v>
      </c>
      <c r="C37" s="2"/>
      <c r="D37" s="2">
        <f>SUM(D33:D36)</f>
        <v>243</v>
      </c>
      <c r="E37" s="2">
        <f t="shared" ref="E37:X37" si="17">SUM(E33:E36)</f>
        <v>127</v>
      </c>
      <c r="F37" s="2">
        <f t="shared" si="17"/>
        <v>135</v>
      </c>
      <c r="G37" s="2">
        <f t="shared" si="17"/>
        <v>291</v>
      </c>
      <c r="H37" s="2">
        <f t="shared" si="17"/>
        <v>188</v>
      </c>
      <c r="I37" s="2">
        <f t="shared" si="17"/>
        <v>400</v>
      </c>
      <c r="J37" s="2">
        <f t="shared" si="17"/>
        <v>195</v>
      </c>
      <c r="K37" s="2">
        <f t="shared" si="17"/>
        <v>491</v>
      </c>
      <c r="L37" s="2">
        <f t="shared" si="17"/>
        <v>322</v>
      </c>
      <c r="M37" s="2">
        <f t="shared" si="17"/>
        <v>0</v>
      </c>
      <c r="N37" s="2">
        <f t="shared" si="17"/>
        <v>219</v>
      </c>
      <c r="O37" s="2">
        <f t="shared" si="17"/>
        <v>507</v>
      </c>
      <c r="P37" s="2">
        <f t="shared" si="17"/>
        <v>260</v>
      </c>
      <c r="Q37" s="2">
        <f t="shared" si="17"/>
        <v>245</v>
      </c>
      <c r="R37" s="2">
        <f t="shared" si="17"/>
        <v>377</v>
      </c>
      <c r="S37" s="2">
        <f t="shared" si="17"/>
        <v>353</v>
      </c>
      <c r="T37" s="2">
        <f t="shared" si="17"/>
        <v>386</v>
      </c>
      <c r="U37" s="2">
        <f t="shared" si="17"/>
        <v>214</v>
      </c>
      <c r="V37" s="2">
        <f t="shared" si="17"/>
        <v>199</v>
      </c>
      <c r="W37" s="2">
        <f t="shared" si="17"/>
        <v>281</v>
      </c>
      <c r="X37" s="2">
        <f t="shared" si="17"/>
        <v>239</v>
      </c>
    </row>
  </sheetData>
  <mergeCells count="27">
    <mergeCell ref="AS5:AT5"/>
    <mergeCell ref="AI5:AJ5"/>
    <mergeCell ref="AK5:AL5"/>
    <mergeCell ref="AM5:AN5"/>
    <mergeCell ref="AO5:AP5"/>
    <mergeCell ref="AQ5:AR5"/>
    <mergeCell ref="Y5:Z5"/>
    <mergeCell ref="AA5:AB5"/>
    <mergeCell ref="AC5:AD5"/>
    <mergeCell ref="AE5:AF5"/>
    <mergeCell ref="AG5:AH5"/>
    <mergeCell ref="B30:L30"/>
    <mergeCell ref="B19:B20"/>
    <mergeCell ref="Q5:R5"/>
    <mergeCell ref="S5:T5"/>
    <mergeCell ref="U5:V5"/>
    <mergeCell ref="W5:X5"/>
    <mergeCell ref="B3:R3"/>
    <mergeCell ref="B4:B5"/>
    <mergeCell ref="C4:Q4"/>
    <mergeCell ref="C5:D5"/>
    <mergeCell ref="E5:F5"/>
    <mergeCell ref="G5:H5"/>
    <mergeCell ref="I5:J5"/>
    <mergeCell ref="K5:L5"/>
    <mergeCell ref="M5:N5"/>
    <mergeCell ref="O5:P5"/>
  </mergeCells>
  <phoneticPr fontId="4" type="noConversion"/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F669-673B-45E3-B7BB-908ADF6950FA}">
  <dimension ref="B2:BI72"/>
  <sheetViews>
    <sheetView topLeftCell="C28" zoomScale="73" zoomScaleNormal="100" workbookViewId="0">
      <selection activeCell="AA19" sqref="AA19:AU21"/>
    </sheetView>
  </sheetViews>
  <sheetFormatPr baseColWidth="10" defaultRowHeight="14.5" x14ac:dyDescent="0.35"/>
  <cols>
    <col min="2" max="2" width="13.1796875" bestFit="1" customWidth="1"/>
    <col min="7" max="18" width="0" hidden="1" customWidth="1"/>
    <col min="29" max="29" width="9.36328125" bestFit="1" customWidth="1"/>
    <col min="32" max="32" width="21" customWidth="1"/>
    <col min="33" max="33" width="14.6328125" hidden="1" customWidth="1"/>
    <col min="34" max="34" width="14.90625" hidden="1" customWidth="1"/>
    <col min="35" max="37" width="15.08984375" hidden="1" customWidth="1"/>
    <col min="38" max="44" width="14.36328125" hidden="1" customWidth="1"/>
    <col min="45" max="45" width="15.08984375" hidden="1" customWidth="1"/>
    <col min="46" max="46" width="17" hidden="1" customWidth="1"/>
    <col min="47" max="57" width="17" customWidth="1"/>
    <col min="58" max="58" width="17" bestFit="1" customWidth="1"/>
    <col min="59" max="59" width="16" bestFit="1" customWidth="1"/>
  </cols>
  <sheetData>
    <row r="2" spans="2:61" x14ac:dyDescent="0.35"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2:61" x14ac:dyDescent="0.35">
      <c r="B3" s="47"/>
      <c r="C3" s="47"/>
      <c r="D3" s="47"/>
      <c r="E3" s="47"/>
      <c r="F3" s="47"/>
      <c r="G3" s="4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2:61" x14ac:dyDescent="0.35">
      <c r="B4" s="47"/>
      <c r="C4" s="47"/>
      <c r="D4" s="47"/>
      <c r="E4" s="47"/>
      <c r="F4" s="47"/>
      <c r="G4" s="4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2:61" x14ac:dyDescent="0.35">
      <c r="B5" s="47"/>
      <c r="C5" s="47"/>
      <c r="D5" s="47"/>
      <c r="E5" s="47"/>
      <c r="F5" s="47"/>
      <c r="G5" s="4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2:61" x14ac:dyDescent="0.35">
      <c r="B6" s="47"/>
      <c r="C6" s="47"/>
      <c r="D6" s="47"/>
      <c r="E6" s="47"/>
      <c r="F6" s="47"/>
      <c r="G6" s="4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2:61" x14ac:dyDescent="0.35">
      <c r="B7" s="47"/>
      <c r="C7" s="47"/>
      <c r="D7" s="47"/>
      <c r="E7" s="47"/>
      <c r="F7" s="47"/>
      <c r="G7" s="4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2:61" x14ac:dyDescent="0.35">
      <c r="B8" s="113" t="s">
        <v>225</v>
      </c>
      <c r="C8" s="113"/>
      <c r="D8" s="113"/>
      <c r="E8" s="113"/>
      <c r="F8" s="113"/>
      <c r="G8" s="113"/>
      <c r="H8" s="114"/>
      <c r="I8" s="114"/>
      <c r="J8" s="114"/>
      <c r="K8" s="114"/>
      <c r="L8" s="114"/>
      <c r="M8" s="114"/>
    </row>
    <row r="9" spans="2:61" ht="19" thickBot="1" x14ac:dyDescent="0.5">
      <c r="B9" s="2" t="s">
        <v>1</v>
      </c>
      <c r="C9" s="2" t="s">
        <v>2</v>
      </c>
      <c r="D9" s="2" t="s">
        <v>48</v>
      </c>
      <c r="E9" s="2" t="s">
        <v>3</v>
      </c>
      <c r="F9" s="5" t="s">
        <v>153</v>
      </c>
      <c r="G9" s="5" t="s">
        <v>52</v>
      </c>
      <c r="H9" s="2" t="s">
        <v>53</v>
      </c>
      <c r="I9" s="2" t="s">
        <v>54</v>
      </c>
      <c r="J9" s="2" t="s">
        <v>55</v>
      </c>
      <c r="K9" s="2" t="s">
        <v>64</v>
      </c>
      <c r="L9" s="2" t="s">
        <v>56</v>
      </c>
      <c r="M9" s="2" t="s">
        <v>57</v>
      </c>
      <c r="N9" s="2" t="s">
        <v>90</v>
      </c>
      <c r="O9" s="2" t="s">
        <v>99</v>
      </c>
      <c r="P9" s="2" t="s">
        <v>107</v>
      </c>
      <c r="Q9" s="2" t="s">
        <v>108</v>
      </c>
      <c r="R9" s="2" t="s">
        <v>113</v>
      </c>
      <c r="S9" s="2" t="s">
        <v>156</v>
      </c>
      <c r="T9" s="2" t="s">
        <v>166</v>
      </c>
      <c r="U9" s="2" t="s">
        <v>168</v>
      </c>
      <c r="V9" s="2" t="s">
        <v>171</v>
      </c>
      <c r="W9" s="2" t="s">
        <v>174</v>
      </c>
      <c r="X9" s="2" t="s">
        <v>178</v>
      </c>
      <c r="Y9" s="2" t="s">
        <v>180</v>
      </c>
      <c r="Z9" s="2" t="s">
        <v>182</v>
      </c>
      <c r="AA9" s="2" t="s">
        <v>183</v>
      </c>
      <c r="AB9" s="2" t="s">
        <v>184</v>
      </c>
      <c r="AC9" s="2" t="s">
        <v>188</v>
      </c>
      <c r="AD9" s="2" t="s">
        <v>189</v>
      </c>
      <c r="AF9" s="70" t="s">
        <v>119</v>
      </c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BH9" s="17"/>
      <c r="BI9" s="17"/>
    </row>
    <row r="10" spans="2:61" ht="19" thickBot="1" x14ac:dyDescent="0.5">
      <c r="B10" s="12" t="s">
        <v>59</v>
      </c>
      <c r="C10" s="2"/>
      <c r="D10" s="2"/>
      <c r="E10" s="2"/>
      <c r="F10" s="5"/>
      <c r="G10" s="9">
        <f>SUM(G11:G14)</f>
        <v>858</v>
      </c>
      <c r="H10" s="9">
        <f t="shared" ref="H10:AD10" si="0">SUM(H11:H14)</f>
        <v>1368</v>
      </c>
      <c r="I10" s="9">
        <f t="shared" si="0"/>
        <v>576</v>
      </c>
      <c r="J10" s="9">
        <f t="shared" si="0"/>
        <v>15</v>
      </c>
      <c r="K10" s="4">
        <f>SUM(K11:K14)</f>
        <v>2091</v>
      </c>
      <c r="L10" s="9">
        <f t="shared" si="0"/>
        <v>2319</v>
      </c>
      <c r="M10" s="9">
        <f t="shared" si="0"/>
        <v>1638</v>
      </c>
      <c r="N10" s="9">
        <f t="shared" si="0"/>
        <v>2406</v>
      </c>
      <c r="O10" s="9">
        <f t="shared" si="0"/>
        <v>2298</v>
      </c>
      <c r="P10" s="9">
        <f t="shared" si="0"/>
        <v>1908</v>
      </c>
      <c r="Q10" s="9">
        <f t="shared" si="0"/>
        <v>1113</v>
      </c>
      <c r="R10" s="9">
        <f t="shared" si="0"/>
        <v>873</v>
      </c>
      <c r="S10" s="9">
        <f t="shared" si="0"/>
        <v>801</v>
      </c>
      <c r="T10" s="9">
        <f t="shared" si="0"/>
        <v>1179</v>
      </c>
      <c r="U10" s="9">
        <f t="shared" si="0"/>
        <v>2193</v>
      </c>
      <c r="V10" s="9">
        <f t="shared" si="0"/>
        <v>1974</v>
      </c>
      <c r="W10" s="9">
        <f t="shared" si="0"/>
        <v>3258</v>
      </c>
      <c r="X10" s="9">
        <f t="shared" si="0"/>
        <v>1893</v>
      </c>
      <c r="Y10" s="9">
        <f t="shared" si="0"/>
        <v>1536</v>
      </c>
      <c r="Z10" s="9">
        <f t="shared" si="0"/>
        <v>2100</v>
      </c>
      <c r="AA10" s="9">
        <f t="shared" si="0"/>
        <v>1920</v>
      </c>
      <c r="AB10" s="9">
        <f t="shared" si="0"/>
        <v>0</v>
      </c>
      <c r="AC10" s="9">
        <f t="shared" si="0"/>
        <v>0</v>
      </c>
      <c r="AD10" s="9">
        <f t="shared" si="0"/>
        <v>0</v>
      </c>
      <c r="AF10" s="50" t="s">
        <v>76</v>
      </c>
      <c r="AG10" s="51" t="s">
        <v>111</v>
      </c>
      <c r="AH10" s="51" t="s">
        <v>52</v>
      </c>
      <c r="AI10" s="51" t="s">
        <v>53</v>
      </c>
      <c r="AJ10" s="51" t="s">
        <v>54</v>
      </c>
      <c r="AK10" s="51" t="s">
        <v>55</v>
      </c>
      <c r="AL10" s="51" t="s">
        <v>64</v>
      </c>
      <c r="AM10" s="51" t="s">
        <v>56</v>
      </c>
      <c r="AN10" s="51" t="s">
        <v>57</v>
      </c>
      <c r="AO10" s="51" t="s">
        <v>90</v>
      </c>
      <c r="AP10" s="51" t="s">
        <v>99</v>
      </c>
      <c r="AQ10" s="51" t="s">
        <v>107</v>
      </c>
      <c r="AR10" s="51" t="s">
        <v>108</v>
      </c>
      <c r="AS10" s="52" t="s">
        <v>113</v>
      </c>
      <c r="AT10" s="52" t="s">
        <v>156</v>
      </c>
      <c r="AU10" s="52" t="s">
        <v>165</v>
      </c>
      <c r="AV10" s="52" t="s">
        <v>167</v>
      </c>
      <c r="AW10" s="52" t="s">
        <v>170</v>
      </c>
      <c r="AX10" s="52" t="s">
        <v>173</v>
      </c>
      <c r="AY10" s="52" t="s">
        <v>177</v>
      </c>
      <c r="AZ10" s="52" t="s">
        <v>179</v>
      </c>
      <c r="BA10" s="52" t="s">
        <v>222</v>
      </c>
      <c r="BB10" s="52" t="s">
        <v>224</v>
      </c>
      <c r="BC10" s="52" t="s">
        <v>186</v>
      </c>
      <c r="BD10" s="52" t="s">
        <v>187</v>
      </c>
      <c r="BE10" s="52" t="s">
        <v>160</v>
      </c>
      <c r="BF10" s="51" t="s">
        <v>51</v>
      </c>
      <c r="BG10" s="51" t="s">
        <v>105</v>
      </c>
      <c r="BH10" s="41"/>
      <c r="BI10" s="13"/>
    </row>
    <row r="11" spans="2:61" ht="19" thickBot="1" x14ac:dyDescent="0.5">
      <c r="B11" s="2" t="s">
        <v>6</v>
      </c>
      <c r="C11" s="2" t="s">
        <v>50</v>
      </c>
      <c r="D11" s="2">
        <v>3</v>
      </c>
      <c r="E11" s="2"/>
      <c r="F11" s="5"/>
      <c r="G11" s="5">
        <f>+D11*'VAL 24 - 07'!E6</f>
        <v>369</v>
      </c>
      <c r="H11" s="2">
        <f>+'VAL 30-07'!F6</f>
        <v>462</v>
      </c>
      <c r="I11" s="2">
        <f>+D11*'VAL 02- 08'!E6</f>
        <v>339</v>
      </c>
      <c r="J11" s="2">
        <f>+D11*'VAL 05-08'!E6</f>
        <v>15</v>
      </c>
      <c r="K11" s="1">
        <f>+D11*'VAL 07 -08'!E6</f>
        <v>1137</v>
      </c>
      <c r="L11" s="2">
        <f>+'VAL 11-08'!F6</f>
        <v>1383</v>
      </c>
      <c r="M11" s="5">
        <f>+D11*'VAL 15 - 08'!E6</f>
        <v>606</v>
      </c>
      <c r="N11" s="2">
        <f>+D11*'VAL 19- 08'!E6</f>
        <v>1410</v>
      </c>
      <c r="O11" s="2">
        <f>+D11*'VAL 26  - 08'!E6</f>
        <v>1641</v>
      </c>
      <c r="P11" s="2">
        <f>+D11*'VAL 03- 09'!E6</f>
        <v>492</v>
      </c>
      <c r="Q11">
        <f>+'VAL 04 - 09'!F6</f>
        <v>873</v>
      </c>
      <c r="R11">
        <f>+'VAL 11 - 09'!F6</f>
        <v>873</v>
      </c>
      <c r="S11">
        <f>+'VAL 15 - 09'!F6</f>
        <v>480</v>
      </c>
      <c r="T11">
        <f>+'VAL 18 - 09'!F6</f>
        <v>990</v>
      </c>
      <c r="U11">
        <f>+'VAL 22 -09'!F6</f>
        <v>1512</v>
      </c>
      <c r="V11">
        <f>+'VAL 26 - 09'!F6</f>
        <v>1509</v>
      </c>
      <c r="W11">
        <f>+'VAL 02 - 10'!F6</f>
        <v>1824</v>
      </c>
      <c r="X11">
        <f>+'VAL 09 - 10'!F6</f>
        <v>1074</v>
      </c>
      <c r="Y11">
        <f>+'VL 13 - 10'!F6</f>
        <v>903</v>
      </c>
      <c r="Z11">
        <f>+'VAL 17 - 10'!F6</f>
        <v>1161</v>
      </c>
      <c r="AA11">
        <f>+'VAL 20 - 10'!F6</f>
        <v>1029</v>
      </c>
      <c r="AB11">
        <f>+'VAL C - 10'!F6</f>
        <v>0</v>
      </c>
      <c r="AC11">
        <f>+'VAL D - 10'!F6</f>
        <v>0</v>
      </c>
      <c r="AD11">
        <f>+'VAL F - 10'!E6</f>
        <v>0</v>
      </c>
      <c r="AF11" s="49" t="s">
        <v>72</v>
      </c>
      <c r="AG11" s="60"/>
      <c r="AH11" s="61">
        <f>+'VAL 24 - 07'!I5</f>
        <v>858</v>
      </c>
      <c r="AI11" s="61">
        <f t="shared" ref="AI11:AT11" si="1">0+H10</f>
        <v>1368</v>
      </c>
      <c r="AJ11" s="61">
        <f t="shared" si="1"/>
        <v>576</v>
      </c>
      <c r="AK11" s="61">
        <f t="shared" si="1"/>
        <v>15</v>
      </c>
      <c r="AL11" s="61">
        <f t="shared" si="1"/>
        <v>2091</v>
      </c>
      <c r="AM11" s="61">
        <f t="shared" si="1"/>
        <v>2319</v>
      </c>
      <c r="AN11" s="61">
        <f t="shared" si="1"/>
        <v>1638</v>
      </c>
      <c r="AO11" s="61">
        <f t="shared" si="1"/>
        <v>2406</v>
      </c>
      <c r="AP11" s="61">
        <f t="shared" si="1"/>
        <v>2298</v>
      </c>
      <c r="AQ11" s="61">
        <f t="shared" si="1"/>
        <v>1908</v>
      </c>
      <c r="AR11" s="61">
        <f t="shared" si="1"/>
        <v>1113</v>
      </c>
      <c r="AS11" s="62">
        <f t="shared" si="1"/>
        <v>873</v>
      </c>
      <c r="AT11" s="62">
        <f t="shared" si="1"/>
        <v>801</v>
      </c>
      <c r="AU11" s="62">
        <f>0+T10</f>
        <v>1179</v>
      </c>
      <c r="AV11" s="62">
        <f t="shared" ref="AV11:BB11" si="2">0+U10</f>
        <v>2193</v>
      </c>
      <c r="AW11" s="62">
        <f t="shared" si="2"/>
        <v>1974</v>
      </c>
      <c r="AX11" s="62">
        <f t="shared" si="2"/>
        <v>3258</v>
      </c>
      <c r="AY11" s="62">
        <f t="shared" si="2"/>
        <v>1893</v>
      </c>
      <c r="AZ11" s="62">
        <f t="shared" si="2"/>
        <v>1536</v>
      </c>
      <c r="BA11" s="62">
        <f t="shared" si="2"/>
        <v>2100</v>
      </c>
      <c r="BB11" s="62">
        <f t="shared" si="2"/>
        <v>1920</v>
      </c>
      <c r="BC11" s="62">
        <f t="shared" ref="BC11" si="3">0+AB10</f>
        <v>0</v>
      </c>
      <c r="BD11" s="62">
        <f t="shared" ref="BD11" si="4">0+AC10</f>
        <v>0</v>
      </c>
      <c r="BE11" s="62">
        <f t="shared" ref="BE11" si="5">0+AD10</f>
        <v>0</v>
      </c>
      <c r="BF11" s="63">
        <f>SUM(Tabla1[[#This Row],[VAL 15 - 07]:[VAL 13-10]])</f>
        <v>30297</v>
      </c>
      <c r="BG11" s="63">
        <f>AVERAGE(Tabla1[[#This Row],[VAL 15 - 07]:[VAL 13-10]])</f>
        <v>1594.578947368421</v>
      </c>
      <c r="BH11" s="41"/>
      <c r="BI11" s="18"/>
    </row>
    <row r="12" spans="2:61" ht="19" thickBot="1" x14ac:dyDescent="0.5">
      <c r="B12" s="2" t="s">
        <v>7</v>
      </c>
      <c r="C12" s="2" t="s">
        <v>50</v>
      </c>
      <c r="D12" s="2">
        <v>3</v>
      </c>
      <c r="E12" s="2"/>
      <c r="F12" s="5"/>
      <c r="G12" s="5">
        <f>+D12*'VAL 24 - 07'!E7</f>
        <v>489</v>
      </c>
      <c r="H12" s="2">
        <f>+'VAL 30-07'!F7</f>
        <v>486</v>
      </c>
      <c r="I12" s="2">
        <f>+D12*'VAL 02- 08'!E7</f>
        <v>0</v>
      </c>
      <c r="J12" s="2">
        <f>+D12*'VAL 05-08'!E7</f>
        <v>0</v>
      </c>
      <c r="K12" s="1">
        <f>+D12*'VAL 07 -08'!E7</f>
        <v>342</v>
      </c>
      <c r="L12" s="2">
        <f>+'VAL 11-08'!F7</f>
        <v>435</v>
      </c>
      <c r="M12" s="5">
        <f>+D12*'VAL 15 - 08'!E7</f>
        <v>612</v>
      </c>
      <c r="N12" s="2">
        <f>+D12*'VAL 19- 08'!E7</f>
        <v>315</v>
      </c>
      <c r="O12" s="2">
        <f>+D12*'VAL 26  - 08'!E7</f>
        <v>315</v>
      </c>
      <c r="P12" s="2">
        <f>+D12*'VAL 03- 09'!E7</f>
        <v>885</v>
      </c>
      <c r="Q12">
        <f>+'VAL 04 - 09'!F7</f>
        <v>0</v>
      </c>
      <c r="R12">
        <f>+'VAL 11 - 09'!F7</f>
        <v>0</v>
      </c>
      <c r="S12">
        <f>+'VAL 15 - 09'!F7</f>
        <v>0</v>
      </c>
      <c r="T12">
        <f>+'VAL 18 - 09'!F7</f>
        <v>0</v>
      </c>
      <c r="U12">
        <f>+'VAL 22 -09'!F7</f>
        <v>339</v>
      </c>
      <c r="V12">
        <f>+'VAL 26 - 09'!F7</f>
        <v>0</v>
      </c>
      <c r="W12">
        <f>+'VAL 02 - 10'!F7</f>
        <v>861</v>
      </c>
      <c r="X12">
        <f>+'VAL 09 - 10'!F7</f>
        <v>507</v>
      </c>
      <c r="Y12">
        <f>+'VL 13 - 10'!F7</f>
        <v>345</v>
      </c>
      <c r="Z12">
        <f>+'VAL 17 - 10'!F7</f>
        <v>543</v>
      </c>
      <c r="AA12">
        <f>+'VAL 20 - 10'!F7</f>
        <v>543</v>
      </c>
      <c r="AB12">
        <f>+'VAL C - 10'!F7</f>
        <v>0</v>
      </c>
      <c r="AC12">
        <f>+'VAL D - 10'!F7</f>
        <v>0</v>
      </c>
      <c r="AD12">
        <f>+'VAL F - 10'!E7</f>
        <v>0</v>
      </c>
      <c r="AF12" s="49" t="s">
        <v>10</v>
      </c>
      <c r="AG12" s="60"/>
      <c r="AH12" s="61">
        <f>+'VAL 24 - 07'!I6</f>
        <v>2166</v>
      </c>
      <c r="AI12" s="64">
        <f t="shared" ref="AI12:AS12" si="6">0+H15</f>
        <v>952</v>
      </c>
      <c r="AJ12" s="64">
        <f t="shared" si="6"/>
        <v>949</v>
      </c>
      <c r="AK12" s="64">
        <f t="shared" si="6"/>
        <v>687</v>
      </c>
      <c r="AL12" s="64">
        <f t="shared" si="6"/>
        <v>24</v>
      </c>
      <c r="AM12" s="64">
        <f t="shared" si="6"/>
        <v>1230</v>
      </c>
      <c r="AN12" s="64">
        <f t="shared" si="6"/>
        <v>1200</v>
      </c>
      <c r="AO12" s="64">
        <f t="shared" si="6"/>
        <v>1432</v>
      </c>
      <c r="AP12" s="64">
        <f t="shared" si="6"/>
        <v>1351</v>
      </c>
      <c r="AQ12" s="64">
        <f t="shared" si="6"/>
        <v>0</v>
      </c>
      <c r="AR12" s="64">
        <f t="shared" si="6"/>
        <v>888</v>
      </c>
      <c r="AS12" s="65">
        <f t="shared" si="6"/>
        <v>1352</v>
      </c>
      <c r="AT12" s="65">
        <f>+S15</f>
        <v>976</v>
      </c>
      <c r="AU12" s="65">
        <f>+T15</f>
        <v>660</v>
      </c>
      <c r="AV12" s="65">
        <f t="shared" ref="AV12:BB12" si="7">+U15</f>
        <v>1732</v>
      </c>
      <c r="AW12" s="65">
        <f t="shared" si="7"/>
        <v>1563</v>
      </c>
      <c r="AX12" s="65">
        <f t="shared" si="7"/>
        <v>1855</v>
      </c>
      <c r="AY12" s="65">
        <f t="shared" si="7"/>
        <v>897</v>
      </c>
      <c r="AZ12" s="65">
        <f t="shared" si="7"/>
        <v>1019</v>
      </c>
      <c r="BA12" s="65">
        <f t="shared" si="7"/>
        <v>1206</v>
      </c>
      <c r="BB12" s="65">
        <f t="shared" si="7"/>
        <v>1141</v>
      </c>
      <c r="BC12" s="65">
        <f t="shared" ref="BC12" si="8">+AB15</f>
        <v>0</v>
      </c>
      <c r="BD12" s="65">
        <f t="shared" ref="BD12" si="9">+AC15</f>
        <v>0</v>
      </c>
      <c r="BE12" s="65">
        <f t="shared" ref="BE12" si="10">+AD15</f>
        <v>0</v>
      </c>
      <c r="BF12" s="63">
        <f>SUM(Tabla1[[#This Row],[VAL 15 - 07]:[VAL 13-10]])</f>
        <v>20933</v>
      </c>
      <c r="BG12" s="64">
        <f>AVERAGE(Tabla1[[#This Row],[VAL 15 - 07]:[VAL 13-10]])</f>
        <v>1101.7368421052631</v>
      </c>
      <c r="BH12" s="17"/>
      <c r="BI12" s="18"/>
    </row>
    <row r="13" spans="2:61" ht="19" thickBot="1" x14ac:dyDescent="0.5">
      <c r="B13" s="2" t="s">
        <v>8</v>
      </c>
      <c r="C13" s="2" t="s">
        <v>50</v>
      </c>
      <c r="D13" s="2">
        <v>3</v>
      </c>
      <c r="E13" s="2"/>
      <c r="F13" s="5"/>
      <c r="G13" s="5">
        <f>+D13*'VAL 24 - 07'!E8</f>
        <v>0</v>
      </c>
      <c r="H13" s="2">
        <f>+'VAL 30-07'!F8</f>
        <v>369</v>
      </c>
      <c r="I13" s="2">
        <f>+D13*'VAL 02- 08'!E8</f>
        <v>237</v>
      </c>
      <c r="J13" s="2">
        <f>+D13*'VAL 05-08'!E8</f>
        <v>0</v>
      </c>
      <c r="K13" s="1">
        <f>+D13*'VAL 07 -08'!E8</f>
        <v>612</v>
      </c>
      <c r="L13" s="2">
        <f>+'VAL 11-08'!F8</f>
        <v>384</v>
      </c>
      <c r="M13" s="5">
        <f>+D13*'VAL 15 - 08'!E8</f>
        <v>339</v>
      </c>
      <c r="N13" s="2">
        <f>+D13*'VAL 19- 08'!E8</f>
        <v>681</v>
      </c>
      <c r="O13" s="2">
        <f>+D13*'VAL 26  - 08'!E8</f>
        <v>342</v>
      </c>
      <c r="P13" s="2">
        <f>+D13*'VAL 03- 09'!E8</f>
        <v>531</v>
      </c>
      <c r="Q13">
        <f>+'VAL 04 - 09'!F8</f>
        <v>240</v>
      </c>
      <c r="R13">
        <f>+'VAL 11 - 09'!F8</f>
        <v>0</v>
      </c>
      <c r="S13">
        <f>+'VAL 15 - 09'!F8</f>
        <v>321</v>
      </c>
      <c r="T13">
        <f>+'VAL 18 - 09'!F8</f>
        <v>189</v>
      </c>
      <c r="U13">
        <f>+'VAL 22 -09'!F8</f>
        <v>342</v>
      </c>
      <c r="V13">
        <f>+'VAL 26 - 09'!F8</f>
        <v>465</v>
      </c>
      <c r="W13">
        <f>+'VAL 02 - 10'!F8</f>
        <v>573</v>
      </c>
      <c r="X13">
        <f>+'VAL 09 - 10'!F8</f>
        <v>312</v>
      </c>
      <c r="Y13">
        <f>+'VL 13 - 10'!F8</f>
        <v>288</v>
      </c>
      <c r="Z13">
        <f>+'VAL 17 - 10'!F8</f>
        <v>396</v>
      </c>
      <c r="AA13">
        <f>+'VAL 20 - 10'!F8</f>
        <v>348</v>
      </c>
      <c r="AB13">
        <f>+'VAL C - 10'!F8</f>
        <v>0</v>
      </c>
      <c r="AC13">
        <f>+'VAL D - 10'!F8</f>
        <v>0</v>
      </c>
      <c r="AD13">
        <f>+'VAL F - 10'!E8</f>
        <v>0</v>
      </c>
      <c r="AF13" s="49" t="s">
        <v>22</v>
      </c>
      <c r="AG13" s="60"/>
      <c r="AH13" s="61">
        <f>+'VAL 24 - 07'!I7</f>
        <v>1422</v>
      </c>
      <c r="AI13" s="64">
        <f t="shared" ref="AI13:AS13" si="11">0+H27</f>
        <v>5</v>
      </c>
      <c r="AJ13" s="64">
        <f t="shared" si="11"/>
        <v>200</v>
      </c>
      <c r="AK13" s="64">
        <f t="shared" si="11"/>
        <v>0</v>
      </c>
      <c r="AL13" s="64">
        <f t="shared" si="11"/>
        <v>580</v>
      </c>
      <c r="AM13" s="64">
        <f t="shared" si="11"/>
        <v>0</v>
      </c>
      <c r="AN13" s="64">
        <f t="shared" si="11"/>
        <v>707</v>
      </c>
      <c r="AO13" s="64">
        <f t="shared" si="11"/>
        <v>820</v>
      </c>
      <c r="AP13" s="64">
        <f t="shared" si="11"/>
        <v>806</v>
      </c>
      <c r="AQ13" s="64">
        <f t="shared" si="11"/>
        <v>564</v>
      </c>
      <c r="AR13" s="64">
        <f t="shared" si="11"/>
        <v>430</v>
      </c>
      <c r="AS13" s="65">
        <f t="shared" si="11"/>
        <v>656</v>
      </c>
      <c r="AT13" s="65">
        <f>+S27</f>
        <v>371</v>
      </c>
      <c r="AU13" s="65">
        <f t="shared" ref="AU13:BB13" si="12">+T27</f>
        <v>302</v>
      </c>
      <c r="AV13" s="65">
        <f t="shared" si="12"/>
        <v>925</v>
      </c>
      <c r="AW13" s="65">
        <f t="shared" si="12"/>
        <v>1065</v>
      </c>
      <c r="AX13" s="65">
        <f t="shared" si="12"/>
        <v>869</v>
      </c>
      <c r="AY13" s="65">
        <f t="shared" si="12"/>
        <v>564</v>
      </c>
      <c r="AZ13" s="65">
        <f t="shared" si="12"/>
        <v>605</v>
      </c>
      <c r="BA13" s="65">
        <f t="shared" si="12"/>
        <v>800</v>
      </c>
      <c r="BB13" s="65">
        <f t="shared" si="12"/>
        <v>764</v>
      </c>
      <c r="BC13" s="65">
        <f t="shared" ref="BC13" si="13">+AB27</f>
        <v>0</v>
      </c>
      <c r="BD13" s="65">
        <f t="shared" ref="BD13" si="14">+AC27</f>
        <v>0</v>
      </c>
      <c r="BE13" s="65">
        <f t="shared" ref="BE13" si="15">+AD27</f>
        <v>0</v>
      </c>
      <c r="BF13" s="63">
        <f>SUM(Tabla1[[#This Row],[VAL 15 - 07]:[VAL 13-10]])</f>
        <v>10891</v>
      </c>
      <c r="BG13" s="64">
        <f>AVERAGE(Tabla1[[#This Row],[VAL 15 - 07]:[VAL 13-10]])</f>
        <v>573.21052631578948</v>
      </c>
      <c r="BH13" s="17"/>
      <c r="BI13" s="18"/>
    </row>
    <row r="14" spans="2:61" ht="19" thickBot="1" x14ac:dyDescent="0.5">
      <c r="B14" s="2" t="s">
        <v>9</v>
      </c>
      <c r="C14" s="2" t="s">
        <v>50</v>
      </c>
      <c r="D14" s="2">
        <v>3</v>
      </c>
      <c r="E14" s="2"/>
      <c r="F14" s="5"/>
      <c r="G14" s="5">
        <f>+D14*'VAL 24 - 07'!E9</f>
        <v>0</v>
      </c>
      <c r="H14" s="2">
        <f>+'VAL 30-07'!F9</f>
        <v>51</v>
      </c>
      <c r="I14" s="2">
        <f>+D14*'VAL 02- 08'!E9</f>
        <v>0</v>
      </c>
      <c r="J14" s="2">
        <f>+D14*'VAL 05-08'!E9</f>
        <v>0</v>
      </c>
      <c r="K14" s="1">
        <f>+D14*'VAL 07 -08'!E9</f>
        <v>0</v>
      </c>
      <c r="L14" s="2">
        <f>+'VAL 11-08'!F9</f>
        <v>117</v>
      </c>
      <c r="M14" s="5">
        <f>+D14*'VAL 15 - 08'!E9</f>
        <v>81</v>
      </c>
      <c r="N14" s="2">
        <f>+D14*'VAL 19- 08'!E9</f>
        <v>0</v>
      </c>
      <c r="O14" s="2">
        <f>+D14*'VAL 26  - 08'!E9</f>
        <v>0</v>
      </c>
      <c r="P14" s="2">
        <f>+D14*'VAL 03- 09'!E9</f>
        <v>0</v>
      </c>
      <c r="Q14">
        <f>+'VAL 04 - 09'!F9</f>
        <v>0</v>
      </c>
      <c r="R14">
        <f>+'VAL 11 - 09'!F9</f>
        <v>0</v>
      </c>
      <c r="S14">
        <f>+'VAL 15 - 09'!F9</f>
        <v>0</v>
      </c>
      <c r="T14">
        <f>+'VAL 18 - 09'!F9</f>
        <v>0</v>
      </c>
      <c r="U14">
        <f>+'VAL 22 -09'!F9</f>
        <v>0</v>
      </c>
      <c r="V14">
        <f>+'VAL 26 - 09'!F9</f>
        <v>0</v>
      </c>
      <c r="W14">
        <f>+'VAL 02 - 10'!F9</f>
        <v>0</v>
      </c>
      <c r="X14">
        <f>+'VAL 09 - 10'!F9</f>
        <v>0</v>
      </c>
      <c r="Y14">
        <f>+'VL 13 - 10'!F9</f>
        <v>0</v>
      </c>
      <c r="Z14">
        <f>+'VAL 17 - 10'!F9</f>
        <v>0</v>
      </c>
      <c r="AA14">
        <f>+'VAL 20 - 10'!F9</f>
        <v>0</v>
      </c>
      <c r="AB14">
        <f>+'VAL C - 10'!F9</f>
        <v>0</v>
      </c>
      <c r="AC14">
        <f>+'VAL D - 10'!F9</f>
        <v>0</v>
      </c>
      <c r="AD14">
        <f>+'VAL F - 10'!E9</f>
        <v>0</v>
      </c>
      <c r="AF14" s="49" t="s">
        <v>30</v>
      </c>
      <c r="AG14" s="60"/>
      <c r="AH14" s="61">
        <f>+'VAL 24 - 07'!I8</f>
        <v>925</v>
      </c>
      <c r="AI14" s="64">
        <f t="shared" ref="AI14:AS14" si="16">0+H35</f>
        <v>0</v>
      </c>
      <c r="AJ14" s="64">
        <f t="shared" si="16"/>
        <v>368</v>
      </c>
      <c r="AK14" s="64">
        <f t="shared" si="16"/>
        <v>0</v>
      </c>
      <c r="AL14" s="64">
        <f t="shared" si="16"/>
        <v>528</v>
      </c>
      <c r="AM14" s="64">
        <f t="shared" si="16"/>
        <v>1158</v>
      </c>
      <c r="AN14" s="64">
        <f t="shared" si="16"/>
        <v>0</v>
      </c>
      <c r="AO14" s="64">
        <f t="shared" si="16"/>
        <v>912</v>
      </c>
      <c r="AP14" s="64">
        <f t="shared" si="16"/>
        <v>809</v>
      </c>
      <c r="AQ14" s="64">
        <f t="shared" si="16"/>
        <v>0</v>
      </c>
      <c r="AR14" s="64">
        <f t="shared" si="16"/>
        <v>0</v>
      </c>
      <c r="AS14" s="65">
        <f t="shared" si="16"/>
        <v>1056</v>
      </c>
      <c r="AT14" s="65">
        <f>+S35</f>
        <v>692</v>
      </c>
      <c r="AU14" s="65">
        <f t="shared" ref="AU14:BB14" si="17">+T35</f>
        <v>774</v>
      </c>
      <c r="AV14" s="65">
        <f t="shared" si="17"/>
        <v>683</v>
      </c>
      <c r="AW14" s="65">
        <f t="shared" si="17"/>
        <v>731</v>
      </c>
      <c r="AX14" s="65">
        <f t="shared" si="17"/>
        <v>714</v>
      </c>
      <c r="AY14" s="65">
        <f t="shared" si="17"/>
        <v>427</v>
      </c>
      <c r="AZ14" s="65">
        <f t="shared" si="17"/>
        <v>293</v>
      </c>
      <c r="BA14" s="65">
        <f t="shared" si="17"/>
        <v>545</v>
      </c>
      <c r="BB14" s="65">
        <f t="shared" si="17"/>
        <v>491</v>
      </c>
      <c r="BC14" s="65">
        <f t="shared" ref="BC14" si="18">+AB35</f>
        <v>0</v>
      </c>
      <c r="BD14" s="65">
        <f t="shared" ref="BD14" si="19">+AC35</f>
        <v>0</v>
      </c>
      <c r="BE14" s="65">
        <f t="shared" ref="BE14" si="20">+AD35</f>
        <v>0</v>
      </c>
      <c r="BF14" s="63">
        <f>SUM(Tabla1[[#This Row],[VAL 15 - 07]:[VAL 13-10]])</f>
        <v>10070</v>
      </c>
      <c r="BG14" s="64">
        <f>AVERAGE(Tabla1[[#This Row],[VAL 15 - 07]:[VAL 13-10]])</f>
        <v>530</v>
      </c>
      <c r="BH14" s="17"/>
      <c r="BI14" s="18"/>
    </row>
    <row r="15" spans="2:61" ht="19" thickBot="1" x14ac:dyDescent="0.5">
      <c r="B15" s="12" t="s">
        <v>10</v>
      </c>
      <c r="C15" s="2"/>
      <c r="D15" s="2"/>
      <c r="E15" s="2"/>
      <c r="F15" s="5"/>
      <c r="G15" s="10">
        <f>SUM(G16:G26)</f>
        <v>2166</v>
      </c>
      <c r="H15" s="10">
        <f t="shared" ref="H15:AD15" si="21">SUM(H16:H26)</f>
        <v>952</v>
      </c>
      <c r="I15" s="10">
        <f t="shared" si="21"/>
        <v>949</v>
      </c>
      <c r="J15" s="10">
        <f t="shared" si="21"/>
        <v>687</v>
      </c>
      <c r="K15" s="4">
        <f>SUM(K16:K26)</f>
        <v>24</v>
      </c>
      <c r="L15" s="10">
        <f t="shared" si="21"/>
        <v>1230</v>
      </c>
      <c r="M15" s="10">
        <f t="shared" si="21"/>
        <v>1200</v>
      </c>
      <c r="N15" s="10">
        <f t="shared" si="21"/>
        <v>1432</v>
      </c>
      <c r="O15" s="10">
        <f t="shared" si="21"/>
        <v>1351</v>
      </c>
      <c r="P15" s="10">
        <f t="shared" si="21"/>
        <v>0</v>
      </c>
      <c r="Q15" s="10">
        <f t="shared" si="21"/>
        <v>888</v>
      </c>
      <c r="R15" s="10">
        <f t="shared" si="21"/>
        <v>1352</v>
      </c>
      <c r="S15" s="10">
        <f t="shared" si="21"/>
        <v>976</v>
      </c>
      <c r="T15" s="10">
        <f t="shared" si="21"/>
        <v>660</v>
      </c>
      <c r="U15" s="10">
        <f t="shared" si="21"/>
        <v>1732</v>
      </c>
      <c r="V15" s="10">
        <f t="shared" si="21"/>
        <v>1563</v>
      </c>
      <c r="W15" s="10">
        <f t="shared" si="21"/>
        <v>1855</v>
      </c>
      <c r="X15" s="10">
        <f t="shared" si="21"/>
        <v>897</v>
      </c>
      <c r="Y15" s="10">
        <f t="shared" si="21"/>
        <v>1019</v>
      </c>
      <c r="Z15" s="10">
        <f t="shared" si="21"/>
        <v>1206</v>
      </c>
      <c r="AA15" s="10">
        <f t="shared" si="21"/>
        <v>1141</v>
      </c>
      <c r="AB15" s="10">
        <f t="shared" si="21"/>
        <v>0</v>
      </c>
      <c r="AC15" s="10">
        <f t="shared" si="21"/>
        <v>0</v>
      </c>
      <c r="AD15" s="10">
        <f t="shared" si="21"/>
        <v>0</v>
      </c>
      <c r="AF15" s="49" t="s">
        <v>36</v>
      </c>
      <c r="AG15" s="60"/>
      <c r="AH15" s="61">
        <f>+'VAL 24 - 07'!I9</f>
        <v>424</v>
      </c>
      <c r="AI15" s="64">
        <f t="shared" ref="AI15:AS15" si="22">0+H42</f>
        <v>0</v>
      </c>
      <c r="AJ15" s="64">
        <f t="shared" si="22"/>
        <v>0</v>
      </c>
      <c r="AK15" s="64">
        <f t="shared" si="22"/>
        <v>680</v>
      </c>
      <c r="AL15" s="64">
        <f t="shared" si="22"/>
        <v>448</v>
      </c>
      <c r="AM15" s="64">
        <f t="shared" si="22"/>
        <v>528</v>
      </c>
      <c r="AN15" s="64">
        <f t="shared" si="22"/>
        <v>360</v>
      </c>
      <c r="AO15" s="64">
        <f t="shared" si="22"/>
        <v>0</v>
      </c>
      <c r="AP15" s="64">
        <f t="shared" si="22"/>
        <v>176</v>
      </c>
      <c r="AQ15" s="64">
        <f t="shared" si="22"/>
        <v>0</v>
      </c>
      <c r="AR15" s="64">
        <f t="shared" si="22"/>
        <v>0</v>
      </c>
      <c r="AS15" s="65">
        <f t="shared" si="22"/>
        <v>384</v>
      </c>
      <c r="AT15" s="65">
        <f>+S42</f>
        <v>304</v>
      </c>
      <c r="AU15" s="65">
        <f t="shared" ref="AU15:BB15" si="23">+T42</f>
        <v>280</v>
      </c>
      <c r="AV15" s="65">
        <f t="shared" si="23"/>
        <v>288</v>
      </c>
      <c r="AW15" s="65">
        <f t="shared" si="23"/>
        <v>304</v>
      </c>
      <c r="AX15" s="65">
        <f t="shared" si="23"/>
        <v>272</v>
      </c>
      <c r="AY15" s="65">
        <f t="shared" si="23"/>
        <v>192</v>
      </c>
      <c r="AZ15" s="65">
        <f t="shared" si="23"/>
        <v>152</v>
      </c>
      <c r="BA15" s="65">
        <f t="shared" si="23"/>
        <v>224</v>
      </c>
      <c r="BB15" s="65">
        <f t="shared" si="23"/>
        <v>112</v>
      </c>
      <c r="BC15" s="65">
        <f t="shared" ref="BC15" si="24">+AB42</f>
        <v>0</v>
      </c>
      <c r="BD15" s="65">
        <f t="shared" ref="BD15" si="25">+AC42</f>
        <v>0</v>
      </c>
      <c r="BE15" s="65">
        <f t="shared" ref="BE15" si="26">+AD42</f>
        <v>0</v>
      </c>
      <c r="BF15" s="63">
        <f>SUM(Tabla1[[#This Row],[VAL 15 - 07]:[VAL 13-10]])</f>
        <v>4792</v>
      </c>
      <c r="BG15" s="64">
        <f>AVERAGE(Tabla1[[#This Row],[VAL 15 - 07]:[VAL 13-10]])</f>
        <v>252.21052631578948</v>
      </c>
      <c r="BH15" s="17"/>
      <c r="BI15" s="18"/>
    </row>
    <row r="16" spans="2:61" ht="19" thickBot="1" x14ac:dyDescent="0.5">
      <c r="B16" s="2" t="s">
        <v>11</v>
      </c>
      <c r="C16" s="2" t="s">
        <v>50</v>
      </c>
      <c r="D16" s="2">
        <v>5</v>
      </c>
      <c r="E16" s="2"/>
      <c r="F16" s="5"/>
      <c r="G16" s="5">
        <f>+D16*'VAL 24 - 07'!E11</f>
        <v>670</v>
      </c>
      <c r="H16" s="2">
        <f>+'VAL 30-07'!F11</f>
        <v>840</v>
      </c>
      <c r="I16" s="2">
        <f>+D16*'VAL 02- 08'!E11</f>
        <v>285</v>
      </c>
      <c r="J16" s="2">
        <f>+D16*'VAL 05-08'!E11</f>
        <v>535</v>
      </c>
      <c r="K16" s="1">
        <f>+D16*'VAL 07 -08'!E11</f>
        <v>0</v>
      </c>
      <c r="L16" s="2">
        <f>+'VAL 11-08'!F11</f>
        <v>1030</v>
      </c>
      <c r="M16" s="5">
        <f>+D16*'VAL 15 - 08'!E11</f>
        <v>0</v>
      </c>
      <c r="N16" s="2">
        <f>+'VAL-REAL'!D16*'VAL 19- 08'!E11</f>
        <v>0</v>
      </c>
      <c r="O16" s="2">
        <f>+D16*'VAL 26  - 08'!E11</f>
        <v>415</v>
      </c>
      <c r="P16" s="2">
        <f>+D16*'VAL 03- 09'!E11</f>
        <v>0</v>
      </c>
      <c r="Q16" s="2">
        <f>+'VAL 04 - 09'!F11</f>
        <v>0</v>
      </c>
      <c r="R16">
        <f>+'VAL 11 - 09'!F11</f>
        <v>0</v>
      </c>
      <c r="S16">
        <f>+'VAL 15 - 09'!F11</f>
        <v>0</v>
      </c>
      <c r="T16">
        <f>+'VAL 18 - 09'!F11</f>
        <v>500</v>
      </c>
      <c r="U16">
        <f>+'VAL 22 -09'!F11</f>
        <v>580</v>
      </c>
      <c r="V16">
        <f>+'VAL 26 - 09'!F11</f>
        <v>635</v>
      </c>
      <c r="W16">
        <f>+'VAL 02 - 10'!F11</f>
        <v>655</v>
      </c>
      <c r="X16">
        <f>+'VAL 09 - 10'!F11</f>
        <v>305</v>
      </c>
      <c r="Y16">
        <f>+'VL 13 - 10'!F11</f>
        <v>395</v>
      </c>
      <c r="Z16">
        <f>+'VAL 17 - 10'!F11</f>
        <v>390</v>
      </c>
      <c r="AA16">
        <f>+'VAL 20 - 10'!F11</f>
        <v>445</v>
      </c>
      <c r="AB16">
        <f>+'VAL C - 10'!F11</f>
        <v>0</v>
      </c>
      <c r="AC16">
        <f>+'VAL D - 10'!F11</f>
        <v>0</v>
      </c>
      <c r="AD16">
        <f>+'VAL F - 10'!F11</f>
        <v>0</v>
      </c>
      <c r="AF16" s="53" t="s">
        <v>43</v>
      </c>
      <c r="AG16" s="66">
        <v>2596.5</v>
      </c>
      <c r="AH16" s="67">
        <f>+'VAL 24 - 07'!I10</f>
        <v>0</v>
      </c>
      <c r="AI16" s="68">
        <f t="shared" ref="AI16:AS16" si="27">0+H49</f>
        <v>904</v>
      </c>
      <c r="AJ16" s="68">
        <f t="shared" si="27"/>
        <v>0</v>
      </c>
      <c r="AK16" s="68">
        <f t="shared" si="27"/>
        <v>1496</v>
      </c>
      <c r="AL16" s="68">
        <f t="shared" si="27"/>
        <v>24</v>
      </c>
      <c r="AM16" s="68">
        <f t="shared" si="27"/>
        <v>1080</v>
      </c>
      <c r="AN16" s="68">
        <f t="shared" si="27"/>
        <v>0</v>
      </c>
      <c r="AO16" s="68">
        <f t="shared" si="27"/>
        <v>1368</v>
      </c>
      <c r="AP16" s="68">
        <f t="shared" si="27"/>
        <v>544</v>
      </c>
      <c r="AQ16" s="68">
        <f t="shared" si="27"/>
        <v>744</v>
      </c>
      <c r="AR16" s="68">
        <f t="shared" si="27"/>
        <v>864</v>
      </c>
      <c r="AS16" s="69">
        <f t="shared" si="27"/>
        <v>1048</v>
      </c>
      <c r="AT16" s="69">
        <f>+S49</f>
        <v>0</v>
      </c>
      <c r="AU16" s="69">
        <f t="shared" ref="AU16:BB16" si="28">+T49</f>
        <v>632</v>
      </c>
      <c r="AV16" s="69">
        <f t="shared" si="28"/>
        <v>776</v>
      </c>
      <c r="AW16" s="69">
        <f t="shared" si="28"/>
        <v>744</v>
      </c>
      <c r="AX16" s="69">
        <f t="shared" si="28"/>
        <v>752</v>
      </c>
      <c r="AY16" s="69">
        <f t="shared" si="28"/>
        <v>408</v>
      </c>
      <c r="AZ16" s="69">
        <f t="shared" si="28"/>
        <v>472</v>
      </c>
      <c r="BA16" s="69">
        <f t="shared" si="28"/>
        <v>576</v>
      </c>
      <c r="BB16" s="69">
        <f t="shared" si="28"/>
        <v>496</v>
      </c>
      <c r="BC16" s="69">
        <f t="shared" ref="BC16" si="29">+AB49</f>
        <v>0</v>
      </c>
      <c r="BD16" s="69">
        <f t="shared" ref="BD16" si="30">+AC49</f>
        <v>0</v>
      </c>
      <c r="BE16" s="69">
        <f t="shared" ref="BE16" si="31">+AD49</f>
        <v>0</v>
      </c>
      <c r="BF16" s="63">
        <f>SUM(Tabla1[[#This Row],[VAL 15 - 07]:[VAL 13-10]])</f>
        <v>14452.5</v>
      </c>
      <c r="BG16" s="68">
        <f>AVERAGE(Tabla1[[#This Row],[VAL 15 - 07]:[VAL 13-10]])</f>
        <v>722.625</v>
      </c>
      <c r="BH16" s="41"/>
      <c r="BI16" s="18"/>
    </row>
    <row r="17" spans="2:61" ht="19" thickBot="1" x14ac:dyDescent="0.5">
      <c r="B17" s="2" t="s">
        <v>12</v>
      </c>
      <c r="C17" s="2" t="s">
        <v>50</v>
      </c>
      <c r="D17" s="2">
        <v>8</v>
      </c>
      <c r="E17" s="2"/>
      <c r="F17" s="5"/>
      <c r="G17" s="5">
        <f>+D17*'VAL 24 - 07'!E12</f>
        <v>104</v>
      </c>
      <c r="H17" s="2">
        <f>+'VAL 30-07'!F12</f>
        <v>0</v>
      </c>
      <c r="I17" s="2">
        <f>+D17*'VAL 02- 08'!E12</f>
        <v>64</v>
      </c>
      <c r="J17" s="2">
        <f>+D17*'VAL 05-08'!E12</f>
        <v>0</v>
      </c>
      <c r="K17" s="1">
        <f>+D17*'VAL 07 -08'!E12</f>
        <v>0</v>
      </c>
      <c r="L17" s="2">
        <f>+'VAL 11-08'!F12</f>
        <v>0</v>
      </c>
      <c r="M17" s="5">
        <f>+D17*'VAL 15 - 08'!E12</f>
        <v>88</v>
      </c>
      <c r="N17" s="2">
        <f>+'VAL-REAL'!D17*'VAL 19- 08'!E12</f>
        <v>168</v>
      </c>
      <c r="O17" s="2">
        <f>+D17*'VAL 26  - 08'!E12</f>
        <v>56</v>
      </c>
      <c r="P17" s="2">
        <f>+D17*'VAL 03- 09'!E12</f>
        <v>0</v>
      </c>
      <c r="Q17" s="2">
        <f>+'VAL 04 - 09'!F12</f>
        <v>104</v>
      </c>
      <c r="R17">
        <f>+'VAL 11 - 09'!F12</f>
        <v>128</v>
      </c>
      <c r="S17">
        <f>+'VAL 15 - 09'!F12</f>
        <v>80</v>
      </c>
      <c r="T17">
        <f>+'VAL 18 - 09'!F12</f>
        <v>0</v>
      </c>
      <c r="U17">
        <f>+'VAL 22 -09'!F12</f>
        <v>112</v>
      </c>
      <c r="V17">
        <f>+'VAL 26 - 09'!F12</f>
        <v>80</v>
      </c>
      <c r="W17">
        <f>+'VAL 02 - 10'!F12</f>
        <v>64</v>
      </c>
      <c r="X17">
        <f>+'VAL 09 - 10'!F12</f>
        <v>64</v>
      </c>
      <c r="Y17">
        <f>+'VL 13 - 10'!F12</f>
        <v>48</v>
      </c>
      <c r="Z17">
        <f>+'VAL 17 - 10'!F12</f>
        <v>104</v>
      </c>
      <c r="AA17">
        <f>+'VAL 20 - 10'!F12</f>
        <v>64</v>
      </c>
      <c r="AB17">
        <f>+'VAL C - 10'!F12</f>
        <v>0</v>
      </c>
      <c r="AC17">
        <f>+'VAL D - 10'!F12</f>
        <v>0</v>
      </c>
      <c r="AD17">
        <f>+'VAL F - 10'!F12</f>
        <v>0</v>
      </c>
      <c r="AF17" s="53" t="s">
        <v>118</v>
      </c>
      <c r="AG17" s="68">
        <f>SUBTOTAL(109,Tabla1[VAL 15 - 07])</f>
        <v>2596.5</v>
      </c>
      <c r="AH17" s="68">
        <f>SUBTOTAL(109,Tabla1[VAL 24- 07])</f>
        <v>5795</v>
      </c>
      <c r="AI17" s="68">
        <f>SUBTOTAL(109,Tabla1[VAL 30-07])</f>
        <v>3229</v>
      </c>
      <c r="AJ17" s="68">
        <f>SUBTOTAL(109,Tabla1[VAL 02-08])</f>
        <v>2093</v>
      </c>
      <c r="AK17" s="68">
        <f>SUBTOTAL(109,Tabla1[VAL 05-08])</f>
        <v>2878</v>
      </c>
      <c r="AL17" s="68">
        <f>SUBTOTAL(109,Tabla1[VAL 07-08])</f>
        <v>3695</v>
      </c>
      <c r="AM17" s="68">
        <f>SUBTOTAL(109,Tabla1[VAL 11-08])</f>
        <v>6315</v>
      </c>
      <c r="AN17" s="68">
        <f>SUBTOTAL(109,Tabla1[VAL 15-08])</f>
        <v>3905</v>
      </c>
      <c r="AO17" s="68">
        <f>SUBTOTAL(109,Tabla1[VAL 19-08])</f>
        <v>6938</v>
      </c>
      <c r="AP17" s="68">
        <f>SUBTOTAL(109,Tabla1[VAL 26-08])</f>
        <v>5984</v>
      </c>
      <c r="AQ17" s="68">
        <f>SUBTOTAL(109,Tabla1[VAL 03-09])</f>
        <v>3216</v>
      </c>
      <c r="AR17" s="68">
        <f>SUBTOTAL(109,Tabla1[VAL 04-09])</f>
        <v>3295</v>
      </c>
      <c r="AS17" s="68">
        <f>SUBTOTAL(109,Tabla1[VAL 11-09])</f>
        <v>5369</v>
      </c>
      <c r="AT17" s="68">
        <f>SUBTOTAL(109,Tabla1[VAL 15-09])</f>
        <v>3144</v>
      </c>
      <c r="AU17" s="68">
        <f>SUBTOTAL(109,Tabla1[VAL 18-09])</f>
        <v>3827</v>
      </c>
      <c r="AV17" s="68">
        <f>SUBTOTAL(109,Tabla1[VAL 22-09])</f>
        <v>6597</v>
      </c>
      <c r="AW17" s="68">
        <f>SUBTOTAL(109,Tabla1[VAL 26-09])</f>
        <v>6381</v>
      </c>
      <c r="AX17" s="68">
        <f>SUBTOTAL(109,Tabla1[VAL 02-10])</f>
        <v>7720</v>
      </c>
      <c r="AY17" s="68">
        <f>SUBTOTAL(109,Tabla1[VAL 09-10])</f>
        <v>4381</v>
      </c>
      <c r="AZ17" s="68">
        <f>SUBTOTAL(109,Tabla1[VAL 13-10])</f>
        <v>4077</v>
      </c>
      <c r="BA17" s="68">
        <f>SUBTOTAL(109,Tabla1[VAL 17-10])</f>
        <v>5451</v>
      </c>
      <c r="BB17" s="68">
        <f>SUBTOTAL(109,Tabla1[VAL 20-10])</f>
        <v>4924</v>
      </c>
      <c r="BC17" s="68">
        <f>SUBTOTAL(109,Tabla1[VAL C-10])</f>
        <v>0</v>
      </c>
      <c r="BD17" s="68">
        <f>SUBTOTAL(109,Tabla1[VAL D-10])</f>
        <v>0</v>
      </c>
      <c r="BE17" s="68">
        <f>SUBTOTAL(109,Tabla1[VAL F-10])</f>
        <v>0</v>
      </c>
      <c r="BF17" s="68">
        <f>SUBTOTAL(109,Tabla1[TOTAL])</f>
        <v>91435.5</v>
      </c>
      <c r="BG17" s="68">
        <f>AVERAGE(Tabla1[[#Totals],[VAL 15 - 07]:[VAL 13-10]])</f>
        <v>4571.7749999999996</v>
      </c>
      <c r="BH17" s="17"/>
      <c r="BI17" s="13"/>
    </row>
    <row r="18" spans="2:61" ht="15" thickBot="1" x14ac:dyDescent="0.4">
      <c r="B18" s="2" t="s">
        <v>13</v>
      </c>
      <c r="C18" s="2" t="s">
        <v>50</v>
      </c>
      <c r="D18" s="2">
        <v>8</v>
      </c>
      <c r="E18" s="2"/>
      <c r="F18" s="5"/>
      <c r="G18" s="5">
        <f>+D18*'VAL 24 - 07'!E13</f>
        <v>152</v>
      </c>
      <c r="H18" s="2">
        <f>+'VAL 30-07'!F13</f>
        <v>0</v>
      </c>
      <c r="I18" s="2">
        <f>+D18*'VAL 02- 08'!E13</f>
        <v>56</v>
      </c>
      <c r="J18" s="2">
        <f>+D18*'VAL 05-08'!E13</f>
        <v>0</v>
      </c>
      <c r="K18" s="1">
        <f>+D18*'VAL 07 -08'!E13</f>
        <v>0</v>
      </c>
      <c r="L18" s="2">
        <f>+'VAL 11-08'!F13</f>
        <v>0</v>
      </c>
      <c r="M18" s="5">
        <f>+D18*'VAL 15 - 08'!E13</f>
        <v>176</v>
      </c>
      <c r="N18" s="2">
        <f>+'VAL-REAL'!D18*'VAL 19- 08'!E13</f>
        <v>112</v>
      </c>
      <c r="O18" s="2">
        <f>+D18*'VAL 26  - 08'!E13</f>
        <v>80</v>
      </c>
      <c r="P18" s="2">
        <f>+D18*'VAL 03- 09'!E13</f>
        <v>0</v>
      </c>
      <c r="Q18" s="2">
        <f>+'VAL 04 - 09'!F13</f>
        <v>72</v>
      </c>
      <c r="R18">
        <f>+'VAL 11 - 09'!F13</f>
        <v>224</v>
      </c>
      <c r="S18">
        <f>+'VAL 15 - 09'!F13</f>
        <v>128</v>
      </c>
      <c r="T18">
        <f>+'VAL 18 - 09'!F13</f>
        <v>0</v>
      </c>
      <c r="U18">
        <f>+'VAL 22 -09'!F13</f>
        <v>136</v>
      </c>
      <c r="V18">
        <f>+'VAL 26 - 09'!F13</f>
        <v>128</v>
      </c>
      <c r="W18">
        <f>+'VAL 02 - 10'!F13</f>
        <v>72</v>
      </c>
      <c r="X18">
        <f>+'VAL 09 - 10'!F13</f>
        <v>24</v>
      </c>
      <c r="Y18">
        <f>+'VL 13 - 10'!F13</f>
        <v>80</v>
      </c>
      <c r="Z18">
        <f>+'VAL 17 - 10'!F13</f>
        <v>64</v>
      </c>
      <c r="AA18">
        <f>+'VAL 20 - 10'!F13</f>
        <v>48</v>
      </c>
      <c r="AB18">
        <f>+'VAL C - 10'!F13</f>
        <v>0</v>
      </c>
      <c r="AC18">
        <f>+'VAL D - 10'!F13</f>
        <v>0</v>
      </c>
      <c r="AD18">
        <f>+'VAL F - 10'!F13</f>
        <v>0</v>
      </c>
      <c r="BH18" s="17"/>
      <c r="BI18" s="39"/>
    </row>
    <row r="19" spans="2:61" ht="19" thickBot="1" x14ac:dyDescent="0.5">
      <c r="B19" s="2" t="s">
        <v>14</v>
      </c>
      <c r="C19" s="2" t="s">
        <v>50</v>
      </c>
      <c r="D19" s="2">
        <v>8</v>
      </c>
      <c r="E19" s="2"/>
      <c r="F19" s="5"/>
      <c r="G19" s="5">
        <f>+D19*'VAL 24 - 07'!E14</f>
        <v>48</v>
      </c>
      <c r="H19" s="2">
        <f>+'VAL 30-07'!F14</f>
        <v>0</v>
      </c>
      <c r="I19" s="2">
        <f>+D19*'VAL 02- 08'!E14</f>
        <v>16</v>
      </c>
      <c r="J19" s="2">
        <f>+D19*'VAL 05-08'!E14</f>
        <v>0</v>
      </c>
      <c r="K19" s="1">
        <f>+D19*'VAL 07 -08'!E14</f>
        <v>0</v>
      </c>
      <c r="L19" s="2">
        <f>+'VAL 11-08'!F14</f>
        <v>0</v>
      </c>
      <c r="M19" s="5">
        <f>+D19*'VAL 15 - 08'!E14</f>
        <v>56</v>
      </c>
      <c r="N19" s="2">
        <f>+'VAL-REAL'!D19*'VAL 19- 08'!E14</f>
        <v>88</v>
      </c>
      <c r="O19" s="2">
        <f>+D19*'VAL 26  - 08'!E14</f>
        <v>40</v>
      </c>
      <c r="P19" s="2">
        <f>+D19*'VAL 03- 09'!E14</f>
        <v>0</v>
      </c>
      <c r="Q19" s="2">
        <f>+'VAL 04 - 09'!F14</f>
        <v>24</v>
      </c>
      <c r="R19">
        <f>+'VAL 11 - 09'!F14</f>
        <v>80</v>
      </c>
      <c r="S19">
        <f>+'VAL 15 - 09'!F14</f>
        <v>40</v>
      </c>
      <c r="T19">
        <f>+'VAL 18 - 09'!F14</f>
        <v>0</v>
      </c>
      <c r="U19">
        <f>+'VAL 22 -09'!F14</f>
        <v>40</v>
      </c>
      <c r="V19">
        <f>+'VAL 26 - 09'!F14</f>
        <v>40</v>
      </c>
      <c r="W19">
        <f>+'VAL 02 - 10'!F14</f>
        <v>8</v>
      </c>
      <c r="X19">
        <f>+'VAL 09 - 10'!F14</f>
        <v>24</v>
      </c>
      <c r="Y19">
        <f>+'VL 13 - 10'!F14</f>
        <v>0</v>
      </c>
      <c r="Z19">
        <f>+'VAL 17 - 10'!F14</f>
        <v>16</v>
      </c>
      <c r="AA19">
        <f>+'VAL 20 - 10'!F14</f>
        <v>32</v>
      </c>
      <c r="AB19">
        <f>+'VAL C - 10'!F14</f>
        <v>0</v>
      </c>
      <c r="AC19">
        <f>+'VAL D - 10'!F14</f>
        <v>0</v>
      </c>
      <c r="AD19">
        <f>+'VAL F - 10'!F14</f>
        <v>0</v>
      </c>
      <c r="BF19" s="18"/>
      <c r="BH19" s="17"/>
      <c r="BI19" s="39"/>
    </row>
    <row r="20" spans="2:61" ht="19" thickBot="1" x14ac:dyDescent="0.5">
      <c r="B20" s="2" t="s">
        <v>15</v>
      </c>
      <c r="C20" s="2" t="s">
        <v>50</v>
      </c>
      <c r="D20" s="2">
        <v>8</v>
      </c>
      <c r="E20" s="2"/>
      <c r="F20" s="5"/>
      <c r="G20" s="5">
        <f>+D20*'VAL 24 - 07'!E15</f>
        <v>0</v>
      </c>
      <c r="H20" s="2">
        <f>+'VAL 30-07'!F15</f>
        <v>0</v>
      </c>
      <c r="I20" s="2">
        <f>+D20*'VAL 02- 08'!E15</f>
        <v>0</v>
      </c>
      <c r="J20" s="2">
        <f>+D20*'VAL 05-08'!E15</f>
        <v>0</v>
      </c>
      <c r="K20" s="1">
        <f>+D20*'VAL 07 -08'!E15</f>
        <v>24</v>
      </c>
      <c r="L20" s="2">
        <f>+'VAL 11-08'!F15</f>
        <v>16</v>
      </c>
      <c r="M20" s="5">
        <f>+D20*'VAL 15 - 08'!E15</f>
        <v>0</v>
      </c>
      <c r="N20" s="2">
        <f>+'VAL-REAL'!D20*'VAL 19- 08'!E15</f>
        <v>0</v>
      </c>
      <c r="O20" s="2">
        <f>+D20*'VAL 26  - 08'!E15</f>
        <v>8</v>
      </c>
      <c r="P20" s="2">
        <f>+D20*'VAL 03- 09'!E15</f>
        <v>0</v>
      </c>
      <c r="Q20" s="2">
        <f>+'VAL 04 - 09'!F15</f>
        <v>0</v>
      </c>
      <c r="R20">
        <f>+'VAL 11 - 09'!F15</f>
        <v>0</v>
      </c>
      <c r="S20">
        <f>+'VAL 15 - 09'!F15</f>
        <v>0</v>
      </c>
      <c r="T20">
        <f>+'VAL 18 - 09'!F15</f>
        <v>8</v>
      </c>
      <c r="U20">
        <f>+'VAL 22 -09'!F15</f>
        <v>8</v>
      </c>
      <c r="V20">
        <f>+'VAL 26 - 09'!F15</f>
        <v>0</v>
      </c>
      <c r="W20">
        <f>+'VAL 02 - 10'!F15</f>
        <v>0</v>
      </c>
      <c r="X20">
        <f>+'VAL 09 - 10'!F15</f>
        <v>0</v>
      </c>
      <c r="Y20">
        <f>+'VL 13 - 10'!F15</f>
        <v>0</v>
      </c>
      <c r="Z20">
        <f>+'VAL 17 - 10'!F15</f>
        <v>0</v>
      </c>
      <c r="AA20">
        <f>+'VAL 20 - 10'!F15</f>
        <v>24</v>
      </c>
      <c r="AB20">
        <f>+'VAL C - 10'!F15</f>
        <v>0</v>
      </c>
      <c r="AC20">
        <f>+'VAL D - 10'!F15</f>
        <v>0</v>
      </c>
      <c r="AD20">
        <f>+'VAL F - 10'!F15</f>
        <v>0</v>
      </c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18"/>
      <c r="BH20" s="17"/>
      <c r="BI20" s="39"/>
    </row>
    <row r="21" spans="2:61" ht="15" thickBot="1" x14ac:dyDescent="0.4">
      <c r="B21" s="2" t="s">
        <v>16</v>
      </c>
      <c r="C21" s="2" t="s">
        <v>50</v>
      </c>
      <c r="D21" s="2">
        <v>8</v>
      </c>
      <c r="E21" s="2"/>
      <c r="F21" s="5"/>
      <c r="G21" s="5">
        <f>+D21*'VAL 24 - 07'!E16</f>
        <v>248</v>
      </c>
      <c r="H21" s="2">
        <f>+'VAL 30-07'!F16</f>
        <v>0</v>
      </c>
      <c r="I21" s="2">
        <f>+D21*'VAL 02- 08'!E16</f>
        <v>88</v>
      </c>
      <c r="J21" s="2">
        <f>+D21*'VAL 05-08'!E16</f>
        <v>0</v>
      </c>
      <c r="K21" s="1">
        <f>+D21*'VAL 07 -08'!E16</f>
        <v>0</v>
      </c>
      <c r="L21" s="2">
        <f>+'VAL 11-08'!F16</f>
        <v>0</v>
      </c>
      <c r="M21" s="5">
        <f>+D21*'VAL 15 - 08'!E16</f>
        <v>184</v>
      </c>
      <c r="N21" s="2">
        <f>+'VAL-REAL'!D21*'VAL 19- 08'!E16</f>
        <v>248</v>
      </c>
      <c r="O21" s="2">
        <f>+D21*'VAL 26  - 08'!E16</f>
        <v>72</v>
      </c>
      <c r="P21" s="2">
        <f>+D21*'VAL 03- 09'!E16</f>
        <v>0</v>
      </c>
      <c r="Q21" s="2">
        <f>+'VAL 04 - 09'!F16</f>
        <v>192</v>
      </c>
      <c r="R21">
        <f>+'VAL 11 - 09'!F16</f>
        <v>168</v>
      </c>
      <c r="S21">
        <f>+'VAL 15 - 09'!F16</f>
        <v>128</v>
      </c>
      <c r="T21">
        <f>+'VAL 18 - 09'!F16</f>
        <v>0</v>
      </c>
      <c r="U21">
        <f>+'VAL 22 -09'!F16</f>
        <v>160</v>
      </c>
      <c r="V21">
        <f>+'VAL 26 - 09'!F16</f>
        <v>176</v>
      </c>
      <c r="W21">
        <f>+'VAL 02 - 10'!F16</f>
        <v>176</v>
      </c>
      <c r="X21">
        <f>+'VAL 09 - 10'!F16</f>
        <v>168</v>
      </c>
      <c r="Y21">
        <f>+'VL 13 - 10'!F16</f>
        <v>96</v>
      </c>
      <c r="Z21">
        <f>+'VAL 17 - 10'!F16</f>
        <v>88</v>
      </c>
      <c r="AA21">
        <f>+'VAL 20 - 10'!F16</f>
        <v>120</v>
      </c>
      <c r="AB21">
        <f>+'VAL C - 10'!F16</f>
        <v>0</v>
      </c>
      <c r="AC21">
        <f>+'VAL D - 10'!F16</f>
        <v>0</v>
      </c>
      <c r="AD21">
        <f>+'VAL F - 10'!F16</f>
        <v>0</v>
      </c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G21" s="82"/>
      <c r="BH21" s="17"/>
      <c r="BI21" s="39"/>
    </row>
    <row r="22" spans="2:61" ht="15" thickBot="1" x14ac:dyDescent="0.4">
      <c r="B22" s="2" t="s">
        <v>17</v>
      </c>
      <c r="C22" s="2" t="s">
        <v>50</v>
      </c>
      <c r="D22" s="2">
        <v>8</v>
      </c>
      <c r="E22" s="2"/>
      <c r="F22" s="5"/>
      <c r="G22" s="5">
        <f>+D22*'VAL 24 - 07'!E17</f>
        <v>32</v>
      </c>
      <c r="H22" s="2">
        <f>+'VAL 30-07'!F17</f>
        <v>0</v>
      </c>
      <c r="I22" s="2">
        <f>+D22*'VAL 02- 08'!E17</f>
        <v>40</v>
      </c>
      <c r="J22" s="2">
        <f>+D22*'VAL 05-08'!E17</f>
        <v>0</v>
      </c>
      <c r="K22" s="1">
        <f>+D22*'VAL 07 -08'!E17</f>
        <v>0</v>
      </c>
      <c r="L22" s="2">
        <f>+'VAL 11-08'!F17</f>
        <v>0</v>
      </c>
      <c r="M22" s="5">
        <f>+D22*'VAL 15 - 08'!E17</f>
        <v>32</v>
      </c>
      <c r="N22" s="2">
        <f>+'VAL-REAL'!D22*'VAL 19- 08'!E17</f>
        <v>72</v>
      </c>
      <c r="O22" s="2">
        <f>+D22*'VAL 26  - 08'!E17</f>
        <v>8</v>
      </c>
      <c r="P22" s="2">
        <f>+D22*'VAL 03- 09'!E17</f>
        <v>0</v>
      </c>
      <c r="Q22" s="2">
        <f>+'VAL 04 - 09'!F17</f>
        <v>72</v>
      </c>
      <c r="R22">
        <f>+'VAL 11 - 09'!F17</f>
        <v>56</v>
      </c>
      <c r="S22">
        <f>+'VAL 15 - 09'!F17</f>
        <v>40</v>
      </c>
      <c r="T22">
        <f>+'VAL 18 - 09'!F17</f>
        <v>0</v>
      </c>
      <c r="U22">
        <f>+'VAL 22 -09'!F17</f>
        <v>48</v>
      </c>
      <c r="V22">
        <f>+'VAL 26 - 09'!F17</f>
        <v>40</v>
      </c>
      <c r="W22">
        <f>+'VAL 02 - 10'!F17</f>
        <v>64</v>
      </c>
      <c r="X22">
        <f>+'VAL 09 - 10'!F17</f>
        <v>24</v>
      </c>
      <c r="Y22">
        <f>+'VL 13 - 10'!F17</f>
        <v>16</v>
      </c>
      <c r="Z22">
        <f>+'VAL 17 - 10'!F17</f>
        <v>24</v>
      </c>
      <c r="AA22">
        <f>+'VAL 20 - 10'!F17</f>
        <v>64</v>
      </c>
      <c r="AB22">
        <f>+'VAL C - 10'!F17</f>
        <v>0</v>
      </c>
      <c r="AC22">
        <f>+'VAL D - 10'!F17</f>
        <v>0</v>
      </c>
      <c r="AD22">
        <f>+'VAL F - 10'!F17</f>
        <v>0</v>
      </c>
      <c r="BH22" s="17"/>
      <c r="BI22" s="39"/>
    </row>
    <row r="23" spans="2:61" ht="15" thickBot="1" x14ac:dyDescent="0.4">
      <c r="B23" s="2" t="s">
        <v>18</v>
      </c>
      <c r="C23" s="2" t="s">
        <v>50</v>
      </c>
      <c r="D23" s="2">
        <v>8</v>
      </c>
      <c r="E23" s="2"/>
      <c r="F23" s="5"/>
      <c r="G23" s="5">
        <f>+D23*'VAL 24 - 07'!E18</f>
        <v>192</v>
      </c>
      <c r="H23" s="2">
        <f>+'VAL 30-07'!F18</f>
        <v>112</v>
      </c>
      <c r="I23" s="2">
        <f>+D23*'VAL 02- 08'!E18</f>
        <v>72</v>
      </c>
      <c r="J23" s="2">
        <f>+D23*'VAL 05-08'!E18</f>
        <v>152</v>
      </c>
      <c r="K23" s="1">
        <f>+D23*'VAL 07 -08'!E18</f>
        <v>0</v>
      </c>
      <c r="L23" s="2">
        <f>+'VAL 11-08'!F18</f>
        <v>184</v>
      </c>
      <c r="M23" s="5">
        <f>+D23*'VAL 15 - 08'!E18</f>
        <v>0</v>
      </c>
      <c r="N23" s="2">
        <f>+'VAL-REAL'!D23*'VAL 19- 08'!E18</f>
        <v>0</v>
      </c>
      <c r="O23" s="2">
        <f>+D23*'VAL 26  - 08'!E18</f>
        <v>160</v>
      </c>
      <c r="P23" s="2">
        <f>+D23*'VAL 03- 09'!E18</f>
        <v>0</v>
      </c>
      <c r="Q23" s="2">
        <f>+'VAL 04 - 09'!F18</f>
        <v>0</v>
      </c>
      <c r="R23">
        <f>+'VAL 11 - 09'!F18</f>
        <v>0</v>
      </c>
      <c r="S23">
        <f>+'VAL 15 - 09'!F18</f>
        <v>0</v>
      </c>
      <c r="T23">
        <f>+'VAL 18 - 09'!F18</f>
        <v>152</v>
      </c>
      <c r="U23">
        <f>+'VAL 22 -09'!F18</f>
        <v>152</v>
      </c>
      <c r="V23">
        <f>+'VAL 26 - 09'!F18</f>
        <v>136</v>
      </c>
      <c r="W23">
        <f>+'VAL 02 - 10'!F18</f>
        <v>200</v>
      </c>
      <c r="X23">
        <f>+'VAL 09 - 10'!F18</f>
        <v>56</v>
      </c>
      <c r="Y23">
        <f>+'VL 13 - 10'!F18</f>
        <v>72</v>
      </c>
      <c r="Z23">
        <f>+'VAL 17 - 10'!F18</f>
        <v>128</v>
      </c>
      <c r="AA23">
        <f>+'VAL 20 - 10'!F18</f>
        <v>88</v>
      </c>
      <c r="AB23">
        <f>+'VAL C - 10'!F18</f>
        <v>0</v>
      </c>
      <c r="AC23">
        <f>+'VAL D - 10'!F18</f>
        <v>0</v>
      </c>
      <c r="AD23">
        <f>+'VAL F - 10'!F18</f>
        <v>0</v>
      </c>
      <c r="BH23" s="17"/>
      <c r="BI23" s="39"/>
    </row>
    <row r="24" spans="2:61" ht="15" thickBot="1" x14ac:dyDescent="0.4">
      <c r="B24" s="2" t="s">
        <v>19</v>
      </c>
      <c r="C24" s="2" t="s">
        <v>50</v>
      </c>
      <c r="D24" s="2">
        <v>8</v>
      </c>
      <c r="E24" s="2"/>
      <c r="F24" s="5"/>
      <c r="G24" s="5">
        <f>+D24*'VAL 24 - 07'!E19</f>
        <v>328</v>
      </c>
      <c r="H24" s="2">
        <f>+'VAL 30-07'!F19</f>
        <v>0</v>
      </c>
      <c r="I24" s="2">
        <f>+D24*'VAL 02- 08'!E19</f>
        <v>144</v>
      </c>
      <c r="J24" s="2">
        <f>+D24*'VAL 05-08'!E19</f>
        <v>0</v>
      </c>
      <c r="K24" s="1">
        <f>+D24*'VAL 07 -08'!E19</f>
        <v>0</v>
      </c>
      <c r="L24" s="2">
        <f>+'VAL 11-08'!F19</f>
        <v>0</v>
      </c>
      <c r="M24" s="5">
        <f>+D24*'VAL 15 - 08'!E19</f>
        <v>272</v>
      </c>
      <c r="N24" s="2">
        <f>+'VAL-REAL'!D24*'VAL 19- 08'!E19</f>
        <v>288</v>
      </c>
      <c r="O24" s="2">
        <f>+D24*'VAL 26  - 08'!E19</f>
        <v>256</v>
      </c>
      <c r="P24" s="2">
        <f>+D24*'VAL 03- 09'!E19</f>
        <v>0</v>
      </c>
      <c r="Q24" s="2">
        <f>+'VAL 04 - 09'!F19</f>
        <v>224</v>
      </c>
      <c r="R24">
        <f>+'VAL 11 - 09'!F19</f>
        <v>312</v>
      </c>
      <c r="S24">
        <f>+'VAL 15 - 09'!F19</f>
        <v>256</v>
      </c>
      <c r="T24">
        <f>+'VAL 18 - 09'!F19</f>
        <v>0</v>
      </c>
      <c r="U24">
        <f>+'VAL 22 -09'!F19</f>
        <v>256</v>
      </c>
      <c r="V24">
        <f>+'VAL 26 - 09'!F19</f>
        <v>304</v>
      </c>
      <c r="W24">
        <f>+'VAL 02 - 10'!F19</f>
        <v>320</v>
      </c>
      <c r="X24">
        <f>+'VAL 09 - 10'!F19</f>
        <v>72</v>
      </c>
      <c r="Y24">
        <f>+'VL 13 - 10'!F19</f>
        <v>136</v>
      </c>
      <c r="Z24">
        <f>+'VAL 17 - 10'!F19</f>
        <v>128</v>
      </c>
      <c r="AA24">
        <f>+'VAL 20 - 10'!F19</f>
        <v>136</v>
      </c>
      <c r="AB24">
        <f>+'VAL C - 10'!F19</f>
        <v>0</v>
      </c>
      <c r="AC24">
        <f>+'VAL D - 10'!F19</f>
        <v>0</v>
      </c>
      <c r="AD24">
        <f>+'VAL F - 10'!F19</f>
        <v>0</v>
      </c>
      <c r="BH24" s="17"/>
      <c r="BI24" s="39"/>
    </row>
    <row r="25" spans="2:61" ht="29.5" thickBot="1" x14ac:dyDescent="0.4">
      <c r="B25" s="2" t="s">
        <v>20</v>
      </c>
      <c r="C25" s="2" t="s">
        <v>50</v>
      </c>
      <c r="D25" s="2">
        <v>8</v>
      </c>
      <c r="E25" s="2"/>
      <c r="F25" s="5"/>
      <c r="G25" s="5">
        <f>+D25*'VAL 24 - 07'!E20</f>
        <v>392</v>
      </c>
      <c r="H25" s="2">
        <f>+'VAL 30-07'!F20</f>
        <v>0</v>
      </c>
      <c r="I25" s="2">
        <f>+D25*'VAL 02- 08'!E20</f>
        <v>176</v>
      </c>
      <c r="J25" s="2">
        <f>+D25*'VAL 05-08'!E20</f>
        <v>0</v>
      </c>
      <c r="K25" s="1">
        <f>+D25*'VAL 07 -08'!E20</f>
        <v>0</v>
      </c>
      <c r="L25" s="2">
        <f>+'VAL 11-08'!F20</f>
        <v>0</v>
      </c>
      <c r="M25" s="5">
        <f>+D25*'VAL 15 - 08'!E20</f>
        <v>352</v>
      </c>
      <c r="N25" s="2">
        <f>+'VAL-REAL'!D25*'VAL 19- 08'!E20</f>
        <v>424</v>
      </c>
      <c r="O25" s="2">
        <f>+D25*'VAL 26  - 08'!E20</f>
        <v>248</v>
      </c>
      <c r="P25" s="2">
        <f>+D25*'VAL 03- 09'!E20</f>
        <v>0</v>
      </c>
      <c r="Q25" s="2">
        <f>+'VAL 04 - 09'!F20</f>
        <v>184</v>
      </c>
      <c r="R25">
        <f>+'VAL 11 - 09'!F20</f>
        <v>368</v>
      </c>
      <c r="S25">
        <f>+'VAL 15 - 09'!F20</f>
        <v>256</v>
      </c>
      <c r="T25">
        <f>+'VAL 18 - 09'!F20</f>
        <v>0</v>
      </c>
      <c r="U25">
        <f>+'VAL 22 -09'!F20</f>
        <v>232</v>
      </c>
      <c r="V25">
        <f>+'VAL 26 - 09'!F20</f>
        <v>8</v>
      </c>
      <c r="W25">
        <f>+'VAL 02 - 10'!F20</f>
        <v>280</v>
      </c>
      <c r="X25">
        <f>+'VAL 09 - 10'!F20</f>
        <v>152</v>
      </c>
      <c r="Y25">
        <f>+'VL 13 - 10'!F20</f>
        <v>176</v>
      </c>
      <c r="Z25">
        <f>+'VAL 17 - 10'!F20</f>
        <v>232</v>
      </c>
      <c r="AA25">
        <f>+'VAL 20 - 10'!F20</f>
        <v>120</v>
      </c>
      <c r="AB25">
        <f>+'VAL C - 10'!F20</f>
        <v>0</v>
      </c>
      <c r="AC25">
        <f>+'VAL D - 10'!F20</f>
        <v>0</v>
      </c>
      <c r="AD25">
        <f>+'VAL F - 10'!F20</f>
        <v>0</v>
      </c>
      <c r="AH25" s="44" t="s">
        <v>95</v>
      </c>
      <c r="AI25" s="45" t="s">
        <v>154</v>
      </c>
      <c r="BH25" s="17"/>
      <c r="BI25" s="39"/>
    </row>
    <row r="26" spans="2:61" ht="17.5" thickBot="1" x14ac:dyDescent="0.45">
      <c r="B26" s="2" t="s">
        <v>21</v>
      </c>
      <c r="C26" s="2" t="s">
        <v>50</v>
      </c>
      <c r="D26" s="2">
        <v>8</v>
      </c>
      <c r="E26" s="2"/>
      <c r="F26" s="5"/>
      <c r="G26" s="5">
        <f>+D26*'VAL 24 - 07'!E21</f>
        <v>0</v>
      </c>
      <c r="H26" s="2">
        <f>+'VAL 30-07'!F21</f>
        <v>0</v>
      </c>
      <c r="I26" s="2">
        <f>+D26*'VAL 02- 08'!E21</f>
        <v>8</v>
      </c>
      <c r="J26" s="2">
        <f>+D26*'VAL 05-08'!E21</f>
        <v>0</v>
      </c>
      <c r="K26" s="1">
        <f>+D26*'VAL 07 -08'!E21</f>
        <v>0</v>
      </c>
      <c r="L26" s="2">
        <f>+'VAL 11-08'!F21</f>
        <v>0</v>
      </c>
      <c r="M26" s="5">
        <f>+D26*'VAL 15 - 08'!E21</f>
        <v>40</v>
      </c>
      <c r="N26" s="2">
        <f>+'VAL-REAL'!D26*'VAL 19- 08'!E21</f>
        <v>32</v>
      </c>
      <c r="O26" s="2">
        <f>+D26*'VAL 26  - 08'!E21</f>
        <v>8</v>
      </c>
      <c r="P26" s="2">
        <f>+D26*'VAL 03- 09'!E21</f>
        <v>0</v>
      </c>
      <c r="Q26" s="2">
        <f>+'VAL 04 - 09'!F21</f>
        <v>16</v>
      </c>
      <c r="R26">
        <f>+'VAL 11 - 09'!F21</f>
        <v>16</v>
      </c>
      <c r="S26">
        <f>+'VAL 15 - 09'!F21</f>
        <v>48</v>
      </c>
      <c r="T26">
        <f>+'VAL 18 - 09'!F21</f>
        <v>0</v>
      </c>
      <c r="U26">
        <f>+'VAL 22 -09'!F21</f>
        <v>8</v>
      </c>
      <c r="V26">
        <f>+'VAL 26 - 09'!F21</f>
        <v>16</v>
      </c>
      <c r="W26">
        <f>+'VAL 02 - 10'!F21</f>
        <v>16</v>
      </c>
      <c r="X26">
        <f>+'VAL 09 - 10'!F21</f>
        <v>8</v>
      </c>
      <c r="Y26">
        <f>+'VL 13 - 10'!F21</f>
        <v>0</v>
      </c>
      <c r="Z26">
        <f>+'VAL 17 - 10'!F21</f>
        <v>32</v>
      </c>
      <c r="AA26">
        <f>+'VAL 20 - 10'!F21</f>
        <v>0</v>
      </c>
      <c r="AB26">
        <f>+'VAL C - 10'!F21</f>
        <v>0</v>
      </c>
      <c r="AC26">
        <f>+'VAL D - 10'!F21</f>
        <v>0</v>
      </c>
      <c r="AD26">
        <f>+'VAL F - 10'!F21</f>
        <v>0</v>
      </c>
      <c r="AH26" s="35" t="s">
        <v>59</v>
      </c>
      <c r="AI26" s="24">
        <v>393</v>
      </c>
      <c r="BH26" s="17"/>
      <c r="BI26" s="39"/>
    </row>
    <row r="27" spans="2:61" ht="19" thickBot="1" x14ac:dyDescent="0.5">
      <c r="B27" s="12" t="s">
        <v>22</v>
      </c>
      <c r="C27" s="2"/>
      <c r="D27" s="2"/>
      <c r="E27" s="2"/>
      <c r="F27" s="5"/>
      <c r="G27" s="5">
        <f>SUM(G28:G34)</f>
        <v>1422</v>
      </c>
      <c r="H27" s="10">
        <f t="shared" ref="H27:AD27" si="32">SUM(H28:H34)</f>
        <v>5</v>
      </c>
      <c r="I27" s="10">
        <f t="shared" si="32"/>
        <v>200</v>
      </c>
      <c r="J27" s="10">
        <f t="shared" si="32"/>
        <v>0</v>
      </c>
      <c r="K27" s="4">
        <f>SUM(K28:K34)</f>
        <v>580</v>
      </c>
      <c r="L27" s="10">
        <f t="shared" si="32"/>
        <v>0</v>
      </c>
      <c r="M27" s="10">
        <f t="shared" si="32"/>
        <v>707</v>
      </c>
      <c r="N27" s="10">
        <f t="shared" si="32"/>
        <v>820</v>
      </c>
      <c r="O27" s="10">
        <f t="shared" si="32"/>
        <v>806</v>
      </c>
      <c r="P27" s="10">
        <f t="shared" si="32"/>
        <v>564</v>
      </c>
      <c r="Q27" s="10">
        <f t="shared" si="32"/>
        <v>430</v>
      </c>
      <c r="R27" s="10">
        <f t="shared" si="32"/>
        <v>656</v>
      </c>
      <c r="S27" s="10">
        <f t="shared" si="32"/>
        <v>371</v>
      </c>
      <c r="T27" s="10">
        <f t="shared" si="32"/>
        <v>302</v>
      </c>
      <c r="U27" s="10">
        <f t="shared" si="32"/>
        <v>925</v>
      </c>
      <c r="V27" s="10">
        <f t="shared" si="32"/>
        <v>1065</v>
      </c>
      <c r="W27" s="10">
        <f t="shared" si="32"/>
        <v>869</v>
      </c>
      <c r="X27" s="10">
        <f t="shared" si="32"/>
        <v>564</v>
      </c>
      <c r="Y27" s="10">
        <f t="shared" si="32"/>
        <v>605</v>
      </c>
      <c r="Z27" s="10">
        <f t="shared" si="32"/>
        <v>800</v>
      </c>
      <c r="AA27" s="10">
        <f t="shared" si="32"/>
        <v>764</v>
      </c>
      <c r="AB27" s="10">
        <f t="shared" si="32"/>
        <v>0</v>
      </c>
      <c r="AC27" s="10">
        <f t="shared" si="32"/>
        <v>0</v>
      </c>
      <c r="AD27" s="10">
        <f t="shared" si="32"/>
        <v>0</v>
      </c>
      <c r="AH27" s="36" t="s">
        <v>6</v>
      </c>
      <c r="AI27" s="26">
        <v>330</v>
      </c>
      <c r="BH27" s="17"/>
      <c r="BI27" s="39"/>
    </row>
    <row r="28" spans="2:61" ht="17.5" thickBot="1" x14ac:dyDescent="0.45">
      <c r="B28" s="2" t="s">
        <v>23</v>
      </c>
      <c r="C28" s="2" t="s">
        <v>50</v>
      </c>
      <c r="D28" s="2">
        <v>5</v>
      </c>
      <c r="E28" s="2"/>
      <c r="F28" s="5"/>
      <c r="G28" s="5">
        <f>+D28*'VAL 24 - 07'!E23</f>
        <v>125</v>
      </c>
      <c r="H28" s="2">
        <f>+'VAL 30-07'!F23</f>
        <v>0</v>
      </c>
      <c r="I28" s="2">
        <f>+D28*'VAL 02- 08'!E23</f>
        <v>0</v>
      </c>
      <c r="J28" s="2">
        <f>+D28*'VAL 05-08'!E23</f>
        <v>0</v>
      </c>
      <c r="K28" s="1">
        <f>+D28*'VAL 07 -08'!E23</f>
        <v>0</v>
      </c>
      <c r="L28" s="2">
        <f>+'VAL 11-08'!F23</f>
        <v>0</v>
      </c>
      <c r="M28" s="5">
        <f>+D28*'VAL 15 - 08'!E23</f>
        <v>0</v>
      </c>
      <c r="N28" s="2">
        <f>+D28*'VAL 19- 08'!E23</f>
        <v>130</v>
      </c>
      <c r="O28" s="2">
        <f>+D28*'VAL 26  - 08'!E23</f>
        <v>30</v>
      </c>
      <c r="P28" s="2">
        <f>+D28*'VAL 03- 09'!E23</f>
        <v>0</v>
      </c>
      <c r="Q28">
        <f>+'VAL 04 - 09'!F23</f>
        <v>0</v>
      </c>
      <c r="R28">
        <f>+'VAL 11 - 09'!F23</f>
        <v>0</v>
      </c>
      <c r="S28">
        <f>+'VAL 15 - 09'!F23</f>
        <v>0</v>
      </c>
      <c r="T28">
        <f>+'VAL 18 - 09'!F23</f>
        <v>0</v>
      </c>
      <c r="U28">
        <f>+'VAL 22 -09'!F23</f>
        <v>130</v>
      </c>
      <c r="V28">
        <f>+'VAL 26 - 09'!F23</f>
        <v>140</v>
      </c>
      <c r="W28">
        <f>+'VAL 02 - 10'!F23</f>
        <v>110</v>
      </c>
      <c r="X28">
        <f>+'VAL 09 - 10'!F23</f>
        <v>60</v>
      </c>
      <c r="Y28">
        <f>+'VL 13 - 10'!F23</f>
        <v>55</v>
      </c>
      <c r="Z28">
        <f>+'VAL 17 - 10'!F23</f>
        <v>60</v>
      </c>
      <c r="AA28">
        <f>+'VAL 20 - 10'!F23</f>
        <v>70</v>
      </c>
      <c r="AB28">
        <f>+'VAL C - 10'!F23</f>
        <v>0</v>
      </c>
      <c r="AC28">
        <f>+'VAL D - 10'!F23</f>
        <v>0</v>
      </c>
      <c r="AD28">
        <f>+'VAL F - 10'!F23</f>
        <v>0</v>
      </c>
      <c r="AH28" s="36" t="s">
        <v>7</v>
      </c>
      <c r="AI28" s="26">
        <v>0</v>
      </c>
      <c r="BH28" s="41"/>
      <c r="BI28" s="40"/>
    </row>
    <row r="29" spans="2:61" ht="15" thickBot="1" x14ac:dyDescent="0.4">
      <c r="B29" s="2" t="s">
        <v>24</v>
      </c>
      <c r="C29" s="2" t="s">
        <v>50</v>
      </c>
      <c r="D29" s="2">
        <v>5</v>
      </c>
      <c r="E29" s="2"/>
      <c r="F29" s="5"/>
      <c r="G29" s="5">
        <f>+D29*'VAL 24 - 07'!E24</f>
        <v>90</v>
      </c>
      <c r="H29" s="2">
        <f>+'VAL 30-07'!F24</f>
        <v>0</v>
      </c>
      <c r="I29" s="2">
        <f>+D29*'VAL 02- 08'!E24</f>
        <v>0</v>
      </c>
      <c r="J29" s="2">
        <f>+D29*'VAL 05-08'!E24</f>
        <v>0</v>
      </c>
      <c r="K29" s="1">
        <f>+D29*'VAL 07 -08'!E24</f>
        <v>90</v>
      </c>
      <c r="L29" s="2">
        <f>+'VAL 11-08'!F24</f>
        <v>0</v>
      </c>
      <c r="M29" s="5">
        <f>+D29*'VAL 15 - 08'!E24</f>
        <v>0</v>
      </c>
      <c r="N29" s="2">
        <f>+D29*'VAL 19- 08'!E24</f>
        <v>90</v>
      </c>
      <c r="O29" s="2">
        <f>+D29*'VAL 26  - 08'!E24</f>
        <v>65</v>
      </c>
      <c r="P29" s="2">
        <f>+D29*'VAL 03- 09'!E24</f>
        <v>0</v>
      </c>
      <c r="Q29">
        <f>+'VAL 04 - 09'!F24</f>
        <v>0</v>
      </c>
      <c r="R29">
        <f>+'VAL 11 - 09'!F24</f>
        <v>0</v>
      </c>
      <c r="S29">
        <f>+'VAL 15 - 09'!F24</f>
        <v>0</v>
      </c>
      <c r="T29">
        <f>+'VAL 18 - 09'!F24</f>
        <v>0</v>
      </c>
      <c r="U29">
        <f>+'VAL 22 -09'!F24</f>
        <v>60</v>
      </c>
      <c r="V29">
        <f>+'VAL 26 - 09'!F24</f>
        <v>95</v>
      </c>
      <c r="W29">
        <f>+'VAL 02 - 10'!F24</f>
        <v>65</v>
      </c>
      <c r="X29">
        <f>+'VAL 09 - 10'!F24</f>
        <v>50</v>
      </c>
      <c r="Y29">
        <f>+'VL 13 - 10'!F24</f>
        <v>35</v>
      </c>
      <c r="Z29">
        <f>+'VAL 17 - 10'!F24</f>
        <v>40</v>
      </c>
      <c r="AA29">
        <f>+'VAL 20 - 10'!F24</f>
        <v>45</v>
      </c>
      <c r="AB29">
        <f>+'VAL C - 10'!F24</f>
        <v>0</v>
      </c>
      <c r="AC29">
        <f>+'VAL D - 10'!F24</f>
        <v>0</v>
      </c>
      <c r="AD29">
        <f>+'VAL F - 10'!F24</f>
        <v>0</v>
      </c>
      <c r="AH29" s="36" t="s">
        <v>8</v>
      </c>
      <c r="AI29" s="26">
        <v>63</v>
      </c>
      <c r="BH29" s="17"/>
      <c r="BI29" s="39"/>
    </row>
    <row r="30" spans="2:61" ht="15" thickBot="1" x14ac:dyDescent="0.4">
      <c r="B30" s="2" t="s">
        <v>25</v>
      </c>
      <c r="C30" s="2" t="s">
        <v>50</v>
      </c>
      <c r="D30" s="2">
        <v>5</v>
      </c>
      <c r="E30" s="2"/>
      <c r="F30" s="5"/>
      <c r="G30" s="5">
        <f>+D30*'VAL 24 - 07'!E25</f>
        <v>630</v>
      </c>
      <c r="H30" s="2">
        <f>+'VAL 30-07'!F25</f>
        <v>5</v>
      </c>
      <c r="I30" s="2">
        <f>+D30*'VAL 02- 08'!E25</f>
        <v>0</v>
      </c>
      <c r="J30" s="2">
        <f>+D30*'VAL 05-08'!E25</f>
        <v>0</v>
      </c>
      <c r="K30" s="1">
        <f>+D30*'VAL 07 -08'!E25</f>
        <v>490</v>
      </c>
      <c r="L30" s="2">
        <f>+'VAL 11-08'!F25</f>
        <v>0</v>
      </c>
      <c r="M30" s="5">
        <f>+D30*'VAL 15 - 08'!E25</f>
        <v>0</v>
      </c>
      <c r="N30" s="2">
        <f>+D30*'VAL 19- 08'!E25</f>
        <v>600</v>
      </c>
      <c r="O30" s="2">
        <f>+D30*'VAL 26  - 08'!E25</f>
        <v>320</v>
      </c>
      <c r="P30" s="2">
        <f>+D30*'VAL 03- 09'!E25</f>
        <v>0</v>
      </c>
      <c r="Q30">
        <f>+'VAL 04 - 09'!F25</f>
        <v>0</v>
      </c>
      <c r="R30">
        <f>+'VAL 11 - 09'!F25</f>
        <v>0</v>
      </c>
      <c r="S30">
        <f>+'VAL 15 - 09'!F25</f>
        <v>0</v>
      </c>
      <c r="T30">
        <f>+'VAL 18 - 09'!F25</f>
        <v>0</v>
      </c>
      <c r="U30">
        <f>+'VAL 22 -09'!F25</f>
        <v>375</v>
      </c>
      <c r="V30">
        <f>+'VAL 26 - 09'!F25</f>
        <v>540</v>
      </c>
      <c r="W30">
        <f>+'VAL 02 - 10'!F25</f>
        <v>375</v>
      </c>
      <c r="X30">
        <f>+'VAL 09 - 10'!F25</f>
        <v>255</v>
      </c>
      <c r="Y30">
        <f>+'VL 13 - 10'!F25</f>
        <v>255</v>
      </c>
      <c r="Z30">
        <f>+'VAL 17 - 10'!F25</f>
        <v>370</v>
      </c>
      <c r="AA30">
        <f>+'VAL 20 - 10'!F25</f>
        <v>340</v>
      </c>
      <c r="AB30">
        <f>+'VAL C - 10'!F25</f>
        <v>0</v>
      </c>
      <c r="AC30">
        <f>+'VAL D - 10'!F25</f>
        <v>0</v>
      </c>
      <c r="AD30">
        <f>+'VAL F - 10'!F25</f>
        <v>0</v>
      </c>
      <c r="AH30" s="36" t="s">
        <v>9</v>
      </c>
      <c r="AI30" s="25"/>
      <c r="BH30" s="17"/>
      <c r="BI30" s="39"/>
    </row>
    <row r="31" spans="2:61" ht="17.5" thickBot="1" x14ac:dyDescent="0.45">
      <c r="B31" s="2" t="s">
        <v>26</v>
      </c>
      <c r="C31" s="2" t="s">
        <v>50</v>
      </c>
      <c r="D31" s="2">
        <v>5</v>
      </c>
      <c r="E31" s="2"/>
      <c r="F31" s="5"/>
      <c r="G31" s="5">
        <f>+D31*'VAL 24 - 07'!E26</f>
        <v>165</v>
      </c>
      <c r="H31" s="2">
        <f>+'VAL 30-07'!F26</f>
        <v>0</v>
      </c>
      <c r="I31" s="2">
        <f>+D31*'VAL 02- 08'!E26</f>
        <v>55</v>
      </c>
      <c r="J31" s="2">
        <f>+D31*'VAL 05-08'!E26</f>
        <v>0</v>
      </c>
      <c r="K31" s="1">
        <f>+D31*'VAL 07 -08'!E26</f>
        <v>0</v>
      </c>
      <c r="L31" s="2">
        <f>+'VAL 11-08'!F26</f>
        <v>0</v>
      </c>
      <c r="M31" s="5">
        <f>+D31*'VAL 15 - 08'!E26</f>
        <v>180</v>
      </c>
      <c r="N31" s="2">
        <f>+D31*'VAL 19- 08'!E26</f>
        <v>0</v>
      </c>
      <c r="O31" s="2">
        <f>+D31*'VAL 26  - 08'!E26</f>
        <v>90</v>
      </c>
      <c r="P31" s="2">
        <f>+D31*'VAL 03- 09'!E26</f>
        <v>120</v>
      </c>
      <c r="Q31">
        <f>+'VAL 04 - 09'!F26</f>
        <v>105</v>
      </c>
      <c r="R31">
        <f>+'VAL 11 - 09'!F26</f>
        <v>125</v>
      </c>
      <c r="S31">
        <f>+'VAL 15 - 09'!F26</f>
        <v>90</v>
      </c>
      <c r="T31">
        <f>+'VAL 18 - 09'!F26</f>
        <v>0</v>
      </c>
      <c r="U31">
        <f>+'VAL 22 -09'!F26</f>
        <v>5</v>
      </c>
      <c r="V31">
        <f>+'VAL 26 - 09'!F26</f>
        <v>5</v>
      </c>
      <c r="W31">
        <f>+'VAL 02 - 10'!F26</f>
        <v>1</v>
      </c>
      <c r="X31">
        <f>+'VAL 09 - 10'!F26</f>
        <v>3</v>
      </c>
      <c r="Y31">
        <f>+'VL 13 - 10'!F26</f>
        <v>55</v>
      </c>
      <c r="Z31">
        <f>+'VAL 17 - 10'!F26</f>
        <v>60</v>
      </c>
      <c r="AA31">
        <f>+'VAL 20 - 10'!F26</f>
        <v>70</v>
      </c>
      <c r="AB31">
        <f>+'VAL C - 10'!F26</f>
        <v>0</v>
      </c>
      <c r="AC31">
        <f>+'VAL D - 10'!F26</f>
        <v>0</v>
      </c>
      <c r="AD31">
        <f>+'VAL F - 10'!F26</f>
        <v>0</v>
      </c>
      <c r="AH31" s="35" t="s">
        <v>10</v>
      </c>
      <c r="AI31" s="24">
        <v>120</v>
      </c>
      <c r="BH31" s="17"/>
      <c r="BI31" s="39"/>
    </row>
    <row r="32" spans="2:61" ht="15" thickBot="1" x14ac:dyDescent="0.4">
      <c r="B32" s="2" t="s">
        <v>27</v>
      </c>
      <c r="C32" s="2" t="s">
        <v>50</v>
      </c>
      <c r="D32" s="2">
        <v>5</v>
      </c>
      <c r="E32" s="2"/>
      <c r="F32" s="5"/>
      <c r="G32" s="5">
        <f>+D32*'VAL 24 - 07'!E27</f>
        <v>260</v>
      </c>
      <c r="H32" s="2">
        <f>+'VAL 30-07'!F27</f>
        <v>0</v>
      </c>
      <c r="I32" s="2">
        <f>+D32*'VAL 02- 08'!E27</f>
        <v>105</v>
      </c>
      <c r="J32" s="2">
        <f>+D32*'VAL 05-08'!E27</f>
        <v>0</v>
      </c>
      <c r="K32" s="1">
        <f>+D32*'VAL 07 -08'!E27</f>
        <v>0</v>
      </c>
      <c r="L32" s="2">
        <f>+'VAL 11-08'!F27</f>
        <v>0</v>
      </c>
      <c r="M32" s="5">
        <f>+D32*'VAL 15 - 08'!E27</f>
        <v>335</v>
      </c>
      <c r="N32" s="2">
        <f>+D32*'VAL 19- 08'!E27</f>
        <v>0</v>
      </c>
      <c r="O32" s="2">
        <f>+D32*'VAL 26  - 08'!E27</f>
        <v>205</v>
      </c>
      <c r="P32" s="2">
        <f>+D32*'VAL 03- 09'!E27</f>
        <v>300</v>
      </c>
      <c r="Q32">
        <f>+'VAL 04 - 09'!F27</f>
        <v>205</v>
      </c>
      <c r="R32">
        <f>+'VAL 11 - 09'!F27</f>
        <v>355</v>
      </c>
      <c r="S32">
        <f>+'VAL 15 - 09'!F27</f>
        <v>185</v>
      </c>
      <c r="T32">
        <f>+'VAL 18 - 09'!F27</f>
        <v>190</v>
      </c>
      <c r="U32">
        <f>+'VAL 22 -09'!F27</f>
        <v>235</v>
      </c>
      <c r="V32">
        <f>+'VAL 26 - 09'!F27</f>
        <v>165</v>
      </c>
      <c r="W32">
        <f>+'VAL 02 - 10'!F27</f>
        <v>230</v>
      </c>
      <c r="X32">
        <f>+'VAL 09 - 10'!F27</f>
        <v>140</v>
      </c>
      <c r="Y32">
        <f>+'VL 13 - 10'!F27</f>
        <v>125</v>
      </c>
      <c r="Z32">
        <f>+'VAL 17 - 10'!F27</f>
        <v>150</v>
      </c>
      <c r="AA32">
        <f>+'VAL 20 - 10'!F27</f>
        <v>135</v>
      </c>
      <c r="AB32">
        <f>+'VAL C - 10'!F27</f>
        <v>0</v>
      </c>
      <c r="AC32">
        <f>+'VAL D - 10'!F27</f>
        <v>0</v>
      </c>
      <c r="AD32">
        <f>+'VAL F - 10'!F27</f>
        <v>0</v>
      </c>
      <c r="AH32" s="36" t="s">
        <v>11</v>
      </c>
      <c r="AI32" s="26">
        <v>100</v>
      </c>
      <c r="BH32" s="17"/>
      <c r="BI32" s="39"/>
    </row>
    <row r="33" spans="2:61" ht="15" thickBot="1" x14ac:dyDescent="0.4">
      <c r="B33" s="2" t="s">
        <v>28</v>
      </c>
      <c r="C33" s="2" t="s">
        <v>50</v>
      </c>
      <c r="D33" s="2">
        <v>8</v>
      </c>
      <c r="E33" s="2"/>
      <c r="F33" s="5"/>
      <c r="G33" s="5">
        <f>+D33*'VAL 24 - 07'!E28</f>
        <v>152</v>
      </c>
      <c r="H33" s="2">
        <f>+'VAL 30-07'!F28</f>
        <v>0</v>
      </c>
      <c r="I33" s="2">
        <f>+D33*'VAL 02- 08'!E28</f>
        <v>40</v>
      </c>
      <c r="J33" s="2">
        <f>+D33*'VAL 05-08'!E28</f>
        <v>0</v>
      </c>
      <c r="K33" s="1">
        <f>+D33*'VAL 07 -08'!E28</f>
        <v>0</v>
      </c>
      <c r="L33" s="2">
        <f>+'VAL 11-08'!F28</f>
        <v>0</v>
      </c>
      <c r="M33" s="5">
        <f>+D33*'VAL 15 - 08'!E28</f>
        <v>192</v>
      </c>
      <c r="N33" s="2">
        <f>+D33*'VAL 19- 08'!E28</f>
        <v>0</v>
      </c>
      <c r="O33" s="2">
        <f>+D33*'VAL 26  - 08'!E28</f>
        <v>96</v>
      </c>
      <c r="P33" s="2">
        <f>+D33*'VAL 03- 09'!E28</f>
        <v>144</v>
      </c>
      <c r="Q33">
        <f>+'VAL 04 - 09'!F28</f>
        <v>120</v>
      </c>
      <c r="R33">
        <f>+'VAL 11 - 09'!F28</f>
        <v>176</v>
      </c>
      <c r="S33">
        <f>+'VAL 15 - 09'!F28</f>
        <v>96</v>
      </c>
      <c r="T33">
        <f>+'VAL 18 - 09'!F28</f>
        <v>112</v>
      </c>
      <c r="U33">
        <f>+'VAL 22 -09'!F28</f>
        <v>120</v>
      </c>
      <c r="V33">
        <f>+'VAL 26 - 09'!F28</f>
        <v>120</v>
      </c>
      <c r="W33">
        <f>+'VAL 02 - 10'!F28</f>
        <v>88</v>
      </c>
      <c r="X33">
        <f>+'VAL 09 - 10'!F28</f>
        <v>56</v>
      </c>
      <c r="Y33">
        <f>+'VL 13 - 10'!F28</f>
        <v>80</v>
      </c>
      <c r="Z33">
        <f>+'VAL 17 - 10'!F28</f>
        <v>120</v>
      </c>
      <c r="AA33">
        <f>+'VAL 20 - 10'!F28</f>
        <v>104</v>
      </c>
      <c r="AB33">
        <f>+'VAL C - 10'!F28</f>
        <v>0</v>
      </c>
      <c r="AC33">
        <f>+'VAL D - 10'!F28</f>
        <v>0</v>
      </c>
      <c r="AD33">
        <f>+'VAL F - 10'!F28</f>
        <v>0</v>
      </c>
      <c r="AH33" s="36" t="s">
        <v>12</v>
      </c>
      <c r="AI33" s="26">
        <v>0</v>
      </c>
      <c r="BH33" s="17"/>
      <c r="BI33" s="39"/>
    </row>
    <row r="34" spans="2:61" ht="15" thickBot="1" x14ac:dyDescent="0.4">
      <c r="B34" s="2" t="s">
        <v>29</v>
      </c>
      <c r="C34" s="2" t="s">
        <v>50</v>
      </c>
      <c r="D34" s="2">
        <v>8</v>
      </c>
      <c r="E34" s="2"/>
      <c r="F34" s="5"/>
      <c r="G34" s="5">
        <f>+D34*'VAL 24 - 07'!E29</f>
        <v>0</v>
      </c>
      <c r="H34" s="2">
        <f>+'VAL 30-07'!F29</f>
        <v>0</v>
      </c>
      <c r="I34" s="2">
        <f>+D34*'VAL 02- 08'!E29</f>
        <v>0</v>
      </c>
      <c r="J34" s="2">
        <f>+D34*'VAL 05-08'!E29</f>
        <v>0</v>
      </c>
      <c r="K34" s="1">
        <f>+D34*'VAL 07 -08'!E29</f>
        <v>0</v>
      </c>
      <c r="L34" s="2">
        <f>+'VAL 11-08'!F29</f>
        <v>0</v>
      </c>
      <c r="M34" s="5">
        <f>+D34*'VAL 15 - 08'!E29</f>
        <v>0</v>
      </c>
      <c r="N34" s="2">
        <f>+D34*'VAL 19- 08'!E29</f>
        <v>0</v>
      </c>
      <c r="O34" s="2">
        <f>+D34*'VAL 26  - 08'!E29</f>
        <v>0</v>
      </c>
      <c r="P34" s="2">
        <f>+D34*'VAL 03- 09'!E29</f>
        <v>0</v>
      </c>
      <c r="Q34">
        <f>+'VAL 04 - 09'!F29</f>
        <v>0</v>
      </c>
      <c r="R34">
        <f>+'VAL 11 - 09'!F29</f>
        <v>0</v>
      </c>
      <c r="S34">
        <f>+'VAL 15 - 09'!F29</f>
        <v>0</v>
      </c>
      <c r="T34">
        <f>+'VAL 18 - 09'!F29</f>
        <v>0</v>
      </c>
      <c r="U34">
        <f>+'VAL 22 -09'!F29</f>
        <v>0</v>
      </c>
      <c r="V34">
        <f>+'VAL 26 - 09'!F29</f>
        <v>0</v>
      </c>
      <c r="W34">
        <f>+'VAL 02 - 10'!F29</f>
        <v>0</v>
      </c>
      <c r="X34">
        <f>+'VAL 09 - 10'!F29</f>
        <v>0</v>
      </c>
      <c r="Y34">
        <f>+'VL 13 - 10'!F29</f>
        <v>0</v>
      </c>
      <c r="Z34">
        <f>+'VAL 17 - 10'!F29</f>
        <v>0</v>
      </c>
      <c r="AA34">
        <f>+'VAL 20 - 10'!F29</f>
        <v>0</v>
      </c>
      <c r="AB34">
        <f>+'VAL C - 10'!F29</f>
        <v>0</v>
      </c>
      <c r="AC34">
        <f>+'VAL D - 10'!F29</f>
        <v>0</v>
      </c>
      <c r="AD34">
        <f>+'VAL F - 10'!F29</f>
        <v>0</v>
      </c>
      <c r="AH34" s="36" t="s">
        <v>13</v>
      </c>
      <c r="AI34" s="26">
        <v>0</v>
      </c>
      <c r="BH34" s="17"/>
      <c r="BI34" s="39"/>
    </row>
    <row r="35" spans="2:61" ht="19" thickBot="1" x14ac:dyDescent="0.5">
      <c r="B35" s="12" t="s">
        <v>30</v>
      </c>
      <c r="C35" s="2"/>
      <c r="D35" s="2"/>
      <c r="E35" s="2"/>
      <c r="F35" s="5"/>
      <c r="G35" s="5">
        <f>+D35*'VAL 24 - 07'!E30</f>
        <v>0</v>
      </c>
      <c r="H35" s="10">
        <f t="shared" ref="H35:AD35" si="33">SUM(H36:H41)</f>
        <v>0</v>
      </c>
      <c r="I35" s="10">
        <f t="shared" si="33"/>
        <v>368</v>
      </c>
      <c r="J35" s="10">
        <f t="shared" si="33"/>
        <v>0</v>
      </c>
      <c r="K35" s="4">
        <f>SUM(K37:K41)</f>
        <v>528</v>
      </c>
      <c r="L35" s="10">
        <f t="shared" si="33"/>
        <v>1158</v>
      </c>
      <c r="M35" s="10">
        <f t="shared" si="33"/>
        <v>0</v>
      </c>
      <c r="N35" s="10">
        <f t="shared" si="33"/>
        <v>912</v>
      </c>
      <c r="O35" s="10">
        <f t="shared" si="33"/>
        <v>809</v>
      </c>
      <c r="P35" s="10">
        <f t="shared" si="33"/>
        <v>0</v>
      </c>
      <c r="Q35" s="10">
        <f t="shared" si="33"/>
        <v>0</v>
      </c>
      <c r="R35" s="10">
        <f t="shared" si="33"/>
        <v>1056</v>
      </c>
      <c r="S35" s="10">
        <f t="shared" si="33"/>
        <v>692</v>
      </c>
      <c r="T35" s="10">
        <f t="shared" si="33"/>
        <v>774</v>
      </c>
      <c r="U35" s="10">
        <f t="shared" si="33"/>
        <v>683</v>
      </c>
      <c r="V35" s="10">
        <f t="shared" si="33"/>
        <v>731</v>
      </c>
      <c r="W35" s="10">
        <f t="shared" si="33"/>
        <v>714</v>
      </c>
      <c r="X35" s="10">
        <f t="shared" si="33"/>
        <v>427</v>
      </c>
      <c r="Y35" s="10">
        <f>SUM(Y36:Y41)</f>
        <v>293</v>
      </c>
      <c r="Z35" s="10">
        <f t="shared" si="33"/>
        <v>545</v>
      </c>
      <c r="AA35" s="10">
        <f t="shared" si="33"/>
        <v>491</v>
      </c>
      <c r="AB35" s="10">
        <f t="shared" si="33"/>
        <v>0</v>
      </c>
      <c r="AC35" s="10">
        <f t="shared" si="33"/>
        <v>0</v>
      </c>
      <c r="AD35" s="10">
        <f t="shared" si="33"/>
        <v>0</v>
      </c>
      <c r="AH35" s="36" t="s">
        <v>14</v>
      </c>
      <c r="AI35" s="26">
        <v>0</v>
      </c>
      <c r="BH35" s="17"/>
      <c r="BI35" s="17"/>
    </row>
    <row r="36" spans="2:61" ht="17.5" thickBot="1" x14ac:dyDescent="0.45">
      <c r="B36" s="2" t="s">
        <v>32</v>
      </c>
      <c r="C36" s="2" t="s">
        <v>50</v>
      </c>
      <c r="D36" s="2">
        <v>5</v>
      </c>
      <c r="E36" s="2"/>
      <c r="F36" s="5"/>
      <c r="G36" s="5">
        <f>+D36*'VAL 24 - 07'!E31</f>
        <v>285</v>
      </c>
      <c r="H36" s="2">
        <f>+'VAL 30-07'!F31</f>
        <v>0</v>
      </c>
      <c r="I36" s="2">
        <f>+D36*'VAL 02- 08'!E31</f>
        <v>80</v>
      </c>
      <c r="J36" s="2">
        <f>+D36*'VAL 05-08'!E31</f>
        <v>0</v>
      </c>
      <c r="K36" s="1">
        <f>+D36*'VAL 07 -08'!E31</f>
        <v>300</v>
      </c>
      <c r="L36" s="2">
        <f>+'VAL 11-08'!F31</f>
        <v>390</v>
      </c>
      <c r="M36" s="5">
        <f>+D36*'VAL 15 - 08'!E31</f>
        <v>0</v>
      </c>
      <c r="N36" s="2">
        <f>+D36*'VAL 19- 08'!E31</f>
        <v>360</v>
      </c>
      <c r="O36" s="2">
        <f>+D36*'VAL 26  - 08'!E31</f>
        <v>185</v>
      </c>
      <c r="P36" s="2">
        <f>+D36*'VAL 03- 09'!E31</f>
        <v>0</v>
      </c>
      <c r="Q36">
        <f>+'VAL 04 - 09'!F31</f>
        <v>0</v>
      </c>
      <c r="R36">
        <f>+'VAL 11 - 09'!F31</f>
        <v>360</v>
      </c>
      <c r="S36">
        <f>+'VAL 15 - 09'!F31</f>
        <v>180</v>
      </c>
      <c r="T36">
        <f>+'VAL 18 - 09'!F31</f>
        <v>190</v>
      </c>
      <c r="U36">
        <f>+'VAL 22 -09'!F31</f>
        <v>195</v>
      </c>
      <c r="V36">
        <f>+'VAL 26 - 09'!F31</f>
        <v>195</v>
      </c>
      <c r="W36">
        <f>+'VAL 02 - 10'!F31</f>
        <v>250</v>
      </c>
      <c r="X36">
        <f>+'VAL 09 - 10'!F31</f>
        <v>155</v>
      </c>
      <c r="Y36">
        <f>+'VL 13 - 10'!F31</f>
        <v>85</v>
      </c>
      <c r="Z36">
        <f>+'VAL 17 - 10'!F31</f>
        <v>145</v>
      </c>
      <c r="AA36">
        <f>+'VAL 20 - 10'!F31</f>
        <v>195</v>
      </c>
      <c r="AB36">
        <f>+'VAL C - 10'!F31</f>
        <v>0</v>
      </c>
      <c r="AC36">
        <f>+'VAL D - 10'!F31</f>
        <v>0</v>
      </c>
      <c r="AD36">
        <f>+'VAL F - 10'!F31</f>
        <v>0</v>
      </c>
      <c r="AH36" s="36" t="s">
        <v>15</v>
      </c>
      <c r="AI36" s="26">
        <v>1</v>
      </c>
      <c r="BH36" s="41"/>
      <c r="BI36" s="40"/>
    </row>
    <row r="37" spans="2:61" ht="15" thickBot="1" x14ac:dyDescent="0.4">
      <c r="B37" s="2" t="s">
        <v>31</v>
      </c>
      <c r="C37" s="2" t="s">
        <v>50</v>
      </c>
      <c r="D37" s="2">
        <v>8</v>
      </c>
      <c r="E37" s="2"/>
      <c r="F37" s="5"/>
      <c r="G37" s="5">
        <f>+D37*'VAL 24 - 07'!E32</f>
        <v>232</v>
      </c>
      <c r="H37" s="2">
        <f>+'VAL 30-07'!F32</f>
        <v>0</v>
      </c>
      <c r="I37" s="2">
        <f>+D37*'VAL 02- 08'!E32</f>
        <v>240</v>
      </c>
      <c r="J37" s="2">
        <f>+D37*'VAL 05-08'!E32</f>
        <v>0</v>
      </c>
      <c r="K37" s="1">
        <f>+D37*'VAL 07 -08'!E32</f>
        <v>248</v>
      </c>
      <c r="L37" s="2">
        <f>+'VAL 11-08'!F32</f>
        <v>264</v>
      </c>
      <c r="M37" s="5">
        <f>+D37*'VAL 15 - 08'!E32</f>
        <v>0</v>
      </c>
      <c r="N37" s="2">
        <f>+D37*'VAL 19- 08'!E32</f>
        <v>320</v>
      </c>
      <c r="O37" s="2">
        <f>+D37*'VAL 26  - 08'!E32</f>
        <v>272</v>
      </c>
      <c r="P37" s="2">
        <f>+D37*'VAL 03- 09'!E32</f>
        <v>0</v>
      </c>
      <c r="Q37">
        <f>+'VAL 04 - 09'!F32</f>
        <v>0</v>
      </c>
      <c r="R37">
        <f>+'VAL 11 - 09'!F32</f>
        <v>288</v>
      </c>
      <c r="S37">
        <f>+'VAL 15 - 09'!F32</f>
        <v>176</v>
      </c>
      <c r="T37">
        <f>+'VAL 18 - 09'!F32</f>
        <v>232</v>
      </c>
      <c r="U37">
        <f>+'VAL 22 -09'!F32</f>
        <v>192</v>
      </c>
      <c r="V37">
        <f>+'VAL 26 - 09'!F32</f>
        <v>208</v>
      </c>
      <c r="W37">
        <f>+'VAL 02 - 10'!F32</f>
        <v>160</v>
      </c>
      <c r="X37">
        <f>+'VAL 09 - 10'!F32</f>
        <v>144</v>
      </c>
      <c r="Y37">
        <f>+'VL 13 - 10'!F32</f>
        <v>88</v>
      </c>
      <c r="Z37">
        <f>+'VAL 17 - 10'!F32</f>
        <v>192</v>
      </c>
      <c r="AA37">
        <f>+'VAL 20 - 10'!F32</f>
        <v>96</v>
      </c>
      <c r="AB37">
        <f>+'VAL C - 10'!F32</f>
        <v>0</v>
      </c>
      <c r="AC37">
        <f>+'VAL D - 10'!F32</f>
        <v>0</v>
      </c>
      <c r="AD37">
        <f>+'VAL F - 10'!F32</f>
        <v>0</v>
      </c>
      <c r="AH37" s="36" t="s">
        <v>16</v>
      </c>
      <c r="AI37" s="26">
        <v>0</v>
      </c>
      <c r="BH37" s="17"/>
      <c r="BI37" s="39"/>
    </row>
    <row r="38" spans="2:61" ht="15" thickBot="1" x14ac:dyDescent="0.4">
      <c r="B38" s="2" t="s">
        <v>33</v>
      </c>
      <c r="C38" s="2" t="s">
        <v>50</v>
      </c>
      <c r="D38" s="2">
        <v>8</v>
      </c>
      <c r="E38" s="2"/>
      <c r="F38" s="5"/>
      <c r="G38" s="5">
        <f>+D38*'VAL 24 - 07'!E33</f>
        <v>272</v>
      </c>
      <c r="H38" s="2">
        <f>+'VAL 30-07'!F33</f>
        <v>0</v>
      </c>
      <c r="I38" s="2">
        <f>+D38*'VAL 02- 08'!E33</f>
        <v>0</v>
      </c>
      <c r="J38" s="2">
        <f>+D38*'VAL 05-08'!E33</f>
        <v>0</v>
      </c>
      <c r="K38" s="1">
        <f>+D38*'VAL 07 -08'!E33</f>
        <v>128</v>
      </c>
      <c r="L38" s="2">
        <f>+'VAL 11-08'!F33</f>
        <v>232</v>
      </c>
      <c r="M38" s="5">
        <f>+D38*'VAL 15 - 08'!E33</f>
        <v>0</v>
      </c>
      <c r="N38" s="2">
        <f>+D38*'VAL 19- 08'!E33</f>
        <v>80</v>
      </c>
      <c r="O38" s="2">
        <f>+D38*'VAL 26  - 08'!E33</f>
        <v>128</v>
      </c>
      <c r="P38" s="2">
        <f>+D38*'VAL 03- 09'!E33</f>
        <v>0</v>
      </c>
      <c r="Q38">
        <f>+'VAL 04 - 09'!F33</f>
        <v>0</v>
      </c>
      <c r="R38">
        <f>+'VAL 11 - 09'!F33</f>
        <v>136</v>
      </c>
      <c r="S38">
        <f>+'VAL 15 - 09'!F33</f>
        <v>192</v>
      </c>
      <c r="T38">
        <f>+'VAL 18 - 09'!F33</f>
        <v>160</v>
      </c>
      <c r="U38">
        <f>+'VAL 22 -09'!F33</f>
        <v>120</v>
      </c>
      <c r="V38">
        <f>+'VAL 26 - 09'!F33</f>
        <v>128</v>
      </c>
      <c r="W38">
        <f>+'VAL 02 - 10'!F33</f>
        <v>160</v>
      </c>
      <c r="X38">
        <f>+'VAL 09 - 10'!F33</f>
        <v>48</v>
      </c>
      <c r="Y38">
        <f>+'VL 13 - 10'!F33</f>
        <v>56</v>
      </c>
      <c r="Z38">
        <f>+'VAL 17 - 10'!F33</f>
        <v>80</v>
      </c>
      <c r="AA38">
        <f>+'VAL 20 - 10'!F33</f>
        <v>48</v>
      </c>
      <c r="AB38">
        <f>+'VAL C - 10'!F33</f>
        <v>0</v>
      </c>
      <c r="AC38">
        <f>+'VAL D - 10'!F33</f>
        <v>0</v>
      </c>
      <c r="AD38">
        <f>+'VAL F - 10'!F33</f>
        <v>0</v>
      </c>
      <c r="AH38" s="36" t="s">
        <v>17</v>
      </c>
      <c r="AI38" s="26">
        <v>0</v>
      </c>
      <c r="BH38" s="17"/>
      <c r="BI38" s="39"/>
    </row>
    <row r="39" spans="2:61" ht="15" thickBot="1" x14ac:dyDescent="0.4">
      <c r="B39" s="2" t="s">
        <v>34</v>
      </c>
      <c r="C39" s="2" t="s">
        <v>50</v>
      </c>
      <c r="D39" s="2">
        <v>8</v>
      </c>
      <c r="E39" s="2"/>
      <c r="F39" s="5"/>
      <c r="G39" s="5">
        <f>+D39*'VAL 24 - 07'!E34</f>
        <v>0</v>
      </c>
      <c r="H39" s="2">
        <f>+'VAL 30-07'!F34</f>
        <v>0</v>
      </c>
      <c r="I39" s="2">
        <f>+D39*'VAL 02- 08'!E34</f>
        <v>0</v>
      </c>
      <c r="J39" s="2">
        <f>+D39*'VAL 05-08'!E34</f>
        <v>0</v>
      </c>
      <c r="K39" s="1">
        <f>+D39*'VAL 07 -08'!E34</f>
        <v>56</v>
      </c>
      <c r="L39" s="2">
        <f>+'VAL 11-08'!F34</f>
        <v>64</v>
      </c>
      <c r="M39" s="5">
        <f>+D39*'VAL 15 - 08'!E34</f>
        <v>0</v>
      </c>
      <c r="N39" s="2">
        <f>+D39*'VAL 19- 08'!E34</f>
        <v>64</v>
      </c>
      <c r="O39" s="2">
        <f>+D39*'VAL 26  - 08'!E34</f>
        <v>64</v>
      </c>
      <c r="P39" s="2">
        <f>+D39*'VAL 03- 09'!E34</f>
        <v>0</v>
      </c>
      <c r="Q39">
        <f>+'VAL 04 - 09'!F34</f>
        <v>0</v>
      </c>
      <c r="R39">
        <f>+'VAL 11 - 09'!F34</f>
        <v>96</v>
      </c>
      <c r="S39">
        <f>+'VAL 15 - 09'!F34</f>
        <v>40</v>
      </c>
      <c r="T39">
        <f>+'VAL 18 - 09'!F34</f>
        <v>56</v>
      </c>
      <c r="U39">
        <f>+'VAL 22 -09'!F34</f>
        <v>32</v>
      </c>
      <c r="V39">
        <f>+'VAL 26 - 09'!F34</f>
        <v>80</v>
      </c>
      <c r="W39">
        <f>+'VAL 02 - 10'!F34</f>
        <v>72</v>
      </c>
      <c r="X39">
        <f>+'VAL 09 - 10'!F34</f>
        <v>32</v>
      </c>
      <c r="Y39">
        <f>+'VL 13 - 10'!F34</f>
        <v>24</v>
      </c>
      <c r="Z39">
        <f>+'VAL 17 - 10'!F34</f>
        <v>40</v>
      </c>
      <c r="AA39">
        <f>+'VAL 20 - 10'!F34</f>
        <v>48</v>
      </c>
      <c r="AB39">
        <f>+'VAL C - 10'!F34</f>
        <v>0</v>
      </c>
      <c r="AC39">
        <f>+'VAL D - 10'!F34</f>
        <v>0</v>
      </c>
      <c r="AD39">
        <f>+'VAL F - 10'!F34</f>
        <v>0</v>
      </c>
      <c r="AH39" s="36" t="s">
        <v>18</v>
      </c>
      <c r="AI39" s="26">
        <v>19</v>
      </c>
      <c r="BH39" s="17"/>
      <c r="BI39" s="39"/>
    </row>
    <row r="40" spans="2:61" ht="15" thickBot="1" x14ac:dyDescent="0.4">
      <c r="B40" s="2" t="s">
        <v>155</v>
      </c>
      <c r="C40" s="2" t="s">
        <v>50</v>
      </c>
      <c r="D40" s="2">
        <v>8</v>
      </c>
      <c r="E40" s="2"/>
      <c r="F40" s="5"/>
      <c r="G40" s="5"/>
      <c r="H40" s="2"/>
      <c r="I40" s="2"/>
      <c r="J40" s="2"/>
      <c r="K40" s="1"/>
      <c r="L40" s="2"/>
      <c r="M40" s="5"/>
      <c r="N40" s="2"/>
      <c r="O40" s="2"/>
      <c r="P40" s="2"/>
      <c r="S40">
        <f>+'VAL 15 - 09'!F35</f>
        <v>8</v>
      </c>
      <c r="T40">
        <f>+'VAL 18 - 09'!E35</f>
        <v>0</v>
      </c>
      <c r="U40">
        <f>+'VAL 22 -09'!F35</f>
        <v>8</v>
      </c>
      <c r="V40">
        <f>+'VAL 26 - 09'!F35</f>
        <v>8</v>
      </c>
      <c r="W40">
        <f>+'VAL 02 - 10'!F35</f>
        <v>8</v>
      </c>
      <c r="X40">
        <f>+'VAL 09 - 10'!F35</f>
        <v>0</v>
      </c>
      <c r="Y40">
        <f>+'VL 13 - 10'!F35</f>
        <v>8</v>
      </c>
      <c r="Z40">
        <f>+'VAL 17 - 10'!F35</f>
        <v>0</v>
      </c>
      <c r="AA40">
        <f>+'VAL 20 - 10'!F35</f>
        <v>0</v>
      </c>
      <c r="AB40">
        <f>+'VAL C - 10'!F35</f>
        <v>0</v>
      </c>
      <c r="AC40">
        <f>+'VAL D - 10'!F35</f>
        <v>0</v>
      </c>
      <c r="AD40">
        <f>+'VAL F - 10'!F35</f>
        <v>0</v>
      </c>
      <c r="AH40" s="36" t="s">
        <v>19</v>
      </c>
      <c r="AI40" s="26">
        <v>0</v>
      </c>
      <c r="BH40" s="17"/>
      <c r="BI40" s="39"/>
    </row>
    <row r="41" spans="2:61" ht="15" thickBot="1" x14ac:dyDescent="0.4">
      <c r="B41" s="2" t="s">
        <v>35</v>
      </c>
      <c r="C41" s="2" t="s">
        <v>50</v>
      </c>
      <c r="D41" s="2">
        <v>8</v>
      </c>
      <c r="E41" s="2"/>
      <c r="F41" s="5"/>
      <c r="G41" s="5">
        <f>+D41*'VAL 24 - 07'!E35</f>
        <v>136</v>
      </c>
      <c r="H41" s="2">
        <f>+'VAL 30-07'!F35</f>
        <v>0</v>
      </c>
      <c r="I41" s="2">
        <f>+D41*'VAL 02- 08'!E35</f>
        <v>48</v>
      </c>
      <c r="J41" s="2">
        <f>+D41*'VAL 05-08'!E35</f>
        <v>0</v>
      </c>
      <c r="K41" s="1">
        <f>+D41*'VAL 07 -08'!E35</f>
        <v>96</v>
      </c>
      <c r="L41" s="2">
        <f>+'VAL 11-08'!F35</f>
        <v>208</v>
      </c>
      <c r="M41" s="5">
        <f>+D41*'VAL 15 - 08'!E35</f>
        <v>0</v>
      </c>
      <c r="N41" s="2">
        <f>+D41*'VAL 19- 08'!E35</f>
        <v>88</v>
      </c>
      <c r="O41" s="2">
        <f>+D41*'VAL 26  - 08'!E35</f>
        <v>160</v>
      </c>
      <c r="P41" s="2">
        <f>+D41*'VAL 03- 09'!E35</f>
        <v>0</v>
      </c>
      <c r="Q41">
        <f>+'VAL 04 - 09'!F35</f>
        <v>0</v>
      </c>
      <c r="R41">
        <f>+'VAL 11 - 09'!F35</f>
        <v>176</v>
      </c>
      <c r="S41">
        <f>+'VAL 15 - 09'!F36</f>
        <v>96</v>
      </c>
      <c r="T41">
        <f>+'VAL 18 - 09'!F36</f>
        <v>136</v>
      </c>
      <c r="U41">
        <f>+'VAL 22 -09'!F36</f>
        <v>136</v>
      </c>
      <c r="V41">
        <f>+'VAL 26 - 09'!F36</f>
        <v>112</v>
      </c>
      <c r="W41">
        <f>+'VAL 02 - 10'!F36</f>
        <v>64</v>
      </c>
      <c r="X41">
        <f>+'VAL 09 - 10'!F36</f>
        <v>48</v>
      </c>
      <c r="Y41">
        <f>+'VL 13 - 10'!F36</f>
        <v>32</v>
      </c>
      <c r="Z41">
        <f>+'VAL 17 - 10'!F36</f>
        <v>88</v>
      </c>
      <c r="AA41">
        <f>+'VAL 20 - 10'!F36</f>
        <v>104</v>
      </c>
      <c r="AB41">
        <f>+'VAL C - 10'!F36</f>
        <v>0</v>
      </c>
      <c r="AC41">
        <f>+'VAL D - 10'!F36</f>
        <v>0</v>
      </c>
      <c r="AD41">
        <f>+'VAL F - 10'!F36</f>
        <v>0</v>
      </c>
      <c r="AH41" s="36" t="s">
        <v>20</v>
      </c>
      <c r="AI41" s="26">
        <v>0</v>
      </c>
      <c r="BH41" s="17"/>
      <c r="BI41" s="39"/>
    </row>
    <row r="42" spans="2:61" ht="19" thickBot="1" x14ac:dyDescent="0.5">
      <c r="B42" s="12" t="s">
        <v>36</v>
      </c>
      <c r="C42" s="2"/>
      <c r="D42" s="2"/>
      <c r="E42" s="2"/>
      <c r="F42" s="5"/>
      <c r="G42" s="5">
        <f>+D42*'VAL 24 - 07'!E36</f>
        <v>0</v>
      </c>
      <c r="H42" s="10">
        <f t="shared" ref="H42:Q42" si="34">SUM(H43:H48)</f>
        <v>0</v>
      </c>
      <c r="I42" s="10">
        <f t="shared" si="34"/>
        <v>0</v>
      </c>
      <c r="J42" s="10">
        <f t="shared" si="34"/>
        <v>680</v>
      </c>
      <c r="K42" s="4">
        <f>SUM(K43:K48)</f>
        <v>448</v>
      </c>
      <c r="L42" s="10">
        <f t="shared" si="34"/>
        <v>528</v>
      </c>
      <c r="M42" s="10">
        <f t="shared" si="34"/>
        <v>360</v>
      </c>
      <c r="N42" s="10">
        <f t="shared" si="34"/>
        <v>0</v>
      </c>
      <c r="O42" s="10">
        <f t="shared" si="34"/>
        <v>176</v>
      </c>
      <c r="P42" s="10">
        <f t="shared" si="34"/>
        <v>0</v>
      </c>
      <c r="Q42" s="10">
        <f t="shared" si="34"/>
        <v>0</v>
      </c>
      <c r="R42" s="13">
        <f>SUM(R43:R48)</f>
        <v>384</v>
      </c>
      <c r="S42" s="13">
        <f>SUM(S43:S48)</f>
        <v>304</v>
      </c>
      <c r="T42" s="13">
        <f t="shared" ref="T42:AD42" si="35">SUM(T43:T48)</f>
        <v>280</v>
      </c>
      <c r="U42" s="13">
        <f t="shared" si="35"/>
        <v>288</v>
      </c>
      <c r="V42" s="13">
        <f t="shared" si="35"/>
        <v>304</v>
      </c>
      <c r="W42" s="13">
        <f t="shared" si="35"/>
        <v>272</v>
      </c>
      <c r="X42" s="13">
        <f t="shared" si="35"/>
        <v>192</v>
      </c>
      <c r="Y42" s="13">
        <f t="shared" si="35"/>
        <v>152</v>
      </c>
      <c r="Z42" s="13">
        <f t="shared" si="35"/>
        <v>224</v>
      </c>
      <c r="AA42" s="13">
        <f t="shared" si="35"/>
        <v>112</v>
      </c>
      <c r="AB42" s="13">
        <f t="shared" si="35"/>
        <v>0</v>
      </c>
      <c r="AC42" s="13">
        <f t="shared" si="35"/>
        <v>0</v>
      </c>
      <c r="AD42" s="13">
        <f t="shared" si="35"/>
        <v>0</v>
      </c>
      <c r="AH42" s="36" t="s">
        <v>21</v>
      </c>
      <c r="AI42" s="26">
        <v>0</v>
      </c>
      <c r="BH42" s="17"/>
      <c r="BI42" s="39"/>
    </row>
    <row r="43" spans="2:61" ht="17.5" thickBot="1" x14ac:dyDescent="0.45">
      <c r="B43" s="2" t="s">
        <v>37</v>
      </c>
      <c r="C43" s="2" t="s">
        <v>50</v>
      </c>
      <c r="D43" s="2">
        <v>8</v>
      </c>
      <c r="E43" s="2"/>
      <c r="F43" s="5"/>
      <c r="G43" s="5">
        <f>+D43*'VAL 24 - 07'!E37</f>
        <v>0</v>
      </c>
      <c r="H43" s="2">
        <f>+'VAL 30-07'!F37</f>
        <v>0</v>
      </c>
      <c r="I43" s="2">
        <f>+D43*'VAL 02- 08'!E37</f>
        <v>0</v>
      </c>
      <c r="J43" s="2">
        <f>+D43*'VAL 05-08'!E37</f>
        <v>0</v>
      </c>
      <c r="K43" s="1">
        <f>+D43*'VAL 07 -08'!E37</f>
        <v>0</v>
      </c>
      <c r="L43" s="2">
        <f>+'VAL 11-08'!F37</f>
        <v>0</v>
      </c>
      <c r="M43" s="5">
        <f>+D43*'VAL 15 - 08'!E37</f>
        <v>0</v>
      </c>
      <c r="N43" s="2">
        <f>+D43*'VAL 19- 08'!E37</f>
        <v>0</v>
      </c>
      <c r="O43" s="2">
        <f>+D43*'VAL 26  - 08'!E37</f>
        <v>0</v>
      </c>
      <c r="P43" s="2">
        <f>+D43*'VAL 03- 09'!E37</f>
        <v>0</v>
      </c>
      <c r="Q43">
        <f>+'VAL 04 - 09'!F37</f>
        <v>0</v>
      </c>
      <c r="R43">
        <f>+'VAL 11 - 09'!F37</f>
        <v>0</v>
      </c>
      <c r="S43">
        <f>+'VAL 15 - 09'!F38</f>
        <v>0</v>
      </c>
      <c r="T43">
        <f>+'VAL 18 - 09'!F38</f>
        <v>0</v>
      </c>
      <c r="U43">
        <f>+'VAL 22 -09'!F38</f>
        <v>0</v>
      </c>
      <c r="V43">
        <f>+'VAL 26 - 09'!F38</f>
        <v>0</v>
      </c>
      <c r="W43">
        <f>+'VAL 02 - 10'!F38</f>
        <v>0</v>
      </c>
      <c r="X43">
        <f>+'VAL 09 - 10'!F38</f>
        <v>0</v>
      </c>
      <c r="Y43">
        <f>+'VL 13 - 10'!F38</f>
        <v>0</v>
      </c>
      <c r="Z43">
        <f>+'VAL 17 - 10'!F38</f>
        <v>0</v>
      </c>
      <c r="AA43">
        <f>+'VAL 20 - 10'!F38</f>
        <v>0</v>
      </c>
      <c r="AB43">
        <f>+'VAL C - 10'!F38</f>
        <v>0</v>
      </c>
      <c r="AC43">
        <f>+'VAL D - 10'!F38</f>
        <v>0</v>
      </c>
      <c r="AD43">
        <f>+'VAL F - 10'!F38</f>
        <v>0</v>
      </c>
      <c r="AH43" s="35" t="s">
        <v>22</v>
      </c>
      <c r="AI43" s="24">
        <v>70</v>
      </c>
      <c r="BH43" s="17"/>
      <c r="BI43" s="39"/>
    </row>
    <row r="44" spans="2:61" ht="17.5" thickBot="1" x14ac:dyDescent="0.45">
      <c r="B44" s="2" t="s">
        <v>38</v>
      </c>
      <c r="C44" s="2" t="s">
        <v>50</v>
      </c>
      <c r="D44" s="2">
        <v>8</v>
      </c>
      <c r="E44" s="2"/>
      <c r="F44" s="5"/>
      <c r="G44" s="5">
        <f>+D44*'VAL 24 - 07'!E38</f>
        <v>0</v>
      </c>
      <c r="H44" s="2">
        <f>+'VAL 30-07'!F38</f>
        <v>0</v>
      </c>
      <c r="I44" s="2">
        <f>+D44*'VAL 02- 08'!E38</f>
        <v>0</v>
      </c>
      <c r="J44" s="2">
        <f>+D44*'VAL 05-08'!E38</f>
        <v>0</v>
      </c>
      <c r="K44" s="1">
        <f>+D44*'VAL 07 -08'!E38</f>
        <v>0</v>
      </c>
      <c r="L44" s="2">
        <f>+'VAL 11-08'!F38</f>
        <v>0</v>
      </c>
      <c r="M44" s="5">
        <f>+D44*'VAL 15 - 08'!E38</f>
        <v>0</v>
      </c>
      <c r="N44" s="2">
        <f>+D44*'VAL 19- 08'!E38</f>
        <v>0</v>
      </c>
      <c r="O44" s="2">
        <f>+D44*'VAL 26  - 08'!E38</f>
        <v>0</v>
      </c>
      <c r="P44" s="2">
        <f>+D44*'VAL 03- 09'!E38</f>
        <v>0</v>
      </c>
      <c r="Q44">
        <f>+'VAL 04 - 09'!F38</f>
        <v>0</v>
      </c>
      <c r="R44">
        <f>+'VAL 11 - 09'!F38</f>
        <v>0</v>
      </c>
      <c r="S44">
        <f>+'VAL 15 - 09'!F39</f>
        <v>112</v>
      </c>
      <c r="T44">
        <f>+'VAL 18 - 09'!F39</f>
        <v>0</v>
      </c>
      <c r="U44">
        <f>+'VAL 22 -09'!F39</f>
        <v>0</v>
      </c>
      <c r="V44">
        <f>+'VAL 26 - 09'!F39</f>
        <v>0</v>
      </c>
      <c r="W44">
        <f>+'VAL 02 - 10'!F39</f>
        <v>0</v>
      </c>
      <c r="X44">
        <f>+'VAL 09 - 10'!F39</f>
        <v>0</v>
      </c>
      <c r="Y44">
        <f>+'VL 13 - 10'!F39</f>
        <v>0</v>
      </c>
      <c r="Z44">
        <f>+'VAL 17 - 10'!F39</f>
        <v>0</v>
      </c>
      <c r="AA44">
        <f>+'VAL 20 - 10'!F39</f>
        <v>0</v>
      </c>
      <c r="AB44">
        <f>+'VAL C - 10'!F39</f>
        <v>0</v>
      </c>
      <c r="AC44">
        <f>+'VAL D - 10'!F39</f>
        <v>0</v>
      </c>
      <c r="AD44">
        <f>+'VAL F - 10'!F39</f>
        <v>0</v>
      </c>
      <c r="AH44" s="36" t="s">
        <v>23</v>
      </c>
      <c r="AI44" s="26">
        <v>0</v>
      </c>
      <c r="BH44" s="41"/>
      <c r="BI44" s="40"/>
    </row>
    <row r="45" spans="2:61" ht="15" thickBot="1" x14ac:dyDescent="0.4">
      <c r="B45" s="2" t="s">
        <v>39</v>
      </c>
      <c r="C45" s="2" t="s">
        <v>50</v>
      </c>
      <c r="D45" s="2">
        <v>8</v>
      </c>
      <c r="E45" s="2"/>
      <c r="F45" s="5"/>
      <c r="G45" s="5">
        <f>+D45*'VAL 24 - 07'!E39</f>
        <v>424</v>
      </c>
      <c r="H45" s="2">
        <f>+'VAL 30-07'!F39</f>
        <v>0</v>
      </c>
      <c r="I45" s="2">
        <f>+D45*'VAL 02- 08'!E39</f>
        <v>0</v>
      </c>
      <c r="J45" s="2">
        <f>+D45*'VAL 05-08'!E39</f>
        <v>96</v>
      </c>
      <c r="K45" s="1">
        <f>+D45*'VAL 07 -08'!E39</f>
        <v>80</v>
      </c>
      <c r="L45" s="2">
        <f>+'VAL 11-08'!F39</f>
        <v>88</v>
      </c>
      <c r="M45" s="5">
        <f>+D45*'VAL 15 - 08'!E39</f>
        <v>88</v>
      </c>
      <c r="N45" s="2">
        <f>+D45*'VAL 19- 08'!E39</f>
        <v>0</v>
      </c>
      <c r="O45" s="2">
        <f>+D45*'VAL 26  - 08'!E39</f>
        <v>0</v>
      </c>
      <c r="P45" s="2">
        <f>+D45*'VAL 03- 09'!E39</f>
        <v>0</v>
      </c>
      <c r="Q45">
        <f>+'VAL 04 - 09'!F39</f>
        <v>0</v>
      </c>
      <c r="R45">
        <f>+'VAL 11 - 09'!F39</f>
        <v>88</v>
      </c>
      <c r="S45">
        <f>+'VAL 15 - 09'!F40</f>
        <v>128</v>
      </c>
      <c r="T45">
        <f>+'VAL 18 - 09'!F40</f>
        <v>40</v>
      </c>
      <c r="U45">
        <f>+'VAL 22 -09'!F40</f>
        <v>48</v>
      </c>
      <c r="V45">
        <f>+'VAL 26 - 09'!F40</f>
        <v>40</v>
      </c>
      <c r="W45">
        <f>+'VAL 02 - 10'!F40</f>
        <v>56</v>
      </c>
      <c r="X45">
        <f>+'VAL 09 - 10'!F40</f>
        <v>32</v>
      </c>
      <c r="Y45">
        <f>+'VL 13 - 10'!F40</f>
        <v>16</v>
      </c>
      <c r="Z45">
        <f>+'VAL 17 - 10'!F40</f>
        <v>24</v>
      </c>
      <c r="AA45">
        <f>+'VAL 20 - 10'!F40</f>
        <v>24</v>
      </c>
      <c r="AB45">
        <f>+'VAL C - 10'!F40</f>
        <v>0</v>
      </c>
      <c r="AC45">
        <f>+'VAL D - 10'!F40</f>
        <v>0</v>
      </c>
      <c r="AD45">
        <f>+'VAL F - 10'!F40</f>
        <v>0</v>
      </c>
      <c r="AH45" s="36" t="s">
        <v>24</v>
      </c>
      <c r="AI45" s="26">
        <v>0</v>
      </c>
      <c r="BH45" s="17"/>
      <c r="BI45" s="39"/>
    </row>
    <row r="46" spans="2:61" ht="15" thickBot="1" x14ac:dyDescent="0.4">
      <c r="B46" s="2" t="s">
        <v>40</v>
      </c>
      <c r="C46" s="2" t="s">
        <v>50</v>
      </c>
      <c r="D46" s="2">
        <v>8</v>
      </c>
      <c r="E46" s="2"/>
      <c r="F46" s="5"/>
      <c r="G46" s="5">
        <f>+D46*'VAL 24 - 07'!E40</f>
        <v>0</v>
      </c>
      <c r="H46" s="2">
        <f>+'VAL 30-07'!F40</f>
        <v>0</v>
      </c>
      <c r="I46" s="2">
        <f>+D46*'VAL 02- 08'!E40</f>
        <v>0</v>
      </c>
      <c r="J46" s="2">
        <f>+D46*'VAL 05-08'!E40</f>
        <v>288</v>
      </c>
      <c r="K46" s="1">
        <f>+D46*'VAL 07 -08'!E40</f>
        <v>200</v>
      </c>
      <c r="L46" s="2">
        <f>+'VAL 11-08'!F40</f>
        <v>272</v>
      </c>
      <c r="M46" s="5">
        <f>+D46*'VAL 15 - 08'!E40</f>
        <v>152</v>
      </c>
      <c r="N46" s="2">
        <f>+D46*'VAL 19- 08'!E40</f>
        <v>0</v>
      </c>
      <c r="O46" s="2">
        <f>+D46*'VAL 26  - 08'!E40</f>
        <v>152</v>
      </c>
      <c r="P46" s="2">
        <f>+D46*'VAL 03- 09'!E40</f>
        <v>0</v>
      </c>
      <c r="Q46">
        <f>+'VAL 04 - 09'!F40</f>
        <v>0</v>
      </c>
      <c r="R46">
        <f>+'VAL 11 - 09'!F40</f>
        <v>152</v>
      </c>
      <c r="S46">
        <f>+'VAL 15 - 09'!F41</f>
        <v>32</v>
      </c>
      <c r="T46">
        <f>+'VAL 18 - 09'!F41</f>
        <v>144</v>
      </c>
      <c r="U46">
        <f>+'VAL 22 -09'!F41</f>
        <v>152</v>
      </c>
      <c r="V46">
        <f>+'VAL 26 - 09'!F41</f>
        <v>160</v>
      </c>
      <c r="W46">
        <f>+'VAL 02 - 10'!F41</f>
        <v>112</v>
      </c>
      <c r="X46">
        <f>+'VAL 09 - 10'!F41</f>
        <v>104</v>
      </c>
      <c r="Y46">
        <f>+'VL 13 - 10'!F41</f>
        <v>88</v>
      </c>
      <c r="Z46">
        <f>+'VAL 17 - 10'!F41</f>
        <v>64</v>
      </c>
      <c r="AA46">
        <f>+'VAL 20 - 10'!F41</f>
        <v>40</v>
      </c>
      <c r="AB46">
        <f>+'VAL C - 10'!F41</f>
        <v>0</v>
      </c>
      <c r="AC46">
        <f>+'VAL D - 10'!F41</f>
        <v>0</v>
      </c>
      <c r="AD46">
        <f>+'VAL F - 10'!F41</f>
        <v>0</v>
      </c>
      <c r="AH46" s="36" t="s">
        <v>25</v>
      </c>
      <c r="AI46" s="26">
        <v>0</v>
      </c>
      <c r="BH46" s="17"/>
      <c r="BI46" s="39"/>
    </row>
    <row r="47" spans="2:61" ht="15" thickBot="1" x14ac:dyDescent="0.4">
      <c r="B47" s="2" t="s">
        <v>41</v>
      </c>
      <c r="C47" s="2" t="s">
        <v>50</v>
      </c>
      <c r="D47" s="2">
        <v>8</v>
      </c>
      <c r="E47" s="2"/>
      <c r="F47" s="5"/>
      <c r="G47" s="5">
        <f>+D47*'VAL 24 - 07'!E41</f>
        <v>0</v>
      </c>
      <c r="H47" s="2">
        <f>+'VAL 30-07'!F41</f>
        <v>0</v>
      </c>
      <c r="I47" s="2">
        <f>+D47*'VAL 02- 08'!E41</f>
        <v>0</v>
      </c>
      <c r="J47" s="2">
        <f>+D47*'VAL 05-08'!E41</f>
        <v>112</v>
      </c>
      <c r="K47" s="1">
        <f>+D47*'VAL 07 -08'!E41</f>
        <v>88</v>
      </c>
      <c r="L47" s="2">
        <f>+'VAL 11-08'!F41</f>
        <v>32</v>
      </c>
      <c r="M47" s="5">
        <f>+D47*'VAL 15 - 08'!E41</f>
        <v>40</v>
      </c>
      <c r="N47" s="2">
        <f>+D47*'VAL 19- 08'!E41</f>
        <v>0</v>
      </c>
      <c r="O47" s="2">
        <f>+D47*'VAL 26  - 08'!E41</f>
        <v>8</v>
      </c>
      <c r="P47" s="2">
        <f>+D47*'VAL 03- 09'!E41</f>
        <v>0</v>
      </c>
      <c r="Q47">
        <f>+'VAL 04 - 09'!F41</f>
        <v>0</v>
      </c>
      <c r="R47">
        <f>+'VAL 11 - 09'!F41</f>
        <v>40</v>
      </c>
      <c r="S47">
        <f>+'VAL 15 - 09'!F42</f>
        <v>32</v>
      </c>
      <c r="T47">
        <f>+'VAL 18 - 09'!F42</f>
        <v>24</v>
      </c>
      <c r="U47">
        <f>+'VAL 22 -09'!F42</f>
        <v>8</v>
      </c>
      <c r="V47">
        <f>+'VAL 26 - 09'!F42</f>
        <v>72</v>
      </c>
      <c r="W47">
        <f>+'VAL 02 - 10'!F42</f>
        <v>40</v>
      </c>
      <c r="X47">
        <f>+'VAL 09 - 10'!F42</f>
        <v>24</v>
      </c>
      <c r="Y47">
        <f>+'VL 13 - 10'!F42</f>
        <v>16</v>
      </c>
      <c r="Z47">
        <f>+'VAL 17 - 10'!F42</f>
        <v>0</v>
      </c>
      <c r="AA47">
        <f>+'VAL 20 - 10'!F42</f>
        <v>16</v>
      </c>
      <c r="AB47">
        <f>+'VAL C - 10'!F42</f>
        <v>0</v>
      </c>
      <c r="AC47">
        <f>+'VAL D - 10'!F42</f>
        <v>0</v>
      </c>
      <c r="AD47">
        <f>+'VAL F - 10'!F42</f>
        <v>0</v>
      </c>
      <c r="AH47" s="36" t="s">
        <v>26</v>
      </c>
      <c r="AI47" s="26">
        <v>18</v>
      </c>
      <c r="BH47" s="17"/>
      <c r="BI47" s="39"/>
    </row>
    <row r="48" spans="2:61" ht="15" thickBot="1" x14ac:dyDescent="0.4">
      <c r="B48" s="2" t="s">
        <v>42</v>
      </c>
      <c r="C48" s="2" t="s">
        <v>50</v>
      </c>
      <c r="D48" s="2">
        <v>8</v>
      </c>
      <c r="E48" s="2"/>
      <c r="F48" s="5"/>
      <c r="G48" s="5">
        <f>+D48*'VAL 24 - 07'!E42</f>
        <v>0</v>
      </c>
      <c r="H48" s="2">
        <f>+'VAL 30-07'!F42</f>
        <v>0</v>
      </c>
      <c r="I48" s="2">
        <f>+D48*'VAL 02- 08'!E42</f>
        <v>0</v>
      </c>
      <c r="J48" s="2">
        <f>+D48*'VAL 05-08'!E42</f>
        <v>184</v>
      </c>
      <c r="K48" s="1">
        <f>+D48*'VAL 07 -08'!E42</f>
        <v>80</v>
      </c>
      <c r="L48" s="2">
        <f>+'VAL 11-08'!F42</f>
        <v>136</v>
      </c>
      <c r="M48" s="5">
        <f>+D48*'VAL 15 - 08'!E42</f>
        <v>80</v>
      </c>
      <c r="N48" s="2">
        <f>+D48*'VAL 19- 08'!E42</f>
        <v>0</v>
      </c>
      <c r="O48" s="2">
        <f>+D48*'VAL 26  - 08'!E42</f>
        <v>16</v>
      </c>
      <c r="P48" s="2">
        <f>+D48*'VAL 03- 09'!E42</f>
        <v>0</v>
      </c>
      <c r="Q48">
        <f>+'VAL 04 - 09'!F42</f>
        <v>0</v>
      </c>
      <c r="R48">
        <f>+'VAL 11 - 09'!F42</f>
        <v>104</v>
      </c>
      <c r="S48">
        <f>+'VAL 15 - 09'!F43</f>
        <v>0</v>
      </c>
      <c r="T48">
        <f>+'VAL 18 - 09'!F43</f>
        <v>72</v>
      </c>
      <c r="U48">
        <f>+'VAL 22 -09'!F43</f>
        <v>80</v>
      </c>
      <c r="V48">
        <f>+'VAL 26 - 09'!F43</f>
        <v>32</v>
      </c>
      <c r="W48">
        <f>+'VAL 02 - 10'!F43</f>
        <v>64</v>
      </c>
      <c r="X48">
        <f>+'VAL 09 - 10'!F43</f>
        <v>32</v>
      </c>
      <c r="Y48">
        <f>+'VL 13 - 10'!F43</f>
        <v>32</v>
      </c>
      <c r="Z48">
        <f>+'VAL 17 - 10'!F43</f>
        <v>136</v>
      </c>
      <c r="AA48">
        <f>+'VAL 20 - 10'!F43</f>
        <v>32</v>
      </c>
      <c r="AB48">
        <f>+'VAL C - 10'!F43</f>
        <v>0</v>
      </c>
      <c r="AC48">
        <f>+'VAL D - 10'!F43</f>
        <v>0</v>
      </c>
      <c r="AD48">
        <f>+'VAL F - 10'!F43</f>
        <v>0</v>
      </c>
      <c r="AH48" s="36" t="s">
        <v>27</v>
      </c>
      <c r="AI48" s="26">
        <v>38</v>
      </c>
      <c r="BH48" s="17"/>
      <c r="BI48" s="39"/>
    </row>
    <row r="49" spans="2:61" ht="19" thickBot="1" x14ac:dyDescent="0.5">
      <c r="B49" s="12" t="s">
        <v>43</v>
      </c>
      <c r="C49" s="2"/>
      <c r="D49" s="2"/>
      <c r="E49" s="2"/>
      <c r="F49" s="5"/>
      <c r="G49" s="5">
        <f>+D49*'VAL 24 - 07'!E43</f>
        <v>0</v>
      </c>
      <c r="H49" s="10">
        <f t="shared" ref="H49:AD49" si="36">SUM(H50:H54)</f>
        <v>904</v>
      </c>
      <c r="I49" s="10">
        <f t="shared" si="36"/>
        <v>0</v>
      </c>
      <c r="J49" s="10">
        <f t="shared" si="36"/>
        <v>1496</v>
      </c>
      <c r="K49" s="4">
        <f>SUM(K50:K54)</f>
        <v>24</v>
      </c>
      <c r="L49" s="10">
        <f t="shared" si="36"/>
        <v>1080</v>
      </c>
      <c r="M49" s="10">
        <f t="shared" si="36"/>
        <v>0</v>
      </c>
      <c r="N49" s="10">
        <f t="shared" si="36"/>
        <v>1368</v>
      </c>
      <c r="O49" s="10">
        <f t="shared" si="36"/>
        <v>544</v>
      </c>
      <c r="P49" s="10">
        <f t="shared" si="36"/>
        <v>744</v>
      </c>
      <c r="Q49" s="10">
        <f t="shared" si="36"/>
        <v>864</v>
      </c>
      <c r="R49" s="10">
        <f t="shared" si="36"/>
        <v>1048</v>
      </c>
      <c r="S49" s="10">
        <f t="shared" si="36"/>
        <v>0</v>
      </c>
      <c r="T49" s="10">
        <f t="shared" si="36"/>
        <v>632</v>
      </c>
      <c r="U49" s="10">
        <f t="shared" si="36"/>
        <v>776</v>
      </c>
      <c r="V49" s="10">
        <f t="shared" si="36"/>
        <v>744</v>
      </c>
      <c r="W49" s="10">
        <f t="shared" si="36"/>
        <v>752</v>
      </c>
      <c r="X49" s="10">
        <f t="shared" si="36"/>
        <v>408</v>
      </c>
      <c r="Y49" s="10">
        <f>SUM(Y50:Y54)</f>
        <v>472</v>
      </c>
      <c r="Z49" s="10">
        <f t="shared" si="36"/>
        <v>576</v>
      </c>
      <c r="AA49" s="10">
        <f t="shared" si="36"/>
        <v>496</v>
      </c>
      <c r="AB49" s="10">
        <f t="shared" si="36"/>
        <v>0</v>
      </c>
      <c r="AC49" s="10">
        <f t="shared" si="36"/>
        <v>0</v>
      </c>
      <c r="AD49" s="10">
        <f t="shared" si="36"/>
        <v>0</v>
      </c>
      <c r="AH49" s="36" t="s">
        <v>28</v>
      </c>
      <c r="AI49" s="26">
        <v>14</v>
      </c>
      <c r="BH49" s="17"/>
      <c r="BI49" s="39"/>
    </row>
    <row r="50" spans="2:61" ht="15" thickBot="1" x14ac:dyDescent="0.4">
      <c r="B50" s="2" t="s">
        <v>44</v>
      </c>
      <c r="C50" s="2" t="s">
        <v>50</v>
      </c>
      <c r="D50" s="2">
        <v>8</v>
      </c>
      <c r="E50" s="2"/>
      <c r="F50" s="5"/>
      <c r="G50" s="5">
        <f>+D50*'VAL 24 - 07'!E44</f>
        <v>0</v>
      </c>
      <c r="H50" s="2">
        <f>+'VAL 30-07'!F44</f>
        <v>904</v>
      </c>
      <c r="I50" s="2">
        <f>+D50*'VAL 02- 08'!E44</f>
        <v>0</v>
      </c>
      <c r="J50" s="2">
        <f>+D50*'VAL 05-08'!E44</f>
        <v>1304</v>
      </c>
      <c r="K50" s="1">
        <f>+D50*'VAL 07 -08'!E44</f>
        <v>0</v>
      </c>
      <c r="L50" s="2">
        <f>+'VAL 11-08'!F44</f>
        <v>656</v>
      </c>
      <c r="M50" s="5">
        <f>+D50*'VAL 15 - 08'!E44</f>
        <v>0</v>
      </c>
      <c r="N50" s="2">
        <f>+D50*'VAL 19- 08'!E44</f>
        <v>808</v>
      </c>
      <c r="O50" s="2">
        <f>+D50*'VAL 26  - 08'!E44</f>
        <v>272</v>
      </c>
      <c r="P50" s="2">
        <f>+D50*'VAL 03- 09'!E44</f>
        <v>744</v>
      </c>
      <c r="Q50">
        <f>+'VAL 04 - 09'!F44</f>
        <v>776</v>
      </c>
      <c r="R50">
        <f>+'VAL 11 - 09'!F44</f>
        <v>1048</v>
      </c>
      <c r="S50">
        <f>+'VAL 15 - 09'!F45</f>
        <v>0</v>
      </c>
      <c r="T50">
        <f>+'VAL 18 - 09'!F45</f>
        <v>368</v>
      </c>
      <c r="U50">
        <f>+'VAL 22 -09'!F45</f>
        <v>600</v>
      </c>
      <c r="V50">
        <f>+'VAL 26 - 09'!F45</f>
        <v>504</v>
      </c>
      <c r="W50">
        <f>+'VAL 02 - 10'!F45</f>
        <v>496</v>
      </c>
      <c r="X50">
        <f>+'VAL 09 - 10'!F45</f>
        <v>224</v>
      </c>
      <c r="Y50">
        <f>+'VL 13 - 10'!F45</f>
        <v>472</v>
      </c>
      <c r="Z50">
        <f>+'VAL 17 - 10'!F45</f>
        <v>464</v>
      </c>
      <c r="AA50">
        <f>+'VAL 20 - 10'!F45</f>
        <v>264</v>
      </c>
      <c r="AB50">
        <f>+'VAL C - 10'!F45</f>
        <v>0</v>
      </c>
      <c r="AC50">
        <f>+'VAL D - 10'!F45</f>
        <v>0</v>
      </c>
      <c r="AD50">
        <f>+'VAL F - 10'!F45</f>
        <v>0</v>
      </c>
      <c r="AH50" s="36" t="s">
        <v>29</v>
      </c>
      <c r="AI50" s="25"/>
      <c r="BH50" s="17"/>
      <c r="BI50" s="39"/>
    </row>
    <row r="51" spans="2:61" ht="17.5" thickBot="1" x14ac:dyDescent="0.45">
      <c r="B51" s="2" t="s">
        <v>45</v>
      </c>
      <c r="C51" s="2" t="s">
        <v>50</v>
      </c>
      <c r="D51" s="2">
        <v>8</v>
      </c>
      <c r="E51" s="2"/>
      <c r="F51" s="5"/>
      <c r="G51" s="5">
        <f>+D51*'VAL 24 - 07'!E45</f>
        <v>0</v>
      </c>
      <c r="H51" s="2">
        <f>+'VAL 30-07'!F45</f>
        <v>0</v>
      </c>
      <c r="I51" s="2">
        <f>+D51*'VAL 02- 08'!E45</f>
        <v>0</v>
      </c>
      <c r="J51" s="2">
        <f>+D51*'VAL 05-08'!E45</f>
        <v>112</v>
      </c>
      <c r="K51" s="1">
        <f>+D51*'VAL 07 -08'!E45</f>
        <v>24</v>
      </c>
      <c r="L51" s="2">
        <f>+'VAL 11-08'!F45</f>
        <v>64</v>
      </c>
      <c r="M51" s="5">
        <f>+D51*'VAL 15 - 08'!E45</f>
        <v>0</v>
      </c>
      <c r="N51" s="2">
        <f>+D51*'VAL 19- 08'!E45</f>
        <v>128</v>
      </c>
      <c r="O51" s="2">
        <f>+D51*'VAL 26  - 08'!E45</f>
        <v>32</v>
      </c>
      <c r="P51" s="2">
        <f>+D51*'VAL 03- 09'!E45</f>
        <v>0</v>
      </c>
      <c r="Q51">
        <f>+'VAL 04 - 09'!F45</f>
        <v>88</v>
      </c>
      <c r="R51">
        <f>+'VAL 11 - 09'!F45</f>
        <v>0</v>
      </c>
      <c r="S51">
        <f>+'VAL 15 - 09'!F46</f>
        <v>0</v>
      </c>
      <c r="T51">
        <f>+'VAL 18 - 09'!F46</f>
        <v>56</v>
      </c>
      <c r="U51">
        <f>+'VAL 22 -09'!F46</f>
        <v>56</v>
      </c>
      <c r="V51">
        <f>+'VAL 26 - 09'!F46</f>
        <v>48</v>
      </c>
      <c r="W51">
        <f>+'VAL 02 - 10'!F46</f>
        <v>48</v>
      </c>
      <c r="X51">
        <f>+'VAL 09 - 10'!F46</f>
        <v>40</v>
      </c>
      <c r="Y51">
        <f>+'VL 13 - 10'!F46</f>
        <v>0</v>
      </c>
      <c r="Z51">
        <f>+'VAL 17 - 10'!F46</f>
        <v>112</v>
      </c>
      <c r="AA51">
        <f>+'VAL 20 - 10'!F46</f>
        <v>64</v>
      </c>
      <c r="AB51">
        <f>+'VAL C - 10'!F46</f>
        <v>0</v>
      </c>
      <c r="AC51">
        <f>+'VAL D - 10'!F46</f>
        <v>0</v>
      </c>
      <c r="AD51">
        <f>+'VAL F - 10'!F46</f>
        <v>0</v>
      </c>
      <c r="AH51" s="35" t="s">
        <v>30</v>
      </c>
      <c r="AI51" s="24">
        <v>111</v>
      </c>
      <c r="BH51" s="41"/>
      <c r="BI51" s="40"/>
    </row>
    <row r="52" spans="2:61" ht="15" thickBot="1" x14ac:dyDescent="0.4">
      <c r="B52" s="2" t="s">
        <v>46</v>
      </c>
      <c r="C52" s="2" t="s">
        <v>50</v>
      </c>
      <c r="D52" s="2">
        <v>8</v>
      </c>
      <c r="E52" s="2"/>
      <c r="F52" s="5"/>
      <c r="G52" s="5">
        <f>+D52*'VAL 24 - 07'!E46</f>
        <v>0</v>
      </c>
      <c r="H52" s="2">
        <f>+'VAL 30-07'!F46</f>
        <v>0</v>
      </c>
      <c r="I52" s="2">
        <f>+D52*'VAL 02- 08'!E46</f>
        <v>0</v>
      </c>
      <c r="J52" s="2">
        <f>+D52*'VAL 05-08'!E46</f>
        <v>56</v>
      </c>
      <c r="K52" s="1">
        <f>+D52*'VAL 07 -08'!E46</f>
        <v>0</v>
      </c>
      <c r="L52" s="2">
        <f>+'VAL 11-08'!F46</f>
        <v>112</v>
      </c>
      <c r="M52" s="5">
        <f>+D52*'VAL 15 - 08'!E46</f>
        <v>0</v>
      </c>
      <c r="N52" s="2">
        <f>+D52*'VAL 19- 08'!E46</f>
        <v>112</v>
      </c>
      <c r="O52" s="2">
        <f>+D52*'VAL 26  - 08'!E46</f>
        <v>56</v>
      </c>
      <c r="P52" s="2">
        <f>+D52*'VAL 03- 09'!E46</f>
        <v>0</v>
      </c>
      <c r="Q52">
        <f>+'VAL 04 - 09'!F46</f>
        <v>0</v>
      </c>
      <c r="R52">
        <f>+'VAL 11 - 09'!F46</f>
        <v>0</v>
      </c>
      <c r="S52">
        <f>+'VAL 15 - 09'!F47</f>
        <v>0</v>
      </c>
      <c r="T52">
        <f>+'VAL 18 - 09'!F47</f>
        <v>104</v>
      </c>
      <c r="U52">
        <f>+'VAL 22 -09'!F47</f>
        <v>0</v>
      </c>
      <c r="V52">
        <f>+'VAL 26 - 09'!F47</f>
        <v>32</v>
      </c>
      <c r="W52">
        <f>+'VAL 02 - 10'!F47</f>
        <v>64</v>
      </c>
      <c r="X52">
        <f>+'VAL 09 - 10'!F47</f>
        <v>40</v>
      </c>
      <c r="Y52">
        <f>+'VL 13 - 10'!F47</f>
        <v>0</v>
      </c>
      <c r="Z52">
        <f>+'VAL 17 - 10'!F47</f>
        <v>0</v>
      </c>
      <c r="AA52">
        <f>+'VAL 20 - 10'!F47</f>
        <v>48</v>
      </c>
      <c r="AB52">
        <f>+'VAL C - 10'!F47</f>
        <v>0</v>
      </c>
      <c r="AC52">
        <f>+'VAL D - 10'!F47</f>
        <v>0</v>
      </c>
      <c r="AD52">
        <f>+'VAL F - 10'!F47</f>
        <v>0</v>
      </c>
      <c r="AH52" s="36" t="s">
        <v>32</v>
      </c>
      <c r="AI52" s="26">
        <v>38</v>
      </c>
      <c r="BH52" s="17"/>
      <c r="BI52" s="39"/>
    </row>
    <row r="53" spans="2:61" ht="15" thickBot="1" x14ac:dyDescent="0.4">
      <c r="B53" s="2" t="s">
        <v>47</v>
      </c>
      <c r="C53" s="2" t="s">
        <v>50</v>
      </c>
      <c r="D53" s="2">
        <v>8</v>
      </c>
      <c r="E53" s="2"/>
      <c r="F53" s="5"/>
      <c r="G53" s="5">
        <f>+D53*'VAL 24 - 07'!E47</f>
        <v>0</v>
      </c>
      <c r="H53" s="2">
        <f>+'VAL 30-07'!F47</f>
        <v>0</v>
      </c>
      <c r="I53" s="2">
        <f>+D53*'VAL 02- 08'!E47</f>
        <v>0</v>
      </c>
      <c r="J53" s="2">
        <f>+D53*'VAL 05-08'!E47</f>
        <v>24</v>
      </c>
      <c r="K53" s="1">
        <f>+D53*'VAL 07 -08'!E47</f>
        <v>0</v>
      </c>
      <c r="L53" s="2">
        <f>+'VAL 11-08'!F47</f>
        <v>0</v>
      </c>
      <c r="M53" s="5">
        <f>+D53*'VAL 15 - 08'!E47</f>
        <v>0</v>
      </c>
      <c r="N53" s="2">
        <f>+D53*'VAL 19- 08'!E47</f>
        <v>0</v>
      </c>
      <c r="O53" s="2">
        <f>+D53*'VAL 26  - 08'!E47</f>
        <v>0</v>
      </c>
      <c r="P53" s="2">
        <f>+D53*'VAL 03- 09'!E47</f>
        <v>0</v>
      </c>
      <c r="Q53">
        <f>+'VAL 04 - 09'!F47</f>
        <v>0</v>
      </c>
      <c r="R53">
        <f>+'VAL 11 - 09'!F47</f>
        <v>0</v>
      </c>
      <c r="S53">
        <f>+'VAL 15 - 09'!F48</f>
        <v>0</v>
      </c>
      <c r="T53">
        <f>+'VAL 18 - 09'!F48</f>
        <v>0</v>
      </c>
      <c r="U53">
        <f>+'VAL 22 -09'!F48</f>
        <v>0</v>
      </c>
      <c r="V53">
        <f>+'VAL 26 - 09'!F48</f>
        <v>0</v>
      </c>
      <c r="W53">
        <f>+'VAL 02 - 10'!F48</f>
        <v>0</v>
      </c>
      <c r="X53">
        <f>+'VAL 09 - 10'!F48</f>
        <v>0</v>
      </c>
      <c r="Y53">
        <f>+'VL 13 - 10'!F48</f>
        <v>0</v>
      </c>
      <c r="Z53">
        <f>+'VAL 17 - 10'!F48</f>
        <v>0</v>
      </c>
      <c r="AA53">
        <f>+'VAL 20 - 10'!F48</f>
        <v>0</v>
      </c>
      <c r="AB53">
        <f>+'VAL C - 10'!F48</f>
        <v>0</v>
      </c>
      <c r="AC53">
        <f>+'VAL D - 10'!F48</f>
        <v>0</v>
      </c>
      <c r="AD53">
        <f>+'VAL F - 10'!F48</f>
        <v>0</v>
      </c>
      <c r="AH53" s="36" t="s">
        <v>31</v>
      </c>
      <c r="AI53" s="26">
        <v>29</v>
      </c>
      <c r="BH53" s="17"/>
      <c r="BI53" s="39"/>
    </row>
    <row r="54" spans="2:61" ht="15" thickBot="1" x14ac:dyDescent="0.4">
      <c r="B54" s="3" t="s">
        <v>49</v>
      </c>
      <c r="C54" s="3" t="s">
        <v>50</v>
      </c>
      <c r="D54" s="2">
        <v>8</v>
      </c>
      <c r="E54" s="2"/>
      <c r="F54" s="5"/>
      <c r="G54" s="5">
        <f>+D54*'VAL 24 - 07'!E48</f>
        <v>0</v>
      </c>
      <c r="H54" s="2">
        <f>+'VAL 30-07'!F48</f>
        <v>0</v>
      </c>
      <c r="I54" s="2">
        <f>+D54*'VAL 02- 08'!E48</f>
        <v>0</v>
      </c>
      <c r="J54" s="2">
        <f>+D54*'VAL 05-08'!E48</f>
        <v>0</v>
      </c>
      <c r="K54" s="1">
        <f>+D54*'VAL 07 -08'!E48</f>
        <v>0</v>
      </c>
      <c r="L54" s="2">
        <f>+'VAL 11-08'!F48</f>
        <v>248</v>
      </c>
      <c r="M54" s="5">
        <f>+D54*'VAL 15 - 08'!E48</f>
        <v>0</v>
      </c>
      <c r="N54" s="2">
        <f>+D54*'VAL 19- 08'!E48</f>
        <v>320</v>
      </c>
      <c r="O54" s="2">
        <f>+D54*'VAL 26  - 08'!E48</f>
        <v>184</v>
      </c>
      <c r="P54" s="2">
        <f>+D54*'VAL 03- 09'!E48</f>
        <v>0</v>
      </c>
      <c r="Q54">
        <f>+'VAL 04 - 09'!F48</f>
        <v>0</v>
      </c>
      <c r="R54">
        <f>+'VAL 11 - 09'!F48</f>
        <v>0</v>
      </c>
      <c r="S54">
        <f>+'VAL 15 - 09'!F49</f>
        <v>0</v>
      </c>
      <c r="T54">
        <f>+'VAL 18 - 09'!F49</f>
        <v>104</v>
      </c>
      <c r="U54">
        <f>+'VAL 22 -09'!F49</f>
        <v>120</v>
      </c>
      <c r="V54">
        <f>+'VAL 26 - 09'!F49</f>
        <v>160</v>
      </c>
      <c r="W54">
        <f>+'VAL 02 - 10'!F49</f>
        <v>144</v>
      </c>
      <c r="X54">
        <f>+'VAL 09 - 10'!F49</f>
        <v>104</v>
      </c>
      <c r="Y54">
        <f>+'VL 13 - 10'!F49</f>
        <v>0</v>
      </c>
      <c r="Z54">
        <f>+'VAL 17 - 10'!F49</f>
        <v>0</v>
      </c>
      <c r="AA54">
        <f>+'VAL 20 - 10'!F49</f>
        <v>120</v>
      </c>
      <c r="AB54">
        <f>+'VAL C - 10'!F49</f>
        <v>0</v>
      </c>
      <c r="AC54">
        <f>+'VAL D - 10'!F49</f>
        <v>0</v>
      </c>
      <c r="AD54">
        <f>+'VAL F - 10'!F49</f>
        <v>0</v>
      </c>
      <c r="AH54" s="36" t="s">
        <v>33</v>
      </c>
      <c r="AI54" s="26">
        <v>20</v>
      </c>
      <c r="BH54" s="17"/>
      <c r="BI54" s="39"/>
    </row>
    <row r="55" spans="2:61" ht="19" thickBot="1" x14ac:dyDescent="0.5">
      <c r="B55" s="6" t="s">
        <v>51</v>
      </c>
      <c r="C55" s="7"/>
      <c r="D55" s="115">
        <f>SUM(F55:R55)</f>
        <v>53959.5</v>
      </c>
      <c r="E55" s="116"/>
      <c r="F55" s="92">
        <v>2596.5</v>
      </c>
      <c r="G55" s="8">
        <f t="shared" ref="G55:AD55" si="37">+G49+G42+G35+G27+G15+G10</f>
        <v>4446</v>
      </c>
      <c r="H55" s="8">
        <f t="shared" si="37"/>
        <v>3229</v>
      </c>
      <c r="I55" s="8">
        <f t="shared" si="37"/>
        <v>2093</v>
      </c>
      <c r="J55" s="8">
        <f t="shared" si="37"/>
        <v>2878</v>
      </c>
      <c r="K55" s="8">
        <f t="shared" si="37"/>
        <v>3695</v>
      </c>
      <c r="L55" s="8">
        <f t="shared" si="37"/>
        <v>6315</v>
      </c>
      <c r="M55" s="8">
        <f t="shared" si="37"/>
        <v>3905</v>
      </c>
      <c r="N55" s="8">
        <f t="shared" si="37"/>
        <v>6938</v>
      </c>
      <c r="O55" s="8">
        <f t="shared" si="37"/>
        <v>5984</v>
      </c>
      <c r="P55" s="8">
        <f t="shared" si="37"/>
        <v>3216</v>
      </c>
      <c r="Q55" s="8">
        <f t="shared" si="37"/>
        <v>3295</v>
      </c>
      <c r="R55" s="8">
        <f t="shared" si="37"/>
        <v>5369</v>
      </c>
      <c r="S55" s="8">
        <f t="shared" si="37"/>
        <v>3144</v>
      </c>
      <c r="T55" s="8">
        <f t="shared" si="37"/>
        <v>3827</v>
      </c>
      <c r="U55" s="8">
        <f t="shared" si="37"/>
        <v>6597</v>
      </c>
      <c r="V55" s="8">
        <f t="shared" si="37"/>
        <v>6381</v>
      </c>
      <c r="W55" s="8">
        <f t="shared" si="37"/>
        <v>7720</v>
      </c>
      <c r="X55" s="8">
        <f t="shared" si="37"/>
        <v>4381</v>
      </c>
      <c r="Y55" s="8">
        <f t="shared" si="37"/>
        <v>4077</v>
      </c>
      <c r="Z55" s="8">
        <f>+Z49+Z42+Z35+Z27+Z15+Z10</f>
        <v>5451</v>
      </c>
      <c r="AA55" s="8">
        <f t="shared" si="37"/>
        <v>4924</v>
      </c>
      <c r="AB55" s="8">
        <f t="shared" si="37"/>
        <v>0</v>
      </c>
      <c r="AC55" s="8">
        <f t="shared" si="37"/>
        <v>0</v>
      </c>
      <c r="AD55" s="8">
        <f t="shared" si="37"/>
        <v>0</v>
      </c>
      <c r="AH55" s="36" t="s">
        <v>34</v>
      </c>
      <c r="AI55" s="26">
        <v>7</v>
      </c>
      <c r="BH55" s="17"/>
      <c r="BI55" s="39"/>
    </row>
    <row r="56" spans="2:61" ht="15" thickBot="1" x14ac:dyDescent="0.4">
      <c r="AH56" s="37" t="s">
        <v>97</v>
      </c>
      <c r="AI56" s="26">
        <v>0</v>
      </c>
      <c r="BH56" s="17"/>
      <c r="BI56" s="39"/>
    </row>
    <row r="57" spans="2:61" ht="15" thickBot="1" x14ac:dyDescent="0.4">
      <c r="D57">
        <f>+D55*1.18</f>
        <v>63672.21</v>
      </c>
      <c r="H57">
        <f>SUM(G55:J56)</f>
        <v>12646</v>
      </c>
      <c r="AH57" s="37" t="s">
        <v>35</v>
      </c>
      <c r="AI57" s="26">
        <v>17</v>
      </c>
      <c r="BH57" s="17"/>
      <c r="BI57" s="17"/>
    </row>
    <row r="58" spans="2:61" ht="17.5" thickBot="1" x14ac:dyDescent="0.45">
      <c r="AH58" s="35" t="s">
        <v>36</v>
      </c>
      <c r="AI58" s="24">
        <v>35</v>
      </c>
      <c r="BH58" s="17"/>
      <c r="BI58" s="40"/>
    </row>
    <row r="59" spans="2:61" ht="15" thickBot="1" x14ac:dyDescent="0.4">
      <c r="E59">
        <v>2596.5</v>
      </c>
      <c r="AH59" s="36" t="s">
        <v>37</v>
      </c>
      <c r="AI59" s="26">
        <v>0</v>
      </c>
    </row>
    <row r="60" spans="2:61" ht="15" thickBot="1" x14ac:dyDescent="0.4">
      <c r="AH60" s="36" t="s">
        <v>38</v>
      </c>
      <c r="AI60" s="26">
        <v>0</v>
      </c>
    </row>
    <row r="61" spans="2:61" ht="15" thickBot="1" x14ac:dyDescent="0.4">
      <c r="AH61" s="36" t="s">
        <v>39</v>
      </c>
      <c r="AI61" s="26">
        <v>5</v>
      </c>
    </row>
    <row r="62" spans="2:61" ht="15" thickBot="1" x14ac:dyDescent="0.4">
      <c r="AH62" s="36" t="s">
        <v>40</v>
      </c>
      <c r="AI62" s="26">
        <v>18</v>
      </c>
    </row>
    <row r="63" spans="2:61" ht="15" thickBot="1" x14ac:dyDescent="0.4">
      <c r="AH63" s="36" t="s">
        <v>98</v>
      </c>
      <c r="AI63" s="26">
        <v>3</v>
      </c>
    </row>
    <row r="64" spans="2:61" ht="15" thickBot="1" x14ac:dyDescent="0.4">
      <c r="AH64" s="36" t="s">
        <v>42</v>
      </c>
      <c r="AI64" s="26">
        <v>9</v>
      </c>
    </row>
    <row r="65" spans="34:35" ht="17.5" thickBot="1" x14ac:dyDescent="0.45">
      <c r="AH65" s="35" t="s">
        <v>43</v>
      </c>
      <c r="AI65" s="24">
        <v>79</v>
      </c>
    </row>
    <row r="66" spans="34:35" ht="15" thickBot="1" x14ac:dyDescent="0.4">
      <c r="AH66" s="36" t="s">
        <v>44</v>
      </c>
      <c r="AI66" s="26">
        <v>46</v>
      </c>
    </row>
    <row r="67" spans="34:35" ht="15" thickBot="1" x14ac:dyDescent="0.4">
      <c r="AH67" s="36" t="s">
        <v>45</v>
      </c>
      <c r="AI67" s="26">
        <v>7</v>
      </c>
    </row>
    <row r="68" spans="34:35" ht="15" thickBot="1" x14ac:dyDescent="0.4">
      <c r="AH68" s="36" t="s">
        <v>46</v>
      </c>
      <c r="AI68" s="26">
        <v>13</v>
      </c>
    </row>
    <row r="69" spans="34:35" ht="15" thickBot="1" x14ac:dyDescent="0.4">
      <c r="AH69" s="36" t="s">
        <v>47</v>
      </c>
      <c r="AI69" s="26">
        <v>0</v>
      </c>
    </row>
    <row r="70" spans="34:35" ht="15" thickBot="1" x14ac:dyDescent="0.4">
      <c r="AH70" s="36" t="s">
        <v>49</v>
      </c>
      <c r="AI70" s="26">
        <v>13</v>
      </c>
    </row>
    <row r="71" spans="34:35" ht="15" thickBot="1" x14ac:dyDescent="0.4">
      <c r="AH71" s="21"/>
      <c r="AI71" s="21"/>
    </row>
    <row r="72" spans="34:35" ht="17.5" thickBot="1" x14ac:dyDescent="0.45">
      <c r="AH72" s="21" t="s">
        <v>51</v>
      </c>
      <c r="AI72" s="38">
        <v>808</v>
      </c>
    </row>
  </sheetData>
  <mergeCells count="2">
    <mergeCell ref="B8:M8"/>
    <mergeCell ref="D55:E55"/>
  </mergeCells>
  <phoneticPr fontId="4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016-B606-4106-B345-A79B41A23599}">
  <dimension ref="B2:BG50"/>
  <sheetViews>
    <sheetView topLeftCell="S1" zoomScale="85" workbookViewId="0">
      <selection activeCell="F10" sqref="F10"/>
    </sheetView>
  </sheetViews>
  <sheetFormatPr baseColWidth="10" defaultRowHeight="14.5" x14ac:dyDescent="0.35"/>
  <cols>
    <col min="2" max="2" width="13.1796875" bestFit="1" customWidth="1"/>
    <col min="4" max="4" width="11.1796875" bestFit="1" customWidth="1"/>
    <col min="5" max="5" width="11.1796875" customWidth="1"/>
    <col min="7" max="15" width="0" hidden="1" customWidth="1"/>
    <col min="16" max="17" width="12.1796875" hidden="1" customWidth="1"/>
    <col min="18" max="30" width="12.1796875" customWidth="1"/>
    <col min="32" max="33" width="14.26953125" customWidth="1"/>
    <col min="34" max="34" width="11.54296875" customWidth="1"/>
    <col min="35" max="35" width="11.08984375" hidden="1" customWidth="1"/>
    <col min="36" max="38" width="18.453125" hidden="1" customWidth="1"/>
    <col min="39" max="39" width="11.08984375" hidden="1" customWidth="1"/>
    <col min="40" max="40" width="12.6328125" hidden="1" customWidth="1"/>
    <col min="41" max="42" width="11.08984375" hidden="1" customWidth="1"/>
    <col min="43" max="44" width="18.453125" hidden="1" customWidth="1"/>
    <col min="45" max="45" width="17.6328125" bestFit="1" customWidth="1"/>
    <col min="46" max="46" width="12.6328125" bestFit="1" customWidth="1"/>
    <col min="47" max="57" width="12.6328125" customWidth="1"/>
    <col min="59" max="59" width="14.1796875" bestFit="1" customWidth="1"/>
  </cols>
  <sheetData>
    <row r="2" spans="2:59" x14ac:dyDescent="0.35">
      <c r="B2" s="113" t="s">
        <v>58</v>
      </c>
      <c r="C2" s="113"/>
      <c r="D2" s="113"/>
      <c r="E2" s="113"/>
      <c r="F2" s="113"/>
      <c r="G2" s="113"/>
      <c r="H2" s="114"/>
      <c r="I2" s="114"/>
      <c r="J2" s="114"/>
      <c r="K2" s="114"/>
      <c r="L2" s="114"/>
      <c r="M2" s="114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4" spans="2:59" ht="26" x14ac:dyDescent="0.6">
      <c r="B4" s="2" t="s">
        <v>1</v>
      </c>
      <c r="C4" s="2" t="s">
        <v>2</v>
      </c>
      <c r="D4" s="2" t="s">
        <v>110</v>
      </c>
      <c r="E4" s="2" t="s">
        <v>109</v>
      </c>
      <c r="F4" s="2" t="s">
        <v>3</v>
      </c>
      <c r="G4" s="2" t="s">
        <v>52</v>
      </c>
      <c r="H4" s="2" t="s">
        <v>53</v>
      </c>
      <c r="I4" s="2" t="s">
        <v>54</v>
      </c>
      <c r="J4" s="2" t="s">
        <v>55</v>
      </c>
      <c r="K4" s="2" t="s">
        <v>64</v>
      </c>
      <c r="L4" s="2" t="s">
        <v>56</v>
      </c>
      <c r="M4" s="2" t="s">
        <v>57</v>
      </c>
      <c r="N4" s="2" t="s">
        <v>90</v>
      </c>
      <c r="O4" s="2" t="s">
        <v>99</v>
      </c>
      <c r="P4" s="2" t="s">
        <v>107</v>
      </c>
      <c r="Q4" s="2" t="s">
        <v>108</v>
      </c>
      <c r="R4" s="2" t="s">
        <v>113</v>
      </c>
      <c r="S4" s="2" t="s">
        <v>156</v>
      </c>
      <c r="T4" s="2" t="s">
        <v>165</v>
      </c>
      <c r="U4" s="2" t="s">
        <v>167</v>
      </c>
      <c r="V4" s="2" t="s">
        <v>170</v>
      </c>
      <c r="W4" s="2" t="s">
        <v>173</v>
      </c>
      <c r="X4" s="2" t="s">
        <v>177</v>
      </c>
      <c r="Y4" s="2" t="s">
        <v>179</v>
      </c>
      <c r="Z4" s="2" t="s">
        <v>222</v>
      </c>
      <c r="AA4" s="2" t="s">
        <v>224</v>
      </c>
      <c r="AB4" s="2" t="s">
        <v>186</v>
      </c>
      <c r="AC4" s="2" t="s">
        <v>187</v>
      </c>
      <c r="AD4" s="2" t="s">
        <v>160</v>
      </c>
      <c r="AF4" s="81" t="s">
        <v>181</v>
      </c>
      <c r="AG4" s="80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</row>
    <row r="5" spans="2:59" ht="18.5" x14ac:dyDescent="0.45">
      <c r="B5" s="2" t="s">
        <v>59</v>
      </c>
      <c r="C5" s="2"/>
      <c r="D5" s="2"/>
      <c r="E5" s="2"/>
      <c r="F5" s="2"/>
      <c r="G5" s="31">
        <f>SUM(G6:G9)</f>
        <v>286</v>
      </c>
      <c r="H5" s="31">
        <f t="shared" ref="H5:P5" si="0">SUM(H6:H9)</f>
        <v>456</v>
      </c>
      <c r="I5" s="31">
        <f t="shared" si="0"/>
        <v>192</v>
      </c>
      <c r="J5" s="31">
        <f t="shared" si="0"/>
        <v>5</v>
      </c>
      <c r="K5" s="31">
        <f>SUM(K6:K9)</f>
        <v>697</v>
      </c>
      <c r="L5" s="31">
        <f>SUM(L6:L9)</f>
        <v>773</v>
      </c>
      <c r="M5" s="31">
        <f t="shared" si="0"/>
        <v>546</v>
      </c>
      <c r="N5" s="31">
        <f t="shared" si="0"/>
        <v>802</v>
      </c>
      <c r="O5" s="31">
        <f t="shared" si="0"/>
        <v>766</v>
      </c>
      <c r="P5" s="31">
        <f t="shared" si="0"/>
        <v>799.9</v>
      </c>
      <c r="Q5" s="31">
        <f t="shared" ref="Q5:AD5" si="1">SUM(Q6:Q9)</f>
        <v>440.1</v>
      </c>
      <c r="R5" s="31">
        <f t="shared" si="1"/>
        <v>320.10000000000002</v>
      </c>
      <c r="S5" s="31">
        <f t="shared" si="1"/>
        <v>336.5</v>
      </c>
      <c r="T5" s="31">
        <f t="shared" si="1"/>
        <v>457.50000000000006</v>
      </c>
      <c r="U5" s="31">
        <f t="shared" si="1"/>
        <v>861.00000000000011</v>
      </c>
      <c r="V5" s="31">
        <f t="shared" si="1"/>
        <v>785.80000000000007</v>
      </c>
      <c r="W5" s="31">
        <f t="shared" si="1"/>
        <v>1299.7</v>
      </c>
      <c r="X5" s="31">
        <f t="shared" si="1"/>
        <v>752.6</v>
      </c>
      <c r="Y5" s="31">
        <f t="shared" si="1"/>
        <v>613.1</v>
      </c>
      <c r="Z5" s="31">
        <f>SUM(Z6:Z9)</f>
        <v>840.90000000000009</v>
      </c>
      <c r="AA5" s="31">
        <f t="shared" si="1"/>
        <v>768.5</v>
      </c>
      <c r="AB5" s="31">
        <f t="shared" si="1"/>
        <v>0</v>
      </c>
      <c r="AC5" s="31">
        <f t="shared" si="1"/>
        <v>0</v>
      </c>
      <c r="AD5" s="31">
        <f t="shared" si="1"/>
        <v>0</v>
      </c>
      <c r="AF5" s="55" t="s">
        <v>76</v>
      </c>
      <c r="AG5" s="72" t="s">
        <v>112</v>
      </c>
      <c r="AH5" s="72" t="s">
        <v>52</v>
      </c>
      <c r="AI5" s="72" t="s">
        <v>53</v>
      </c>
      <c r="AJ5" s="72" t="s">
        <v>54</v>
      </c>
      <c r="AK5" s="72" t="s">
        <v>55</v>
      </c>
      <c r="AL5" s="72" t="s">
        <v>73</v>
      </c>
      <c r="AM5" s="72" t="s">
        <v>56</v>
      </c>
      <c r="AN5" s="72" t="s">
        <v>57</v>
      </c>
      <c r="AO5" s="72" t="s">
        <v>90</v>
      </c>
      <c r="AP5" s="72" t="s">
        <v>99</v>
      </c>
      <c r="AQ5" s="72" t="s">
        <v>107</v>
      </c>
      <c r="AR5" s="72" t="s">
        <v>108</v>
      </c>
      <c r="AS5" s="56" t="s">
        <v>113</v>
      </c>
      <c r="AT5" s="56" t="s">
        <v>156</v>
      </c>
      <c r="AU5" s="56" t="s">
        <v>166</v>
      </c>
      <c r="AV5" s="56" t="s">
        <v>168</v>
      </c>
      <c r="AW5" s="56" t="s">
        <v>171</v>
      </c>
      <c r="AX5" s="56" t="s">
        <v>174</v>
      </c>
      <c r="AY5" s="56" t="s">
        <v>190</v>
      </c>
      <c r="AZ5" s="56" t="s">
        <v>180</v>
      </c>
      <c r="BA5" s="56" t="s">
        <v>223</v>
      </c>
      <c r="BB5" s="56" t="s">
        <v>183</v>
      </c>
      <c r="BC5" s="56" t="s">
        <v>184</v>
      </c>
      <c r="BD5" s="56" t="s">
        <v>191</v>
      </c>
      <c r="BE5" s="56" t="s">
        <v>161</v>
      </c>
      <c r="BF5" s="72" t="s">
        <v>120</v>
      </c>
      <c r="BG5" s="72" t="s">
        <v>121</v>
      </c>
    </row>
    <row r="6" spans="2:59" ht="18.5" x14ac:dyDescent="0.45">
      <c r="B6" s="2" t="s">
        <v>6</v>
      </c>
      <c r="C6" s="2" t="s">
        <v>50</v>
      </c>
      <c r="D6" s="2">
        <v>1</v>
      </c>
      <c r="E6" s="2">
        <v>1.1000000000000001</v>
      </c>
      <c r="F6" s="2"/>
      <c r="G6" s="2">
        <f>+D6*'VAL 24 - 07'!E6</f>
        <v>123</v>
      </c>
      <c r="H6" s="2">
        <f>+D6*'VAL 30-07'!E6</f>
        <v>154</v>
      </c>
      <c r="I6" s="2">
        <f>+D6*'VAL 02- 08'!E6</f>
        <v>113</v>
      </c>
      <c r="J6" s="2">
        <f>+D6*'VAL 05-08'!E6</f>
        <v>5</v>
      </c>
      <c r="K6" s="2">
        <f>+D6*'VAL 07 -08'!E6</f>
        <v>379</v>
      </c>
      <c r="L6" s="2">
        <f>+D6*'VAL 11-08'!E6</f>
        <v>461</v>
      </c>
      <c r="M6" s="2">
        <f>+D6*'VAL 15 - 08'!E6</f>
        <v>202</v>
      </c>
      <c r="N6" s="2">
        <f>+D6*'VAL 19- 08'!E6</f>
        <v>470</v>
      </c>
      <c r="O6" s="2">
        <f>+D6*'VAL 26  - 08'!E6</f>
        <v>547</v>
      </c>
      <c r="P6" s="2">
        <f>+E6*'VAL 03- 09'!E6</f>
        <v>180.4</v>
      </c>
      <c r="Q6" s="2">
        <f>+E6*'VAL 04 - 09'!E6</f>
        <v>320.10000000000002</v>
      </c>
      <c r="R6">
        <f>+E6*'VAL 11 - 09'!E6</f>
        <v>320.10000000000002</v>
      </c>
      <c r="S6">
        <f>+E6*'VAL 15 - 09'!E6</f>
        <v>176</v>
      </c>
      <c r="T6">
        <f>+E6*'VAL 18 - 09'!E6</f>
        <v>363.00000000000006</v>
      </c>
      <c r="U6">
        <f>+E6*'VAL 22 -09'!E6</f>
        <v>554.40000000000009</v>
      </c>
      <c r="V6">
        <f>+E6*'VAL 26 - 09'!E6</f>
        <v>553.30000000000007</v>
      </c>
      <c r="W6">
        <f>+E6*'VAL 02 - 10'!E6</f>
        <v>668.80000000000007</v>
      </c>
      <c r="X6">
        <f>+E6*'VAL 09 - 10'!E6</f>
        <v>393.8</v>
      </c>
      <c r="Y6">
        <f>+E6*'VL 13 - 10'!E6</f>
        <v>331.1</v>
      </c>
      <c r="Z6">
        <f>+E6*'VAL 17 - 10'!E6</f>
        <v>425.70000000000005</v>
      </c>
      <c r="AA6">
        <f>+E6*'VAL 20 - 10'!E6</f>
        <v>377.3</v>
      </c>
      <c r="AB6">
        <f>+E6*'VAL C - 10'!E6</f>
        <v>0</v>
      </c>
      <c r="AC6">
        <f>+E6*'VAL D - 10'!F6</f>
        <v>0</v>
      </c>
      <c r="AD6">
        <f>+E6*'VAL F - 10'!E6</f>
        <v>0</v>
      </c>
      <c r="AF6" s="48" t="s">
        <v>72</v>
      </c>
      <c r="AG6" s="2"/>
      <c r="AH6" s="31">
        <f t="shared" ref="AH6:AS6" si="2">0+G5</f>
        <v>286</v>
      </c>
      <c r="AI6" s="31">
        <f t="shared" si="2"/>
        <v>456</v>
      </c>
      <c r="AJ6" s="31">
        <f t="shared" si="2"/>
        <v>192</v>
      </c>
      <c r="AK6" s="31">
        <f t="shared" si="2"/>
        <v>5</v>
      </c>
      <c r="AL6" s="31">
        <f t="shared" si="2"/>
        <v>697</v>
      </c>
      <c r="AM6" s="31">
        <f t="shared" si="2"/>
        <v>773</v>
      </c>
      <c r="AN6" s="31">
        <f t="shared" si="2"/>
        <v>546</v>
      </c>
      <c r="AO6" s="31">
        <f t="shared" si="2"/>
        <v>802</v>
      </c>
      <c r="AP6" s="31">
        <f t="shared" si="2"/>
        <v>766</v>
      </c>
      <c r="AQ6" s="31">
        <f t="shared" si="2"/>
        <v>799.9</v>
      </c>
      <c r="AR6" s="31">
        <f t="shared" si="2"/>
        <v>440.1</v>
      </c>
      <c r="AS6" s="9">
        <f t="shared" si="2"/>
        <v>320.10000000000002</v>
      </c>
      <c r="AT6" s="93">
        <f t="shared" ref="AT6:AZ6" si="3">+S5</f>
        <v>336.5</v>
      </c>
      <c r="AU6" s="93">
        <f t="shared" si="3"/>
        <v>457.50000000000006</v>
      </c>
      <c r="AV6" s="93">
        <f t="shared" si="3"/>
        <v>861.00000000000011</v>
      </c>
      <c r="AW6" s="93">
        <f t="shared" si="3"/>
        <v>785.80000000000007</v>
      </c>
      <c r="AX6" s="93">
        <f t="shared" si="3"/>
        <v>1299.7</v>
      </c>
      <c r="AY6" s="93">
        <f t="shared" si="3"/>
        <v>752.6</v>
      </c>
      <c r="AZ6" s="93">
        <f t="shared" si="3"/>
        <v>613.1</v>
      </c>
      <c r="BA6" s="93">
        <f t="shared" ref="BA6:BE6" si="4">+Z5</f>
        <v>840.90000000000009</v>
      </c>
      <c r="BB6" s="93">
        <f t="shared" si="4"/>
        <v>768.5</v>
      </c>
      <c r="BC6" s="93">
        <f t="shared" si="4"/>
        <v>0</v>
      </c>
      <c r="BD6" s="93">
        <f t="shared" si="4"/>
        <v>0</v>
      </c>
      <c r="BE6" s="93">
        <f t="shared" si="4"/>
        <v>0</v>
      </c>
      <c r="BF6" s="75">
        <f>SUM(Tabla6[[#This Row],[VAL 15- 07]:[VAL 13 - 10]])</f>
        <v>11189.300000000001</v>
      </c>
      <c r="BG6" s="76">
        <f>AVERAGE(Tabla6[[#This Row],[VAL 15- 07]:[VAL 13 - 10]])</f>
        <v>588.91052631578953</v>
      </c>
    </row>
    <row r="7" spans="2:59" ht="18.5" x14ac:dyDescent="0.45">
      <c r="B7" s="2" t="s">
        <v>7</v>
      </c>
      <c r="C7" s="2" t="s">
        <v>50</v>
      </c>
      <c r="D7" s="2">
        <v>1</v>
      </c>
      <c r="E7" s="2">
        <v>1.2</v>
      </c>
      <c r="F7" s="2"/>
      <c r="G7" s="2">
        <f>+D7*'VAL 24 - 07'!E7</f>
        <v>163</v>
      </c>
      <c r="H7" s="2">
        <f>+D7*'VAL 30-07'!E7</f>
        <v>162</v>
      </c>
      <c r="I7" s="2">
        <f>+D7*'VAL 02- 08'!E7</f>
        <v>0</v>
      </c>
      <c r="J7" s="2">
        <f>+D7*'VAL 05-08'!E7</f>
        <v>0</v>
      </c>
      <c r="K7" s="2">
        <f>+D7*'VAL 07 -08'!E7</f>
        <v>114</v>
      </c>
      <c r="L7" s="2">
        <f>+D7*'VAL 11-08'!E7</f>
        <v>145</v>
      </c>
      <c r="M7" s="2">
        <f>+D7*'VAL 15 - 08'!E7</f>
        <v>204</v>
      </c>
      <c r="N7" s="2">
        <f>+D7*'VAL 19- 08'!E7</f>
        <v>105</v>
      </c>
      <c r="O7" s="2">
        <f>+D7*'VAL 26  - 08'!E7</f>
        <v>105</v>
      </c>
      <c r="P7" s="2">
        <f>+E7*'VAL 03- 09'!E7</f>
        <v>354</v>
      </c>
      <c r="Q7" s="2">
        <f>+E7*'VAL 04 - 09'!E7</f>
        <v>0</v>
      </c>
      <c r="R7">
        <f>+E7*'VAL 11 - 09'!E7</f>
        <v>0</v>
      </c>
      <c r="S7">
        <f>+E7*'VAL 15 - 09'!E7</f>
        <v>0</v>
      </c>
      <c r="T7">
        <f>+E7*'VAL 18 - 09'!E7</f>
        <v>0</v>
      </c>
      <c r="U7">
        <f>+E7*'VAL 22 -09'!E7</f>
        <v>135.6</v>
      </c>
      <c r="V7">
        <f>+E7*'VAL 26 - 09'!E7</f>
        <v>0</v>
      </c>
      <c r="W7">
        <f>+E7*'VAL 02 - 10'!E7</f>
        <v>344.4</v>
      </c>
      <c r="X7">
        <f>+E7*'VAL 09 - 10'!E7</f>
        <v>202.79999999999998</v>
      </c>
      <c r="Y7">
        <f>+E7*'VL 13 - 10'!E7</f>
        <v>138</v>
      </c>
      <c r="Z7">
        <f>+E7*'VAL 17 - 10'!E7</f>
        <v>217.2</v>
      </c>
      <c r="AA7">
        <f>+E7*'VAL 20 - 10'!E7</f>
        <v>217.2</v>
      </c>
      <c r="AB7">
        <f>+E7*'VAL C - 10'!E7</f>
        <v>0</v>
      </c>
      <c r="AC7">
        <f>+E7*'VAL D - 10'!F7</f>
        <v>0</v>
      </c>
      <c r="AD7">
        <f>+E7*'VAL F - 10'!E7</f>
        <v>0</v>
      </c>
      <c r="AF7" s="48" t="s">
        <v>10</v>
      </c>
      <c r="AG7" s="2"/>
      <c r="AH7" s="31">
        <f t="shared" ref="AH7:AZ7" si="5">+G10</f>
        <v>1337</v>
      </c>
      <c r="AI7" s="31">
        <f t="shared" si="5"/>
        <v>574</v>
      </c>
      <c r="AJ7" s="31">
        <f t="shared" si="5"/>
        <v>586</v>
      </c>
      <c r="AK7" s="31">
        <f t="shared" si="5"/>
        <v>416</v>
      </c>
      <c r="AL7" s="31">
        <f t="shared" si="5"/>
        <v>15</v>
      </c>
      <c r="AM7" s="31">
        <f t="shared" si="5"/>
        <v>743</v>
      </c>
      <c r="AN7" s="31">
        <f t="shared" si="5"/>
        <v>750</v>
      </c>
      <c r="AO7" s="31">
        <f t="shared" si="5"/>
        <v>895</v>
      </c>
      <c r="AP7" s="31">
        <f t="shared" si="5"/>
        <v>834</v>
      </c>
      <c r="AQ7" s="31">
        <f t="shared" si="5"/>
        <v>0</v>
      </c>
      <c r="AR7" s="31">
        <f t="shared" si="5"/>
        <v>555</v>
      </c>
      <c r="AS7" s="9">
        <f t="shared" si="5"/>
        <v>845</v>
      </c>
      <c r="AT7" s="9">
        <f t="shared" si="5"/>
        <v>610</v>
      </c>
      <c r="AU7" s="9">
        <f t="shared" si="5"/>
        <v>400</v>
      </c>
      <c r="AV7" s="9">
        <f t="shared" si="5"/>
        <v>1068</v>
      </c>
      <c r="AW7" s="9">
        <f t="shared" si="5"/>
        <v>961</v>
      </c>
      <c r="AX7" s="9">
        <f t="shared" si="5"/>
        <v>1143</v>
      </c>
      <c r="AY7" s="9">
        <f t="shared" si="5"/>
        <v>553</v>
      </c>
      <c r="AZ7" s="9">
        <f t="shared" si="5"/>
        <v>627</v>
      </c>
      <c r="BA7" s="9">
        <f t="shared" ref="BA7:BE7" si="6">+Z10</f>
        <v>744</v>
      </c>
      <c r="BB7" s="9">
        <f t="shared" si="6"/>
        <v>702</v>
      </c>
      <c r="BC7" s="9">
        <f t="shared" si="6"/>
        <v>0</v>
      </c>
      <c r="BD7" s="9">
        <f t="shared" si="6"/>
        <v>0</v>
      </c>
      <c r="BE7" s="9">
        <f t="shared" si="6"/>
        <v>0</v>
      </c>
      <c r="BF7" s="31">
        <f>SUM(Tabla6[[#This Row],[VAL 15- 07]:[VAL 13 - 10]])</f>
        <v>12912</v>
      </c>
      <c r="BG7" s="77">
        <f>AVERAGE(Tabla6[[#This Row],[VAL 15- 07]:[VAL 13 - 10]])</f>
        <v>679.57894736842104</v>
      </c>
    </row>
    <row r="8" spans="2:59" ht="18.5" x14ac:dyDescent="0.45">
      <c r="B8" s="2" t="s">
        <v>8</v>
      </c>
      <c r="C8" s="2" t="s">
        <v>50</v>
      </c>
      <c r="D8" s="2">
        <v>1</v>
      </c>
      <c r="E8" s="2">
        <v>1.5</v>
      </c>
      <c r="F8" s="2"/>
      <c r="G8" s="2">
        <f>+D8*'VAL 24 - 07'!E8</f>
        <v>0</v>
      </c>
      <c r="H8" s="2">
        <f>+D8*'VAL 30-07'!E8</f>
        <v>123</v>
      </c>
      <c r="I8" s="2">
        <f>+D8*'VAL 02- 08'!E8</f>
        <v>79</v>
      </c>
      <c r="J8" s="2">
        <f>+D8*'VAL 05-08'!E8</f>
        <v>0</v>
      </c>
      <c r="K8" s="2">
        <f>+D8*'VAL 07 -08'!E8</f>
        <v>204</v>
      </c>
      <c r="L8" s="2">
        <f>+D8*'VAL 11-08'!E8</f>
        <v>128</v>
      </c>
      <c r="M8" s="2">
        <f>+D8*'VAL 15 - 08'!E8</f>
        <v>113</v>
      </c>
      <c r="N8" s="2">
        <f>+D8*'VAL 19- 08'!E8</f>
        <v>227</v>
      </c>
      <c r="O8" s="2">
        <f>+D8*'VAL 26  - 08'!E8</f>
        <v>114</v>
      </c>
      <c r="P8" s="2">
        <f>+E8*'VAL 03- 09'!E8</f>
        <v>265.5</v>
      </c>
      <c r="Q8" s="2">
        <f>+E8*'VAL 04 - 09'!E8</f>
        <v>120</v>
      </c>
      <c r="R8">
        <f>+E8*'VAL 11 - 09'!E8</f>
        <v>0</v>
      </c>
      <c r="S8">
        <f>+E8*'VAL 15 - 09'!E8</f>
        <v>160.5</v>
      </c>
      <c r="T8">
        <f>+E8*'VAL 18 - 09'!E8</f>
        <v>94.5</v>
      </c>
      <c r="U8">
        <f>+E8*'VAL 22 -09'!E8</f>
        <v>171</v>
      </c>
      <c r="V8">
        <f>+E8*'VAL 26 - 09'!E8</f>
        <v>232.5</v>
      </c>
      <c r="W8">
        <f>+E8*'VAL 02 - 10'!E8</f>
        <v>286.5</v>
      </c>
      <c r="X8">
        <f>+E8*'VAL 09 - 10'!E8</f>
        <v>156</v>
      </c>
      <c r="Y8">
        <f>+E8*'VL 13 - 10'!E8</f>
        <v>144</v>
      </c>
      <c r="Z8">
        <f>+E8*'VAL 17 - 10'!E8</f>
        <v>198</v>
      </c>
      <c r="AA8">
        <f>+E8*'VAL 20 - 10'!E8</f>
        <v>174</v>
      </c>
      <c r="AB8">
        <f>+E8*'VAL C - 10'!E8</f>
        <v>0</v>
      </c>
      <c r="AC8">
        <f>+E8*'VAL D - 10'!F8</f>
        <v>0</v>
      </c>
      <c r="AD8">
        <f>+E8*'VAL F - 10'!E8</f>
        <v>0</v>
      </c>
      <c r="AF8" s="48" t="s">
        <v>22</v>
      </c>
      <c r="AG8" s="2"/>
      <c r="AH8" s="31">
        <f t="shared" ref="AH8:AZ8" si="7">+G22</f>
        <v>857</v>
      </c>
      <c r="AI8" s="31">
        <f t="shared" si="7"/>
        <v>3</v>
      </c>
      <c r="AJ8" s="31">
        <f t="shared" si="7"/>
        <v>121</v>
      </c>
      <c r="AK8" s="31">
        <f t="shared" si="7"/>
        <v>0</v>
      </c>
      <c r="AL8" s="31">
        <f t="shared" si="7"/>
        <v>348</v>
      </c>
      <c r="AM8" s="31">
        <f t="shared" si="7"/>
        <v>0</v>
      </c>
      <c r="AN8" s="31">
        <f t="shared" si="7"/>
        <v>429</v>
      </c>
      <c r="AO8" s="31">
        <f t="shared" si="7"/>
        <v>492</v>
      </c>
      <c r="AP8" s="31">
        <f t="shared" si="7"/>
        <v>486</v>
      </c>
      <c r="AQ8" s="31">
        <f t="shared" si="7"/>
        <v>342</v>
      </c>
      <c r="AR8" s="31">
        <f t="shared" si="7"/>
        <v>261</v>
      </c>
      <c r="AS8" s="9">
        <f t="shared" si="7"/>
        <v>398</v>
      </c>
      <c r="AT8" s="9">
        <f t="shared" si="7"/>
        <v>225</v>
      </c>
      <c r="AU8" s="9">
        <f t="shared" si="7"/>
        <v>238</v>
      </c>
      <c r="AV8" s="9">
        <f t="shared" si="7"/>
        <v>639</v>
      </c>
      <c r="AW8" s="9">
        <f t="shared" si="7"/>
        <v>708</v>
      </c>
      <c r="AX8" s="9">
        <f t="shared" si="7"/>
        <v>607</v>
      </c>
      <c r="AY8" s="9">
        <f t="shared" si="7"/>
        <v>371</v>
      </c>
      <c r="AZ8" s="9">
        <f t="shared" si="7"/>
        <v>365</v>
      </c>
      <c r="BA8" s="9">
        <f t="shared" ref="BA8:BE8" si="8">+Z22</f>
        <v>483</v>
      </c>
      <c r="BB8" s="9">
        <f t="shared" si="8"/>
        <v>461</v>
      </c>
      <c r="BC8" s="9">
        <f t="shared" si="8"/>
        <v>0</v>
      </c>
      <c r="BD8" s="9">
        <f t="shared" si="8"/>
        <v>0</v>
      </c>
      <c r="BE8" s="9">
        <f t="shared" si="8"/>
        <v>0</v>
      </c>
      <c r="BF8" s="31">
        <f>SUM(Tabla6[[#This Row],[VAL 15- 07]:[VAL 13 - 10]])</f>
        <v>6890</v>
      </c>
      <c r="BG8" s="77">
        <f>AVERAGE(Tabla6[[#This Row],[VAL 15- 07]:[VAL 13 - 10]])</f>
        <v>362.63157894736844</v>
      </c>
    </row>
    <row r="9" spans="2:59" ht="18.5" x14ac:dyDescent="0.45">
      <c r="B9" s="2" t="s">
        <v>9</v>
      </c>
      <c r="C9" s="2" t="s">
        <v>50</v>
      </c>
      <c r="D9" s="2">
        <v>1</v>
      </c>
      <c r="E9" s="2">
        <v>1.5</v>
      </c>
      <c r="F9" s="2"/>
      <c r="G9" s="2">
        <f>+D9*'VAL 24 - 07'!E9</f>
        <v>0</v>
      </c>
      <c r="H9" s="2">
        <f>+D9*'VAL 30-07'!E9</f>
        <v>17</v>
      </c>
      <c r="I9" s="2">
        <f>+D9*'VAL 02- 08'!E9</f>
        <v>0</v>
      </c>
      <c r="J9" s="2">
        <f>+D9*'VAL 05-08'!E9</f>
        <v>0</v>
      </c>
      <c r="K9" s="2">
        <f>+D9*'VAL 07 -08'!E9</f>
        <v>0</v>
      </c>
      <c r="L9" s="2">
        <f>+D9*'VAL 11-08'!E9</f>
        <v>39</v>
      </c>
      <c r="M9" s="2">
        <f>+D9*'VAL 15 - 08'!E9</f>
        <v>27</v>
      </c>
      <c r="N9" s="2">
        <f>+D9*'VAL 19- 08'!E9</f>
        <v>0</v>
      </c>
      <c r="O9" s="2">
        <f>+D9*'VAL 26  - 08'!E9</f>
        <v>0</v>
      </c>
      <c r="P9" s="2">
        <f>+E9*'VAL 03- 09'!E9</f>
        <v>0</v>
      </c>
      <c r="Q9" s="2">
        <f>+E9*'VAL 04 - 09'!E9</f>
        <v>0</v>
      </c>
      <c r="R9">
        <f>+E9*'VAL 11 - 09'!E9</f>
        <v>0</v>
      </c>
      <c r="S9">
        <f>+E9*'VAL 15 - 09'!E9</f>
        <v>0</v>
      </c>
      <c r="T9">
        <f>+E9*'VAL 18 - 09'!E9</f>
        <v>0</v>
      </c>
      <c r="U9">
        <f>+E9*'VAL 22 -09'!E9</f>
        <v>0</v>
      </c>
      <c r="V9">
        <f>+E9*'VAL 26 - 09'!E9</f>
        <v>0</v>
      </c>
      <c r="W9">
        <f>+E9*'VAL 02 - 10'!E9</f>
        <v>0</v>
      </c>
      <c r="X9">
        <f>+E9*'VAL 09 - 10'!E9</f>
        <v>0</v>
      </c>
      <c r="Y9">
        <f>+E9*'VL 13 - 10'!E9</f>
        <v>0</v>
      </c>
      <c r="Z9">
        <f>+E9*'VAL 17 - 10'!E9</f>
        <v>0</v>
      </c>
      <c r="AA9">
        <f>+E9*'VAL 20 - 10'!E9</f>
        <v>0</v>
      </c>
      <c r="AB9">
        <f>+E9*'VAL C - 10'!E9</f>
        <v>0</v>
      </c>
      <c r="AC9">
        <f>+E9*'VAL D - 10'!F9</f>
        <v>0</v>
      </c>
      <c r="AD9">
        <f>+E9*'VAL F - 10'!E9</f>
        <v>0</v>
      </c>
      <c r="AF9" s="48" t="s">
        <v>30</v>
      </c>
      <c r="AG9" s="2"/>
      <c r="AH9" s="31">
        <f t="shared" ref="AH9:AZ9" si="9">+G30</f>
        <v>571</v>
      </c>
      <c r="AI9" s="31">
        <f t="shared" si="9"/>
        <v>0</v>
      </c>
      <c r="AJ9" s="31">
        <f t="shared" si="9"/>
        <v>228</v>
      </c>
      <c r="AK9" s="31">
        <f t="shared" si="9"/>
        <v>0</v>
      </c>
      <c r="AL9" s="31">
        <f t="shared" si="9"/>
        <v>510</v>
      </c>
      <c r="AM9" s="31">
        <f t="shared" si="9"/>
        <v>714</v>
      </c>
      <c r="AN9" s="31">
        <f t="shared" si="9"/>
        <v>0</v>
      </c>
      <c r="AO9" s="31">
        <f t="shared" si="9"/>
        <v>561</v>
      </c>
      <c r="AP9" s="31">
        <f t="shared" si="9"/>
        <v>501</v>
      </c>
      <c r="AQ9" s="31">
        <f t="shared" si="9"/>
        <v>0</v>
      </c>
      <c r="AR9" s="31">
        <f t="shared" si="9"/>
        <v>0</v>
      </c>
      <c r="AS9" s="9">
        <f t="shared" si="9"/>
        <v>651</v>
      </c>
      <c r="AT9" s="9">
        <f t="shared" si="9"/>
        <v>428</v>
      </c>
      <c r="AU9" s="9">
        <f t="shared" si="9"/>
        <v>479</v>
      </c>
      <c r="AV9" s="9">
        <f t="shared" si="9"/>
        <v>422</v>
      </c>
      <c r="AW9" s="9">
        <f t="shared" si="9"/>
        <v>637</v>
      </c>
      <c r="AX9" s="9">
        <f t="shared" si="9"/>
        <v>440</v>
      </c>
      <c r="AY9" s="9">
        <f t="shared" si="9"/>
        <v>263</v>
      </c>
      <c r="AZ9" s="9">
        <f t="shared" si="9"/>
        <v>271</v>
      </c>
      <c r="BA9" s="9">
        <f t="shared" ref="BA9:BE9" si="10">+Z30</f>
        <v>337</v>
      </c>
      <c r="BB9" s="9">
        <f t="shared" si="10"/>
        <v>302</v>
      </c>
      <c r="BC9" s="9">
        <f t="shared" si="10"/>
        <v>0</v>
      </c>
      <c r="BD9" s="9">
        <f t="shared" si="10"/>
        <v>0</v>
      </c>
      <c r="BE9" s="9">
        <f t="shared" si="10"/>
        <v>0</v>
      </c>
      <c r="BF9" s="31">
        <f>SUM(Tabla6[[#This Row],[VAL 15- 07]:[VAL 13 - 10]])</f>
        <v>6676</v>
      </c>
      <c r="BG9" s="77">
        <f>AVERAGE(Tabla6[[#This Row],[VAL 15- 07]:[VAL 13 - 10]])</f>
        <v>351.36842105263156</v>
      </c>
    </row>
    <row r="10" spans="2:59" ht="18.5" x14ac:dyDescent="0.45">
      <c r="B10" s="2" t="s">
        <v>10</v>
      </c>
      <c r="C10" s="2"/>
      <c r="D10" s="2"/>
      <c r="E10" s="2"/>
      <c r="F10" s="2"/>
      <c r="G10" s="43">
        <f>SUM(G11:G21)</f>
        <v>1337</v>
      </c>
      <c r="H10" s="43">
        <f t="shared" ref="H10:O10" si="11">SUM(H11:H21)</f>
        <v>574</v>
      </c>
      <c r="I10" s="43">
        <f t="shared" si="11"/>
        <v>586</v>
      </c>
      <c r="J10" s="43">
        <f t="shared" si="11"/>
        <v>416</v>
      </c>
      <c r="K10" s="43">
        <f>SUM(K11:K21)</f>
        <v>15</v>
      </c>
      <c r="L10" s="43">
        <f t="shared" si="11"/>
        <v>743</v>
      </c>
      <c r="M10" s="43">
        <f t="shared" si="11"/>
        <v>750</v>
      </c>
      <c r="N10" s="43">
        <f t="shared" si="11"/>
        <v>895</v>
      </c>
      <c r="O10" s="43">
        <f t="shared" si="11"/>
        <v>834</v>
      </c>
      <c r="P10" s="43">
        <f t="shared" ref="P10:U10" si="12">SUM(P11:P21)</f>
        <v>0</v>
      </c>
      <c r="Q10" s="43">
        <f t="shared" si="12"/>
        <v>555</v>
      </c>
      <c r="R10" s="43">
        <f t="shared" si="12"/>
        <v>845</v>
      </c>
      <c r="S10" s="43">
        <f t="shared" si="12"/>
        <v>610</v>
      </c>
      <c r="T10" s="43">
        <f t="shared" si="12"/>
        <v>400</v>
      </c>
      <c r="U10" s="43">
        <f t="shared" si="12"/>
        <v>1068</v>
      </c>
      <c r="V10" s="43">
        <f t="shared" ref="V10:AD10" si="13">SUM(V11:V21)</f>
        <v>961</v>
      </c>
      <c r="W10" s="43">
        <f t="shared" si="13"/>
        <v>1143</v>
      </c>
      <c r="X10" s="43">
        <f t="shared" si="13"/>
        <v>553</v>
      </c>
      <c r="Y10" s="43">
        <f t="shared" si="13"/>
        <v>627</v>
      </c>
      <c r="Z10" s="43">
        <f t="shared" si="13"/>
        <v>744</v>
      </c>
      <c r="AA10" s="43">
        <f t="shared" si="13"/>
        <v>702</v>
      </c>
      <c r="AB10" s="43">
        <f t="shared" si="13"/>
        <v>0</v>
      </c>
      <c r="AC10" s="43">
        <f t="shared" si="13"/>
        <v>0</v>
      </c>
      <c r="AD10" s="43">
        <f t="shared" si="13"/>
        <v>0</v>
      </c>
      <c r="AF10" s="48" t="s">
        <v>36</v>
      </c>
      <c r="AG10" s="2"/>
      <c r="AH10" s="31">
        <f t="shared" ref="AH10:AZ10" si="14">+G37</f>
        <v>265</v>
      </c>
      <c r="AI10" s="31">
        <f t="shared" si="14"/>
        <v>0</v>
      </c>
      <c r="AJ10" s="31">
        <f t="shared" si="14"/>
        <v>0</v>
      </c>
      <c r="AK10" s="31">
        <f t="shared" si="14"/>
        <v>425</v>
      </c>
      <c r="AL10" s="31">
        <f t="shared" si="14"/>
        <v>280</v>
      </c>
      <c r="AM10" s="31">
        <f t="shared" si="14"/>
        <v>330</v>
      </c>
      <c r="AN10" s="31">
        <f t="shared" si="14"/>
        <v>225</v>
      </c>
      <c r="AO10" s="31">
        <f t="shared" si="14"/>
        <v>0</v>
      </c>
      <c r="AP10" s="31">
        <f t="shared" si="14"/>
        <v>110</v>
      </c>
      <c r="AQ10" s="31">
        <f t="shared" si="14"/>
        <v>0</v>
      </c>
      <c r="AR10" s="31">
        <f t="shared" si="14"/>
        <v>0</v>
      </c>
      <c r="AS10" s="9">
        <f t="shared" si="14"/>
        <v>240</v>
      </c>
      <c r="AT10" s="9">
        <f t="shared" si="14"/>
        <v>190</v>
      </c>
      <c r="AU10" s="9">
        <f t="shared" si="14"/>
        <v>175</v>
      </c>
      <c r="AV10" s="9">
        <f t="shared" si="14"/>
        <v>180</v>
      </c>
      <c r="AW10" s="9">
        <f t="shared" si="14"/>
        <v>190</v>
      </c>
      <c r="AX10" s="9">
        <f t="shared" si="14"/>
        <v>170</v>
      </c>
      <c r="AY10" s="9">
        <f t="shared" si="14"/>
        <v>120</v>
      </c>
      <c r="AZ10" s="9">
        <f t="shared" si="14"/>
        <v>95</v>
      </c>
      <c r="BA10" s="9">
        <f t="shared" ref="BA10:BE10" si="15">+Z37</f>
        <v>140</v>
      </c>
      <c r="BB10" s="9">
        <f t="shared" si="15"/>
        <v>70</v>
      </c>
      <c r="BC10" s="9">
        <f t="shared" si="15"/>
        <v>0</v>
      </c>
      <c r="BD10" s="9">
        <f t="shared" si="15"/>
        <v>0</v>
      </c>
      <c r="BE10" s="9">
        <f t="shared" si="15"/>
        <v>0</v>
      </c>
      <c r="BF10" s="31">
        <f>SUM(Tabla6[[#This Row],[VAL 15- 07]:[VAL 13 - 10]])</f>
        <v>2995</v>
      </c>
      <c r="BG10" s="77">
        <f>AVERAGE(Tabla6[[#This Row],[VAL 15- 07]:[VAL 13 - 10]])</f>
        <v>157.63157894736841</v>
      </c>
    </row>
    <row r="11" spans="2:59" ht="18.5" x14ac:dyDescent="0.45">
      <c r="B11" s="2" t="s">
        <v>11</v>
      </c>
      <c r="C11" s="2" t="s">
        <v>50</v>
      </c>
      <c r="D11" s="2">
        <v>3</v>
      </c>
      <c r="E11" s="2">
        <v>3</v>
      </c>
      <c r="F11" s="2"/>
      <c r="G11" s="2">
        <f>+D11*'VAL 24 - 07'!E11</f>
        <v>402</v>
      </c>
      <c r="H11" s="2">
        <f>+D11*'VAL 30-07'!E11</f>
        <v>504</v>
      </c>
      <c r="I11" s="2">
        <f>+D11*'VAL 02- 08'!E11</f>
        <v>171</v>
      </c>
      <c r="J11" s="2">
        <f>+D11*'VAL 05-08'!E11</f>
        <v>321</v>
      </c>
      <c r="K11" s="2">
        <f>+D11*'VAL 07 -08'!E11</f>
        <v>0</v>
      </c>
      <c r="L11" s="2">
        <f>+D11*'VAL 11-08'!E11</f>
        <v>618</v>
      </c>
      <c r="M11" s="2">
        <f>+D11*'VAL 15 - 08'!E11</f>
        <v>0</v>
      </c>
      <c r="N11" s="2">
        <f>+D11*'VAL 19- 08'!E11</f>
        <v>0</v>
      </c>
      <c r="O11" s="2">
        <f>+D11*'VAL 26  - 08'!E11</f>
        <v>249</v>
      </c>
      <c r="P11" s="2">
        <f>+E11*'VAL 03- 09'!E11</f>
        <v>0</v>
      </c>
      <c r="Q11" s="2">
        <f>+E11*'VAL 04 - 09'!E11</f>
        <v>0</v>
      </c>
      <c r="R11">
        <f>+E11*'VAL 11 - 09'!E11</f>
        <v>0</v>
      </c>
      <c r="S11">
        <f>+E11*'VAL 15 - 09'!E11</f>
        <v>0</v>
      </c>
      <c r="T11">
        <f>+E11*'VAL 18 - 09'!E11</f>
        <v>300</v>
      </c>
      <c r="U11">
        <f>+E11*'VAL 22 -09'!E11</f>
        <v>348</v>
      </c>
      <c r="V11">
        <f>+E11*'VAL 26 - 09'!E11</f>
        <v>381</v>
      </c>
      <c r="W11">
        <f>+E11*'VAL 02 - 10'!E11</f>
        <v>393</v>
      </c>
      <c r="X11">
        <f>+E11*'VAL 09 - 10'!E11</f>
        <v>183</v>
      </c>
      <c r="Y11">
        <f>+E11*'VL 13 - 10'!E11</f>
        <v>237</v>
      </c>
      <c r="Z11">
        <f>+E11*'VAL 17 - 10'!E11</f>
        <v>234</v>
      </c>
      <c r="AA11">
        <f>+E11*'VAL 20 - 10'!E11</f>
        <v>267</v>
      </c>
      <c r="AB11">
        <f>+E11*'VAL C - 10'!E11</f>
        <v>0</v>
      </c>
      <c r="AC11">
        <f>+E11*'VAL D - 10'!E11</f>
        <v>0</v>
      </c>
      <c r="AD11">
        <f>+E11*'VAL F - 10'!E11</f>
        <v>0</v>
      </c>
      <c r="AF11" s="54" t="s">
        <v>43</v>
      </c>
      <c r="AG11" s="3">
        <v>1557.9</v>
      </c>
      <c r="AH11" s="73">
        <f t="shared" ref="AH11:AM11" si="16">+G44</f>
        <v>0</v>
      </c>
      <c r="AI11" s="73">
        <f t="shared" si="16"/>
        <v>565</v>
      </c>
      <c r="AJ11" s="73">
        <f t="shared" si="16"/>
        <v>0</v>
      </c>
      <c r="AK11" s="73">
        <f t="shared" si="16"/>
        <v>935</v>
      </c>
      <c r="AL11" s="73">
        <f t="shared" si="16"/>
        <v>15</v>
      </c>
      <c r="AM11" s="73">
        <f t="shared" si="16"/>
        <v>675</v>
      </c>
      <c r="AN11" s="73">
        <f t="shared" ref="AN11" si="17">+AE44</f>
        <v>0</v>
      </c>
      <c r="AO11" s="73">
        <f t="shared" ref="AO11:AT11" si="18">+N44</f>
        <v>855</v>
      </c>
      <c r="AP11" s="73">
        <f t="shared" si="18"/>
        <v>374</v>
      </c>
      <c r="AQ11" s="73">
        <f t="shared" si="18"/>
        <v>511.5</v>
      </c>
      <c r="AR11" s="73">
        <f t="shared" si="18"/>
        <v>594</v>
      </c>
      <c r="AS11" s="74">
        <f t="shared" si="18"/>
        <v>720.5</v>
      </c>
      <c r="AT11" s="74">
        <f t="shared" si="18"/>
        <v>0</v>
      </c>
      <c r="AU11" s="74">
        <f t="shared" ref="AU11:AV11" si="19">+T44</f>
        <v>434.5</v>
      </c>
      <c r="AV11" s="74">
        <f t="shared" si="19"/>
        <v>533.5</v>
      </c>
      <c r="AW11" s="74">
        <f t="shared" ref="AW11" si="20">+V44</f>
        <v>434.5</v>
      </c>
      <c r="AX11" s="74">
        <f t="shared" ref="AX11" si="21">+W44</f>
        <v>517</v>
      </c>
      <c r="AY11" s="74">
        <f t="shared" ref="AY11" si="22">+X44</f>
        <v>280.5</v>
      </c>
      <c r="AZ11" s="74">
        <f t="shared" ref="AZ11" si="23">+Y44</f>
        <v>324.5</v>
      </c>
      <c r="BA11" s="74">
        <f t="shared" ref="BA11" si="24">+Z44</f>
        <v>396</v>
      </c>
      <c r="BB11" s="74">
        <f t="shared" ref="BB11" si="25">+AA44</f>
        <v>341</v>
      </c>
      <c r="BC11" s="74">
        <f t="shared" ref="BC11" si="26">+AB44</f>
        <v>0</v>
      </c>
      <c r="BD11" s="74">
        <f t="shared" ref="BD11" si="27">+AC44</f>
        <v>0</v>
      </c>
      <c r="BE11" s="74">
        <f t="shared" ref="BE11" si="28">+AD44</f>
        <v>0</v>
      </c>
      <c r="BF11" s="73">
        <f>SUM(Tabla6[[#This Row],[VAL 15- 07]:[VAL 13 - 10]])</f>
        <v>9327.4</v>
      </c>
      <c r="BG11" s="78">
        <f>AVERAGE(Tabla6[[#This Row],[VAL 15- 07]:[VAL 13 - 10]])</f>
        <v>466.37</v>
      </c>
    </row>
    <row r="12" spans="2:59" ht="18.5" x14ac:dyDescent="0.45">
      <c r="B12" s="2" t="s">
        <v>12</v>
      </c>
      <c r="C12" s="2" t="s">
        <v>50</v>
      </c>
      <c r="D12" s="2">
        <v>5</v>
      </c>
      <c r="E12" s="2">
        <v>5</v>
      </c>
      <c r="F12" s="2"/>
      <c r="G12" s="2">
        <f>+D12*'VAL 24 - 07'!E12</f>
        <v>65</v>
      </c>
      <c r="H12" s="2">
        <f>+D12*'VAL 30-07'!E12</f>
        <v>0</v>
      </c>
      <c r="I12" s="2">
        <f>+D12*'VAL 02- 08'!E12</f>
        <v>40</v>
      </c>
      <c r="J12" s="2">
        <f>+D12*'VAL 05-08'!E12</f>
        <v>0</v>
      </c>
      <c r="K12" s="2">
        <f>+D12*'VAL 07 -08'!E12</f>
        <v>0</v>
      </c>
      <c r="L12" s="2">
        <f>+D12*'VAL 11-08'!E12</f>
        <v>0</v>
      </c>
      <c r="M12" s="2">
        <f>+D12*'VAL 15 - 08'!E12</f>
        <v>55</v>
      </c>
      <c r="N12" s="2">
        <f>+D12*'VAL 19- 08'!E12</f>
        <v>105</v>
      </c>
      <c r="O12" s="2">
        <f>+D12*'VAL 26  - 08'!E12</f>
        <v>35</v>
      </c>
      <c r="P12" s="2">
        <f>+E12*'VAL 03- 09'!E12</f>
        <v>0</v>
      </c>
      <c r="Q12" s="2">
        <f>+E12*'VAL 04 - 09'!E12</f>
        <v>65</v>
      </c>
      <c r="R12">
        <f>+E12*'VAL 11 - 09'!E12</f>
        <v>80</v>
      </c>
      <c r="S12">
        <f>+E12*'VAL 15 - 09'!E12</f>
        <v>50</v>
      </c>
      <c r="T12">
        <f>+E12*'VAL 18 - 09'!E12</f>
        <v>0</v>
      </c>
      <c r="U12">
        <f>+E12*'VAL 22 -09'!E12</f>
        <v>70</v>
      </c>
      <c r="V12">
        <f>+E12*'VAL 26 - 09'!E12</f>
        <v>50</v>
      </c>
      <c r="W12">
        <f>+E12*'VAL 02 - 10'!E12</f>
        <v>40</v>
      </c>
      <c r="X12">
        <f>+E12*'VAL 09 - 10'!E12</f>
        <v>40</v>
      </c>
      <c r="Y12">
        <f>+E12*'VL 13 - 10'!E12</f>
        <v>30</v>
      </c>
      <c r="Z12">
        <f>+E12*'VAL 17 - 10'!E12</f>
        <v>65</v>
      </c>
      <c r="AA12">
        <f>+E12*'VAL 20 - 10'!E12</f>
        <v>40</v>
      </c>
      <c r="AB12">
        <f>+E12*'VAL C - 10'!E12</f>
        <v>0</v>
      </c>
      <c r="AC12">
        <f>+E12*'VAL D - 10'!E12</f>
        <v>0</v>
      </c>
      <c r="AD12">
        <f>+E12*'VAL F - 10'!E12</f>
        <v>0</v>
      </c>
      <c r="AF12" s="54" t="s">
        <v>118</v>
      </c>
      <c r="AG12" s="74">
        <f>SUBTOTAL(109,Tabla6[VAL 15- 07])</f>
        <v>1557.9</v>
      </c>
      <c r="AH12" s="74">
        <f>SUBTOTAL(109,Tabla6[VAL 24- 07])</f>
        <v>3316</v>
      </c>
      <c r="AI12" s="74">
        <f>SUBTOTAL(109,Tabla6[VAL 30-07])</f>
        <v>1598</v>
      </c>
      <c r="AJ12" s="74">
        <f>SUBTOTAL(109,Tabla6[VAL 02-08])</f>
        <v>1127</v>
      </c>
      <c r="AK12" s="74">
        <f>SUBTOTAL(109,Tabla6[VAL 05-08])</f>
        <v>1781</v>
      </c>
      <c r="AL12" s="74">
        <f>SUBTOTAL(109,Tabla6[VAL 07-09])</f>
        <v>1865</v>
      </c>
      <c r="AM12" s="74">
        <f>SUBTOTAL(109,Tabla6[VAL 11-08])</f>
        <v>3235</v>
      </c>
      <c r="AN12" s="74">
        <f>SUBTOTAL(109,Tabla6[VAL 15-08])</f>
        <v>1950</v>
      </c>
      <c r="AO12" s="74">
        <f>SUBTOTAL(109,Tabla6[VAL 19-08])</f>
        <v>3605</v>
      </c>
      <c r="AP12" s="74">
        <f>SUBTOTAL(109,Tabla6[VAL 26-08])</f>
        <v>3071</v>
      </c>
      <c r="AQ12" s="74">
        <f>SUBTOTAL(109,Tabla6[VAL 03-09])</f>
        <v>1653.4</v>
      </c>
      <c r="AR12" s="74">
        <f>SUBTOTAL(109,Tabla6[VAL 04-09])</f>
        <v>1850.1</v>
      </c>
      <c r="AS12" s="74">
        <f>SUBTOTAL(109,Tabla6[VAL 11-09])</f>
        <v>3174.6</v>
      </c>
      <c r="AT12" s="74">
        <f>SUBTOTAL(109,Tabla6[VAL 15-09])</f>
        <v>1789.5</v>
      </c>
      <c r="AU12" s="74">
        <f>SUBTOTAL(109,Tabla6[VAL 18 - 09])</f>
        <v>2184</v>
      </c>
      <c r="AV12" s="74">
        <f>SUBTOTAL(109,Tabla6[VAL 22 - 09])</f>
        <v>3703.5</v>
      </c>
      <c r="AW12" s="74">
        <f>SUBTOTAL(109,Tabla6[VAL 26 - 09])</f>
        <v>3716.3</v>
      </c>
      <c r="AX12" s="74">
        <f>SUBTOTAL(109,Tabla6[VAL 02 - 10])</f>
        <v>4176.7</v>
      </c>
      <c r="AY12" s="74">
        <f>SUBTOTAL(109,Tabla6[VAL 09 - 10])</f>
        <v>2340.1</v>
      </c>
      <c r="AZ12" s="74">
        <f>SUBTOTAL(109,Tabla6[VAL 13 - 10])</f>
        <v>2295.6</v>
      </c>
      <c r="BA12" s="74">
        <f>SUBTOTAL(109,Tabla6[VAL 17 - 10])</f>
        <v>2940.9</v>
      </c>
      <c r="BB12" s="74">
        <f>SUBTOTAL(109,Tabla6[VAL B - 10])</f>
        <v>2644.5</v>
      </c>
      <c r="BC12" s="74">
        <f>SUBTOTAL(109,Tabla6[VAL C - 10])</f>
        <v>0</v>
      </c>
      <c r="BD12" s="74">
        <f>SUBTOTAL(109,Tabla6[VAL D - 10])</f>
        <v>0</v>
      </c>
      <c r="BE12" s="74">
        <f>SUBTOTAL(109,Tabla6[VAL F - 10])</f>
        <v>0</v>
      </c>
      <c r="BF12" s="74">
        <f>SUBTOTAL(109,Tabla6[SUBTOTAL])</f>
        <v>49989.700000000004</v>
      </c>
      <c r="BG12" s="79">
        <f>SUBTOTAL(101,Tabla6[PRO/LUGAR])</f>
        <v>434.41517543859646</v>
      </c>
    </row>
    <row r="13" spans="2:59" x14ac:dyDescent="0.35">
      <c r="B13" s="2" t="s">
        <v>13</v>
      </c>
      <c r="C13" s="2" t="s">
        <v>50</v>
      </c>
      <c r="D13" s="2">
        <v>5</v>
      </c>
      <c r="E13" s="2">
        <v>5</v>
      </c>
      <c r="F13" s="2"/>
      <c r="G13" s="2">
        <f>+D13*'VAL 24 - 07'!E13</f>
        <v>95</v>
      </c>
      <c r="H13" s="2">
        <f>+D13*'VAL 30-07'!E13</f>
        <v>0</v>
      </c>
      <c r="I13" s="2">
        <f>+D13*'VAL 02- 08'!E13</f>
        <v>35</v>
      </c>
      <c r="J13" s="2">
        <f>+D13*'VAL 05-08'!E13</f>
        <v>0</v>
      </c>
      <c r="K13" s="2">
        <f>+D13*'VAL 07 -08'!E13</f>
        <v>0</v>
      </c>
      <c r="L13" s="2">
        <f>+D13*'VAL 11-08'!E13</f>
        <v>0</v>
      </c>
      <c r="M13" s="2">
        <f>+D13*'VAL 15 - 08'!E13</f>
        <v>110</v>
      </c>
      <c r="N13" s="2">
        <f>+D13*'VAL 19- 08'!E13</f>
        <v>70</v>
      </c>
      <c r="O13" s="2">
        <f>+D13*'VAL 26  - 08'!E13</f>
        <v>50</v>
      </c>
      <c r="P13" s="2">
        <f>+E13*'VAL 03- 09'!E13</f>
        <v>0</v>
      </c>
      <c r="Q13" s="2">
        <f>+E13*'VAL 04 - 09'!E13</f>
        <v>45</v>
      </c>
      <c r="R13">
        <f>+E13*'VAL 11 - 09'!E13</f>
        <v>140</v>
      </c>
      <c r="S13">
        <f>+E13*'VAL 15 - 09'!E13</f>
        <v>80</v>
      </c>
      <c r="T13">
        <f>+E13*'VAL 18 - 09'!E13</f>
        <v>0</v>
      </c>
      <c r="U13">
        <f>+E13*'VAL 22 -09'!E13</f>
        <v>85</v>
      </c>
      <c r="V13">
        <f>+E13*'VAL 26 - 09'!E13</f>
        <v>80</v>
      </c>
      <c r="W13">
        <f>+E13*'VAL 02 - 10'!E13</f>
        <v>45</v>
      </c>
      <c r="X13">
        <f>+E13*'VAL 09 - 10'!E13</f>
        <v>15</v>
      </c>
      <c r="Y13">
        <f>+E13*'VL 13 - 10'!E13</f>
        <v>50</v>
      </c>
      <c r="Z13">
        <f>+E13*'VAL 17 - 10'!E13</f>
        <v>40</v>
      </c>
      <c r="AA13">
        <f>+E13*'VAL 20 - 10'!E13</f>
        <v>30</v>
      </c>
      <c r="AB13">
        <f>+E13*'VAL C - 10'!E13</f>
        <v>0</v>
      </c>
      <c r="AC13">
        <f>+E13*'VAL D - 10'!E13</f>
        <v>0</v>
      </c>
      <c r="AD13">
        <f>+E13*'VAL F - 10'!E13</f>
        <v>0</v>
      </c>
    </row>
    <row r="14" spans="2:59" ht="18.5" x14ac:dyDescent="0.45">
      <c r="B14" s="2" t="s">
        <v>14</v>
      </c>
      <c r="C14" s="2" t="s">
        <v>50</v>
      </c>
      <c r="D14" s="2">
        <v>5</v>
      </c>
      <c r="E14" s="2">
        <v>5</v>
      </c>
      <c r="F14" s="2"/>
      <c r="G14" s="2">
        <f>+D14*'VAL 24 - 07'!E14</f>
        <v>30</v>
      </c>
      <c r="H14" s="2">
        <f>+D14*'VAL 30-07'!E14</f>
        <v>0</v>
      </c>
      <c r="I14" s="2">
        <f>+D14*'VAL 02- 08'!E14</f>
        <v>10</v>
      </c>
      <c r="J14" s="2">
        <f>+D14*'VAL 05-08'!E14</f>
        <v>0</v>
      </c>
      <c r="K14" s="2">
        <f>+D14*'VAL 07 -08'!E14</f>
        <v>0</v>
      </c>
      <c r="L14" s="2">
        <f>+D14*'VAL 11-08'!E14</f>
        <v>0</v>
      </c>
      <c r="M14" s="2">
        <f>+D14*'VAL 15 - 08'!E14</f>
        <v>35</v>
      </c>
      <c r="N14" s="2">
        <f>+D14*'VAL 19- 08'!E14</f>
        <v>55</v>
      </c>
      <c r="O14" s="2">
        <f>+D14*'VAL 26  - 08'!E14</f>
        <v>25</v>
      </c>
      <c r="P14" s="2">
        <f>+E14*'VAL 03- 09'!E14</f>
        <v>0</v>
      </c>
      <c r="Q14" s="2">
        <f>+E14*'VAL 04 - 09'!E14</f>
        <v>15</v>
      </c>
      <c r="R14">
        <f>+E14*'VAL 11 - 09'!E14</f>
        <v>50</v>
      </c>
      <c r="S14">
        <f>+E14*'VAL 15 - 09'!E14</f>
        <v>25</v>
      </c>
      <c r="T14">
        <f>+E14*'VAL 18 - 09'!E14</f>
        <v>0</v>
      </c>
      <c r="U14">
        <f>+E14*'VAL 22 -09'!E14</f>
        <v>25</v>
      </c>
      <c r="V14">
        <f>+E14*'VAL 26 - 09'!E14</f>
        <v>25</v>
      </c>
      <c r="W14">
        <f>+E14*'VAL 02 - 10'!E14</f>
        <v>5</v>
      </c>
      <c r="X14">
        <f>+E14*'VAL 09 - 10'!E14</f>
        <v>15</v>
      </c>
      <c r="Y14">
        <f>+E14*'VL 13 - 10'!E14</f>
        <v>0</v>
      </c>
      <c r="Z14">
        <f>+E14*'VAL 17 - 10'!E14</f>
        <v>10</v>
      </c>
      <c r="AA14">
        <f>+E14*'VAL 20 - 10'!E14</f>
        <v>20</v>
      </c>
      <c r="AB14">
        <f>+E14*'VAL C - 10'!E14</f>
        <v>0</v>
      </c>
      <c r="AC14">
        <f>+E14*'VAL D - 10'!E14</f>
        <v>0</v>
      </c>
      <c r="AD14">
        <f>+E14*'VAL F - 10'!E14</f>
        <v>0</v>
      </c>
      <c r="BF14" s="18"/>
    </row>
    <row r="15" spans="2:59" ht="18.5" x14ac:dyDescent="0.45">
      <c r="B15" s="2" t="s">
        <v>15</v>
      </c>
      <c r="C15" s="2" t="s">
        <v>50</v>
      </c>
      <c r="D15" s="2">
        <v>5</v>
      </c>
      <c r="E15" s="2">
        <v>5</v>
      </c>
      <c r="F15" s="2"/>
      <c r="G15" s="2">
        <f>+D15*'VAL 24 - 07'!E15</f>
        <v>0</v>
      </c>
      <c r="H15" s="2">
        <f>+D15*'VAL 30-07'!E15</f>
        <v>0</v>
      </c>
      <c r="I15" s="2">
        <f>+D15*'VAL 02- 08'!E15</f>
        <v>0</v>
      </c>
      <c r="J15" s="2">
        <f>+D15*'VAL 05-08'!E15</f>
        <v>0</v>
      </c>
      <c r="K15" s="2">
        <f>+D15*'VAL 07 -08'!E15</f>
        <v>15</v>
      </c>
      <c r="L15" s="2">
        <f>+D15*'VAL 11-08'!E15</f>
        <v>10</v>
      </c>
      <c r="M15" s="2">
        <f>+D15*'VAL 15 - 08'!E15</f>
        <v>0</v>
      </c>
      <c r="N15" s="2">
        <f>+D15*'VAL 19- 08'!E15</f>
        <v>0</v>
      </c>
      <c r="O15" s="2">
        <f>+D15*'VAL 26  - 08'!E15</f>
        <v>5</v>
      </c>
      <c r="P15" s="2">
        <f>+E15*'VAL 03- 09'!E15</f>
        <v>0</v>
      </c>
      <c r="Q15" s="2">
        <f>+E15*'VAL 04 - 09'!E15</f>
        <v>0</v>
      </c>
      <c r="R15">
        <f>+E15*'VAL 11 - 09'!E15</f>
        <v>0</v>
      </c>
      <c r="S15">
        <f>+E15*'VAL 15 - 09'!E15</f>
        <v>0</v>
      </c>
      <c r="T15">
        <f>+E15*'VAL 18 - 09'!E15</f>
        <v>5</v>
      </c>
      <c r="U15">
        <f>+E15*'VAL 22 -09'!E15</f>
        <v>5</v>
      </c>
      <c r="V15">
        <f>+E15*'VAL 26 - 09'!E15</f>
        <v>0</v>
      </c>
      <c r="W15">
        <f>+E15*'VAL 02 - 10'!E15</f>
        <v>0</v>
      </c>
      <c r="X15">
        <f>+E15*'VAL 09 - 10'!E15</f>
        <v>0</v>
      </c>
      <c r="Y15">
        <f>+E15*'VL 13 - 10'!E15</f>
        <v>0</v>
      </c>
      <c r="Z15">
        <f>+E15*'VAL 17 - 10'!E15</f>
        <v>0</v>
      </c>
      <c r="AA15">
        <f>+E15*'VAL 20 - 10'!E15</f>
        <v>15</v>
      </c>
      <c r="AB15">
        <f>+E15*'VAL C - 10'!E15</f>
        <v>0</v>
      </c>
      <c r="AC15">
        <f>+E15*'VAL D - 10'!E15</f>
        <v>0</v>
      </c>
      <c r="AD15">
        <f>+E15*'VAL F - 10'!E15</f>
        <v>0</v>
      </c>
      <c r="AG15" s="13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2:59" x14ac:dyDescent="0.35">
      <c r="B16" s="2" t="s">
        <v>16</v>
      </c>
      <c r="C16" s="2" t="s">
        <v>50</v>
      </c>
      <c r="D16" s="2">
        <v>5</v>
      </c>
      <c r="E16" s="2">
        <v>5</v>
      </c>
      <c r="F16" s="2"/>
      <c r="G16" s="2">
        <f>+D16*'VAL 24 - 07'!E16</f>
        <v>155</v>
      </c>
      <c r="H16" s="2">
        <f>+D16*'VAL 30-07'!E16</f>
        <v>0</v>
      </c>
      <c r="I16" s="2">
        <f>+D16*'VAL 02- 08'!E16</f>
        <v>55</v>
      </c>
      <c r="J16" s="2">
        <f>+D16*'VAL 05-08'!E16</f>
        <v>0</v>
      </c>
      <c r="K16" s="2">
        <f>+D16*'VAL 07 -08'!E16</f>
        <v>0</v>
      </c>
      <c r="L16" s="2">
        <f>+D16*'VAL 11-08'!E16</f>
        <v>0</v>
      </c>
      <c r="M16" s="2">
        <f>+D16*'VAL 15 - 08'!E16</f>
        <v>115</v>
      </c>
      <c r="N16" s="2">
        <f>+D16*'VAL 19- 08'!E16</f>
        <v>155</v>
      </c>
      <c r="O16" s="2">
        <f>+D16*'VAL 26  - 08'!E16</f>
        <v>45</v>
      </c>
      <c r="P16" s="2">
        <f>+E16*'VAL 03- 09'!E16</f>
        <v>0</v>
      </c>
      <c r="Q16" s="2">
        <f>+E16*'VAL 04 - 09'!E16</f>
        <v>120</v>
      </c>
      <c r="R16">
        <f>+E16*'VAL 11 - 09'!E16</f>
        <v>105</v>
      </c>
      <c r="S16">
        <f>+E16*'VAL 15 - 09'!E16</f>
        <v>80</v>
      </c>
      <c r="T16">
        <f>+E16*'VAL 18 - 09'!E16</f>
        <v>0</v>
      </c>
      <c r="U16">
        <f>+E16*'VAL 22 -09'!E16</f>
        <v>100</v>
      </c>
      <c r="V16">
        <f>+E16*'VAL 26 - 09'!E16</f>
        <v>110</v>
      </c>
      <c r="W16">
        <f>+E16*'VAL 02 - 10'!E16</f>
        <v>110</v>
      </c>
      <c r="X16">
        <f>+E16*'VAL 09 - 10'!E16</f>
        <v>105</v>
      </c>
      <c r="Y16">
        <f>+E16*'VL 13 - 10'!E16</f>
        <v>60</v>
      </c>
      <c r="Z16">
        <f>+E16*'VAL 17 - 10'!E16</f>
        <v>55</v>
      </c>
      <c r="AA16">
        <f>+E16*'VAL 20 - 10'!E16</f>
        <v>75</v>
      </c>
      <c r="AB16">
        <f>+E16*'VAL C - 10'!E16</f>
        <v>0</v>
      </c>
      <c r="AC16">
        <f>+E16*'VAL D - 10'!E16</f>
        <v>0</v>
      </c>
      <c r="AD16">
        <f>+E16*'VAL F - 10'!E16</f>
        <v>0</v>
      </c>
    </row>
    <row r="17" spans="2:30" x14ac:dyDescent="0.35">
      <c r="B17" s="2" t="s">
        <v>17</v>
      </c>
      <c r="C17" s="2" t="s">
        <v>50</v>
      </c>
      <c r="D17" s="2">
        <v>5</v>
      </c>
      <c r="E17" s="2">
        <v>5</v>
      </c>
      <c r="F17" s="2"/>
      <c r="G17" s="2">
        <f>+D17*'VAL 24 - 07'!E17</f>
        <v>20</v>
      </c>
      <c r="H17" s="2">
        <f>+D17*'VAL 30-07'!E17</f>
        <v>0</v>
      </c>
      <c r="I17" s="2">
        <f>+D17*'VAL 02- 08'!E17</f>
        <v>25</v>
      </c>
      <c r="J17" s="2">
        <f>+D17*'VAL 05-08'!E17</f>
        <v>0</v>
      </c>
      <c r="K17" s="2">
        <f>+D17*'VAL 07 -08'!E17</f>
        <v>0</v>
      </c>
      <c r="L17" s="2">
        <f>+D17*'VAL 11-08'!E17</f>
        <v>0</v>
      </c>
      <c r="M17" s="2">
        <f>+D17*'VAL 15 - 08'!E17</f>
        <v>20</v>
      </c>
      <c r="N17" s="2">
        <f>+D17*'VAL 19- 08'!E17</f>
        <v>45</v>
      </c>
      <c r="O17" s="2">
        <f>+D17*'VAL 26  - 08'!E17</f>
        <v>5</v>
      </c>
      <c r="P17" s="2">
        <f>+E17*'VAL 03- 09'!E17</f>
        <v>0</v>
      </c>
      <c r="Q17" s="2">
        <f>+E17*'VAL 04 - 09'!E17</f>
        <v>45</v>
      </c>
      <c r="R17">
        <f>+E17*'VAL 11 - 09'!E17</f>
        <v>35</v>
      </c>
      <c r="S17">
        <f>+E17*'VAL 15 - 09'!E17</f>
        <v>25</v>
      </c>
      <c r="T17">
        <f>+E17*'VAL 18 - 09'!E17</f>
        <v>0</v>
      </c>
      <c r="U17">
        <f>+E17*'VAL 22 -09'!E17</f>
        <v>30</v>
      </c>
      <c r="V17">
        <f>+E17*'VAL 26 - 09'!E17</f>
        <v>25</v>
      </c>
      <c r="W17">
        <f>+E17*'VAL 02 - 10'!E17</f>
        <v>40</v>
      </c>
      <c r="X17">
        <f>+E17*'VAL 09 - 10'!E17</f>
        <v>15</v>
      </c>
      <c r="Y17">
        <f>+E17*'VL 13 - 10'!E17</f>
        <v>10</v>
      </c>
      <c r="Z17">
        <f>+E17*'VAL 17 - 10'!E17</f>
        <v>15</v>
      </c>
      <c r="AA17">
        <f>+E17*'VAL 20 - 10'!E17</f>
        <v>40</v>
      </c>
      <c r="AB17">
        <f>+E17*'VAL C - 10'!E17</f>
        <v>0</v>
      </c>
      <c r="AC17">
        <f>+E17*'VAL D - 10'!E17</f>
        <v>0</v>
      </c>
      <c r="AD17">
        <f>+E17*'VAL F - 10'!E17</f>
        <v>0</v>
      </c>
    </row>
    <row r="18" spans="2:30" x14ac:dyDescent="0.35">
      <c r="B18" s="2" t="s">
        <v>18</v>
      </c>
      <c r="C18" s="2" t="s">
        <v>50</v>
      </c>
      <c r="D18" s="2">
        <v>5</v>
      </c>
      <c r="E18" s="2">
        <v>5</v>
      </c>
      <c r="F18" s="2"/>
      <c r="G18" s="2">
        <f>+D18*'VAL 24 - 07'!E18</f>
        <v>120</v>
      </c>
      <c r="H18" s="2">
        <f>+D18*'VAL 30-07'!E18</f>
        <v>70</v>
      </c>
      <c r="I18" s="2">
        <f>+D18*'VAL 02- 08'!E18</f>
        <v>45</v>
      </c>
      <c r="J18" s="2">
        <f>+D18*'VAL 05-08'!E18</f>
        <v>95</v>
      </c>
      <c r="K18" s="2">
        <f>+D18*'VAL 07 -08'!E18</f>
        <v>0</v>
      </c>
      <c r="L18" s="2">
        <f>+D18*'VAL 11-08'!E18</f>
        <v>115</v>
      </c>
      <c r="M18" s="2">
        <f>+D18*'VAL 15 - 08'!E18</f>
        <v>0</v>
      </c>
      <c r="N18" s="2">
        <f>+D18*'VAL 19- 08'!E18</f>
        <v>0</v>
      </c>
      <c r="O18" s="2">
        <f>+D18*'VAL 26  - 08'!E18</f>
        <v>100</v>
      </c>
      <c r="P18" s="2">
        <f>+E18*'VAL 03- 09'!E18</f>
        <v>0</v>
      </c>
      <c r="Q18" s="2">
        <f>+E18*'VAL 04 - 09'!E18</f>
        <v>0</v>
      </c>
      <c r="R18">
        <f>+E18*'VAL 11 - 09'!E18</f>
        <v>0</v>
      </c>
      <c r="S18">
        <f>+E18*'VAL 15 - 09'!E18</f>
        <v>0</v>
      </c>
      <c r="T18">
        <f>+E18*'VAL 18 - 09'!E18</f>
        <v>95</v>
      </c>
      <c r="U18">
        <f>+E18*'VAL 22 -09'!E18</f>
        <v>95</v>
      </c>
      <c r="V18">
        <f>+E18*'VAL 26 - 09'!E18</f>
        <v>85</v>
      </c>
      <c r="W18">
        <f>+E18*'VAL 02 - 10'!E18</f>
        <v>125</v>
      </c>
      <c r="X18">
        <f>+E18*'VAL 09 - 10'!E18</f>
        <v>35</v>
      </c>
      <c r="Y18">
        <f>+E18*'VL 13 - 10'!E18</f>
        <v>45</v>
      </c>
      <c r="Z18">
        <f>+E18*'VAL 17 - 10'!E18</f>
        <v>80</v>
      </c>
      <c r="AA18">
        <f>+E18*'VAL 20 - 10'!E18</f>
        <v>55</v>
      </c>
      <c r="AB18">
        <f>+E18*'VAL C - 10'!E18</f>
        <v>0</v>
      </c>
      <c r="AC18">
        <f>+E18*'VAL D - 10'!E18</f>
        <v>0</v>
      </c>
      <c r="AD18">
        <f>+E18*'VAL F - 10'!E18</f>
        <v>0</v>
      </c>
    </row>
    <row r="19" spans="2:30" x14ac:dyDescent="0.35">
      <c r="B19" s="2" t="s">
        <v>19</v>
      </c>
      <c r="C19" s="2" t="s">
        <v>50</v>
      </c>
      <c r="D19" s="2">
        <v>5</v>
      </c>
      <c r="E19" s="2">
        <v>5</v>
      </c>
      <c r="F19" s="2"/>
      <c r="G19" s="2">
        <f>+D19*'VAL 24 - 07'!E19</f>
        <v>205</v>
      </c>
      <c r="H19" s="2">
        <f>+D19*'VAL 30-07'!E19</f>
        <v>0</v>
      </c>
      <c r="I19" s="2">
        <f>+D19*'VAL 02- 08'!E19</f>
        <v>90</v>
      </c>
      <c r="J19" s="2">
        <f>+D19*'VAL 05-08'!E19</f>
        <v>0</v>
      </c>
      <c r="K19" s="2">
        <f>+D19*'VAL 07 -08'!E19</f>
        <v>0</v>
      </c>
      <c r="L19" s="2">
        <f>+D19*'VAL 11-08'!E19</f>
        <v>0</v>
      </c>
      <c r="M19" s="2">
        <f>+D19*'VAL 15 - 08'!E19</f>
        <v>170</v>
      </c>
      <c r="N19" s="2">
        <f>+D19*'VAL 19- 08'!E19</f>
        <v>180</v>
      </c>
      <c r="O19" s="2">
        <f>+D19*'VAL 26  - 08'!E19</f>
        <v>160</v>
      </c>
      <c r="P19" s="2">
        <f>+E19*'VAL 03- 09'!E19</f>
        <v>0</v>
      </c>
      <c r="Q19" s="2">
        <f>+E19*'VAL 04 - 09'!E19</f>
        <v>140</v>
      </c>
      <c r="R19">
        <f>+E19*'VAL 11 - 09'!E19</f>
        <v>195</v>
      </c>
      <c r="S19">
        <f>+E19*'VAL 15 - 09'!E19</f>
        <v>160</v>
      </c>
      <c r="T19">
        <f>+E19*'VAL 18 - 09'!E19</f>
        <v>0</v>
      </c>
      <c r="U19">
        <f>+E19*'VAL 22 -09'!E19</f>
        <v>160</v>
      </c>
      <c r="V19">
        <f>+E19*'VAL 26 - 09'!E19</f>
        <v>190</v>
      </c>
      <c r="W19">
        <f>+E19*'VAL 02 - 10'!E19</f>
        <v>200</v>
      </c>
      <c r="X19">
        <f>+E19*'VAL 09 - 10'!E19</f>
        <v>45</v>
      </c>
      <c r="Y19">
        <f>+E19*'VL 13 - 10'!E19</f>
        <v>85</v>
      </c>
      <c r="Z19">
        <f>+E19*'VAL 17 - 10'!E19</f>
        <v>80</v>
      </c>
      <c r="AA19">
        <f>+E19*'VAL 20 - 10'!E19</f>
        <v>85</v>
      </c>
      <c r="AB19">
        <f>+E19*'VAL C - 10'!E19</f>
        <v>0</v>
      </c>
      <c r="AC19">
        <f>+E19*'VAL D - 10'!E19</f>
        <v>0</v>
      </c>
      <c r="AD19">
        <f>+E19*'VAL F - 10'!E19</f>
        <v>0</v>
      </c>
    </row>
    <row r="20" spans="2:30" x14ac:dyDescent="0.35">
      <c r="B20" s="2" t="s">
        <v>20</v>
      </c>
      <c r="C20" s="2" t="s">
        <v>50</v>
      </c>
      <c r="D20" s="2">
        <v>5</v>
      </c>
      <c r="E20" s="2">
        <v>5</v>
      </c>
      <c r="F20" s="2"/>
      <c r="G20" s="2">
        <f>+D20*'VAL 24 - 07'!E20</f>
        <v>245</v>
      </c>
      <c r="H20" s="2">
        <f>+D20*'VAL 30-07'!E20</f>
        <v>0</v>
      </c>
      <c r="I20" s="2">
        <f>+D20*'VAL 02- 08'!E20</f>
        <v>110</v>
      </c>
      <c r="J20" s="2">
        <f>+D20*'VAL 05-08'!E20</f>
        <v>0</v>
      </c>
      <c r="K20" s="2">
        <f>+D20*'VAL 07 -08'!E20</f>
        <v>0</v>
      </c>
      <c r="L20" s="2">
        <f>+D20*'VAL 11-08'!E20</f>
        <v>0</v>
      </c>
      <c r="M20" s="2">
        <f>+D20*'VAL 15 - 08'!E20</f>
        <v>220</v>
      </c>
      <c r="N20" s="2">
        <f>+D20*'VAL 19- 08'!E20</f>
        <v>265</v>
      </c>
      <c r="O20" s="2">
        <f>+D20*'VAL 26  - 08'!E20</f>
        <v>155</v>
      </c>
      <c r="P20" s="2">
        <f>+E20*'VAL 03- 09'!E20</f>
        <v>0</v>
      </c>
      <c r="Q20" s="2">
        <f>+E20*'VAL 04 - 09'!E20</f>
        <v>115</v>
      </c>
      <c r="R20">
        <f>+E20*'VAL 11 - 09'!E20</f>
        <v>230</v>
      </c>
      <c r="S20">
        <f>+E20*'VAL 15 - 09'!E20</f>
        <v>160</v>
      </c>
      <c r="T20">
        <f>+E20*'VAL 18 - 09'!E20</f>
        <v>0</v>
      </c>
      <c r="U20">
        <f>+E20*'VAL 22 -09'!E20</f>
        <v>145</v>
      </c>
      <c r="V20">
        <f>+E20*'VAL 26 - 09'!E20</f>
        <v>5</v>
      </c>
      <c r="W20">
        <f>+E20*'VAL 02 - 10'!E20</f>
        <v>175</v>
      </c>
      <c r="X20">
        <f>+E20*'VAL 09 - 10'!E20</f>
        <v>95</v>
      </c>
      <c r="Y20">
        <f>+E20*'VL 13 - 10'!E20</f>
        <v>110</v>
      </c>
      <c r="Z20">
        <f>+E20*'VAL 17 - 10'!E20</f>
        <v>145</v>
      </c>
      <c r="AA20">
        <f>+E20*'VAL 20 - 10'!E20</f>
        <v>75</v>
      </c>
      <c r="AB20">
        <f>+E20*'VAL C - 10'!E20</f>
        <v>0</v>
      </c>
      <c r="AC20">
        <f>+E20*'VAL D - 10'!E20</f>
        <v>0</v>
      </c>
      <c r="AD20">
        <f>+E20*'VAL F - 10'!E20</f>
        <v>0</v>
      </c>
    </row>
    <row r="21" spans="2:30" x14ac:dyDescent="0.35">
      <c r="B21" s="2" t="s">
        <v>21</v>
      </c>
      <c r="C21" s="2" t="s">
        <v>50</v>
      </c>
      <c r="D21" s="2">
        <v>5</v>
      </c>
      <c r="E21" s="2">
        <v>5</v>
      </c>
      <c r="F21" s="2"/>
      <c r="G21" s="2">
        <f>+D21*'VAL 24 - 07'!E21</f>
        <v>0</v>
      </c>
      <c r="H21" s="2">
        <f>+D21*'VAL 30-07'!E21</f>
        <v>0</v>
      </c>
      <c r="I21" s="2">
        <f>+D21*'VAL 02- 08'!E21</f>
        <v>5</v>
      </c>
      <c r="J21" s="2">
        <f>+D21*'VAL 05-08'!E21</f>
        <v>0</v>
      </c>
      <c r="K21" s="2">
        <f>+D21*'VAL 07 -08'!E21</f>
        <v>0</v>
      </c>
      <c r="L21" s="2">
        <f>+D21*'VAL 11-08'!E21</f>
        <v>0</v>
      </c>
      <c r="M21" s="2">
        <f>+D21*'VAL 15 - 08'!E21</f>
        <v>25</v>
      </c>
      <c r="N21" s="2">
        <f>+D21*'VAL 19- 08'!E21</f>
        <v>20</v>
      </c>
      <c r="O21" s="2">
        <f>+D21*'VAL 26  - 08'!E21</f>
        <v>5</v>
      </c>
      <c r="P21" s="2">
        <f>+E21*'VAL 03- 09'!E21</f>
        <v>0</v>
      </c>
      <c r="Q21" s="2">
        <f>+E21*'VAL 04 - 09'!E21</f>
        <v>10</v>
      </c>
      <c r="R21">
        <f>+E21*'VAL 11 - 09'!E21</f>
        <v>10</v>
      </c>
      <c r="S21">
        <f>+E21*'VAL 15 - 09'!E21</f>
        <v>30</v>
      </c>
      <c r="T21">
        <f>+E21*'VAL 18 - 09'!E21</f>
        <v>0</v>
      </c>
      <c r="U21">
        <f>+E21*'VAL 22 -09'!E21</f>
        <v>5</v>
      </c>
      <c r="V21">
        <f>+E21*'VAL 26 - 09'!E21</f>
        <v>10</v>
      </c>
      <c r="W21">
        <f>+E21*'VAL 02 - 10'!E21</f>
        <v>10</v>
      </c>
      <c r="X21">
        <f>+E21*'VAL 09 - 10'!E21</f>
        <v>5</v>
      </c>
      <c r="Y21">
        <f>+E21*'VL 13 - 10'!E21</f>
        <v>0</v>
      </c>
      <c r="Z21">
        <f>+E21*'VAL 17 - 10'!E21</f>
        <v>20</v>
      </c>
      <c r="AA21">
        <f>+E21*'VAL 20 - 10'!E21</f>
        <v>0</v>
      </c>
      <c r="AB21">
        <f>+E21*'VAL C - 10'!E21</f>
        <v>0</v>
      </c>
      <c r="AC21">
        <f>+E21*'VAL D - 10'!E21</f>
        <v>0</v>
      </c>
      <c r="AD21">
        <f>+E21*'VAL F - 10'!E21</f>
        <v>0</v>
      </c>
    </row>
    <row r="22" spans="2:30" ht="18.5" x14ac:dyDescent="0.45">
      <c r="B22" s="2" t="s">
        <v>22</v>
      </c>
      <c r="C22" s="2"/>
      <c r="D22" s="2"/>
      <c r="E22" s="2"/>
      <c r="F22" s="2"/>
      <c r="G22" s="43">
        <f>SUM(G23:G29)</f>
        <v>857</v>
      </c>
      <c r="H22" s="43">
        <f t="shared" ref="H22:L22" si="29">SUM(H23:H29)</f>
        <v>3</v>
      </c>
      <c r="I22" s="43">
        <f t="shared" si="29"/>
        <v>121</v>
      </c>
      <c r="J22" s="43">
        <f t="shared" si="29"/>
        <v>0</v>
      </c>
      <c r="K22" s="43">
        <f>SUM(K23:K29)</f>
        <v>348</v>
      </c>
      <c r="L22" s="43">
        <f t="shared" si="29"/>
        <v>0</v>
      </c>
      <c r="M22" s="43">
        <f>SUM(M23:M29)</f>
        <v>429</v>
      </c>
      <c r="N22" s="43">
        <f t="shared" ref="N22:P22" si="30">SUM(N23:N29)</f>
        <v>492</v>
      </c>
      <c r="O22" s="43">
        <f t="shared" si="30"/>
        <v>486</v>
      </c>
      <c r="P22" s="43">
        <f t="shared" si="30"/>
        <v>342</v>
      </c>
      <c r="Q22" s="43">
        <f t="shared" ref="Q22:AD22" si="31">SUM(Q23:Q29)</f>
        <v>261</v>
      </c>
      <c r="R22" s="43">
        <f t="shared" si="31"/>
        <v>398</v>
      </c>
      <c r="S22" s="43">
        <f t="shared" si="31"/>
        <v>225</v>
      </c>
      <c r="T22" s="43">
        <f t="shared" si="31"/>
        <v>238</v>
      </c>
      <c r="U22" s="43">
        <f t="shared" si="31"/>
        <v>639</v>
      </c>
      <c r="V22" s="43">
        <f t="shared" si="31"/>
        <v>708</v>
      </c>
      <c r="W22" s="43">
        <f t="shared" si="31"/>
        <v>607</v>
      </c>
      <c r="X22" s="43">
        <f t="shared" si="31"/>
        <v>371</v>
      </c>
      <c r="Y22" s="43">
        <f t="shared" si="31"/>
        <v>365</v>
      </c>
      <c r="Z22" s="43">
        <f t="shared" si="31"/>
        <v>483</v>
      </c>
      <c r="AA22" s="43">
        <f t="shared" si="31"/>
        <v>461</v>
      </c>
      <c r="AB22" s="43">
        <f t="shared" si="31"/>
        <v>0</v>
      </c>
      <c r="AC22" s="43">
        <f t="shared" si="31"/>
        <v>0</v>
      </c>
      <c r="AD22" s="43">
        <f t="shared" si="31"/>
        <v>0</v>
      </c>
    </row>
    <row r="23" spans="2:30" x14ac:dyDescent="0.35">
      <c r="B23" s="2" t="s">
        <v>23</v>
      </c>
      <c r="C23" s="2" t="s">
        <v>50</v>
      </c>
      <c r="D23" s="2">
        <v>3</v>
      </c>
      <c r="E23" s="2">
        <v>3</v>
      </c>
      <c r="F23" s="2"/>
      <c r="G23" s="2">
        <f>+D23*'VAL 24 - 07'!E23</f>
        <v>75</v>
      </c>
      <c r="H23" s="2">
        <f>+D23*'VAL 30-07'!E23</f>
        <v>0</v>
      </c>
      <c r="I23" s="2">
        <f>+D23*'VAL 02- 08'!E23</f>
        <v>0</v>
      </c>
      <c r="J23" s="2">
        <f>+D23*'VAL 05-08'!E23</f>
        <v>0</v>
      </c>
      <c r="K23" s="2">
        <f>+GANACIA!D23*'VAL 07 -08'!E23</f>
        <v>0</v>
      </c>
      <c r="L23" s="2">
        <f>+D23*'VAL 11-08'!E23</f>
        <v>0</v>
      </c>
      <c r="M23" s="2">
        <f>+D23*'VAL 15 - 08'!E23</f>
        <v>0</v>
      </c>
      <c r="N23" s="2">
        <f>+D23*'VAL 19- 08'!E23</f>
        <v>78</v>
      </c>
      <c r="O23" s="2">
        <f>+D23*'VAL 26  - 08'!E23</f>
        <v>18</v>
      </c>
      <c r="P23" s="2">
        <f>+E23*'VAL 03- 09'!E23</f>
        <v>0</v>
      </c>
      <c r="Q23" s="2">
        <f>+E23*'VAL 04 - 09'!E23</f>
        <v>0</v>
      </c>
      <c r="R23">
        <f>+E23*'VAL 11 - 09'!E23</f>
        <v>0</v>
      </c>
      <c r="S23">
        <f>+E23*'VAL 15 - 09'!E23</f>
        <v>0</v>
      </c>
      <c r="T23">
        <f>+E23*'VAL 18 - 09'!E23</f>
        <v>0</v>
      </c>
      <c r="U23">
        <f>+E23*'VAL 22 -09'!E23</f>
        <v>78</v>
      </c>
      <c r="V23">
        <f>+E23*'VAL 26 - 09'!E23</f>
        <v>84</v>
      </c>
      <c r="W23">
        <f>+E23*'VAL 02 - 10'!E23</f>
        <v>66</v>
      </c>
      <c r="X23">
        <f>+E23*'VAL 09 - 10'!E23</f>
        <v>36</v>
      </c>
      <c r="Y23">
        <f>+E23*'VL 13 - 10'!E23</f>
        <v>33</v>
      </c>
      <c r="Z23">
        <f>+E23*'VAL 17 - 10'!E23</f>
        <v>36</v>
      </c>
      <c r="AA23">
        <f>+E23*'VAL 20 - 10'!E23</f>
        <v>42</v>
      </c>
      <c r="AB23">
        <f>+E23*'VAL C - 10'!E23</f>
        <v>0</v>
      </c>
      <c r="AC23">
        <f>+E23*'VAL D - 10'!E23</f>
        <v>0</v>
      </c>
      <c r="AD23">
        <f>+E23*'VAL F - 10'!E23</f>
        <v>0</v>
      </c>
    </row>
    <row r="24" spans="2:30" x14ac:dyDescent="0.35">
      <c r="B24" s="2" t="s">
        <v>24</v>
      </c>
      <c r="C24" s="2" t="s">
        <v>50</v>
      </c>
      <c r="D24" s="2">
        <v>3</v>
      </c>
      <c r="E24" s="2">
        <v>3</v>
      </c>
      <c r="F24" s="2"/>
      <c r="G24" s="2">
        <f>+D24*'VAL 24 - 07'!E24</f>
        <v>54</v>
      </c>
      <c r="H24" s="2">
        <f>+D24*'VAL 30-07'!E24</f>
        <v>0</v>
      </c>
      <c r="I24" s="2">
        <f>+D24*'VAL 02- 08'!E24</f>
        <v>0</v>
      </c>
      <c r="J24" s="2">
        <f>+D24*'VAL 05-08'!E24</f>
        <v>0</v>
      </c>
      <c r="K24" s="2">
        <f>+GANACIA!D24*'VAL 07 -08'!E24</f>
        <v>54</v>
      </c>
      <c r="L24" s="2">
        <f>+D24*'VAL 11-08'!E24</f>
        <v>0</v>
      </c>
      <c r="M24" s="2">
        <f>+D24*'VAL 15 - 08'!E24</f>
        <v>0</v>
      </c>
      <c r="N24" s="2">
        <f>+D24*'VAL 19- 08'!E24</f>
        <v>54</v>
      </c>
      <c r="O24" s="2">
        <f>+D24*'VAL 26  - 08'!E24</f>
        <v>39</v>
      </c>
      <c r="P24" s="2">
        <f>+E24*'VAL 03- 09'!E24</f>
        <v>0</v>
      </c>
      <c r="Q24" s="2">
        <f>+E24*'VAL 04 - 09'!E24</f>
        <v>0</v>
      </c>
      <c r="R24">
        <f>+E24*'VAL 11 - 09'!E24</f>
        <v>0</v>
      </c>
      <c r="S24">
        <f>+E24*'VAL 15 - 09'!E24</f>
        <v>0</v>
      </c>
      <c r="T24">
        <f>+E24*'VAL 18 - 09'!E24</f>
        <v>0</v>
      </c>
      <c r="U24">
        <f>+E24*'VAL 22 -09'!E24</f>
        <v>36</v>
      </c>
      <c r="V24">
        <f>+E24*'VAL 26 - 09'!E24</f>
        <v>57</v>
      </c>
      <c r="W24">
        <f>+E24*'VAL 02 - 10'!E24</f>
        <v>39</v>
      </c>
      <c r="X24">
        <f>+E24*'VAL 09 - 10'!E24</f>
        <v>30</v>
      </c>
      <c r="Y24">
        <f>+E24*'VL 13 - 10'!E24</f>
        <v>21</v>
      </c>
      <c r="Z24">
        <f>+E24*'VAL 17 - 10'!E24</f>
        <v>24</v>
      </c>
      <c r="AA24">
        <f>+E24*'VAL 20 - 10'!E24</f>
        <v>27</v>
      </c>
      <c r="AB24">
        <f>+E24*'VAL C - 10'!E24</f>
        <v>0</v>
      </c>
      <c r="AC24">
        <f>+E24*'VAL D - 10'!E24</f>
        <v>0</v>
      </c>
      <c r="AD24">
        <f>+E24*'VAL F - 10'!E24</f>
        <v>0</v>
      </c>
    </row>
    <row r="25" spans="2:30" x14ac:dyDescent="0.35">
      <c r="B25" s="2" t="s">
        <v>25</v>
      </c>
      <c r="C25" s="2" t="s">
        <v>50</v>
      </c>
      <c r="D25" s="2">
        <v>3</v>
      </c>
      <c r="E25" s="2">
        <v>3</v>
      </c>
      <c r="F25" s="2"/>
      <c r="G25" s="2">
        <f>+D25*'VAL 24 - 07'!E25</f>
        <v>378</v>
      </c>
      <c r="H25" s="2">
        <f>+D25*'VAL 30-07'!E25</f>
        <v>3</v>
      </c>
      <c r="I25" s="2">
        <f>+D25*'VAL 02- 08'!E25</f>
        <v>0</v>
      </c>
      <c r="J25" s="2">
        <f>+D25*'VAL 05-08'!E25</f>
        <v>0</v>
      </c>
      <c r="K25" s="2">
        <f>+GANACIA!D25*'VAL 07 -08'!E25</f>
        <v>294</v>
      </c>
      <c r="L25" s="2">
        <f>+D25*'VAL 11-08'!E25</f>
        <v>0</v>
      </c>
      <c r="M25" s="2">
        <f>+D25*'VAL 15 - 08'!E25</f>
        <v>0</v>
      </c>
      <c r="N25" s="2">
        <f>+D25*'VAL 19- 08'!E25</f>
        <v>360</v>
      </c>
      <c r="O25" s="2">
        <f>+D25*'VAL 26  - 08'!E25</f>
        <v>192</v>
      </c>
      <c r="P25" s="2">
        <f>+E25*'VAL 03- 09'!E25</f>
        <v>0</v>
      </c>
      <c r="Q25" s="2">
        <f>+E25*'VAL 04 - 09'!E25</f>
        <v>0</v>
      </c>
      <c r="R25">
        <f>+E25*'VAL 11 - 09'!E25</f>
        <v>0</v>
      </c>
      <c r="S25">
        <f>+E25*'VAL 15 - 09'!E25</f>
        <v>0</v>
      </c>
      <c r="T25">
        <f>+E25*'VAL 18 - 09'!E25</f>
        <v>0</v>
      </c>
      <c r="U25">
        <f>+E25*'VAL 22 -09'!E25</f>
        <v>225</v>
      </c>
      <c r="V25">
        <f>+E25*'VAL 26 - 09'!E25</f>
        <v>324</v>
      </c>
      <c r="W25">
        <f>+E25*'VAL 02 - 10'!E25</f>
        <v>225</v>
      </c>
      <c r="X25">
        <f>+E25*'VAL 09 - 10'!E25</f>
        <v>153</v>
      </c>
      <c r="Y25">
        <f>+E25*'VL 13 - 10'!E25</f>
        <v>153</v>
      </c>
      <c r="Z25">
        <f>+E25*'VAL 17 - 10'!E25</f>
        <v>222</v>
      </c>
      <c r="AA25">
        <f>+E25*'VAL 20 - 10'!E25</f>
        <v>204</v>
      </c>
      <c r="AB25">
        <f>+E25*'VAL C - 10'!E25</f>
        <v>0</v>
      </c>
      <c r="AC25">
        <f>+E25*'VAL D - 10'!E25</f>
        <v>0</v>
      </c>
      <c r="AD25">
        <f>+E25*'VAL F - 10'!E25</f>
        <v>0</v>
      </c>
    </row>
    <row r="26" spans="2:30" x14ac:dyDescent="0.35">
      <c r="B26" s="2" t="s">
        <v>26</v>
      </c>
      <c r="C26" s="2" t="s">
        <v>50</v>
      </c>
      <c r="D26" s="2">
        <v>3</v>
      </c>
      <c r="E26" s="2">
        <v>3</v>
      </c>
      <c r="F26" s="2"/>
      <c r="G26" s="2">
        <f>+D26*'VAL 24 - 07'!E26</f>
        <v>99</v>
      </c>
      <c r="H26" s="2">
        <f>+D26*'VAL 30-07'!E26</f>
        <v>0</v>
      </c>
      <c r="I26" s="2">
        <f>+D26*'VAL 02- 08'!E26</f>
        <v>33</v>
      </c>
      <c r="J26" s="2">
        <f>+D26*'VAL 05-08'!E26</f>
        <v>0</v>
      </c>
      <c r="K26" s="2">
        <f>+GANACIA!D26*'VAL 07 -08'!E26</f>
        <v>0</v>
      </c>
      <c r="L26" s="2">
        <f>+D26*'VAL 11-08'!E26</f>
        <v>0</v>
      </c>
      <c r="M26" s="2">
        <f>+D26*'VAL 15 - 08'!E26</f>
        <v>108</v>
      </c>
      <c r="N26" s="2">
        <f>+D26*'VAL 19- 08'!E26</f>
        <v>0</v>
      </c>
      <c r="O26" s="2">
        <f>+D26*'VAL 26  - 08'!E26</f>
        <v>54</v>
      </c>
      <c r="P26" s="2">
        <f>+E26*'VAL 03- 09'!E26</f>
        <v>72</v>
      </c>
      <c r="Q26" s="2">
        <f>+E26*'VAL 04 - 09'!E26</f>
        <v>63</v>
      </c>
      <c r="R26">
        <f>+E26*'VAL 11 - 09'!E26</f>
        <v>75</v>
      </c>
      <c r="S26">
        <f>+E26*'VAL 15 - 09'!E26</f>
        <v>54</v>
      </c>
      <c r="T26">
        <f>+E26*'VAL 18 - 09'!E26</f>
        <v>54</v>
      </c>
      <c r="U26">
        <f>+E26*'VAL 22 -09'!E26</f>
        <v>84</v>
      </c>
      <c r="V26">
        <f>+E26*'VAL 26 - 09'!E26</f>
        <v>69</v>
      </c>
      <c r="W26">
        <f>+E26*'VAL 02 - 10'!E26</f>
        <v>84</v>
      </c>
      <c r="X26">
        <f>+E26*'VAL 09 - 10'!E26</f>
        <v>33</v>
      </c>
      <c r="Y26">
        <f>+E26*'VL 13 - 10'!E26</f>
        <v>33</v>
      </c>
      <c r="Z26">
        <f>+E26*'VAL 17 - 10'!E26</f>
        <v>36</v>
      </c>
      <c r="AA26">
        <f>+E26*'VAL 20 - 10'!E26</f>
        <v>42</v>
      </c>
      <c r="AB26">
        <f>+E26*'VAL C - 10'!E26</f>
        <v>0</v>
      </c>
      <c r="AC26">
        <f>+E26*'VAL D - 10'!E26</f>
        <v>0</v>
      </c>
      <c r="AD26">
        <f>+E26*'VAL F - 10'!E26</f>
        <v>0</v>
      </c>
    </row>
    <row r="27" spans="2:30" x14ac:dyDescent="0.35">
      <c r="B27" s="2" t="s">
        <v>27</v>
      </c>
      <c r="C27" s="2" t="s">
        <v>50</v>
      </c>
      <c r="D27" s="2">
        <v>3</v>
      </c>
      <c r="E27" s="2">
        <v>3</v>
      </c>
      <c r="F27" s="2"/>
      <c r="G27" s="2">
        <f>+D27*'VAL 24 - 07'!E27</f>
        <v>156</v>
      </c>
      <c r="H27" s="2">
        <f>+D27*'VAL 30-07'!E27</f>
        <v>0</v>
      </c>
      <c r="I27" s="2">
        <f>+D27*'VAL 02- 08'!E27</f>
        <v>63</v>
      </c>
      <c r="J27" s="2">
        <f>+D27*'VAL 05-08'!E27</f>
        <v>0</v>
      </c>
      <c r="K27" s="2">
        <f>+GANACIA!D27*'VAL 07 -08'!E27</f>
        <v>0</v>
      </c>
      <c r="L27" s="2">
        <f>+D27*'VAL 11-08'!E27</f>
        <v>0</v>
      </c>
      <c r="M27" s="2">
        <f>+D27*'VAL 15 - 08'!E27</f>
        <v>201</v>
      </c>
      <c r="N27" s="2">
        <f>+D27*'VAL 19- 08'!E27</f>
        <v>0</v>
      </c>
      <c r="O27" s="2">
        <f>+D27*'VAL 26  - 08'!E27</f>
        <v>123</v>
      </c>
      <c r="P27" s="2">
        <f>+E27*'VAL 03- 09'!E27</f>
        <v>180</v>
      </c>
      <c r="Q27" s="2">
        <f>+E27*'VAL 04 - 09'!E27</f>
        <v>123</v>
      </c>
      <c r="R27">
        <f>+E27*'VAL 11 - 09'!E27</f>
        <v>213</v>
      </c>
      <c r="S27">
        <f>+E27*'VAL 15 - 09'!E27</f>
        <v>111</v>
      </c>
      <c r="T27">
        <f>+E27*'VAL 18 - 09'!E27</f>
        <v>114</v>
      </c>
      <c r="U27">
        <f>+E27*'VAL 22 -09'!E27</f>
        <v>141</v>
      </c>
      <c r="V27">
        <f>+E27*'VAL 26 - 09'!E27</f>
        <v>99</v>
      </c>
      <c r="W27">
        <f>+E27*'VAL 02 - 10'!E27</f>
        <v>138</v>
      </c>
      <c r="X27">
        <f>+E27*'VAL 09 - 10'!E27</f>
        <v>84</v>
      </c>
      <c r="Y27">
        <f>+E27*'VL 13 - 10'!E27</f>
        <v>75</v>
      </c>
      <c r="Z27">
        <f>+E27*'VAL 17 - 10'!E27</f>
        <v>90</v>
      </c>
      <c r="AA27">
        <f>+E27*'VAL 20 - 10'!E27</f>
        <v>81</v>
      </c>
      <c r="AB27">
        <f>+E27*'VAL C - 10'!E27</f>
        <v>0</v>
      </c>
      <c r="AC27">
        <f>+E27*'VAL D - 10'!E27</f>
        <v>0</v>
      </c>
      <c r="AD27">
        <f>+E27*'VAL F - 10'!E27</f>
        <v>0</v>
      </c>
    </row>
    <row r="28" spans="2:30" x14ac:dyDescent="0.35">
      <c r="B28" s="2" t="s">
        <v>28</v>
      </c>
      <c r="C28" s="2" t="s">
        <v>50</v>
      </c>
      <c r="D28" s="2">
        <v>5</v>
      </c>
      <c r="E28" s="2">
        <v>5</v>
      </c>
      <c r="F28" s="2"/>
      <c r="G28" s="2">
        <f>+D28*'VAL 24 - 07'!E28</f>
        <v>95</v>
      </c>
      <c r="H28" s="2">
        <f>+D28*'VAL 30-07'!E28</f>
        <v>0</v>
      </c>
      <c r="I28" s="2">
        <f>+D28*'VAL 02- 08'!E28</f>
        <v>25</v>
      </c>
      <c r="J28" s="2">
        <f>+D28*'VAL 05-08'!E28</f>
        <v>0</v>
      </c>
      <c r="K28" s="2">
        <f>+GANACIA!D28*'VAL 07 -08'!E28</f>
        <v>0</v>
      </c>
      <c r="L28" s="2">
        <f>+D28*'VAL 11-08'!E28</f>
        <v>0</v>
      </c>
      <c r="M28" s="2">
        <f>+D28*'VAL 15 - 08'!E28</f>
        <v>120</v>
      </c>
      <c r="N28" s="2">
        <f>+D28*'VAL 19- 08'!E28</f>
        <v>0</v>
      </c>
      <c r="O28" s="2">
        <f>+D28*'VAL 26  - 08'!E28</f>
        <v>60</v>
      </c>
      <c r="P28" s="2">
        <f>+E28*'VAL 03- 09'!E28</f>
        <v>90</v>
      </c>
      <c r="Q28" s="2">
        <f>+E28*'VAL 04 - 09'!E28</f>
        <v>75</v>
      </c>
      <c r="R28">
        <f>+E28*'VAL 11 - 09'!E28</f>
        <v>110</v>
      </c>
      <c r="S28">
        <f>+E28*'VAL 15 - 09'!E28</f>
        <v>60</v>
      </c>
      <c r="T28">
        <f>+E28*'VAL 18 - 09'!E28</f>
        <v>70</v>
      </c>
      <c r="U28">
        <f>+E28*'VAL 22 -09'!E28</f>
        <v>75</v>
      </c>
      <c r="V28">
        <f>+E28*'VAL 26 - 09'!E28</f>
        <v>75</v>
      </c>
      <c r="W28">
        <f>+E28*'VAL 02 - 10'!E28</f>
        <v>55</v>
      </c>
      <c r="X28">
        <f>+E28*'VAL 09 - 10'!E28</f>
        <v>35</v>
      </c>
      <c r="Y28">
        <f>+E28*'VL 13 - 10'!E28</f>
        <v>50</v>
      </c>
      <c r="Z28">
        <f>+E28*'VAL 17 - 10'!E28</f>
        <v>75</v>
      </c>
      <c r="AA28">
        <f>+E28*'VAL 20 - 10'!E28</f>
        <v>65</v>
      </c>
      <c r="AB28">
        <f>+E28*'VAL C - 10'!E28</f>
        <v>0</v>
      </c>
      <c r="AC28">
        <f>+E28*'VAL D - 10'!E28</f>
        <v>0</v>
      </c>
      <c r="AD28">
        <f>+E28*'VAL F - 10'!E28</f>
        <v>0</v>
      </c>
    </row>
    <row r="29" spans="2:30" x14ac:dyDescent="0.35">
      <c r="B29" s="2" t="s">
        <v>29</v>
      </c>
      <c r="C29" s="2" t="s">
        <v>50</v>
      </c>
      <c r="D29" s="2">
        <v>5</v>
      </c>
      <c r="E29" s="2">
        <v>5</v>
      </c>
      <c r="F29" s="2"/>
      <c r="G29" s="2">
        <f>+D29*'VAL 24 - 07'!E29</f>
        <v>0</v>
      </c>
      <c r="H29" s="2">
        <f>+D29*'VAL 30-07'!E29</f>
        <v>0</v>
      </c>
      <c r="I29" s="2">
        <f>+D29*'VAL 02- 08'!E29</f>
        <v>0</v>
      </c>
      <c r="J29" s="2">
        <f>+D29*'VAL 05-08'!E29</f>
        <v>0</v>
      </c>
      <c r="K29" s="2">
        <f>+'VAL 07 -08'!E29</f>
        <v>0</v>
      </c>
      <c r="L29" s="2">
        <f>+D29*'VAL 11-08'!E29</f>
        <v>0</v>
      </c>
      <c r="M29" s="2">
        <f>+D29*'VAL 15 - 08'!E29</f>
        <v>0</v>
      </c>
      <c r="N29" s="2">
        <f>+D29*'VAL 19- 08'!E29</f>
        <v>0</v>
      </c>
      <c r="O29" s="2">
        <f>+D29*'VAL 26  - 08'!E29</f>
        <v>0</v>
      </c>
      <c r="P29" s="2">
        <f>+E29*'VAL 03- 09'!E29</f>
        <v>0</v>
      </c>
      <c r="Q29" s="2">
        <f>+E29*'VAL 04 - 09'!E29</f>
        <v>0</v>
      </c>
      <c r="R29">
        <f>+E29*'VAL 11 - 09'!E29</f>
        <v>0</v>
      </c>
      <c r="S29">
        <f>+E29*'VAL 15 - 09'!E29</f>
        <v>0</v>
      </c>
      <c r="T29">
        <f>+E29*'VAL 18 - 09'!E29</f>
        <v>0</v>
      </c>
      <c r="U29">
        <f>+E29*'VAL 22 -09'!E29</f>
        <v>0</v>
      </c>
      <c r="V29">
        <f>+E29*'VAL 26 - 09'!E29</f>
        <v>0</v>
      </c>
      <c r="W29">
        <f>+E29*'VAL 02 - 10'!E29</f>
        <v>0</v>
      </c>
      <c r="X29">
        <f>+E29*'VAL 09 - 10'!E29</f>
        <v>0</v>
      </c>
      <c r="Y29">
        <f>+E29*'VL 13 - 10'!E29</f>
        <v>0</v>
      </c>
      <c r="Z29">
        <f>+E29*'VAL 17 - 10'!E29</f>
        <v>0</v>
      </c>
      <c r="AA29">
        <f>+E29*'VAL 20 - 10'!E29</f>
        <v>0</v>
      </c>
      <c r="AB29">
        <f>+E29*'VAL C - 10'!E29</f>
        <v>0</v>
      </c>
      <c r="AC29">
        <f>+E29*'VAL D - 10'!E29</f>
        <v>0</v>
      </c>
      <c r="AD29">
        <f>+E29*'VAL F - 10'!E29</f>
        <v>0</v>
      </c>
    </row>
    <row r="30" spans="2:30" ht="18.5" x14ac:dyDescent="0.45">
      <c r="B30" s="2" t="s">
        <v>30</v>
      </c>
      <c r="C30" s="2"/>
      <c r="D30" s="2"/>
      <c r="E30" s="2"/>
      <c r="F30" s="2"/>
      <c r="G30" s="43">
        <f t="shared" ref="G30:S30" si="32">SUM(G31:G36)</f>
        <v>571</v>
      </c>
      <c r="H30" s="43">
        <f t="shared" si="32"/>
        <v>0</v>
      </c>
      <c r="I30" s="43">
        <f t="shared" si="32"/>
        <v>228</v>
      </c>
      <c r="J30" s="43">
        <f t="shared" si="32"/>
        <v>0</v>
      </c>
      <c r="K30" s="43">
        <f t="shared" si="32"/>
        <v>510</v>
      </c>
      <c r="L30" s="43">
        <f t="shared" si="32"/>
        <v>714</v>
      </c>
      <c r="M30" s="43">
        <f t="shared" si="32"/>
        <v>0</v>
      </c>
      <c r="N30" s="43">
        <f t="shared" si="32"/>
        <v>561</v>
      </c>
      <c r="O30" s="43">
        <f t="shared" si="32"/>
        <v>501</v>
      </c>
      <c r="P30" s="43">
        <f t="shared" si="32"/>
        <v>0</v>
      </c>
      <c r="Q30" s="43">
        <f t="shared" si="32"/>
        <v>0</v>
      </c>
      <c r="R30" s="43">
        <f t="shared" si="32"/>
        <v>651</v>
      </c>
      <c r="S30" s="43">
        <f t="shared" si="32"/>
        <v>428</v>
      </c>
      <c r="T30" s="43">
        <f t="shared" ref="T30" si="33">SUM(T31:T36)</f>
        <v>479</v>
      </c>
      <c r="U30" s="43">
        <f t="shared" ref="U30" si="34">SUM(U31:U36)</f>
        <v>422</v>
      </c>
      <c r="V30" s="43">
        <f t="shared" ref="V30" si="35">SUM(V31:V36)</f>
        <v>637</v>
      </c>
      <c r="W30" s="43">
        <f t="shared" ref="W30" si="36">SUM(W31:W36)</f>
        <v>440</v>
      </c>
      <c r="X30" s="43">
        <f t="shared" ref="X30" si="37">SUM(X31:X36)</f>
        <v>263</v>
      </c>
      <c r="Y30" s="43">
        <f t="shared" ref="Y30:AD30" si="38">SUM(Y31:Y36)</f>
        <v>271</v>
      </c>
      <c r="Z30" s="43">
        <f t="shared" si="38"/>
        <v>337</v>
      </c>
      <c r="AA30" s="43">
        <f t="shared" si="38"/>
        <v>302</v>
      </c>
      <c r="AB30" s="43">
        <f t="shared" si="38"/>
        <v>0</v>
      </c>
      <c r="AC30" s="43">
        <f t="shared" si="38"/>
        <v>0</v>
      </c>
      <c r="AD30" s="43">
        <f t="shared" si="38"/>
        <v>0</v>
      </c>
    </row>
    <row r="31" spans="2:30" x14ac:dyDescent="0.35">
      <c r="B31" s="2" t="s">
        <v>32</v>
      </c>
      <c r="C31" s="2" t="s">
        <v>50</v>
      </c>
      <c r="D31" s="2">
        <v>3</v>
      </c>
      <c r="E31" s="2">
        <v>3</v>
      </c>
      <c r="F31" s="2"/>
      <c r="G31" s="2">
        <f>+D31*'VAL 24 - 07'!E31</f>
        <v>171</v>
      </c>
      <c r="H31" s="2">
        <f>+D31*'VAL 30-07'!E31</f>
        <v>0</v>
      </c>
      <c r="I31" s="2">
        <f>+D31*'VAL 02- 08'!E31</f>
        <v>48</v>
      </c>
      <c r="J31" s="2">
        <f>+D31*'VAL 05-08'!E31</f>
        <v>0</v>
      </c>
      <c r="K31" s="2">
        <f>+D31*'VAL 07 -08'!E31</f>
        <v>180</v>
      </c>
      <c r="L31" s="2">
        <f>+D31*'VAL 11-08'!E31</f>
        <v>234</v>
      </c>
      <c r="M31" s="2">
        <f>+D31*'VAL 15 - 08'!E31</f>
        <v>0</v>
      </c>
      <c r="N31" s="2">
        <f>+D31*'VAL 19- 08'!E31</f>
        <v>216</v>
      </c>
      <c r="O31" s="2">
        <f>+D31*'VAL 26  - 08'!E31</f>
        <v>111</v>
      </c>
      <c r="P31" s="2">
        <f>+E31*'VAL 03- 09'!E31</f>
        <v>0</v>
      </c>
      <c r="Q31" s="2">
        <f>+E31*'VAL 04 - 09'!E31</f>
        <v>0</v>
      </c>
      <c r="R31">
        <f>+E31*'VAL 11 - 09'!E31</f>
        <v>216</v>
      </c>
      <c r="S31">
        <f>+E31*'VAL 15 - 09'!E31</f>
        <v>108</v>
      </c>
      <c r="T31">
        <f>+E31*'VAL 18 - 09'!E31</f>
        <v>114</v>
      </c>
      <c r="U31">
        <f>+E31*'VAL 22 -09'!E31</f>
        <v>117</v>
      </c>
      <c r="V31">
        <f>+E31*'VAL 26 - 09'!E31</f>
        <v>117</v>
      </c>
      <c r="W31">
        <f>+E31*'VAL 02 - 10'!E31</f>
        <v>150</v>
      </c>
      <c r="X31">
        <f>+E31*'VAL 09 - 10'!E31</f>
        <v>93</v>
      </c>
      <c r="Y31">
        <f>+E31*'VL 13 - 10'!E31</f>
        <v>51</v>
      </c>
      <c r="Z31">
        <f>+E31*'VAL 17 - 10'!E31</f>
        <v>87</v>
      </c>
      <c r="AA31">
        <f>+E31*'VAL 20 - 10'!E31</f>
        <v>117</v>
      </c>
      <c r="AB31">
        <f>+E31*'VAL C - 10'!E31</f>
        <v>0</v>
      </c>
      <c r="AC31">
        <f>+E31*'VAL D - 10'!E31</f>
        <v>0</v>
      </c>
      <c r="AD31">
        <f>+E31*'VAL F - 10'!E31</f>
        <v>0</v>
      </c>
    </row>
    <row r="32" spans="2:30" x14ac:dyDescent="0.35">
      <c r="B32" s="2" t="s">
        <v>31</v>
      </c>
      <c r="C32" s="2" t="s">
        <v>50</v>
      </c>
      <c r="D32" s="2">
        <v>5</v>
      </c>
      <c r="E32" s="2">
        <v>5</v>
      </c>
      <c r="F32" s="2"/>
      <c r="G32" s="2">
        <f>+D32*'VAL 24 - 07'!E32</f>
        <v>145</v>
      </c>
      <c r="H32" s="2">
        <f>+D32*'VAL 30-07'!E32</f>
        <v>0</v>
      </c>
      <c r="I32" s="2">
        <f>+D32*'VAL 02- 08'!E32</f>
        <v>150</v>
      </c>
      <c r="J32" s="2">
        <f>+D32*'VAL 05-08'!E32</f>
        <v>0</v>
      </c>
      <c r="K32" s="2">
        <f>+D32*'VAL 07 -08'!E32</f>
        <v>155</v>
      </c>
      <c r="L32" s="2">
        <f>+D32*'VAL 11-08'!E32</f>
        <v>165</v>
      </c>
      <c r="M32" s="2">
        <f>+D32*'VAL 15 - 08'!E32</f>
        <v>0</v>
      </c>
      <c r="N32" s="2">
        <f>+D32*'VAL 19- 08'!E32</f>
        <v>200</v>
      </c>
      <c r="O32" s="2">
        <f>+D32*'VAL 26  - 08'!E32</f>
        <v>170</v>
      </c>
      <c r="P32" s="2">
        <f>+E32*'VAL 03- 09'!E32</f>
        <v>0</v>
      </c>
      <c r="Q32" s="2">
        <f>+E32*'VAL 04 - 09'!E32</f>
        <v>0</v>
      </c>
      <c r="R32">
        <f>+E32*'VAL 11 - 09'!E32</f>
        <v>180</v>
      </c>
      <c r="S32">
        <f>+E32*'VAL 15 - 09'!E32</f>
        <v>110</v>
      </c>
      <c r="T32">
        <f>+E32*'VAL 18 - 09'!E32</f>
        <v>145</v>
      </c>
      <c r="U32">
        <f>+E32*'VAL 22 -09'!E32</f>
        <v>120</v>
      </c>
      <c r="V32">
        <f>+E32*'VAL 26 - 09'!E32</f>
        <v>130</v>
      </c>
      <c r="W32">
        <f>+E32*'VAL 02 - 10'!E32</f>
        <v>100</v>
      </c>
      <c r="X32">
        <f>+E32*'VAL 09 - 10'!E32</f>
        <v>90</v>
      </c>
      <c r="Y32">
        <f>+E32*'VL 13 - 10'!E32</f>
        <v>55</v>
      </c>
      <c r="Z32">
        <f>+E32*'VAL 17 - 10'!E32</f>
        <v>120</v>
      </c>
      <c r="AA32">
        <f>+E32*'VAL 20 - 10'!E32</f>
        <v>60</v>
      </c>
      <c r="AB32">
        <f>+E32*'VAL C - 10'!E32</f>
        <v>0</v>
      </c>
      <c r="AC32">
        <f>+E32*'VAL D - 10'!E32</f>
        <v>0</v>
      </c>
      <c r="AD32">
        <f>+E32*'VAL F - 10'!E32</f>
        <v>0</v>
      </c>
    </row>
    <row r="33" spans="2:30" x14ac:dyDescent="0.35">
      <c r="B33" s="2" t="s">
        <v>33</v>
      </c>
      <c r="C33" s="2" t="s">
        <v>50</v>
      </c>
      <c r="D33" s="2">
        <v>5</v>
      </c>
      <c r="E33" s="2">
        <v>5</v>
      </c>
      <c r="F33" s="2"/>
      <c r="G33" s="2">
        <f>+D33*'VAL 24 - 07'!E33</f>
        <v>170</v>
      </c>
      <c r="H33" s="2">
        <f>+D33*'VAL 30-07'!E33</f>
        <v>0</v>
      </c>
      <c r="I33" s="2">
        <f>+D33*'VAL 02- 08'!E33</f>
        <v>0</v>
      </c>
      <c r="J33" s="2">
        <f>+D33*'VAL 05-08'!E33</f>
        <v>0</v>
      </c>
      <c r="K33" s="2">
        <f>+D33*'VAL 07 -08'!E33</f>
        <v>80</v>
      </c>
      <c r="L33" s="2">
        <f>+D33*'VAL 11-08'!E33</f>
        <v>145</v>
      </c>
      <c r="M33" s="2">
        <f>+D33*'VAL 15 - 08'!E33</f>
        <v>0</v>
      </c>
      <c r="N33" s="2">
        <f>+D33*'VAL 19- 08'!E33</f>
        <v>50</v>
      </c>
      <c r="O33" s="2">
        <f>+D33*'VAL 26  - 08'!E33</f>
        <v>80</v>
      </c>
      <c r="P33" s="2">
        <f>+E33*'VAL 03- 09'!E33</f>
        <v>0</v>
      </c>
      <c r="Q33" s="2">
        <f>+E33*'VAL 04 - 09'!E33</f>
        <v>0</v>
      </c>
      <c r="R33">
        <f>+E33*'VAL 11 - 09'!E33</f>
        <v>85</v>
      </c>
      <c r="S33">
        <f>+E33*'VAL 15 - 09'!E33</f>
        <v>120</v>
      </c>
      <c r="T33">
        <f>+E33*'VAL 18 - 09'!E33</f>
        <v>100</v>
      </c>
      <c r="U33">
        <f>+E33*'VAL 22 -09'!E33</f>
        <v>75</v>
      </c>
      <c r="V33">
        <f>+E33*'VAL 26 - 09'!E33</f>
        <v>80</v>
      </c>
      <c r="W33">
        <f>+E33*'VAL 02 - 10'!E33</f>
        <v>100</v>
      </c>
      <c r="X33">
        <f>+E33*'VAL 09 - 10'!E33</f>
        <v>30</v>
      </c>
      <c r="Y33">
        <f>+E33*'VL 13 - 10'!E33</f>
        <v>35</v>
      </c>
      <c r="Z33">
        <f>+E33*'VAL 17 - 10'!E33</f>
        <v>50</v>
      </c>
      <c r="AA33">
        <f>+E33*'VAL 20 - 10'!E33</f>
        <v>30</v>
      </c>
      <c r="AB33">
        <f>+E33*'VAL C - 10'!E33</f>
        <v>0</v>
      </c>
      <c r="AC33">
        <f>+E33*'VAL D - 10'!E33</f>
        <v>0</v>
      </c>
      <c r="AD33">
        <f>+E33*'VAL F - 10'!E33</f>
        <v>0</v>
      </c>
    </row>
    <row r="34" spans="2:30" x14ac:dyDescent="0.35">
      <c r="B34" s="2" t="s">
        <v>34</v>
      </c>
      <c r="C34" s="2" t="s">
        <v>50</v>
      </c>
      <c r="D34" s="2">
        <v>5</v>
      </c>
      <c r="E34" s="2">
        <v>5</v>
      </c>
      <c r="F34" s="2"/>
      <c r="G34" s="2">
        <f>+D34*'VAL 24 - 07'!E34</f>
        <v>0</v>
      </c>
      <c r="H34" s="2">
        <f>+D34*'VAL 30-07'!E34</f>
        <v>0</v>
      </c>
      <c r="I34" s="2">
        <f>+D34*'VAL 02- 08'!E34</f>
        <v>0</v>
      </c>
      <c r="J34" s="2">
        <f>+D34*'VAL 05-08'!E34</f>
        <v>0</v>
      </c>
      <c r="K34" s="2">
        <f>+D34*'VAL 07 -08'!E34</f>
        <v>35</v>
      </c>
      <c r="L34" s="2">
        <f>+D34*'VAL 11-08'!E34</f>
        <v>40</v>
      </c>
      <c r="M34" s="2">
        <f>+D34*'VAL 15 - 08'!E34</f>
        <v>0</v>
      </c>
      <c r="N34" s="2">
        <f>+D34*'VAL 19- 08'!E34</f>
        <v>40</v>
      </c>
      <c r="O34" s="2">
        <f>+D34*'VAL 26  - 08'!E34</f>
        <v>40</v>
      </c>
      <c r="P34" s="2">
        <f>+E34*'VAL 03- 09'!E34</f>
        <v>0</v>
      </c>
      <c r="Q34" s="2">
        <f>+E34*'VAL 04 - 09'!E34</f>
        <v>0</v>
      </c>
      <c r="R34">
        <f>+E34*'VAL 11 - 09'!E34</f>
        <v>60</v>
      </c>
      <c r="S34">
        <f>+E34*'VAL 15 - 09'!E34</f>
        <v>25</v>
      </c>
      <c r="T34">
        <f>+E34*'VAL 18 - 09'!E34</f>
        <v>35</v>
      </c>
      <c r="U34">
        <f>+E34*'VAL 22 -09'!E34</f>
        <v>20</v>
      </c>
      <c r="V34">
        <f>+E34*'VAL 26 - 09'!E34</f>
        <v>50</v>
      </c>
      <c r="W34">
        <f>+E34*'VAL 02 - 10'!E34</f>
        <v>45</v>
      </c>
      <c r="X34">
        <f>+E34*'VAL 09 - 10'!E34</f>
        <v>20</v>
      </c>
      <c r="Y34">
        <f>+E34*'VL 13 - 10'!E34</f>
        <v>15</v>
      </c>
      <c r="Z34">
        <f>+E34*'VAL 17 - 10'!E34</f>
        <v>25</v>
      </c>
      <c r="AA34">
        <f>+E34*'VAL 20 - 10'!E34</f>
        <v>30</v>
      </c>
      <c r="AB34">
        <f>+E34*'VAL C - 10'!E34</f>
        <v>0</v>
      </c>
      <c r="AC34">
        <f>+E34*'VAL D - 10'!E34</f>
        <v>0</v>
      </c>
      <c r="AD34">
        <f>+E34*'VAL F - 10'!E34</f>
        <v>0</v>
      </c>
    </row>
    <row r="35" spans="2:30" x14ac:dyDescent="0.35">
      <c r="B35" s="2" t="s">
        <v>155</v>
      </c>
      <c r="C35" s="2" t="s">
        <v>50</v>
      </c>
      <c r="D35" s="2">
        <v>5</v>
      </c>
      <c r="E35" s="2">
        <v>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S35">
        <f>+E35*'VAL 15 - 09'!E35</f>
        <v>5</v>
      </c>
      <c r="T35">
        <f>+E35*'VAL 18 - 09'!E35</f>
        <v>0</v>
      </c>
      <c r="U35">
        <f>+E35*'VAL 22 -09'!E35</f>
        <v>5</v>
      </c>
      <c r="V35">
        <f>+E35*'VAL 26 - 09'!E36</f>
        <v>70</v>
      </c>
      <c r="W35">
        <f>+E35*'VAL 02 - 10'!E35</f>
        <v>5</v>
      </c>
      <c r="X35">
        <f>+E35*'VAL 09 - 10'!E35</f>
        <v>0</v>
      </c>
      <c r="Y35">
        <f>+E35*'VL 13 - 10'!E36</f>
        <v>20</v>
      </c>
      <c r="Z35">
        <f>+E35*'VAL 17 - 10'!E35</f>
        <v>0</v>
      </c>
      <c r="AA35">
        <f>+E35*'VAL 20 - 10'!E35</f>
        <v>0</v>
      </c>
      <c r="AB35">
        <f>+E35*'VAL C - 10'!E35</f>
        <v>0</v>
      </c>
      <c r="AC35">
        <f>+E35*'VAL D - 10'!E35</f>
        <v>0</v>
      </c>
      <c r="AD35">
        <f>+E35*'VAL F - 10'!E35</f>
        <v>0</v>
      </c>
    </row>
    <row r="36" spans="2:30" x14ac:dyDescent="0.35">
      <c r="B36" s="2" t="s">
        <v>35</v>
      </c>
      <c r="C36" s="2" t="s">
        <v>50</v>
      </c>
      <c r="D36" s="2">
        <v>5</v>
      </c>
      <c r="E36" s="2">
        <v>5</v>
      </c>
      <c r="F36" s="2"/>
      <c r="G36" s="2">
        <f>+D36*'VAL 24 - 07'!E35</f>
        <v>85</v>
      </c>
      <c r="H36" s="2">
        <f>+D36*'VAL 30-07'!E35</f>
        <v>0</v>
      </c>
      <c r="I36" s="2">
        <f>+D36*'VAL 02- 08'!E35</f>
        <v>30</v>
      </c>
      <c r="J36" s="2">
        <f>+D36*'VAL 05-08'!E35</f>
        <v>0</v>
      </c>
      <c r="K36" s="2">
        <f>+D36*'VAL 07 -08'!E35</f>
        <v>60</v>
      </c>
      <c r="L36" s="2">
        <f>+D36*'VAL 11-08'!E35</f>
        <v>130</v>
      </c>
      <c r="M36" s="2">
        <f>+D36*'VAL 15 - 08'!E35</f>
        <v>0</v>
      </c>
      <c r="N36" s="2">
        <f>+D36*'VAL 19- 08'!E35</f>
        <v>55</v>
      </c>
      <c r="O36" s="2">
        <f>+D36*'VAL 26  - 08'!E35</f>
        <v>100</v>
      </c>
      <c r="P36" s="2">
        <f>+E36*'VAL 03- 09'!E35</f>
        <v>0</v>
      </c>
      <c r="Q36" s="2">
        <f>+E36*'VAL 04 - 09'!E35</f>
        <v>0</v>
      </c>
      <c r="R36">
        <f>+E36*'VAL 11 - 09'!E35</f>
        <v>110</v>
      </c>
      <c r="S36">
        <f>+E36*'VAL 15 - 09'!E36</f>
        <v>60</v>
      </c>
      <c r="T36">
        <f>+E36*'VAL 18 - 09'!E36</f>
        <v>85</v>
      </c>
      <c r="U36">
        <f>+E36*'VAL 22 -09'!E36</f>
        <v>85</v>
      </c>
      <c r="V36">
        <f>+E36*'VAL 26 - 09'!E37</f>
        <v>190</v>
      </c>
      <c r="W36">
        <f>+E36*'VAL 02 - 10'!E36</f>
        <v>40</v>
      </c>
      <c r="X36">
        <f>+E36*'VAL 09 - 10'!E36</f>
        <v>30</v>
      </c>
      <c r="Y36">
        <f>+E36*'VL 13 - 10'!E37</f>
        <v>95</v>
      </c>
      <c r="Z36">
        <f>+E36*'VAL 17 - 10'!E36</f>
        <v>55</v>
      </c>
      <c r="AA36">
        <f>+E36*'VAL 20 - 10'!E36</f>
        <v>65</v>
      </c>
      <c r="AB36">
        <f>+E36*'VAL C - 10'!E36</f>
        <v>0</v>
      </c>
      <c r="AC36">
        <f>+E36*'VAL D - 10'!E36</f>
        <v>0</v>
      </c>
      <c r="AD36">
        <f>+E36*'VAL F - 10'!E36</f>
        <v>0</v>
      </c>
    </row>
    <row r="37" spans="2:30" ht="18.5" x14ac:dyDescent="0.45">
      <c r="B37" s="2" t="s">
        <v>36</v>
      </c>
      <c r="C37" s="2"/>
      <c r="D37" s="2"/>
      <c r="E37" s="2"/>
      <c r="F37" s="2"/>
      <c r="G37" s="43">
        <f>SUM(G38:G43)</f>
        <v>265</v>
      </c>
      <c r="H37" s="43">
        <f t="shared" ref="H37:P37" si="39">SUM(H38:H43)</f>
        <v>0</v>
      </c>
      <c r="I37" s="43">
        <f t="shared" si="39"/>
        <v>0</v>
      </c>
      <c r="J37" s="43">
        <f t="shared" si="39"/>
        <v>425</v>
      </c>
      <c r="K37" s="43">
        <f>SUM(K38:K43)</f>
        <v>280</v>
      </c>
      <c r="L37" s="43">
        <f t="shared" si="39"/>
        <v>330</v>
      </c>
      <c r="M37" s="43">
        <f t="shared" si="39"/>
        <v>225</v>
      </c>
      <c r="N37" s="43">
        <f t="shared" si="39"/>
        <v>0</v>
      </c>
      <c r="O37" s="43">
        <f t="shared" si="39"/>
        <v>110</v>
      </c>
      <c r="P37" s="43">
        <f t="shared" si="39"/>
        <v>0</v>
      </c>
      <c r="Q37" s="43">
        <f t="shared" ref="Q37:AD37" si="40">SUM(Q38:Q43)</f>
        <v>0</v>
      </c>
      <c r="R37" s="43">
        <f t="shared" si="40"/>
        <v>240</v>
      </c>
      <c r="S37" s="43">
        <f t="shared" si="40"/>
        <v>190</v>
      </c>
      <c r="T37" s="43">
        <f t="shared" si="40"/>
        <v>175</v>
      </c>
      <c r="U37" s="43">
        <f t="shared" si="40"/>
        <v>180</v>
      </c>
      <c r="V37" s="43">
        <f t="shared" si="40"/>
        <v>190</v>
      </c>
      <c r="W37" s="43">
        <f t="shared" si="40"/>
        <v>170</v>
      </c>
      <c r="X37" s="43">
        <f t="shared" si="40"/>
        <v>120</v>
      </c>
      <c r="Y37" s="43">
        <f t="shared" si="40"/>
        <v>95</v>
      </c>
      <c r="Z37" s="43">
        <f t="shared" si="40"/>
        <v>140</v>
      </c>
      <c r="AA37" s="43">
        <f t="shared" si="40"/>
        <v>70</v>
      </c>
      <c r="AB37" s="43">
        <f t="shared" si="40"/>
        <v>0</v>
      </c>
      <c r="AC37" s="43">
        <f t="shared" si="40"/>
        <v>0</v>
      </c>
      <c r="AD37" s="43">
        <f t="shared" si="40"/>
        <v>0</v>
      </c>
    </row>
    <row r="38" spans="2:30" x14ac:dyDescent="0.35">
      <c r="B38" s="2" t="s">
        <v>37</v>
      </c>
      <c r="C38" s="2" t="s">
        <v>50</v>
      </c>
      <c r="D38" s="2">
        <v>5</v>
      </c>
      <c r="E38" s="2">
        <v>5</v>
      </c>
      <c r="F38" s="2"/>
      <c r="G38" s="2">
        <f>+D38*'VAL 24 - 07'!E37</f>
        <v>0</v>
      </c>
      <c r="H38" s="2">
        <f>+D38*'VAL 30-07'!E37</f>
        <v>0</v>
      </c>
      <c r="I38" s="2">
        <f>+D38*'VAL 02- 08'!E37</f>
        <v>0</v>
      </c>
      <c r="J38" s="2">
        <f>+D38*'VAL 05-08'!E37</f>
        <v>0</v>
      </c>
      <c r="K38" s="2">
        <f>+D38*'VAL 07 -08'!E37</f>
        <v>0</v>
      </c>
      <c r="L38" s="2">
        <f>+D38*'VAL 11-08'!E37</f>
        <v>0</v>
      </c>
      <c r="M38" s="2">
        <f>+D38*'VAL 15 - 08'!E37</f>
        <v>0</v>
      </c>
      <c r="N38" s="2">
        <f>+D38*'VAL 19- 08'!E37</f>
        <v>0</v>
      </c>
      <c r="O38" s="2">
        <f>+D38*'VAL 26  - 08'!E37</f>
        <v>0</v>
      </c>
      <c r="P38" s="2">
        <f>+E38*'VAL 03- 09'!E37</f>
        <v>0</v>
      </c>
      <c r="Q38" s="2">
        <f>+E38*'VAL 04 - 09'!E37</f>
        <v>0</v>
      </c>
      <c r="R38">
        <f>+E38*'VAL 11 - 09'!E37</f>
        <v>0</v>
      </c>
      <c r="S38">
        <f>+E38*'VAL 15 - 09'!E38</f>
        <v>0</v>
      </c>
      <c r="T38">
        <f>+E38*'VAL 18 - 09'!E38</f>
        <v>0</v>
      </c>
      <c r="U38">
        <f>+E38*'VAL 22 -09'!E38</f>
        <v>0</v>
      </c>
      <c r="V38">
        <f>+E38*'VAL 26 - 09'!E38</f>
        <v>0</v>
      </c>
      <c r="W38">
        <f>+E38*'VAL 02 - 10'!E38</f>
        <v>0</v>
      </c>
      <c r="X38">
        <f>+E38*'VAL 09 - 10'!E38</f>
        <v>0</v>
      </c>
      <c r="Y38">
        <f>+E38*'VL 13 - 10'!E38</f>
        <v>0</v>
      </c>
      <c r="Z38">
        <f>+E38*'VAL 17 - 10'!E38</f>
        <v>0</v>
      </c>
      <c r="AA38">
        <f>+E38*'VAL 20 - 10'!E38</f>
        <v>0</v>
      </c>
      <c r="AB38">
        <f>+E38*'VAL C - 10'!E38</f>
        <v>0</v>
      </c>
      <c r="AC38">
        <f>+E38*'VAL D - 10'!E38</f>
        <v>0</v>
      </c>
      <c r="AD38">
        <f>+E38*'VAL F - 10'!E38</f>
        <v>0</v>
      </c>
    </row>
    <row r="39" spans="2:30" x14ac:dyDescent="0.35">
      <c r="B39" s="2" t="s">
        <v>38</v>
      </c>
      <c r="C39" s="2" t="s">
        <v>50</v>
      </c>
      <c r="D39" s="2">
        <v>5</v>
      </c>
      <c r="E39" s="2">
        <v>5</v>
      </c>
      <c r="F39" s="2"/>
      <c r="G39" s="2">
        <f>+D39*'VAL 24 - 07'!E38</f>
        <v>0</v>
      </c>
      <c r="H39" s="2">
        <f>+D39*'VAL 30-07'!E38</f>
        <v>0</v>
      </c>
      <c r="I39" s="2">
        <f>+D39*'VAL 02- 08'!E38</f>
        <v>0</v>
      </c>
      <c r="J39" s="2">
        <f>+D39*'VAL 05-08'!E38</f>
        <v>0</v>
      </c>
      <c r="K39" s="2">
        <f>+D39*'VAL 07 -08'!E38</f>
        <v>0</v>
      </c>
      <c r="L39" s="2">
        <f>+D39*'VAL 11-08'!E38</f>
        <v>0</v>
      </c>
      <c r="M39" s="2">
        <f>+D39*'VAL 15 - 08'!E38</f>
        <v>0</v>
      </c>
      <c r="N39" s="2">
        <f>+D39*'VAL 19- 08'!E38</f>
        <v>0</v>
      </c>
      <c r="O39" s="2">
        <f>+D39*'VAL 26  - 08'!E38</f>
        <v>0</v>
      </c>
      <c r="P39" s="2">
        <f>+E39*'VAL 03- 09'!E38</f>
        <v>0</v>
      </c>
      <c r="Q39" s="2">
        <f>+D39*'VAL 04 - 09'!E38</f>
        <v>0</v>
      </c>
      <c r="R39">
        <f>+E39*'VAL 11 - 09'!E38</f>
        <v>0</v>
      </c>
      <c r="S39">
        <f>+E39*'VAL 15 - 09'!E39</f>
        <v>70</v>
      </c>
      <c r="T39">
        <f>+E39*'VAL 18 - 09'!E39</f>
        <v>0</v>
      </c>
      <c r="U39">
        <f>+E39*'VAL 22 -09'!E39</f>
        <v>0</v>
      </c>
      <c r="V39">
        <f>+E39*'VAL 26 - 09'!E39</f>
        <v>0</v>
      </c>
      <c r="W39">
        <f>+E39*'VAL 02 - 10'!E39</f>
        <v>0</v>
      </c>
      <c r="X39">
        <f>+E39*'VAL 09 - 10'!E39</f>
        <v>0</v>
      </c>
      <c r="Y39">
        <f>+E39*'VL 13 - 10'!E39</f>
        <v>0</v>
      </c>
      <c r="Z39">
        <f>+E39*'VAL 17 - 10'!E39</f>
        <v>0</v>
      </c>
      <c r="AA39">
        <f>+E39*'VAL 20 - 10'!E39</f>
        <v>0</v>
      </c>
      <c r="AB39">
        <f>+E39*'VAL C - 10'!E39</f>
        <v>0</v>
      </c>
      <c r="AC39">
        <f>+E39*'VAL D - 10'!E39</f>
        <v>0</v>
      </c>
      <c r="AD39">
        <f>+E39*'VAL F - 10'!E39</f>
        <v>0</v>
      </c>
    </row>
    <row r="40" spans="2:30" x14ac:dyDescent="0.35">
      <c r="B40" s="2" t="s">
        <v>39</v>
      </c>
      <c r="C40" s="2" t="s">
        <v>50</v>
      </c>
      <c r="D40" s="2">
        <v>5</v>
      </c>
      <c r="E40" s="2">
        <v>5</v>
      </c>
      <c r="F40" s="2"/>
      <c r="G40" s="2">
        <f>+D40*'VAL 24 - 07'!E39</f>
        <v>265</v>
      </c>
      <c r="H40" s="2">
        <f>+D40*'VAL 30-07'!E39</f>
        <v>0</v>
      </c>
      <c r="I40" s="2">
        <f>+D40*'VAL 02- 08'!E39</f>
        <v>0</v>
      </c>
      <c r="J40" s="2">
        <f>+D40*'VAL 05-08'!E39</f>
        <v>60</v>
      </c>
      <c r="K40" s="2">
        <f>+D40*'VAL 07 -08'!E39</f>
        <v>50</v>
      </c>
      <c r="L40" s="2">
        <f>+D40*'VAL 11-08'!E39</f>
        <v>55</v>
      </c>
      <c r="M40" s="2">
        <f>+D40*'VAL 15 - 08'!E39</f>
        <v>55</v>
      </c>
      <c r="N40" s="2">
        <f>+D40*'VAL 19- 08'!E39</f>
        <v>0</v>
      </c>
      <c r="O40" s="2">
        <f>+D40*'VAL 26  - 08'!E39</f>
        <v>0</v>
      </c>
      <c r="P40" s="2">
        <f>+E40*'VAL 03- 09'!E39</f>
        <v>0</v>
      </c>
      <c r="Q40" s="2">
        <f>+D40*'VAL 04 - 09'!E39</f>
        <v>0</v>
      </c>
      <c r="R40">
        <f>+E40*'VAL 11 - 09'!E39</f>
        <v>55</v>
      </c>
      <c r="S40">
        <f>+E40*'VAL 15 - 09'!E40</f>
        <v>80</v>
      </c>
      <c r="T40">
        <f>+E40*'VAL 18 - 09'!E40</f>
        <v>25</v>
      </c>
      <c r="U40">
        <f>+E40*'VAL 22 -09'!E40</f>
        <v>30</v>
      </c>
      <c r="V40">
        <f>+E40*'VAL 26 - 09'!E40</f>
        <v>25</v>
      </c>
      <c r="W40">
        <f>+E40*'VAL 02 - 10'!E40</f>
        <v>35</v>
      </c>
      <c r="X40">
        <f>+E40*'VAL 09 - 10'!E40</f>
        <v>20</v>
      </c>
      <c r="Y40">
        <f>+E40*'VL 13 - 10'!E40</f>
        <v>10</v>
      </c>
      <c r="Z40">
        <f>+E40*'VAL 17 - 10'!E40</f>
        <v>15</v>
      </c>
      <c r="AA40">
        <f>+E40*'VAL 20 - 10'!E40</f>
        <v>15</v>
      </c>
      <c r="AB40">
        <f>+E40*'VAL C - 10'!E40</f>
        <v>0</v>
      </c>
      <c r="AC40">
        <f>+E40*'VAL D - 10'!E40</f>
        <v>0</v>
      </c>
      <c r="AD40">
        <f>+E40*'VAL F - 10'!E40</f>
        <v>0</v>
      </c>
    </row>
    <row r="41" spans="2:30" x14ac:dyDescent="0.35">
      <c r="B41" s="2" t="s">
        <v>40</v>
      </c>
      <c r="C41" s="2" t="s">
        <v>50</v>
      </c>
      <c r="D41" s="2">
        <v>5</v>
      </c>
      <c r="E41" s="2">
        <v>5</v>
      </c>
      <c r="F41" s="2"/>
      <c r="G41" s="2">
        <f>+D41*'VAL 24 - 07'!E40</f>
        <v>0</v>
      </c>
      <c r="H41" s="2">
        <f>+D41*'VAL 30-07'!E40</f>
        <v>0</v>
      </c>
      <c r="I41" s="2">
        <f>+D41*'VAL 02- 08'!E40</f>
        <v>0</v>
      </c>
      <c r="J41" s="2">
        <f>+D41*'VAL 05-08'!E40</f>
        <v>180</v>
      </c>
      <c r="K41" s="2">
        <f>+D41*'VAL 07 -08'!E40</f>
        <v>125</v>
      </c>
      <c r="L41" s="2">
        <f>+D41*'VAL 11-08'!E40</f>
        <v>170</v>
      </c>
      <c r="M41" s="2">
        <f>+D41*'VAL 15 - 08'!E40</f>
        <v>95</v>
      </c>
      <c r="N41" s="2">
        <f>+D41*'VAL 19- 08'!E40</f>
        <v>0</v>
      </c>
      <c r="O41" s="2">
        <f>+D41*'VAL 26  - 08'!E40</f>
        <v>95</v>
      </c>
      <c r="P41" s="2">
        <f>+E41*'VAL 03- 09'!E40</f>
        <v>0</v>
      </c>
      <c r="Q41" s="2">
        <f>+D41*'VAL 04 - 09'!E40</f>
        <v>0</v>
      </c>
      <c r="R41">
        <f>+E41*'VAL 11 - 09'!E40</f>
        <v>95</v>
      </c>
      <c r="S41">
        <f>+E41*'VAL 15 - 09'!E41</f>
        <v>20</v>
      </c>
      <c r="T41">
        <f>+E41*'VAL 18 - 09'!E41</f>
        <v>90</v>
      </c>
      <c r="U41">
        <f>+E41*'VAL 22 -09'!E41</f>
        <v>95</v>
      </c>
      <c r="V41">
        <f>+E41*'VAL 26 - 09'!E41</f>
        <v>100</v>
      </c>
      <c r="W41">
        <f>+E41*'VAL 02 - 10'!E41</f>
        <v>70</v>
      </c>
      <c r="X41">
        <f>+E41*'VAL 09 - 10'!E41</f>
        <v>65</v>
      </c>
      <c r="Y41">
        <f>+E41*'VL 13 - 10'!E41</f>
        <v>55</v>
      </c>
      <c r="Z41">
        <f>+E41*'VAL 17 - 10'!E41</f>
        <v>40</v>
      </c>
      <c r="AA41">
        <f>+E41*'VAL 20 - 10'!E41</f>
        <v>25</v>
      </c>
      <c r="AB41">
        <f>+E41*'VAL C - 10'!E41</f>
        <v>0</v>
      </c>
      <c r="AC41">
        <f>+E41*'VAL D - 10'!E41</f>
        <v>0</v>
      </c>
      <c r="AD41">
        <f>+E41*'VAL F - 10'!E41</f>
        <v>0</v>
      </c>
    </row>
    <row r="42" spans="2:30" x14ac:dyDescent="0.35">
      <c r="B42" s="2" t="s">
        <v>41</v>
      </c>
      <c r="C42" s="2" t="s">
        <v>50</v>
      </c>
      <c r="D42" s="2">
        <v>5</v>
      </c>
      <c r="E42" s="2">
        <v>5</v>
      </c>
      <c r="F42" s="2"/>
      <c r="G42" s="2">
        <f>+D42*'VAL 24 - 07'!E41</f>
        <v>0</v>
      </c>
      <c r="H42" s="2">
        <f>+D42*'VAL 30-07'!E41</f>
        <v>0</v>
      </c>
      <c r="I42" s="2">
        <f>+D42*'VAL 02- 08'!E41</f>
        <v>0</v>
      </c>
      <c r="J42" s="2">
        <f>+D42*'VAL 05-08'!E41</f>
        <v>70</v>
      </c>
      <c r="K42" s="2">
        <f>+D42*'VAL 07 -08'!E41</f>
        <v>55</v>
      </c>
      <c r="L42" s="2">
        <f>+D42*'VAL 11-08'!E41</f>
        <v>20</v>
      </c>
      <c r="M42" s="2">
        <f>+D42*'VAL 15 - 08'!E41</f>
        <v>25</v>
      </c>
      <c r="N42" s="2">
        <f>+D42*'VAL 19- 08'!E41</f>
        <v>0</v>
      </c>
      <c r="O42" s="2">
        <f>+D42*'VAL 26  - 08'!E41</f>
        <v>5</v>
      </c>
      <c r="P42" s="2">
        <f>+E42*'VAL 03- 09'!E41</f>
        <v>0</v>
      </c>
      <c r="Q42" s="2">
        <f>+D42*'VAL 04 - 09'!E41</f>
        <v>0</v>
      </c>
      <c r="R42">
        <f>+E42*'VAL 11 - 09'!E41</f>
        <v>25</v>
      </c>
      <c r="S42">
        <f>+E42*'VAL 15 - 09'!E42</f>
        <v>20</v>
      </c>
      <c r="T42">
        <f>+E42*'VAL 18 - 09'!E42</f>
        <v>15</v>
      </c>
      <c r="U42">
        <f>+E42*'VAL 22 -09'!E42</f>
        <v>5</v>
      </c>
      <c r="V42">
        <f>+E42*'VAL 26 - 09'!E42</f>
        <v>45</v>
      </c>
      <c r="W42">
        <f>+E42*'VAL 02 - 10'!E42</f>
        <v>25</v>
      </c>
      <c r="X42">
        <f>+E42*'VAL 09 - 10'!E42</f>
        <v>15</v>
      </c>
      <c r="Y42">
        <f>+E42*'VL 13 - 10'!E42</f>
        <v>10</v>
      </c>
      <c r="Z42">
        <f>+E42*'VAL 17 - 10'!E42</f>
        <v>0</v>
      </c>
      <c r="AA42">
        <f>+E42*'VAL 20 - 10'!E42</f>
        <v>10</v>
      </c>
      <c r="AB42">
        <f>+E42*'VAL C - 10'!E42</f>
        <v>0</v>
      </c>
      <c r="AC42">
        <f>+E42*'VAL D - 10'!E42</f>
        <v>0</v>
      </c>
      <c r="AD42">
        <f>+E42*'VAL F - 10'!E42</f>
        <v>0</v>
      </c>
    </row>
    <row r="43" spans="2:30" x14ac:dyDescent="0.35">
      <c r="B43" s="2" t="s">
        <v>42</v>
      </c>
      <c r="C43" s="2" t="s">
        <v>50</v>
      </c>
      <c r="D43" s="2">
        <v>5</v>
      </c>
      <c r="E43" s="2">
        <v>5</v>
      </c>
      <c r="F43" s="2"/>
      <c r="G43" s="2">
        <f>+D43*'VAL 24 - 07'!E42</f>
        <v>0</v>
      </c>
      <c r="H43" s="2">
        <f>+D43*'VAL 30-07'!E42</f>
        <v>0</v>
      </c>
      <c r="I43" s="2">
        <f>+D43*'VAL 02- 08'!E42</f>
        <v>0</v>
      </c>
      <c r="J43" s="2">
        <f>+D43*'VAL 05-08'!E42</f>
        <v>115</v>
      </c>
      <c r="K43" s="2">
        <f>+D43*'VAL 07 -08'!E42</f>
        <v>50</v>
      </c>
      <c r="L43" s="2">
        <f>+D43*'VAL 11-08'!E42</f>
        <v>85</v>
      </c>
      <c r="M43" s="2">
        <f>+D43*'VAL 15 - 08'!E42</f>
        <v>50</v>
      </c>
      <c r="N43" s="2">
        <f>+D43*'VAL 19- 08'!E42</f>
        <v>0</v>
      </c>
      <c r="O43" s="2">
        <f>+D43*'VAL 26  - 08'!E42</f>
        <v>10</v>
      </c>
      <c r="P43" s="2">
        <f>+E43*'VAL 03- 09'!E42</f>
        <v>0</v>
      </c>
      <c r="Q43" s="2">
        <f>+D43*'VAL 04 - 09'!E42</f>
        <v>0</v>
      </c>
      <c r="R43">
        <f>+E43*'VAL 11 - 09'!E42</f>
        <v>65</v>
      </c>
      <c r="S43">
        <f>+E43*'VAL 15 - 09'!E43</f>
        <v>0</v>
      </c>
      <c r="T43">
        <f>+E43*'VAL 18 - 09'!E43</f>
        <v>45</v>
      </c>
      <c r="U43">
        <f>+E43*'VAL 22 -09'!E43</f>
        <v>50</v>
      </c>
      <c r="V43">
        <f>+E43*'VAL 26 - 09'!E43</f>
        <v>20</v>
      </c>
      <c r="W43">
        <f>+E43*'VAL 02 - 10'!E43</f>
        <v>40</v>
      </c>
      <c r="X43">
        <f>+E43*'VAL 09 - 10'!E43</f>
        <v>20</v>
      </c>
      <c r="Y43">
        <f>+E43*'VL 13 - 10'!E43</f>
        <v>20</v>
      </c>
      <c r="Z43">
        <f>+E43*'VAL 17 - 10'!E43</f>
        <v>85</v>
      </c>
      <c r="AA43">
        <f>+E43*'VAL 20 - 10'!E43</f>
        <v>20</v>
      </c>
      <c r="AB43">
        <f>+E43*'VAL C - 10'!E43</f>
        <v>0</v>
      </c>
      <c r="AC43">
        <f>+E43*'VAL D - 10'!E43</f>
        <v>0</v>
      </c>
      <c r="AD43">
        <f>+E43*'VAL F - 10'!E43</f>
        <v>0</v>
      </c>
    </row>
    <row r="44" spans="2:30" ht="18.5" x14ac:dyDescent="0.45">
      <c r="B44" s="2" t="s">
        <v>43</v>
      </c>
      <c r="C44" s="2"/>
      <c r="D44" s="2"/>
      <c r="E44" s="2"/>
      <c r="F44" s="2"/>
      <c r="G44" s="43">
        <f>SUM(G45:G49)</f>
        <v>0</v>
      </c>
      <c r="H44" s="43">
        <f t="shared" ref="H44:P44" si="41">SUM(H45:H49)</f>
        <v>565</v>
      </c>
      <c r="I44" s="43">
        <f t="shared" si="41"/>
        <v>0</v>
      </c>
      <c r="J44" s="43">
        <f t="shared" si="41"/>
        <v>935</v>
      </c>
      <c r="K44" s="43">
        <f>SUM(K45:K49)</f>
        <v>15</v>
      </c>
      <c r="L44" s="43">
        <f t="shared" si="41"/>
        <v>675</v>
      </c>
      <c r="M44" s="43">
        <f t="shared" si="41"/>
        <v>0</v>
      </c>
      <c r="N44" s="43">
        <f t="shared" si="41"/>
        <v>855</v>
      </c>
      <c r="O44" s="43">
        <f t="shared" si="41"/>
        <v>374</v>
      </c>
      <c r="P44" s="43">
        <f t="shared" si="41"/>
        <v>511.5</v>
      </c>
      <c r="Q44" s="43">
        <f t="shared" ref="Q44:AD44" si="42">SUM(Q45:Q49)</f>
        <v>594</v>
      </c>
      <c r="R44" s="43">
        <f t="shared" si="42"/>
        <v>720.5</v>
      </c>
      <c r="S44" s="43">
        <f t="shared" si="42"/>
        <v>0</v>
      </c>
      <c r="T44" s="43">
        <f t="shared" si="42"/>
        <v>434.5</v>
      </c>
      <c r="U44" s="43">
        <f t="shared" si="42"/>
        <v>533.5</v>
      </c>
      <c r="V44" s="43">
        <f t="shared" si="42"/>
        <v>434.5</v>
      </c>
      <c r="W44" s="43">
        <f t="shared" si="42"/>
        <v>517</v>
      </c>
      <c r="X44" s="43">
        <f t="shared" si="42"/>
        <v>280.5</v>
      </c>
      <c r="Y44" s="43">
        <f t="shared" si="42"/>
        <v>324.5</v>
      </c>
      <c r="Z44" s="43">
        <f t="shared" si="42"/>
        <v>396</v>
      </c>
      <c r="AA44" s="43">
        <f t="shared" si="42"/>
        <v>341</v>
      </c>
      <c r="AB44" s="43">
        <f t="shared" si="42"/>
        <v>0</v>
      </c>
      <c r="AC44" s="43">
        <f t="shared" si="42"/>
        <v>0</v>
      </c>
      <c r="AD44" s="43">
        <f t="shared" si="42"/>
        <v>0</v>
      </c>
    </row>
    <row r="45" spans="2:30" x14ac:dyDescent="0.35">
      <c r="B45" s="2" t="s">
        <v>44</v>
      </c>
      <c r="C45" s="2" t="s">
        <v>50</v>
      </c>
      <c r="D45" s="2">
        <v>5</v>
      </c>
      <c r="E45" s="2">
        <v>5.5</v>
      </c>
      <c r="F45" s="2"/>
      <c r="G45" s="2">
        <f>+D45*'VAL 24 - 07'!E44</f>
        <v>0</v>
      </c>
      <c r="H45" s="2">
        <f>+D45*'VAL 30-07'!E44</f>
        <v>565</v>
      </c>
      <c r="I45" s="2">
        <f>+D45*'VAL 02- 08'!E44</f>
        <v>0</v>
      </c>
      <c r="J45" s="2">
        <f>+D45*'VAL 05-08'!E44</f>
        <v>815</v>
      </c>
      <c r="K45" s="2">
        <f>+D45*'VAL 07 -08'!E44</f>
        <v>0</v>
      </c>
      <c r="L45" s="2">
        <f>+D45*'VAL 11-08'!E44</f>
        <v>410</v>
      </c>
      <c r="M45" s="2">
        <f>+D45*'VAL 15 - 08'!E44</f>
        <v>0</v>
      </c>
      <c r="N45" s="2">
        <f>+D45*'VAL 19- 08'!E44</f>
        <v>505</v>
      </c>
      <c r="O45" s="2">
        <f>+E45*'VAL 26  - 08'!E44</f>
        <v>187</v>
      </c>
      <c r="P45" s="2">
        <f>+E45*'VAL 03- 09'!E44</f>
        <v>511.5</v>
      </c>
      <c r="Q45" s="2">
        <f>+E45*'VAL 04 - 09'!E44</f>
        <v>533.5</v>
      </c>
      <c r="R45">
        <f>+E45*'VAL 11 - 09'!E44</f>
        <v>720.5</v>
      </c>
      <c r="S45">
        <f>+E45*'VAL 15 - 09'!E45</f>
        <v>0</v>
      </c>
      <c r="T45">
        <f>+E45*'VAL 18 - 09'!E45</f>
        <v>253</v>
      </c>
      <c r="U45">
        <f>+E45*'VAL 22 -09'!E45</f>
        <v>412.5</v>
      </c>
      <c r="V45">
        <f>+E45*'VAL 18 - 09'!E45</f>
        <v>253</v>
      </c>
      <c r="W45">
        <f>+E45*'VAL 02 - 10'!E45</f>
        <v>341</v>
      </c>
      <c r="X45">
        <f>+E45*'VAL 09 - 10'!E45</f>
        <v>154</v>
      </c>
      <c r="Y45">
        <f>+E45*'VL 13 - 10'!E45</f>
        <v>324.5</v>
      </c>
      <c r="Z45">
        <f>+E45*'VAL 17 - 10'!E45</f>
        <v>319</v>
      </c>
      <c r="AA45">
        <f>+E45*'VAL 20 - 10'!E45</f>
        <v>181.5</v>
      </c>
      <c r="AB45">
        <f>+E45*'VAL C - 10'!E45</f>
        <v>0</v>
      </c>
      <c r="AC45">
        <f>+E45*'VAL D - 10'!E45</f>
        <v>0</v>
      </c>
      <c r="AD45">
        <f>+E45*'VAL F - 10'!E45</f>
        <v>0</v>
      </c>
    </row>
    <row r="46" spans="2:30" x14ac:dyDescent="0.35">
      <c r="B46" s="2" t="s">
        <v>45</v>
      </c>
      <c r="C46" s="2" t="s">
        <v>50</v>
      </c>
      <c r="D46" s="2">
        <v>5</v>
      </c>
      <c r="E46" s="2">
        <v>5.5</v>
      </c>
      <c r="F46" s="2"/>
      <c r="G46" s="2">
        <f>+D46*'VAL 24 - 07'!E45</f>
        <v>0</v>
      </c>
      <c r="H46" s="2">
        <f>+D46*'VAL 30-07'!E45</f>
        <v>0</v>
      </c>
      <c r="I46" s="2">
        <f>+D46*'VAL 02- 08'!E45</f>
        <v>0</v>
      </c>
      <c r="J46" s="2">
        <f>+D46*'VAL 05-08'!E45</f>
        <v>70</v>
      </c>
      <c r="K46" s="2">
        <f>+D46*'VAL 07 -08'!E45</f>
        <v>15</v>
      </c>
      <c r="L46" s="2">
        <f>+D46*'VAL 11-08'!E45</f>
        <v>40</v>
      </c>
      <c r="M46" s="2">
        <f>+D46*'VAL 15 - 08'!E45</f>
        <v>0</v>
      </c>
      <c r="N46" s="2">
        <f>+D46*'VAL 19- 08'!E45</f>
        <v>80</v>
      </c>
      <c r="O46" s="2">
        <f>+E46*'VAL 26  - 08'!E45</f>
        <v>22</v>
      </c>
      <c r="P46" s="2">
        <f>+E46*'VAL 03- 09'!E45</f>
        <v>0</v>
      </c>
      <c r="Q46" s="2">
        <f>+E46*'VAL 04 - 09'!E45</f>
        <v>60.5</v>
      </c>
      <c r="R46">
        <f>+E46*'VAL 11 - 09'!E45</f>
        <v>0</v>
      </c>
      <c r="S46">
        <f>+E46*'VAL 15 - 09'!E46</f>
        <v>0</v>
      </c>
      <c r="T46">
        <f>+E46*'VAL 18 - 09'!E46</f>
        <v>38.5</v>
      </c>
      <c r="U46">
        <f>+E46*'VAL 22 -09'!E46</f>
        <v>38.5</v>
      </c>
      <c r="V46">
        <f>+E46*'VAL 18 - 09'!E46</f>
        <v>38.5</v>
      </c>
      <c r="W46">
        <f>+E46*'VAL 02 - 10'!E46</f>
        <v>33</v>
      </c>
      <c r="X46">
        <f>+E46*'VAL 09 - 10'!E46</f>
        <v>27.5</v>
      </c>
      <c r="Y46">
        <f>+J46*'VAL 18 - 09'!J46</f>
        <v>0</v>
      </c>
      <c r="Z46">
        <f>+E46*'VAL 17 - 10'!E46</f>
        <v>77</v>
      </c>
      <c r="AA46">
        <f>+E46*'VAL 20 - 10'!E46</f>
        <v>44</v>
      </c>
      <c r="AB46">
        <f>+E46*'VAL C - 10'!E46</f>
        <v>0</v>
      </c>
      <c r="AC46">
        <f>+E46*'VAL D - 10'!E46</f>
        <v>0</v>
      </c>
      <c r="AD46">
        <f>+E46*'VAL F - 10'!E46</f>
        <v>0</v>
      </c>
    </row>
    <row r="47" spans="2:30" x14ac:dyDescent="0.35">
      <c r="B47" s="2" t="s">
        <v>46</v>
      </c>
      <c r="C47" s="2" t="s">
        <v>50</v>
      </c>
      <c r="D47" s="2">
        <v>5</v>
      </c>
      <c r="E47" s="2">
        <v>5.5</v>
      </c>
      <c r="F47" s="2"/>
      <c r="G47" s="2">
        <f>+D47*'VAL 24 - 07'!E46</f>
        <v>0</v>
      </c>
      <c r="H47" s="2">
        <f>+D47*'VAL 30-07'!E46</f>
        <v>0</v>
      </c>
      <c r="I47" s="2">
        <f>+D47*'VAL 02- 08'!E46</f>
        <v>0</v>
      </c>
      <c r="J47" s="2">
        <f>+D47*'VAL 05-08'!E46</f>
        <v>35</v>
      </c>
      <c r="K47" s="2">
        <f>+D47*'VAL 07 -08'!E46</f>
        <v>0</v>
      </c>
      <c r="L47" s="2">
        <f>+D47*'VAL 11-08'!E46</f>
        <v>70</v>
      </c>
      <c r="M47" s="2">
        <f>+D47*'VAL 15 - 08'!E46</f>
        <v>0</v>
      </c>
      <c r="N47" s="2">
        <f>+D47*'VAL 19- 08'!E46</f>
        <v>70</v>
      </c>
      <c r="O47" s="2">
        <f>+E47*'VAL 26  - 08'!E46</f>
        <v>38.5</v>
      </c>
      <c r="P47" s="2">
        <f>+E47*'VAL 03- 09'!E46</f>
        <v>0</v>
      </c>
      <c r="Q47" s="2">
        <f>+E47*'VAL 04 - 09'!E46</f>
        <v>0</v>
      </c>
      <c r="R47">
        <f>+E47*'VAL 11 - 09'!E46</f>
        <v>0</v>
      </c>
      <c r="S47">
        <f>+E47*'VAL 15 - 09'!E47</f>
        <v>0</v>
      </c>
      <c r="T47">
        <f>+E47*'VAL 18 - 09'!E47</f>
        <v>71.5</v>
      </c>
      <c r="U47">
        <f>+E47*'VAL 22 -09'!E47</f>
        <v>0</v>
      </c>
      <c r="V47">
        <f>+E47*'VAL 18 - 09'!E47</f>
        <v>71.5</v>
      </c>
      <c r="W47">
        <f>+E47*'VAL 02 - 10'!E47</f>
        <v>44</v>
      </c>
      <c r="X47">
        <f>+E47*'VAL 09 - 10'!E47</f>
        <v>27.5</v>
      </c>
      <c r="Y47">
        <f>+J47*'VAL 18 - 09'!J47</f>
        <v>0</v>
      </c>
      <c r="Z47">
        <f>+E47*'VAL 17 - 10'!E47</f>
        <v>0</v>
      </c>
      <c r="AA47">
        <f>+E47*'VAL 20 - 10'!E47</f>
        <v>33</v>
      </c>
      <c r="AB47">
        <f>+E47*'VAL C - 10'!E47</f>
        <v>0</v>
      </c>
      <c r="AC47">
        <f>+E47*'VAL D - 10'!E47</f>
        <v>0</v>
      </c>
      <c r="AD47">
        <f>+E47*'VAL F - 10'!E47</f>
        <v>0</v>
      </c>
    </row>
    <row r="48" spans="2:30" x14ac:dyDescent="0.35">
      <c r="B48" s="2" t="s">
        <v>47</v>
      </c>
      <c r="C48" s="2" t="s">
        <v>50</v>
      </c>
      <c r="D48" s="2">
        <v>5</v>
      </c>
      <c r="E48" s="2">
        <v>5.5</v>
      </c>
      <c r="F48" s="2"/>
      <c r="G48" s="2">
        <f>+D48*'VAL 24 - 07'!E47</f>
        <v>0</v>
      </c>
      <c r="H48" s="2">
        <f>+D48*'VAL 30-07'!E47</f>
        <v>0</v>
      </c>
      <c r="I48" s="2">
        <f>+D48*'VAL 02- 08'!E47</f>
        <v>0</v>
      </c>
      <c r="J48" s="2">
        <f>+D48*'VAL 05-08'!E47</f>
        <v>15</v>
      </c>
      <c r="K48" s="2">
        <f>+D48*'VAL 07 -08'!E47</f>
        <v>0</v>
      </c>
      <c r="L48" s="2">
        <f>+D48*'VAL 11-08'!E47</f>
        <v>0</v>
      </c>
      <c r="M48" s="2">
        <f>+D48*'VAL 15 - 08'!E47</f>
        <v>0</v>
      </c>
      <c r="N48" s="2">
        <f>+D48*'VAL 19- 08'!E47</f>
        <v>0</v>
      </c>
      <c r="O48" s="2">
        <f>+E48*'VAL 26  - 08'!E47</f>
        <v>0</v>
      </c>
      <c r="P48" s="2">
        <f>+E48*'VAL 03- 09'!E47</f>
        <v>0</v>
      </c>
      <c r="Q48" s="2">
        <f>+E48*'VAL 04 - 09'!E47</f>
        <v>0</v>
      </c>
      <c r="R48">
        <f>+E48*'VAL 11 - 09'!E47</f>
        <v>0</v>
      </c>
      <c r="S48">
        <f>+E48*'VAL 15 - 09'!E48</f>
        <v>0</v>
      </c>
      <c r="T48">
        <f>+E48*'VAL 18 - 09'!E48</f>
        <v>0</v>
      </c>
      <c r="U48">
        <f>+E48*'VAL 22 -09'!E48</f>
        <v>0</v>
      </c>
      <c r="V48">
        <f>+E48*'VAL 18 - 09'!E48</f>
        <v>0</v>
      </c>
      <c r="W48">
        <f>+E48*'VAL 02 - 10'!E48</f>
        <v>0</v>
      </c>
      <c r="X48">
        <f>+E48*'VAL 09 - 10'!E48</f>
        <v>0</v>
      </c>
      <c r="Y48">
        <f>+J48*'VAL 18 - 09'!J48</f>
        <v>0</v>
      </c>
      <c r="Z48">
        <f>+E48*'VAL 17 - 10'!E48</f>
        <v>0</v>
      </c>
      <c r="AA48">
        <f>+E48*'VAL 20 - 10'!E48</f>
        <v>0</v>
      </c>
      <c r="AB48">
        <f>+E48*'VAL C - 10'!E48</f>
        <v>0</v>
      </c>
      <c r="AC48">
        <f>+E48*'VAL D - 10'!E48</f>
        <v>0</v>
      </c>
      <c r="AD48">
        <f>+E48*'VAL F - 10'!E48</f>
        <v>0</v>
      </c>
    </row>
    <row r="49" spans="2:30" x14ac:dyDescent="0.35">
      <c r="B49" s="2" t="s">
        <v>49</v>
      </c>
      <c r="C49" s="2" t="s">
        <v>50</v>
      </c>
      <c r="D49" s="2">
        <v>5</v>
      </c>
      <c r="E49" s="2">
        <v>5.5</v>
      </c>
      <c r="F49" s="2"/>
      <c r="G49" s="2">
        <f>+D49*'VAL 24 - 07'!E48</f>
        <v>0</v>
      </c>
      <c r="H49" s="2">
        <f>+D49*'VAL 30-07'!E48</f>
        <v>0</v>
      </c>
      <c r="I49" s="2">
        <f>+D49*'VAL 02- 08'!E48</f>
        <v>0</v>
      </c>
      <c r="J49" s="2">
        <f>+D49*'VAL 05-08'!E48</f>
        <v>0</v>
      </c>
      <c r="K49" s="2">
        <f>+D49*'VAL 07 -08'!E48</f>
        <v>0</v>
      </c>
      <c r="L49" s="2">
        <f>+D49*'VAL 11-08'!E48</f>
        <v>155</v>
      </c>
      <c r="M49" s="2">
        <f>+D49*'VAL 15 - 08'!E48</f>
        <v>0</v>
      </c>
      <c r="N49" s="2">
        <f>+D49*'VAL 19- 08'!E48</f>
        <v>200</v>
      </c>
      <c r="O49" s="2">
        <f>+E49*'VAL 26  - 08'!E48</f>
        <v>126.5</v>
      </c>
      <c r="P49" s="2">
        <f>+E49*'VAL 03- 09'!E48</f>
        <v>0</v>
      </c>
      <c r="Q49" s="2">
        <f>+E49*'VAL 04 - 09'!E48</f>
        <v>0</v>
      </c>
      <c r="R49">
        <f>+E49*'VAL 11 - 09'!E48</f>
        <v>0</v>
      </c>
      <c r="S49">
        <f>+E49*'VAL 15 - 09'!E49</f>
        <v>0</v>
      </c>
      <c r="T49">
        <f>+E49*'VAL 18 - 09'!E49</f>
        <v>71.5</v>
      </c>
      <c r="U49">
        <f>+E49*'VAL 22 -09'!E49</f>
        <v>82.5</v>
      </c>
      <c r="V49">
        <f>+E49*'VAL 18 - 09'!E49</f>
        <v>71.5</v>
      </c>
      <c r="W49">
        <f>+E49*'VAL 02 - 10'!E49</f>
        <v>99</v>
      </c>
      <c r="X49">
        <f>+E49*'VAL 09 - 10'!E49</f>
        <v>71.5</v>
      </c>
      <c r="Y49">
        <f>+J49*'VAL 18 - 09'!J49</f>
        <v>0</v>
      </c>
      <c r="Z49">
        <f>+E49*'VAL 17 - 10'!E49</f>
        <v>0</v>
      </c>
      <c r="AA49">
        <f>+E49*'VAL 20 - 10'!E49</f>
        <v>82.5</v>
      </c>
      <c r="AB49">
        <f>+E49*'VAL C - 10'!E49</f>
        <v>0</v>
      </c>
      <c r="AC49">
        <f>+E49*'VAL D - 10'!E49</f>
        <v>0</v>
      </c>
      <c r="AD49">
        <f>+E49*'VAL F - 10'!E49</f>
        <v>0</v>
      </c>
    </row>
    <row r="50" spans="2:30" ht="18.5" x14ac:dyDescent="0.45">
      <c r="B50" s="29" t="s">
        <v>51</v>
      </c>
      <c r="C50" s="29"/>
      <c r="D50" s="31">
        <f>SUM(F50:S50)</f>
        <v>31573.5</v>
      </c>
      <c r="E50" s="31"/>
      <c r="F50" s="94">
        <v>1557.9</v>
      </c>
      <c r="G50" s="12">
        <f t="shared" ref="G50:AD50" si="43">+G44+G37+G30+G22+G10+G5</f>
        <v>3316</v>
      </c>
      <c r="H50" s="12">
        <f t="shared" si="43"/>
        <v>1598</v>
      </c>
      <c r="I50" s="12">
        <f t="shared" si="43"/>
        <v>1127</v>
      </c>
      <c r="J50" s="12">
        <f t="shared" si="43"/>
        <v>1781</v>
      </c>
      <c r="K50" s="12">
        <f t="shared" si="43"/>
        <v>1865</v>
      </c>
      <c r="L50" s="12">
        <f t="shared" si="43"/>
        <v>3235</v>
      </c>
      <c r="M50" s="12">
        <f t="shared" si="43"/>
        <v>1950</v>
      </c>
      <c r="N50" s="12">
        <f t="shared" si="43"/>
        <v>3605</v>
      </c>
      <c r="O50" s="12">
        <f t="shared" si="43"/>
        <v>3071</v>
      </c>
      <c r="P50" s="12">
        <f t="shared" si="43"/>
        <v>1653.4</v>
      </c>
      <c r="Q50" s="12">
        <f t="shared" si="43"/>
        <v>1850.1</v>
      </c>
      <c r="R50" s="12">
        <f t="shared" si="43"/>
        <v>3174.6</v>
      </c>
      <c r="S50" s="12">
        <f t="shared" si="43"/>
        <v>1789.5</v>
      </c>
      <c r="T50" s="12">
        <f t="shared" si="43"/>
        <v>2184</v>
      </c>
      <c r="U50" s="12">
        <f t="shared" si="43"/>
        <v>3703.5</v>
      </c>
      <c r="V50" s="12">
        <f t="shared" si="43"/>
        <v>3716.3</v>
      </c>
      <c r="W50" s="12">
        <f t="shared" si="43"/>
        <v>4176.7</v>
      </c>
      <c r="X50" s="12">
        <f t="shared" si="43"/>
        <v>2340.1</v>
      </c>
      <c r="Y50" s="12">
        <f t="shared" si="43"/>
        <v>2295.6</v>
      </c>
      <c r="Z50" s="12">
        <f t="shared" si="43"/>
        <v>2940.9</v>
      </c>
      <c r="AA50" s="12">
        <f t="shared" si="43"/>
        <v>2644.5</v>
      </c>
      <c r="AB50" s="12">
        <f t="shared" si="43"/>
        <v>0</v>
      </c>
      <c r="AC50" s="12">
        <f t="shared" si="43"/>
        <v>0</v>
      </c>
      <c r="AD50" s="12">
        <f t="shared" si="43"/>
        <v>0</v>
      </c>
    </row>
  </sheetData>
  <mergeCells count="1">
    <mergeCell ref="B2:M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BFB5-4D59-4156-981A-F8A3AF00A3A0}">
  <dimension ref="B4:AC21"/>
  <sheetViews>
    <sheetView topLeftCell="A3" workbookViewId="0">
      <selection activeCell="Y22" sqref="Y22"/>
    </sheetView>
  </sheetViews>
  <sheetFormatPr baseColWidth="10" defaultRowHeight="14.5" x14ac:dyDescent="0.35"/>
  <cols>
    <col min="2" max="2" width="28.08984375" customWidth="1"/>
    <col min="3" max="3" width="11.26953125" customWidth="1"/>
    <col min="4" max="11" width="11.26953125" hidden="1" customWidth="1"/>
    <col min="12" max="21" width="12.26953125" hidden="1" customWidth="1"/>
    <col min="22" max="29" width="12.26953125" customWidth="1"/>
  </cols>
  <sheetData>
    <row r="4" spans="2:29" x14ac:dyDescent="0.35">
      <c r="B4" t="s">
        <v>119</v>
      </c>
      <c r="C4" t="s">
        <v>193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  <c r="O4" t="s">
        <v>205</v>
      </c>
      <c r="P4" t="s">
        <v>206</v>
      </c>
      <c r="Q4" t="s">
        <v>207</v>
      </c>
      <c r="R4" t="s">
        <v>208</v>
      </c>
      <c r="S4" t="s">
        <v>209</v>
      </c>
      <c r="T4" t="s">
        <v>210</v>
      </c>
      <c r="U4" t="s">
        <v>211</v>
      </c>
      <c r="V4" t="s">
        <v>212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</row>
    <row r="5" spans="2:29" ht="18.5" x14ac:dyDescent="0.45">
      <c r="B5" s="109" t="s">
        <v>221</v>
      </c>
      <c r="C5" t="s">
        <v>111</v>
      </c>
      <c r="D5" t="s">
        <v>52</v>
      </c>
      <c r="E5" t="s">
        <v>53</v>
      </c>
      <c r="F5" t="s">
        <v>54</v>
      </c>
      <c r="G5" t="s">
        <v>55</v>
      </c>
      <c r="H5" t="s">
        <v>64</v>
      </c>
      <c r="I5" t="s">
        <v>56</v>
      </c>
      <c r="J5" t="s">
        <v>57</v>
      </c>
      <c r="K5" t="s">
        <v>90</v>
      </c>
      <c r="L5" t="s">
        <v>99</v>
      </c>
      <c r="M5" t="s">
        <v>107</v>
      </c>
      <c r="N5" t="s">
        <v>108</v>
      </c>
      <c r="O5" t="s">
        <v>113</v>
      </c>
      <c r="P5" t="s">
        <v>156</v>
      </c>
      <c r="Q5" t="s">
        <v>165</v>
      </c>
      <c r="R5" t="s">
        <v>167</v>
      </c>
      <c r="S5" t="s">
        <v>170</v>
      </c>
      <c r="T5" t="s">
        <v>173</v>
      </c>
      <c r="U5" t="s">
        <v>177</v>
      </c>
      <c r="V5" t="s">
        <v>179</v>
      </c>
      <c r="W5" t="s">
        <v>222</v>
      </c>
      <c r="X5" t="s">
        <v>224</v>
      </c>
      <c r="Y5" t="s">
        <v>186</v>
      </c>
      <c r="Z5" t="s">
        <v>187</v>
      </c>
      <c r="AA5" t="s">
        <v>160</v>
      </c>
      <c r="AB5" t="s">
        <v>51</v>
      </c>
      <c r="AC5" t="s">
        <v>105</v>
      </c>
    </row>
    <row r="6" spans="2:29" x14ac:dyDescent="0.35">
      <c r="B6" t="s">
        <v>72</v>
      </c>
      <c r="C6" s="32"/>
      <c r="D6" s="32">
        <v>858</v>
      </c>
      <c r="E6" s="32">
        <v>1368</v>
      </c>
      <c r="F6" s="32">
        <v>576</v>
      </c>
      <c r="G6" s="32">
        <v>15</v>
      </c>
      <c r="H6" s="32">
        <v>2091</v>
      </c>
      <c r="I6" s="32">
        <v>2319</v>
      </c>
      <c r="J6" s="32">
        <v>1638</v>
      </c>
      <c r="K6" s="32">
        <v>2406</v>
      </c>
      <c r="L6" s="32">
        <v>2298</v>
      </c>
      <c r="M6" s="32">
        <v>1908</v>
      </c>
      <c r="N6" s="32">
        <v>1113</v>
      </c>
      <c r="O6" s="32">
        <v>873</v>
      </c>
      <c r="P6" s="32">
        <v>801</v>
      </c>
      <c r="Q6" s="32">
        <v>1179</v>
      </c>
      <c r="R6" s="32">
        <v>2193</v>
      </c>
      <c r="S6" s="32">
        <v>1974</v>
      </c>
      <c r="T6" s="32">
        <v>3258</v>
      </c>
      <c r="U6" s="32">
        <v>1893</v>
      </c>
      <c r="V6" s="32">
        <v>1536</v>
      </c>
      <c r="W6" s="32">
        <f>+'VAL-REAL'!BA11</f>
        <v>2100</v>
      </c>
      <c r="X6" s="32">
        <f>+'VAL-REAL'!BB11</f>
        <v>1920</v>
      </c>
      <c r="Y6" s="32">
        <f>+'VAL-REAL'!BC11</f>
        <v>0</v>
      </c>
      <c r="Z6" s="32">
        <f>+'VAL-REAL'!BD11</f>
        <v>0</v>
      </c>
      <c r="AA6" s="32">
        <f>+'VAL-REAL'!BE11</f>
        <v>0</v>
      </c>
      <c r="AB6" s="32">
        <f>SUM(Tabla24[[#This Row],[Columna1]:[Columna25]])</f>
        <v>34317</v>
      </c>
      <c r="AC6" s="32">
        <f>AVERAGE(Tabla24[[#This Row],[Columna1]:[Columna25]])</f>
        <v>1429.875</v>
      </c>
    </row>
    <row r="7" spans="2:29" x14ac:dyDescent="0.35">
      <c r="B7" t="s">
        <v>10</v>
      </c>
      <c r="C7" s="32"/>
      <c r="D7" s="32">
        <v>2166</v>
      </c>
      <c r="E7" s="32">
        <v>952</v>
      </c>
      <c r="F7" s="32">
        <v>949</v>
      </c>
      <c r="G7" s="32">
        <v>687</v>
      </c>
      <c r="H7" s="32">
        <v>24</v>
      </c>
      <c r="I7" s="32">
        <v>1230</v>
      </c>
      <c r="J7" s="32">
        <v>1200</v>
      </c>
      <c r="K7" s="32">
        <v>1432</v>
      </c>
      <c r="L7" s="32">
        <v>1351</v>
      </c>
      <c r="M7" s="32">
        <v>0</v>
      </c>
      <c r="N7" s="32">
        <v>888</v>
      </c>
      <c r="O7" s="32">
        <v>1352</v>
      </c>
      <c r="P7" s="32">
        <v>976</v>
      </c>
      <c r="Q7" s="32">
        <v>660</v>
      </c>
      <c r="R7" s="32">
        <v>1732</v>
      </c>
      <c r="S7" s="32">
        <v>1563</v>
      </c>
      <c r="T7" s="32">
        <v>1855</v>
      </c>
      <c r="U7" s="32">
        <v>897</v>
      </c>
      <c r="V7" s="32">
        <v>1019</v>
      </c>
      <c r="W7" s="32">
        <f>+'VAL-REAL'!BA12</f>
        <v>1206</v>
      </c>
      <c r="X7" s="32">
        <f>+'VAL-REAL'!BB12</f>
        <v>1141</v>
      </c>
      <c r="Y7" s="32">
        <f>+'VAL-REAL'!BC12</f>
        <v>0</v>
      </c>
      <c r="Z7" s="32">
        <f>+'VAL-REAL'!BD12</f>
        <v>0</v>
      </c>
      <c r="AA7" s="32">
        <f>+'VAL-REAL'!BE12</f>
        <v>0</v>
      </c>
      <c r="AB7" s="32">
        <f>SUM(Tabla24[[#This Row],[Columna1]:[Columna25]])</f>
        <v>23280</v>
      </c>
      <c r="AC7" s="32">
        <f>AVERAGE(Tabla24[[#This Row],[Columna1]:[Columna25]])</f>
        <v>970</v>
      </c>
    </row>
    <row r="8" spans="2:29" x14ac:dyDescent="0.35">
      <c r="B8" t="s">
        <v>22</v>
      </c>
      <c r="C8" s="32"/>
      <c r="D8" s="32">
        <v>1422</v>
      </c>
      <c r="E8" s="32">
        <v>5</v>
      </c>
      <c r="F8" s="32">
        <v>200</v>
      </c>
      <c r="G8" s="32">
        <v>0</v>
      </c>
      <c r="H8" s="32">
        <v>580</v>
      </c>
      <c r="I8" s="32">
        <v>0</v>
      </c>
      <c r="J8" s="32">
        <v>707</v>
      </c>
      <c r="K8" s="32">
        <v>820</v>
      </c>
      <c r="L8" s="32">
        <v>806</v>
      </c>
      <c r="M8" s="32">
        <v>564</v>
      </c>
      <c r="N8" s="32">
        <v>430</v>
      </c>
      <c r="O8" s="32">
        <v>656</v>
      </c>
      <c r="P8" s="32">
        <v>371</v>
      </c>
      <c r="Q8" s="32">
        <v>302</v>
      </c>
      <c r="R8" s="32">
        <v>925</v>
      </c>
      <c r="S8" s="32">
        <v>1065</v>
      </c>
      <c r="T8" s="32">
        <v>869</v>
      </c>
      <c r="U8" s="32">
        <v>564</v>
      </c>
      <c r="V8" s="32">
        <v>605</v>
      </c>
      <c r="W8" s="32">
        <f>+'VAL-REAL'!BA13</f>
        <v>800</v>
      </c>
      <c r="X8" s="32">
        <f>+'VAL-REAL'!BB13</f>
        <v>764</v>
      </c>
      <c r="Y8" s="32">
        <f>+'VAL-REAL'!BC13</f>
        <v>0</v>
      </c>
      <c r="Z8" s="32">
        <f>+'VAL-REAL'!BD13</f>
        <v>0</v>
      </c>
      <c r="AA8" s="32">
        <f>+'VAL-REAL'!BE13</f>
        <v>0</v>
      </c>
      <c r="AB8" s="32">
        <f>SUM(Tabla24[[#This Row],[Columna1]:[Columna25]])</f>
        <v>12455</v>
      </c>
      <c r="AC8" s="32">
        <f>AVERAGE(Tabla24[[#This Row],[Columna1]:[Columna25]])</f>
        <v>518.95833333333337</v>
      </c>
    </row>
    <row r="9" spans="2:29" x14ac:dyDescent="0.35">
      <c r="B9" t="s">
        <v>30</v>
      </c>
      <c r="C9" s="32"/>
      <c r="D9" s="32">
        <v>925</v>
      </c>
      <c r="E9" s="32">
        <v>0</v>
      </c>
      <c r="F9" s="32">
        <v>368</v>
      </c>
      <c r="G9" s="32">
        <v>0</v>
      </c>
      <c r="H9" s="32">
        <v>528</v>
      </c>
      <c r="I9" s="32">
        <v>1158</v>
      </c>
      <c r="J9" s="32">
        <v>0</v>
      </c>
      <c r="K9" s="32">
        <v>912</v>
      </c>
      <c r="L9" s="32">
        <v>809</v>
      </c>
      <c r="M9" s="32">
        <v>0</v>
      </c>
      <c r="N9" s="32">
        <v>0</v>
      </c>
      <c r="O9" s="32">
        <v>1056</v>
      </c>
      <c r="P9" s="32">
        <v>692</v>
      </c>
      <c r="Q9" s="32">
        <v>774</v>
      </c>
      <c r="R9" s="32">
        <v>683</v>
      </c>
      <c r="S9" s="32">
        <v>731</v>
      </c>
      <c r="T9" s="32">
        <v>714</v>
      </c>
      <c r="U9" s="32">
        <v>427</v>
      </c>
      <c r="V9" s="32">
        <v>293</v>
      </c>
      <c r="W9" s="32">
        <f>+'VAL-REAL'!BA14</f>
        <v>545</v>
      </c>
      <c r="X9" s="32">
        <f>+'VAL-REAL'!BB14</f>
        <v>491</v>
      </c>
      <c r="Y9" s="32">
        <f>+'VAL-REAL'!BC14</f>
        <v>0</v>
      </c>
      <c r="Z9" s="32">
        <f>+'VAL-REAL'!BD14</f>
        <v>0</v>
      </c>
      <c r="AA9" s="32">
        <f>+'VAL-REAL'!BE14</f>
        <v>0</v>
      </c>
      <c r="AB9" s="32">
        <f>SUM(Tabla24[[#This Row],[Columna1]:[Columna25]])</f>
        <v>11106</v>
      </c>
      <c r="AC9" s="32">
        <f>AVERAGE(Tabla24[[#This Row],[Columna1]:[Columna25]])</f>
        <v>462.75</v>
      </c>
    </row>
    <row r="10" spans="2:29" x14ac:dyDescent="0.35">
      <c r="B10" t="s">
        <v>36</v>
      </c>
      <c r="C10" s="32"/>
      <c r="D10" s="32">
        <v>424</v>
      </c>
      <c r="E10" s="32">
        <v>0</v>
      </c>
      <c r="F10" s="32">
        <v>0</v>
      </c>
      <c r="G10" s="32">
        <v>680</v>
      </c>
      <c r="H10" s="32">
        <v>448</v>
      </c>
      <c r="I10" s="32">
        <v>528</v>
      </c>
      <c r="J10" s="32">
        <v>360</v>
      </c>
      <c r="K10" s="32">
        <v>0</v>
      </c>
      <c r="L10" s="32">
        <v>176</v>
      </c>
      <c r="M10" s="32">
        <v>0</v>
      </c>
      <c r="N10" s="32">
        <v>0</v>
      </c>
      <c r="O10" s="32">
        <v>384</v>
      </c>
      <c r="P10" s="32">
        <v>304</v>
      </c>
      <c r="Q10" s="32">
        <v>280</v>
      </c>
      <c r="R10" s="32">
        <v>288</v>
      </c>
      <c r="S10" s="32">
        <v>304</v>
      </c>
      <c r="T10" s="32">
        <v>272</v>
      </c>
      <c r="U10" s="32">
        <v>192</v>
      </c>
      <c r="V10" s="32">
        <v>152</v>
      </c>
      <c r="W10" s="32">
        <f>+'VAL-REAL'!BA15</f>
        <v>224</v>
      </c>
      <c r="X10" s="32">
        <f>+'VAL-REAL'!BB15</f>
        <v>112</v>
      </c>
      <c r="Y10" s="32">
        <f>+'VAL-REAL'!BC15</f>
        <v>0</v>
      </c>
      <c r="Z10" s="32">
        <f>+'VAL-REAL'!BD15</f>
        <v>0</v>
      </c>
      <c r="AA10" s="32">
        <f>+'VAL-REAL'!BE15</f>
        <v>0</v>
      </c>
      <c r="AB10" s="32">
        <f>SUM(Tabla24[[#This Row],[Columna1]:[Columna25]])</f>
        <v>5128</v>
      </c>
      <c r="AC10" s="32">
        <f>AVERAGE(Tabla24[[#This Row],[Columna1]:[Columna25]])</f>
        <v>213.66666666666666</v>
      </c>
    </row>
    <row r="11" spans="2:29" x14ac:dyDescent="0.35">
      <c r="B11" t="s">
        <v>43</v>
      </c>
      <c r="C11" s="32">
        <v>2596.5</v>
      </c>
      <c r="D11" s="32">
        <v>0</v>
      </c>
      <c r="E11" s="32">
        <v>904</v>
      </c>
      <c r="F11" s="32">
        <v>0</v>
      </c>
      <c r="G11" s="32">
        <v>1496</v>
      </c>
      <c r="H11" s="32">
        <v>24</v>
      </c>
      <c r="I11" s="32">
        <v>1080</v>
      </c>
      <c r="J11" s="32">
        <v>0</v>
      </c>
      <c r="K11" s="32">
        <v>1368</v>
      </c>
      <c r="L11" s="32">
        <v>544</v>
      </c>
      <c r="M11" s="32">
        <v>744</v>
      </c>
      <c r="N11" s="32">
        <v>864</v>
      </c>
      <c r="O11" s="32">
        <v>1048</v>
      </c>
      <c r="P11" s="32">
        <v>0</v>
      </c>
      <c r="Q11" s="32">
        <v>632</v>
      </c>
      <c r="R11" s="32">
        <v>776</v>
      </c>
      <c r="S11" s="32">
        <v>744</v>
      </c>
      <c r="T11" s="32">
        <v>752</v>
      </c>
      <c r="U11" s="32">
        <v>408</v>
      </c>
      <c r="V11" s="32">
        <v>472</v>
      </c>
      <c r="W11" s="32">
        <f>+'VAL-REAL'!BA16</f>
        <v>576</v>
      </c>
      <c r="X11" s="32">
        <f>+'VAL-REAL'!BB16</f>
        <v>496</v>
      </c>
      <c r="Y11" s="32">
        <f>+'VAL-REAL'!BC16</f>
        <v>0</v>
      </c>
      <c r="Z11" s="32">
        <f>+'VAL-REAL'!BD16</f>
        <v>0</v>
      </c>
      <c r="AA11" s="32">
        <f>+'VAL-REAL'!BE16</f>
        <v>0</v>
      </c>
      <c r="AB11" s="32">
        <f>SUM(Tabla24[[#This Row],[Columna1]:[Columna25]])</f>
        <v>15524.5</v>
      </c>
      <c r="AC11" s="32">
        <f>AVERAGE(Tabla24[[#This Row],[Columna1]:[Columna25]])</f>
        <v>620.98</v>
      </c>
    </row>
    <row r="12" spans="2:29" x14ac:dyDescent="0.35">
      <c r="B12" t="s">
        <v>118</v>
      </c>
      <c r="C12" s="32">
        <v>2596.5</v>
      </c>
      <c r="D12" s="32">
        <v>5795</v>
      </c>
      <c r="E12" s="32">
        <v>3229</v>
      </c>
      <c r="F12" s="32">
        <v>2093</v>
      </c>
      <c r="G12" s="32">
        <v>2878</v>
      </c>
      <c r="H12" s="32">
        <v>3695</v>
      </c>
      <c r="I12" s="32">
        <v>6315</v>
      </c>
      <c r="J12" s="32">
        <v>3905</v>
      </c>
      <c r="K12" s="32">
        <v>6938</v>
      </c>
      <c r="L12" s="32">
        <v>5984</v>
      </c>
      <c r="M12" s="32">
        <v>3216</v>
      </c>
      <c r="N12" s="32">
        <v>3295</v>
      </c>
      <c r="O12" s="32">
        <v>5369</v>
      </c>
      <c r="P12" s="32">
        <v>3144</v>
      </c>
      <c r="Q12" s="32">
        <v>3827</v>
      </c>
      <c r="R12" s="32">
        <v>6597</v>
      </c>
      <c r="S12" s="32">
        <v>6381</v>
      </c>
      <c r="T12" s="32">
        <v>7720</v>
      </c>
      <c r="U12" s="32">
        <v>4381</v>
      </c>
      <c r="V12" s="32">
        <v>4077</v>
      </c>
      <c r="W12" s="32">
        <f>SUBTOTAL(109,W5:W11)</f>
        <v>5451</v>
      </c>
      <c r="X12" s="32">
        <f t="shared" ref="X12:AA12" si="0">SUBTOTAL(109,X5:X11)</f>
        <v>4924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>SUM(Tabla24[[#This Row],[Columna1]:[Columna25]])</f>
        <v>101810.5</v>
      </c>
      <c r="AC12" s="32">
        <f>AVERAGE(Tabla24[[#This Row],[Columna1]:[Columna25]])</f>
        <v>4072.42</v>
      </c>
    </row>
    <row r="13" spans="2:29" ht="18.5" x14ac:dyDescent="0.45">
      <c r="B13" s="108" t="s">
        <v>220</v>
      </c>
      <c r="C13" t="s">
        <v>112</v>
      </c>
      <c r="D13" t="s">
        <v>52</v>
      </c>
      <c r="E13" t="s">
        <v>53</v>
      </c>
      <c r="F13" t="s">
        <v>54</v>
      </c>
      <c r="G13" t="s">
        <v>55</v>
      </c>
      <c r="H13" t="s">
        <v>73</v>
      </c>
      <c r="I13" t="s">
        <v>56</v>
      </c>
      <c r="J13" t="s">
        <v>57</v>
      </c>
      <c r="K13" t="s">
        <v>90</v>
      </c>
      <c r="L13" t="s">
        <v>99</v>
      </c>
      <c r="M13" t="s">
        <v>107</v>
      </c>
      <c r="N13" t="s">
        <v>108</v>
      </c>
      <c r="O13" t="s">
        <v>113</v>
      </c>
      <c r="P13" t="s">
        <v>156</v>
      </c>
      <c r="Q13" t="s">
        <v>166</v>
      </c>
      <c r="R13" t="s">
        <v>168</v>
      </c>
      <c r="S13" t="s">
        <v>171</v>
      </c>
      <c r="T13" t="s">
        <v>174</v>
      </c>
      <c r="U13" t="s">
        <v>190</v>
      </c>
      <c r="V13" t="s">
        <v>180</v>
      </c>
      <c r="W13" t="s">
        <v>182</v>
      </c>
      <c r="X13" t="s">
        <v>183</v>
      </c>
      <c r="Y13" t="s">
        <v>184</v>
      </c>
      <c r="Z13" t="s">
        <v>191</v>
      </c>
      <c r="AA13" t="s">
        <v>161</v>
      </c>
      <c r="AB13" t="s">
        <v>120</v>
      </c>
      <c r="AC13" t="s">
        <v>121</v>
      </c>
    </row>
    <row r="14" spans="2:29" x14ac:dyDescent="0.35">
      <c r="B14" t="s">
        <v>72</v>
      </c>
      <c r="C14" s="32"/>
      <c r="D14" s="32">
        <v>286</v>
      </c>
      <c r="E14" s="32">
        <v>456</v>
      </c>
      <c r="F14" s="32">
        <v>192</v>
      </c>
      <c r="G14" s="32">
        <v>5</v>
      </c>
      <c r="H14" s="32">
        <v>697</v>
      </c>
      <c r="I14" s="32">
        <v>773</v>
      </c>
      <c r="J14" s="32">
        <v>546</v>
      </c>
      <c r="K14" s="32">
        <v>802</v>
      </c>
      <c r="L14" s="32">
        <v>766</v>
      </c>
      <c r="M14" s="32">
        <v>816.3</v>
      </c>
      <c r="N14" s="32">
        <v>469.2</v>
      </c>
      <c r="O14" s="32">
        <v>349.2</v>
      </c>
      <c r="P14" s="32">
        <v>352.5</v>
      </c>
      <c r="Q14" s="32">
        <v>490.5</v>
      </c>
      <c r="R14" s="32">
        <v>911.4</v>
      </c>
      <c r="S14" s="32">
        <v>836.1</v>
      </c>
      <c r="T14" s="32">
        <v>1360.5</v>
      </c>
      <c r="U14" s="32">
        <v>788.4</v>
      </c>
      <c r="V14" s="32">
        <v>643.20000000000005</v>
      </c>
      <c r="W14" s="32">
        <f>+GANACIA!BA6</f>
        <v>840.90000000000009</v>
      </c>
      <c r="X14" s="32">
        <f>+GANACIA!BB6</f>
        <v>768.5</v>
      </c>
      <c r="Y14" s="32">
        <f>+GANACIA!BC6</f>
        <v>0</v>
      </c>
      <c r="Z14" s="32">
        <f>+GANACIA!BD6</f>
        <v>0</v>
      </c>
      <c r="AA14" s="32">
        <f>+GANACIA!BE6</f>
        <v>0</v>
      </c>
      <c r="AB14" s="32">
        <f>SUM(Tabla24[[#This Row],[Columna1]:[Columna25]])</f>
        <v>13149.699999999999</v>
      </c>
      <c r="AC14" s="32">
        <f>AVERAGE(Tabla24[[#This Row],[Columna1]:[Columna25]])</f>
        <v>547.90416666666658</v>
      </c>
    </row>
    <row r="15" spans="2:29" x14ac:dyDescent="0.35">
      <c r="B15" t="s">
        <v>10</v>
      </c>
      <c r="C15" s="32"/>
      <c r="D15" s="32">
        <v>1337</v>
      </c>
      <c r="E15" s="32">
        <v>574</v>
      </c>
      <c r="F15" s="32">
        <v>586</v>
      </c>
      <c r="G15" s="32">
        <v>416</v>
      </c>
      <c r="H15" s="32">
        <v>15</v>
      </c>
      <c r="I15" s="32">
        <v>743</v>
      </c>
      <c r="J15" s="32">
        <v>750</v>
      </c>
      <c r="K15" s="32">
        <v>895</v>
      </c>
      <c r="L15" s="32">
        <v>834</v>
      </c>
      <c r="M15" s="32">
        <v>0</v>
      </c>
      <c r="N15" s="32">
        <v>555</v>
      </c>
      <c r="O15" s="32">
        <v>845</v>
      </c>
      <c r="P15" s="32">
        <v>610</v>
      </c>
      <c r="Q15" s="32">
        <v>450</v>
      </c>
      <c r="R15" s="32">
        <v>1126</v>
      </c>
      <c r="S15" s="32">
        <v>1024.5</v>
      </c>
      <c r="T15" s="32">
        <v>1208.5</v>
      </c>
      <c r="U15" s="32">
        <v>583.5</v>
      </c>
      <c r="V15" s="32">
        <v>666.5</v>
      </c>
      <c r="W15" s="32">
        <f>+GANACIA!BA7</f>
        <v>744</v>
      </c>
      <c r="X15" s="32">
        <f>+GANACIA!BB7</f>
        <v>702</v>
      </c>
      <c r="Y15" s="32">
        <f>+GANACIA!BC7</f>
        <v>0</v>
      </c>
      <c r="Z15" s="32">
        <f>+GANACIA!BD7</f>
        <v>0</v>
      </c>
      <c r="AA15" s="32">
        <f>+GANACIA!BE7</f>
        <v>0</v>
      </c>
      <c r="AB15" s="32">
        <f>SUM(Tabla24[[#This Row],[Columna1]:[Columna25]])</f>
        <v>14665</v>
      </c>
      <c r="AC15" s="32">
        <f>AVERAGE(Tabla24[[#This Row],[Columna1]:[Columna25]])</f>
        <v>611.04166666666663</v>
      </c>
    </row>
    <row r="16" spans="2:29" x14ac:dyDescent="0.35">
      <c r="B16" t="s">
        <v>22</v>
      </c>
      <c r="C16" s="32"/>
      <c r="D16" s="32">
        <v>857</v>
      </c>
      <c r="E16" s="32">
        <v>3</v>
      </c>
      <c r="F16" s="32">
        <v>121</v>
      </c>
      <c r="G16" s="32">
        <v>0</v>
      </c>
      <c r="H16" s="32">
        <v>348</v>
      </c>
      <c r="I16" s="32">
        <v>0</v>
      </c>
      <c r="J16" s="32">
        <v>429</v>
      </c>
      <c r="K16" s="32">
        <v>492</v>
      </c>
      <c r="L16" s="32">
        <v>486</v>
      </c>
      <c r="M16" s="32">
        <v>342</v>
      </c>
      <c r="N16" s="32">
        <v>261</v>
      </c>
      <c r="O16" s="32">
        <v>398</v>
      </c>
      <c r="P16" s="32">
        <v>225</v>
      </c>
      <c r="Q16" s="32">
        <v>238</v>
      </c>
      <c r="R16" s="32">
        <v>639</v>
      </c>
      <c r="S16" s="32">
        <v>708</v>
      </c>
      <c r="T16" s="32">
        <v>607</v>
      </c>
      <c r="U16" s="32">
        <v>371</v>
      </c>
      <c r="V16" s="32">
        <v>365</v>
      </c>
      <c r="W16" s="32">
        <f>+GANACIA!BA8</f>
        <v>483</v>
      </c>
      <c r="X16" s="32">
        <f>+GANACIA!BB8</f>
        <v>461</v>
      </c>
      <c r="Y16" s="32">
        <f>+GANACIA!BC8</f>
        <v>0</v>
      </c>
      <c r="Z16" s="32">
        <f>+GANACIA!BD8</f>
        <v>0</v>
      </c>
      <c r="AA16" s="32">
        <f>+GANACIA!BE8</f>
        <v>0</v>
      </c>
      <c r="AB16" s="32">
        <f>SUM(Tabla24[[#This Row],[Columna1]:[Columna25]])</f>
        <v>7834</v>
      </c>
      <c r="AC16" s="32">
        <f>AVERAGE(Tabla24[[#This Row],[Columna1]:[Columna25]])</f>
        <v>326.41666666666669</v>
      </c>
    </row>
    <row r="17" spans="2:29" x14ac:dyDescent="0.35">
      <c r="B17" t="s">
        <v>30</v>
      </c>
      <c r="C17" s="32"/>
      <c r="D17" s="32">
        <v>571</v>
      </c>
      <c r="E17" s="32">
        <v>0</v>
      </c>
      <c r="F17" s="32">
        <v>228</v>
      </c>
      <c r="G17" s="32">
        <v>0</v>
      </c>
      <c r="H17" s="32">
        <v>510</v>
      </c>
      <c r="I17" s="32">
        <v>714</v>
      </c>
      <c r="J17" s="32">
        <v>0</v>
      </c>
      <c r="K17" s="32">
        <v>561</v>
      </c>
      <c r="L17" s="32">
        <v>501</v>
      </c>
      <c r="M17" s="32">
        <v>0</v>
      </c>
      <c r="N17" s="32">
        <v>0</v>
      </c>
      <c r="O17" s="32">
        <v>651</v>
      </c>
      <c r="P17" s="32">
        <v>428</v>
      </c>
      <c r="Q17" s="32">
        <v>479</v>
      </c>
      <c r="R17" s="32">
        <v>422</v>
      </c>
      <c r="S17" s="32">
        <v>637</v>
      </c>
      <c r="T17" s="32">
        <v>440</v>
      </c>
      <c r="U17" s="32">
        <v>263</v>
      </c>
      <c r="V17" s="32">
        <v>271</v>
      </c>
      <c r="W17" s="32">
        <f>+GANACIA!BA9</f>
        <v>337</v>
      </c>
      <c r="X17" s="32">
        <f>+GANACIA!BB9</f>
        <v>302</v>
      </c>
      <c r="Y17" s="32">
        <f>+GANACIA!BC9</f>
        <v>0</v>
      </c>
      <c r="Z17" s="32">
        <f>+GANACIA!BD9</f>
        <v>0</v>
      </c>
      <c r="AA17" s="32">
        <f>+GANACIA!BE9</f>
        <v>0</v>
      </c>
      <c r="AB17" s="32">
        <f>SUM(Tabla24[[#This Row],[Columna1]:[Columna25]])</f>
        <v>7315</v>
      </c>
      <c r="AC17" s="32">
        <f>AVERAGE(Tabla24[[#This Row],[Columna1]:[Columna25]])</f>
        <v>304.79166666666669</v>
      </c>
    </row>
    <row r="18" spans="2:29" x14ac:dyDescent="0.35">
      <c r="B18" t="s">
        <v>36</v>
      </c>
      <c r="C18" s="32"/>
      <c r="D18" s="32">
        <v>265</v>
      </c>
      <c r="E18" s="32">
        <v>0</v>
      </c>
      <c r="F18" s="32">
        <v>0</v>
      </c>
      <c r="G18" s="32">
        <v>425</v>
      </c>
      <c r="H18" s="32">
        <v>280</v>
      </c>
      <c r="I18" s="32">
        <v>330</v>
      </c>
      <c r="J18" s="32">
        <v>225</v>
      </c>
      <c r="K18" s="32">
        <v>0</v>
      </c>
      <c r="L18" s="32">
        <v>110</v>
      </c>
      <c r="M18" s="32">
        <v>0</v>
      </c>
      <c r="N18" s="32">
        <v>0</v>
      </c>
      <c r="O18" s="32">
        <v>240</v>
      </c>
      <c r="P18" s="32">
        <v>190</v>
      </c>
      <c r="Q18" s="32">
        <v>175</v>
      </c>
      <c r="R18" s="32">
        <v>180</v>
      </c>
      <c r="S18" s="32">
        <v>190</v>
      </c>
      <c r="T18" s="32">
        <v>170</v>
      </c>
      <c r="U18" s="32">
        <v>120</v>
      </c>
      <c r="V18" s="32">
        <v>95</v>
      </c>
      <c r="W18" s="32">
        <f>+GANACIA!BA10</f>
        <v>140</v>
      </c>
      <c r="X18" s="32">
        <f>+GANACIA!BB10</f>
        <v>70</v>
      </c>
      <c r="Y18" s="32">
        <f>+GANACIA!BC10</f>
        <v>0</v>
      </c>
      <c r="Z18" s="32">
        <f>+GANACIA!BD10</f>
        <v>0</v>
      </c>
      <c r="AA18" s="32">
        <f>+GANACIA!BE10</f>
        <v>0</v>
      </c>
      <c r="AB18" s="32">
        <f>SUM(Tabla24[[#This Row],[Columna1]:[Columna25]])</f>
        <v>3205</v>
      </c>
      <c r="AC18" s="32">
        <f>AVERAGE(Tabla24[[#This Row],[Columna1]:[Columna25]])</f>
        <v>133.54166666666666</v>
      </c>
    </row>
    <row r="19" spans="2:29" x14ac:dyDescent="0.35">
      <c r="B19" t="s">
        <v>43</v>
      </c>
      <c r="C19" s="32">
        <v>1557.9</v>
      </c>
      <c r="D19" s="32">
        <v>0</v>
      </c>
      <c r="E19" s="32">
        <v>565</v>
      </c>
      <c r="F19" s="32">
        <v>0</v>
      </c>
      <c r="G19" s="32">
        <v>935</v>
      </c>
      <c r="H19" s="32">
        <v>15</v>
      </c>
      <c r="I19" s="32">
        <v>675</v>
      </c>
      <c r="J19" s="32">
        <v>0</v>
      </c>
      <c r="K19" s="32">
        <v>855</v>
      </c>
      <c r="L19" s="32">
        <v>374</v>
      </c>
      <c r="M19" s="32">
        <v>511.5</v>
      </c>
      <c r="N19" s="32">
        <v>594</v>
      </c>
      <c r="O19" s="32">
        <v>720.5</v>
      </c>
      <c r="P19" s="32">
        <v>0</v>
      </c>
      <c r="Q19" s="32">
        <v>434.5</v>
      </c>
      <c r="R19" s="32">
        <v>533.5</v>
      </c>
      <c r="S19" s="32">
        <v>434.5</v>
      </c>
      <c r="T19" s="32">
        <v>517</v>
      </c>
      <c r="U19" s="32">
        <v>280.5</v>
      </c>
      <c r="V19" s="32">
        <v>324.5</v>
      </c>
      <c r="W19" s="32">
        <f>+GANACIA!BA11</f>
        <v>396</v>
      </c>
      <c r="X19" s="32">
        <f>+GANACIA!BB11</f>
        <v>341</v>
      </c>
      <c r="Y19" s="32">
        <f>+GANACIA!BC11</f>
        <v>0</v>
      </c>
      <c r="Z19" s="32">
        <f>+GANACIA!BD11</f>
        <v>0</v>
      </c>
      <c r="AA19" s="32">
        <f>+GANACIA!BE11</f>
        <v>0</v>
      </c>
      <c r="AB19" s="32">
        <f>SUM(Tabla24[[#This Row],[Columna1]:[Columna25]])</f>
        <v>10064.4</v>
      </c>
      <c r="AC19" s="32">
        <f>AVERAGE(Tabla24[[#This Row],[Columna1]:[Columna25]])</f>
        <v>402.57599999999996</v>
      </c>
    </row>
    <row r="20" spans="2:29" x14ac:dyDescent="0.35">
      <c r="B20" t="s">
        <v>118</v>
      </c>
      <c r="C20" s="32">
        <v>1557.9</v>
      </c>
      <c r="D20" s="32">
        <v>3316</v>
      </c>
      <c r="E20" s="32">
        <v>1598</v>
      </c>
      <c r="F20" s="32">
        <v>1127</v>
      </c>
      <c r="G20" s="32">
        <v>1781</v>
      </c>
      <c r="H20" s="32">
        <v>1865</v>
      </c>
      <c r="I20" s="32">
        <v>3235</v>
      </c>
      <c r="J20" s="32">
        <v>1950</v>
      </c>
      <c r="K20" s="32">
        <v>3605</v>
      </c>
      <c r="L20" s="32">
        <v>3071</v>
      </c>
      <c r="M20" s="32">
        <v>1669.8</v>
      </c>
      <c r="N20" s="32">
        <v>1879.2</v>
      </c>
      <c r="O20" s="32">
        <v>3203.7</v>
      </c>
      <c r="P20" s="32">
        <v>1805.5</v>
      </c>
      <c r="Q20" s="32">
        <v>2267</v>
      </c>
      <c r="R20" s="32">
        <v>3811.9</v>
      </c>
      <c r="S20" s="32">
        <v>3830.1</v>
      </c>
      <c r="T20" s="32">
        <v>4303</v>
      </c>
      <c r="U20" s="32">
        <v>2406.4</v>
      </c>
      <c r="V20" s="32">
        <v>2365.1999999999998</v>
      </c>
      <c r="W20" s="32">
        <f>SUM(W14:W19)</f>
        <v>2940.9</v>
      </c>
      <c r="X20" s="32">
        <f t="shared" ref="X20:AA20" si="1">SUM(X14:X19)</f>
        <v>2644.5</v>
      </c>
      <c r="Y20" s="32">
        <f t="shared" si="1"/>
        <v>0</v>
      </c>
      <c r="Z20" s="32">
        <f t="shared" si="1"/>
        <v>0</v>
      </c>
      <c r="AA20" s="32">
        <f t="shared" si="1"/>
        <v>0</v>
      </c>
      <c r="AB20" s="32">
        <f>SUM(Tabla24[[#This Row],[Columna1]:[Columna25]])</f>
        <v>56233.100000000006</v>
      </c>
      <c r="AC20" s="32">
        <f>AVERAGE(Tabla24[[#This Row],[Columna1]:[Columna25]])</f>
        <v>2249.3240000000001</v>
      </c>
    </row>
    <row r="21" spans="2:29" ht="18.5" x14ac:dyDescent="0.45">
      <c r="B21" s="106" t="s">
        <v>192</v>
      </c>
      <c r="C21" s="107">
        <f t="shared" ref="C21:AA21" si="2">+C12-C20</f>
        <v>1038.5999999999999</v>
      </c>
      <c r="D21" s="107">
        <f t="shared" si="2"/>
        <v>2479</v>
      </c>
      <c r="E21" s="107">
        <f t="shared" si="2"/>
        <v>1631</v>
      </c>
      <c r="F21" s="107">
        <f t="shared" si="2"/>
        <v>966</v>
      </c>
      <c r="G21" s="107">
        <f t="shared" si="2"/>
        <v>1097</v>
      </c>
      <c r="H21" s="107">
        <f t="shared" si="2"/>
        <v>1830</v>
      </c>
      <c r="I21" s="107">
        <f t="shared" si="2"/>
        <v>3080</v>
      </c>
      <c r="J21" s="107">
        <f t="shared" si="2"/>
        <v>1955</v>
      </c>
      <c r="K21" s="107">
        <f t="shared" si="2"/>
        <v>3333</v>
      </c>
      <c r="L21" s="107">
        <f t="shared" si="2"/>
        <v>2913</v>
      </c>
      <c r="M21" s="107">
        <f t="shared" si="2"/>
        <v>1546.2</v>
      </c>
      <c r="N21" s="107">
        <f t="shared" si="2"/>
        <v>1415.8</v>
      </c>
      <c r="O21" s="107">
        <f t="shared" si="2"/>
        <v>2165.3000000000002</v>
      </c>
      <c r="P21" s="107">
        <f t="shared" si="2"/>
        <v>1338.5</v>
      </c>
      <c r="Q21" s="107">
        <f t="shared" si="2"/>
        <v>1560</v>
      </c>
      <c r="R21" s="107">
        <f t="shared" si="2"/>
        <v>2785.1</v>
      </c>
      <c r="S21" s="107">
        <f t="shared" si="2"/>
        <v>2550.9</v>
      </c>
      <c r="T21" s="107">
        <f t="shared" si="2"/>
        <v>3417</v>
      </c>
      <c r="U21" s="107">
        <f t="shared" si="2"/>
        <v>1974.6</v>
      </c>
      <c r="V21" s="107">
        <f t="shared" si="2"/>
        <v>1711.8000000000002</v>
      </c>
      <c r="W21" s="107">
        <f t="shared" si="2"/>
        <v>2510.1</v>
      </c>
      <c r="X21" s="107">
        <f t="shared" si="2"/>
        <v>2279.5</v>
      </c>
      <c r="Y21" s="107">
        <f t="shared" si="2"/>
        <v>0</v>
      </c>
      <c r="Z21" s="107">
        <f t="shared" si="2"/>
        <v>0</v>
      </c>
      <c r="AA21" s="107">
        <f t="shared" si="2"/>
        <v>0</v>
      </c>
      <c r="AB21" s="107">
        <f>SUM(Tabla24[[#This Row],[Columna1]:[Columna25]])</f>
        <v>45577.399999999994</v>
      </c>
      <c r="AC21" s="32">
        <f>AVERAGE(Tabla24[[#This Row],[Columna1]:[Columna25]])</f>
        <v>1823.0959999999998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AB04-D033-473E-92D1-8D0125D14F61}">
  <dimension ref="B2:AD44"/>
  <sheetViews>
    <sheetView zoomScale="51" workbookViewId="0">
      <selection activeCell="Q35" sqref="Q35"/>
    </sheetView>
  </sheetViews>
  <sheetFormatPr baseColWidth="10" defaultRowHeight="14.5" x14ac:dyDescent="0.35"/>
  <cols>
    <col min="4" max="15" width="12.7265625" customWidth="1"/>
    <col min="16" max="28" width="11.36328125" customWidth="1"/>
    <col min="29" max="29" width="10.90625" customWidth="1"/>
    <col min="30" max="30" width="11.81640625" bestFit="1" customWidth="1"/>
    <col min="32" max="32" width="11.1796875" bestFit="1" customWidth="1"/>
  </cols>
  <sheetData>
    <row r="2" spans="2:30" x14ac:dyDescent="0.35">
      <c r="B2" t="s">
        <v>147</v>
      </c>
    </row>
    <row r="3" spans="2:30" ht="15.5" x14ac:dyDescent="0.35">
      <c r="B3" s="87" t="s">
        <v>1</v>
      </c>
      <c r="C3" s="88" t="s">
        <v>2</v>
      </c>
      <c r="D3" s="88" t="s">
        <v>111</v>
      </c>
      <c r="E3" s="88" t="s">
        <v>138</v>
      </c>
      <c r="F3" s="88" t="s">
        <v>148</v>
      </c>
      <c r="G3" s="88" t="s">
        <v>139</v>
      </c>
      <c r="H3" s="88" t="s">
        <v>140</v>
      </c>
      <c r="I3" s="88" t="s">
        <v>141</v>
      </c>
      <c r="J3" s="88" t="s">
        <v>142</v>
      </c>
      <c r="K3" s="88" t="s">
        <v>137</v>
      </c>
      <c r="L3" s="88" t="s">
        <v>143</v>
      </c>
      <c r="M3" s="88" t="s">
        <v>144</v>
      </c>
      <c r="N3" s="88" t="s">
        <v>145</v>
      </c>
      <c r="O3" s="88" t="s">
        <v>146</v>
      </c>
      <c r="P3" s="89" t="s">
        <v>136</v>
      </c>
      <c r="Q3" s="89" t="s">
        <v>157</v>
      </c>
      <c r="R3" s="89" t="s">
        <v>165</v>
      </c>
      <c r="S3" s="89" t="s">
        <v>167</v>
      </c>
      <c r="T3" s="89" t="s">
        <v>170</v>
      </c>
      <c r="U3" s="89" t="s">
        <v>175</v>
      </c>
      <c r="V3" s="89" t="s">
        <v>177</v>
      </c>
      <c r="W3" s="89" t="s">
        <v>179</v>
      </c>
      <c r="X3" s="89" t="s">
        <v>222</v>
      </c>
      <c r="Y3" s="89" t="s">
        <v>185</v>
      </c>
      <c r="Z3" s="89" t="s">
        <v>186</v>
      </c>
      <c r="AA3" s="89" t="s">
        <v>187</v>
      </c>
      <c r="AB3" s="89" t="s">
        <v>160</v>
      </c>
      <c r="AC3" s="88" t="s">
        <v>120</v>
      </c>
      <c r="AD3" s="88" t="s">
        <v>149</v>
      </c>
    </row>
    <row r="4" spans="2:30" x14ac:dyDescent="0.35">
      <c r="B4" s="48" t="s">
        <v>40</v>
      </c>
      <c r="C4" s="2" t="s">
        <v>50</v>
      </c>
      <c r="D4" s="2"/>
      <c r="E4" s="2">
        <v>0</v>
      </c>
      <c r="F4" s="2"/>
      <c r="G4" s="2"/>
      <c r="H4" s="2">
        <v>36</v>
      </c>
      <c r="I4" s="2">
        <v>25</v>
      </c>
      <c r="J4" s="2">
        <v>34</v>
      </c>
      <c r="K4" s="2">
        <v>19</v>
      </c>
      <c r="L4" s="2">
        <v>0</v>
      </c>
      <c r="M4" s="2">
        <v>19</v>
      </c>
      <c r="N4" s="2"/>
      <c r="O4" s="2">
        <v>0</v>
      </c>
      <c r="P4" s="5">
        <v>19</v>
      </c>
      <c r="Q4" s="56">
        <f>+'VAL 15 - 09'!S5</f>
        <v>4</v>
      </c>
      <c r="R4" s="56">
        <f>+'VAL 18 - 09'!P5</f>
        <v>18</v>
      </c>
      <c r="S4" s="56">
        <f>+'VAL 22 -09'!P5</f>
        <v>19</v>
      </c>
      <c r="T4" s="56">
        <f>+'VAL 26 - 09'!P5</f>
        <v>20</v>
      </c>
      <c r="U4" s="56">
        <f>+'VAL 02 - 10'!P5</f>
        <v>14</v>
      </c>
      <c r="V4" s="56">
        <f>+'VAL 09 - 10'!P5</f>
        <v>13</v>
      </c>
      <c r="W4" s="56">
        <f>+'VL 13 - 10'!P5</f>
        <v>11</v>
      </c>
      <c r="X4" s="56">
        <f>+'VAL 17 - 10'!P5</f>
        <v>8</v>
      </c>
      <c r="Y4" s="56">
        <f>+'VAL 20 - 10'!P5</f>
        <v>5</v>
      </c>
      <c r="Z4" s="56">
        <f>+'VAL C - 10'!P5</f>
        <v>0</v>
      </c>
      <c r="AA4" s="56">
        <f>+'VAL D - 10'!P5</f>
        <v>0</v>
      </c>
      <c r="AB4" s="56">
        <f>+'VAL F - 10'!P5</f>
        <v>0</v>
      </c>
      <c r="AC4" s="72">
        <f>SUM(Tabla2[[#This Row],[VAL 15 - 07]:[VAL F-10]])</f>
        <v>264</v>
      </c>
      <c r="AD4" s="90">
        <f>AVERAGE(Tabla2[[#This Row],[VAL 15 - 07]:[VAL F-10]])</f>
        <v>12.571428571428571</v>
      </c>
    </row>
    <row r="5" spans="2:30" x14ac:dyDescent="0.35">
      <c r="B5" s="48" t="s">
        <v>6</v>
      </c>
      <c r="C5" s="2" t="s">
        <v>50</v>
      </c>
      <c r="D5" s="2"/>
      <c r="E5" s="2">
        <v>123</v>
      </c>
      <c r="F5" s="2">
        <v>154</v>
      </c>
      <c r="G5" s="2">
        <v>113</v>
      </c>
      <c r="H5" s="2">
        <v>5</v>
      </c>
      <c r="I5" s="2">
        <v>379</v>
      </c>
      <c r="J5" s="2">
        <v>461</v>
      </c>
      <c r="K5" s="2">
        <v>202</v>
      </c>
      <c r="L5" s="2">
        <v>470</v>
      </c>
      <c r="M5" s="2">
        <v>547</v>
      </c>
      <c r="N5" s="2">
        <v>164</v>
      </c>
      <c r="O5" s="2">
        <v>291</v>
      </c>
      <c r="P5" s="5">
        <v>291</v>
      </c>
      <c r="Q5" s="5">
        <f>+'VAL 15 - 09'!S6</f>
        <v>160</v>
      </c>
      <c r="R5" s="56">
        <f>+'VAL 18 - 09'!P6</f>
        <v>330</v>
      </c>
      <c r="S5" s="56">
        <f>+'VAL 22 -09'!P6</f>
        <v>504</v>
      </c>
      <c r="T5" s="56">
        <f>+'VAL 26 - 09'!P6</f>
        <v>503</v>
      </c>
      <c r="U5" s="56">
        <f>+'VAL 02 - 10'!P6</f>
        <v>608</v>
      </c>
      <c r="V5" s="56">
        <f>+'VAL 09 - 10'!P6</f>
        <v>358</v>
      </c>
      <c r="W5" s="56">
        <f>+'VL 13 - 10'!P6</f>
        <v>301</v>
      </c>
      <c r="X5" s="56">
        <f>+'VAL 17 - 10'!P6</f>
        <v>387</v>
      </c>
      <c r="Y5" s="56">
        <f>+'VAL 20 - 10'!P6</f>
        <v>343</v>
      </c>
      <c r="Z5" s="56">
        <f>+'VAL C - 10'!P6</f>
        <v>0</v>
      </c>
      <c r="AA5" s="56">
        <f>+'VAL D - 10'!P6</f>
        <v>0</v>
      </c>
      <c r="AB5" s="56">
        <f>+'VAL F - 10'!P6</f>
        <v>0</v>
      </c>
      <c r="AC5" s="72">
        <f>SUM(Tabla2[[#This Row],[VAL 15 - 07]:[VAL F-10]])</f>
        <v>6694</v>
      </c>
      <c r="AD5" s="90">
        <f>AVERAGE(Tabla2[[#This Row],[VAL 15 - 07]:[VAL F-10]])</f>
        <v>278.91666666666669</v>
      </c>
    </row>
    <row r="6" spans="2:30" x14ac:dyDescent="0.35">
      <c r="B6" s="48" t="s">
        <v>35</v>
      </c>
      <c r="C6" s="2" t="s">
        <v>50</v>
      </c>
      <c r="D6" s="2"/>
      <c r="E6" s="2">
        <v>17</v>
      </c>
      <c r="F6" s="2"/>
      <c r="G6" s="2">
        <v>6</v>
      </c>
      <c r="H6" s="2"/>
      <c r="I6" s="2">
        <v>12</v>
      </c>
      <c r="J6" s="2">
        <v>26</v>
      </c>
      <c r="K6" s="2">
        <v>0</v>
      </c>
      <c r="L6" s="2">
        <v>11</v>
      </c>
      <c r="M6" s="2">
        <v>20</v>
      </c>
      <c r="N6" s="2"/>
      <c r="O6" s="2">
        <v>0</v>
      </c>
      <c r="P6" s="5">
        <v>22</v>
      </c>
      <c r="Q6" s="5">
        <f>+'VAL 15 - 09'!S7</f>
        <v>12</v>
      </c>
      <c r="R6" s="56">
        <f>+'VAL 18 - 09'!P7</f>
        <v>17</v>
      </c>
      <c r="S6" s="56">
        <f>+'VAL 22 -09'!P7</f>
        <v>17</v>
      </c>
      <c r="T6" s="56">
        <f>+'VAL 26 - 09'!P7</f>
        <v>14</v>
      </c>
      <c r="U6" s="56">
        <f>+'VAL 02 - 10'!P7</f>
        <v>8</v>
      </c>
      <c r="V6" s="56">
        <f>+'VAL 09 - 10'!P7</f>
        <v>6</v>
      </c>
      <c r="W6" s="56">
        <f>+'VL 13 - 10'!P7</f>
        <v>4</v>
      </c>
      <c r="X6" s="56">
        <f>+'VAL 17 - 10'!P7</f>
        <v>11</v>
      </c>
      <c r="Y6" s="56">
        <f>+'VAL 20 - 10'!P7</f>
        <v>13</v>
      </c>
      <c r="Z6" s="56">
        <f>+'VAL C - 10'!P7</f>
        <v>0</v>
      </c>
      <c r="AA6" s="56">
        <f>+'VAL D - 10'!P7</f>
        <v>0</v>
      </c>
      <c r="AB6" s="56">
        <f>+'VAL F - 10'!P7</f>
        <v>0</v>
      </c>
      <c r="AC6" s="72">
        <f>SUM(Tabla2[[#This Row],[VAL 15 - 07]:[VAL F-10]])</f>
        <v>216</v>
      </c>
      <c r="AD6" s="90">
        <f>AVERAGE(Tabla2[[#This Row],[VAL 15 - 07]:[VAL F-10]])</f>
        <v>10.285714285714286</v>
      </c>
    </row>
    <row r="7" spans="2:30" x14ac:dyDescent="0.35">
      <c r="B7" s="48" t="s">
        <v>28</v>
      </c>
      <c r="C7" s="2" t="s">
        <v>50</v>
      </c>
      <c r="D7" s="2"/>
      <c r="E7" s="2">
        <v>19</v>
      </c>
      <c r="F7" s="2"/>
      <c r="G7" s="2">
        <v>5</v>
      </c>
      <c r="H7" s="2"/>
      <c r="I7" s="2">
        <v>0</v>
      </c>
      <c r="J7" s="2"/>
      <c r="K7" s="2">
        <v>24</v>
      </c>
      <c r="L7" s="2">
        <v>0</v>
      </c>
      <c r="M7" s="2">
        <v>12</v>
      </c>
      <c r="N7" s="2">
        <v>18</v>
      </c>
      <c r="O7" s="2">
        <v>15</v>
      </c>
      <c r="P7" s="5">
        <v>22</v>
      </c>
      <c r="Q7" s="5">
        <f>+'VAL 15 - 09'!S8</f>
        <v>12</v>
      </c>
      <c r="R7" s="56">
        <f>+'VAL 18 - 09'!P8</f>
        <v>14</v>
      </c>
      <c r="S7" s="56">
        <f>+'VAL 22 -09'!P8</f>
        <v>15</v>
      </c>
      <c r="T7" s="56">
        <f>+'VAL 26 - 09'!P8</f>
        <v>15</v>
      </c>
      <c r="U7" s="56">
        <f>+'VAL 02 - 10'!P8</f>
        <v>11</v>
      </c>
      <c r="V7" s="56">
        <f>+'VAL 09 - 10'!P8</f>
        <v>7</v>
      </c>
      <c r="W7" s="56">
        <f>+'VL 13 - 10'!P8</f>
        <v>10</v>
      </c>
      <c r="X7" s="56">
        <f>+'VAL 17 - 10'!P8</f>
        <v>15</v>
      </c>
      <c r="Y7" s="56">
        <f>+'VAL 20 - 10'!P8</f>
        <v>13</v>
      </c>
      <c r="Z7" s="56">
        <f>+'VAL C - 10'!P8</f>
        <v>0</v>
      </c>
      <c r="AA7" s="56">
        <f>+'VAL D - 10'!P8</f>
        <v>0</v>
      </c>
      <c r="AB7" s="56">
        <f>+'VAL F - 10'!P8</f>
        <v>0</v>
      </c>
      <c r="AC7" s="72">
        <f>SUM(Tabla2[[#This Row],[VAL 15 - 07]:[VAL F-10]])</f>
        <v>227</v>
      </c>
      <c r="AD7" s="90">
        <f>AVERAGE(Tabla2[[#This Row],[VAL 15 - 07]:[VAL F-10]])</f>
        <v>10.80952380952381</v>
      </c>
    </row>
    <row r="8" spans="2:30" x14ac:dyDescent="0.35">
      <c r="B8" s="48" t="s">
        <v>44</v>
      </c>
      <c r="C8" s="2" t="s">
        <v>50</v>
      </c>
      <c r="D8" s="2"/>
      <c r="E8" s="2">
        <v>0</v>
      </c>
      <c r="F8" s="2">
        <v>113</v>
      </c>
      <c r="G8" s="2"/>
      <c r="H8" s="2">
        <v>163</v>
      </c>
      <c r="I8" s="2">
        <v>0</v>
      </c>
      <c r="J8" s="2">
        <v>82</v>
      </c>
      <c r="K8" s="2">
        <v>0</v>
      </c>
      <c r="L8" s="2">
        <v>101</v>
      </c>
      <c r="M8" s="2">
        <v>34</v>
      </c>
      <c r="N8" s="2">
        <v>93</v>
      </c>
      <c r="O8" s="2">
        <v>97</v>
      </c>
      <c r="P8" s="5">
        <v>131</v>
      </c>
      <c r="Q8" s="5">
        <f>+'VAL 15 - 09'!S9</f>
        <v>0</v>
      </c>
      <c r="R8" s="56">
        <f>+'VAL 18 - 09'!P9</f>
        <v>46</v>
      </c>
      <c r="S8" s="56">
        <f>+'VAL 22 -09'!P9</f>
        <v>75</v>
      </c>
      <c r="T8" s="56">
        <f>+'VAL 26 - 09'!P9</f>
        <v>63</v>
      </c>
      <c r="U8" s="56">
        <f>+'VAL 02 - 10'!P9</f>
        <v>62</v>
      </c>
      <c r="V8" s="56">
        <f>+'VAL 09 - 10'!P9</f>
        <v>28</v>
      </c>
      <c r="W8" s="56">
        <f>+'VL 13 - 10'!P9</f>
        <v>59</v>
      </c>
      <c r="X8" s="56">
        <f>+'VAL 17 - 10'!P9</f>
        <v>58</v>
      </c>
      <c r="Y8" s="56">
        <f>+'VAL 20 - 10'!P9</f>
        <v>33</v>
      </c>
      <c r="Z8" s="56">
        <f>+'VAL C - 10'!P9</f>
        <v>0</v>
      </c>
      <c r="AA8" s="56">
        <f>+'VAL D - 10'!P9</f>
        <v>0</v>
      </c>
      <c r="AB8" s="56">
        <f>+'VAL F - 10'!P9</f>
        <v>0</v>
      </c>
      <c r="AC8" s="72">
        <f>SUM(Tabla2[[#This Row],[VAL 15 - 07]:[VAL F-10]])</f>
        <v>1238</v>
      </c>
      <c r="AD8" s="90">
        <f>AVERAGE(Tabla2[[#This Row],[VAL 15 - 07]:[VAL F-10]])</f>
        <v>53.826086956521742</v>
      </c>
    </row>
    <row r="9" spans="2:30" x14ac:dyDescent="0.35">
      <c r="B9" s="48" t="s">
        <v>14</v>
      </c>
      <c r="C9" s="2" t="s">
        <v>50</v>
      </c>
      <c r="D9" s="2"/>
      <c r="E9" s="2">
        <v>6</v>
      </c>
      <c r="F9" s="2"/>
      <c r="G9" s="2">
        <v>2</v>
      </c>
      <c r="H9" s="2"/>
      <c r="I9" s="2">
        <v>0</v>
      </c>
      <c r="J9" s="2"/>
      <c r="K9" s="2">
        <v>7</v>
      </c>
      <c r="L9" s="2">
        <v>11</v>
      </c>
      <c r="M9" s="2">
        <v>5</v>
      </c>
      <c r="N9" s="2"/>
      <c r="O9" s="2">
        <v>3</v>
      </c>
      <c r="P9" s="5">
        <v>10</v>
      </c>
      <c r="Q9" s="5">
        <f>+'VAL 15 - 09'!S10</f>
        <v>5</v>
      </c>
      <c r="R9" s="56">
        <f>+'VAL 18 - 09'!P10</f>
        <v>0</v>
      </c>
      <c r="S9" s="56">
        <f>+'VAL 22 -09'!P10</f>
        <v>5</v>
      </c>
      <c r="T9" s="56">
        <f>+'VAL 26 - 09'!P10</f>
        <v>5</v>
      </c>
      <c r="U9" s="56">
        <f>+'VAL 02 - 10'!P10</f>
        <v>1</v>
      </c>
      <c r="V9" s="56">
        <f>+'VAL 09 - 10'!P10</f>
        <v>3</v>
      </c>
      <c r="W9" s="56">
        <f>+'VL 13 - 10'!P10</f>
        <v>0</v>
      </c>
      <c r="X9" s="56">
        <f>+'VAL 17 - 10'!P10</f>
        <v>2</v>
      </c>
      <c r="Y9" s="56">
        <f>+'VAL 20 - 10'!P10</f>
        <v>4</v>
      </c>
      <c r="Z9" s="56">
        <f>+'VAL C - 10'!P10</f>
        <v>0</v>
      </c>
      <c r="AA9" s="56">
        <f>+'VAL D - 10'!P10</f>
        <v>0</v>
      </c>
      <c r="AB9" s="56">
        <f>+'VAL F - 10'!P10</f>
        <v>0</v>
      </c>
      <c r="AC9" s="72">
        <f>SUM(Tabla2[[#This Row],[VAL 15 - 07]:[VAL F-10]])</f>
        <v>69</v>
      </c>
      <c r="AD9" s="90">
        <f>AVERAGE(Tabla2[[#This Row],[VAL 15 - 07]:[VAL F-10]])</f>
        <v>3.45</v>
      </c>
    </row>
    <row r="10" spans="2:30" x14ac:dyDescent="0.35">
      <c r="B10" s="48" t="s">
        <v>16</v>
      </c>
      <c r="C10" s="2" t="s">
        <v>50</v>
      </c>
      <c r="D10" s="2"/>
      <c r="E10" s="2">
        <v>31</v>
      </c>
      <c r="F10" s="2"/>
      <c r="G10" s="2">
        <v>11</v>
      </c>
      <c r="H10" s="2"/>
      <c r="I10" s="2">
        <v>0</v>
      </c>
      <c r="J10" s="2"/>
      <c r="K10" s="2">
        <v>23</v>
      </c>
      <c r="L10" s="2">
        <v>31</v>
      </c>
      <c r="M10" s="2">
        <v>9</v>
      </c>
      <c r="N10" s="2"/>
      <c r="O10" s="2">
        <v>24</v>
      </c>
      <c r="P10" s="5">
        <v>21</v>
      </c>
      <c r="Q10" s="5">
        <f>+'VAL 15 - 09'!S11</f>
        <v>16</v>
      </c>
      <c r="R10" s="56">
        <f>+'VAL 18 - 09'!P11</f>
        <v>0</v>
      </c>
      <c r="S10" s="56">
        <f>+'VAL 22 -09'!P11</f>
        <v>20</v>
      </c>
      <c r="T10" s="56">
        <f>+'VAL 26 - 09'!P11</f>
        <v>22</v>
      </c>
      <c r="U10" s="56">
        <f>+'VAL 02 - 10'!P11</f>
        <v>22</v>
      </c>
      <c r="V10" s="56">
        <f>+'VAL 09 - 10'!P11</f>
        <v>21</v>
      </c>
      <c r="W10" s="56">
        <f>+'VL 13 - 10'!P11</f>
        <v>12</v>
      </c>
      <c r="X10" s="56">
        <f>+'VAL 17 - 10'!P11</f>
        <v>11</v>
      </c>
      <c r="Y10" s="56">
        <f>+'VAL 20 - 10'!P11</f>
        <v>15</v>
      </c>
      <c r="Z10" s="56">
        <f>+'VAL C - 10'!P11</f>
        <v>0</v>
      </c>
      <c r="AA10" s="56">
        <f>+'VAL D - 10'!P11</f>
        <v>0</v>
      </c>
      <c r="AB10" s="56">
        <f>+'VAL F - 10'!P11</f>
        <v>0</v>
      </c>
      <c r="AC10" s="72">
        <f>SUM(Tabla2[[#This Row],[VAL 15 - 07]:[VAL F-10]])</f>
        <v>289</v>
      </c>
      <c r="AD10" s="90">
        <f>AVERAGE(Tabla2[[#This Row],[VAL 15 - 07]:[VAL F-10]])</f>
        <v>14.45</v>
      </c>
    </row>
    <row r="11" spans="2:30" x14ac:dyDescent="0.35">
      <c r="B11" s="48" t="s">
        <v>8</v>
      </c>
      <c r="C11" s="2" t="s">
        <v>50</v>
      </c>
      <c r="D11" s="2"/>
      <c r="E11" s="2">
        <v>0</v>
      </c>
      <c r="F11" s="2">
        <v>123</v>
      </c>
      <c r="G11" s="2">
        <v>79</v>
      </c>
      <c r="H11" s="2"/>
      <c r="I11" s="2">
        <v>204</v>
      </c>
      <c r="J11" s="2">
        <v>128</v>
      </c>
      <c r="K11" s="2">
        <v>113</v>
      </c>
      <c r="L11" s="2">
        <v>227</v>
      </c>
      <c r="M11" s="2">
        <v>114</v>
      </c>
      <c r="N11" s="2">
        <v>177</v>
      </c>
      <c r="O11" s="2">
        <v>80</v>
      </c>
      <c r="P11" s="5">
        <v>0</v>
      </c>
      <c r="Q11" s="5">
        <f>+'VAL 15 - 09'!S12</f>
        <v>107</v>
      </c>
      <c r="R11" s="56">
        <f>+'VAL 18 - 09'!P12</f>
        <v>63</v>
      </c>
      <c r="S11" s="56">
        <f>+'VAL 22 -09'!P12</f>
        <v>114</v>
      </c>
      <c r="T11" s="56">
        <f>+'VAL 26 - 09'!P12</f>
        <v>155</v>
      </c>
      <c r="U11" s="56">
        <f>+'VAL 02 - 10'!P12</f>
        <v>191</v>
      </c>
      <c r="V11" s="56">
        <f>+'VAL 09 - 10'!P12</f>
        <v>104</v>
      </c>
      <c r="W11" s="56">
        <f>+'VL 13 - 10'!P12</f>
        <v>96</v>
      </c>
      <c r="X11" s="56">
        <f>+'VAL 17 - 10'!P12</f>
        <v>132</v>
      </c>
      <c r="Y11" s="56">
        <f>+'VAL 20 - 10'!P12</f>
        <v>116</v>
      </c>
      <c r="Z11" s="56">
        <f>+'VAL C - 10'!P12</f>
        <v>0</v>
      </c>
      <c r="AA11" s="56">
        <f>+'VAL D - 10'!P12</f>
        <v>0</v>
      </c>
      <c r="AB11" s="56">
        <f>+'VAL F - 10'!P12</f>
        <v>0</v>
      </c>
      <c r="AC11" s="72">
        <f>SUM(Tabla2[[#This Row],[VAL 15 - 07]:[VAL F-10]])</f>
        <v>2323</v>
      </c>
      <c r="AD11" s="90">
        <f>AVERAGE(Tabla2[[#This Row],[VAL 15 - 07]:[VAL F-10]])</f>
        <v>101</v>
      </c>
    </row>
    <row r="12" spans="2:30" x14ac:dyDescent="0.35">
      <c r="B12" s="48" t="s">
        <v>42</v>
      </c>
      <c r="C12" s="2" t="s">
        <v>50</v>
      </c>
      <c r="D12" s="2"/>
      <c r="E12" s="2">
        <v>0</v>
      </c>
      <c r="F12" s="2"/>
      <c r="G12" s="2"/>
      <c r="H12" s="2">
        <v>23</v>
      </c>
      <c r="I12" s="2">
        <v>10</v>
      </c>
      <c r="J12" s="2">
        <v>17</v>
      </c>
      <c r="K12" s="2">
        <v>10</v>
      </c>
      <c r="L12" s="2">
        <v>0</v>
      </c>
      <c r="M12" s="2">
        <v>2</v>
      </c>
      <c r="N12" s="2"/>
      <c r="O12" s="2">
        <v>0</v>
      </c>
      <c r="P12" s="5">
        <v>13</v>
      </c>
      <c r="Q12" s="5">
        <f>+'VAL 15 - 09'!S13</f>
        <v>0</v>
      </c>
      <c r="R12" s="56">
        <f>+'VAL 18 - 09'!P13</f>
        <v>9</v>
      </c>
      <c r="S12" s="56">
        <f>+'VAL 22 -09'!P13</f>
        <v>10</v>
      </c>
      <c r="T12" s="56">
        <f>+'VAL 26 - 09'!P13</f>
        <v>4</v>
      </c>
      <c r="U12" s="56">
        <f>+'VAL 02 - 10'!P13</f>
        <v>8</v>
      </c>
      <c r="V12" s="56">
        <f>+'VAL 09 - 10'!P13</f>
        <v>4</v>
      </c>
      <c r="W12" s="56">
        <f>+'VL 13 - 10'!P13</f>
        <v>4</v>
      </c>
      <c r="X12" s="56">
        <f>+'VAL 17 - 10'!P13</f>
        <v>17</v>
      </c>
      <c r="Y12" s="56">
        <f>+'VAL 20 - 10'!P13</f>
        <v>4</v>
      </c>
      <c r="Z12" s="56">
        <f>+'VAL C - 10'!P13</f>
        <v>0</v>
      </c>
      <c r="AA12" s="56">
        <f>+'VAL D - 10'!P13</f>
        <v>0</v>
      </c>
      <c r="AB12" s="56">
        <f>+'VAL F - 10'!P13</f>
        <v>0</v>
      </c>
      <c r="AC12" s="72">
        <f>SUM(Tabla2[[#This Row],[VAL 15 - 07]:[VAL F-10]])</f>
        <v>135</v>
      </c>
      <c r="AD12" s="90">
        <f>AVERAGE(Tabla2[[#This Row],[VAL 15 - 07]:[VAL F-10]])</f>
        <v>6.4285714285714288</v>
      </c>
    </row>
    <row r="13" spans="2:30" x14ac:dyDescent="0.35">
      <c r="B13" s="48" t="s">
        <v>11</v>
      </c>
      <c r="C13" s="2" t="s">
        <v>50</v>
      </c>
      <c r="D13" s="2"/>
      <c r="E13" s="2">
        <v>134</v>
      </c>
      <c r="F13" s="2">
        <v>168</v>
      </c>
      <c r="G13" s="2">
        <v>57</v>
      </c>
      <c r="H13" s="2">
        <v>107</v>
      </c>
      <c r="I13" s="2">
        <v>0</v>
      </c>
      <c r="J13" s="2">
        <v>206</v>
      </c>
      <c r="K13" s="2"/>
      <c r="L13" s="2">
        <v>0</v>
      </c>
      <c r="M13" s="2">
        <v>83</v>
      </c>
      <c r="N13" s="2"/>
      <c r="O13" s="2">
        <v>0</v>
      </c>
      <c r="P13" s="5">
        <v>0</v>
      </c>
      <c r="Q13" s="5">
        <f>+'VAL 15 - 09'!S14</f>
        <v>0</v>
      </c>
      <c r="R13" s="56">
        <f>+'VAL 18 - 09'!P14</f>
        <v>100</v>
      </c>
      <c r="S13" s="56">
        <f>+'VAL 22 -09'!P14</f>
        <v>116</v>
      </c>
      <c r="T13" s="56">
        <f>+'VAL 26 - 09'!P14</f>
        <v>127</v>
      </c>
      <c r="U13" s="56">
        <f>+'VAL 02 - 10'!P14</f>
        <v>131</v>
      </c>
      <c r="V13" s="56">
        <f>+'VAL 09 - 10'!P14</f>
        <v>61</v>
      </c>
      <c r="W13" s="56">
        <f>+'VL 13 - 10'!P14</f>
        <v>79</v>
      </c>
      <c r="X13" s="56">
        <f>+'VAL 17 - 10'!P14</f>
        <v>78</v>
      </c>
      <c r="Y13" s="56">
        <f>+'VAL 20 - 10'!P14</f>
        <v>89</v>
      </c>
      <c r="Z13" s="56">
        <f>+'VAL C - 10'!P14</f>
        <v>0</v>
      </c>
      <c r="AA13" s="56">
        <f>+'VAL D - 10'!P14</f>
        <v>0</v>
      </c>
      <c r="AB13" s="56">
        <f>+'VAL F - 10'!P14</f>
        <v>0</v>
      </c>
      <c r="AC13" s="72">
        <f>SUM(Tabla2[[#This Row],[VAL 15 - 07]:[VAL F-10]])</f>
        <v>1536</v>
      </c>
      <c r="AD13" s="90">
        <f>AVERAGE(Tabla2[[#This Row],[VAL 15 - 07]:[VAL F-10]])</f>
        <v>69.818181818181813</v>
      </c>
    </row>
    <row r="14" spans="2:30" x14ac:dyDescent="0.35">
      <c r="B14" s="48" t="s">
        <v>7</v>
      </c>
      <c r="C14" s="2" t="s">
        <v>50</v>
      </c>
      <c r="D14" s="2"/>
      <c r="E14" s="2">
        <v>163</v>
      </c>
      <c r="F14" s="2">
        <v>162</v>
      </c>
      <c r="G14" s="2">
        <v>0</v>
      </c>
      <c r="H14" s="2"/>
      <c r="I14" s="2">
        <v>114</v>
      </c>
      <c r="J14" s="2">
        <v>145</v>
      </c>
      <c r="K14" s="2">
        <v>204</v>
      </c>
      <c r="L14" s="2">
        <v>105</v>
      </c>
      <c r="M14" s="2">
        <v>105</v>
      </c>
      <c r="N14" s="2">
        <v>295</v>
      </c>
      <c r="O14" s="2">
        <v>0</v>
      </c>
      <c r="P14" s="5">
        <v>0</v>
      </c>
      <c r="Q14" s="5">
        <f>+'VAL 15 - 09'!S15</f>
        <v>0</v>
      </c>
      <c r="R14" s="56">
        <f>+'VAL 18 - 09'!P15</f>
        <v>0</v>
      </c>
      <c r="S14" s="56">
        <f>+'VAL 22 -09'!P15</f>
        <v>113</v>
      </c>
      <c r="T14" s="56">
        <f>+'VAL 26 - 09'!P15</f>
        <v>0</v>
      </c>
      <c r="U14" s="56">
        <f>+'VAL 02 - 10'!P15</f>
        <v>287</v>
      </c>
      <c r="V14" s="56">
        <f>+'VAL 09 - 10'!P15</f>
        <v>169</v>
      </c>
      <c r="W14" s="56">
        <f>+'VL 13 - 10'!P15</f>
        <v>115</v>
      </c>
      <c r="X14" s="56">
        <f>+'VAL 17 - 10'!P15</f>
        <v>181</v>
      </c>
      <c r="Y14" s="56">
        <f>+'VAL 20 - 10'!P15</f>
        <v>181</v>
      </c>
      <c r="Z14" s="56">
        <f>+'VAL C - 10'!P15</f>
        <v>0</v>
      </c>
      <c r="AA14" s="56">
        <f>+'VAL D - 10'!P15</f>
        <v>0</v>
      </c>
      <c r="AB14" s="56">
        <f>+'VAL F - 10'!P15</f>
        <v>0</v>
      </c>
      <c r="AC14" s="72">
        <f>SUM(Tabla2[[#This Row],[VAL 15 - 07]:[VAL F-10]])</f>
        <v>2339</v>
      </c>
      <c r="AD14" s="90">
        <f>AVERAGE(Tabla2[[#This Row],[VAL 15 - 07]:[VAL F-10]])</f>
        <v>101.69565217391305</v>
      </c>
    </row>
    <row r="15" spans="2:30" x14ac:dyDescent="0.35">
      <c r="B15" s="48" t="s">
        <v>12</v>
      </c>
      <c r="C15" s="2" t="s">
        <v>50</v>
      </c>
      <c r="D15" s="2"/>
      <c r="E15" s="2">
        <v>13</v>
      </c>
      <c r="F15" s="2"/>
      <c r="G15" s="2">
        <v>8</v>
      </c>
      <c r="H15" s="2"/>
      <c r="I15" s="2">
        <v>0</v>
      </c>
      <c r="J15" s="2"/>
      <c r="K15" s="2">
        <v>11</v>
      </c>
      <c r="L15" s="2">
        <v>21</v>
      </c>
      <c r="M15" s="2">
        <v>7</v>
      </c>
      <c r="N15" s="2"/>
      <c r="O15" s="2">
        <v>13</v>
      </c>
      <c r="P15" s="5">
        <v>16</v>
      </c>
      <c r="Q15" s="5">
        <f>+'VAL 15 - 09'!S16</f>
        <v>10</v>
      </c>
      <c r="R15" s="56">
        <f>+'VAL 18 - 09'!P16</f>
        <v>0</v>
      </c>
      <c r="S15" s="56">
        <f>+'VAL 22 -09'!P16</f>
        <v>14</v>
      </c>
      <c r="T15" s="56">
        <f>+'VAL 26 - 09'!P16</f>
        <v>10</v>
      </c>
      <c r="U15" s="56">
        <f>+'VAL 02 - 10'!P16</f>
        <v>8</v>
      </c>
      <c r="V15" s="56">
        <f>+'VAL 09 - 10'!P16</f>
        <v>8</v>
      </c>
      <c r="W15" s="56">
        <f>+'VL 13 - 10'!P16</f>
        <v>6</v>
      </c>
      <c r="X15" s="56">
        <f>+'VAL 17 - 10'!P16</f>
        <v>13</v>
      </c>
      <c r="Y15" s="56">
        <f>+'VAL 20 - 10'!P16</f>
        <v>8</v>
      </c>
      <c r="Z15" s="56">
        <f>+'VAL C - 10'!P16</f>
        <v>0</v>
      </c>
      <c r="AA15" s="56">
        <f>+'VAL D - 10'!P16</f>
        <v>0</v>
      </c>
      <c r="AB15" s="56">
        <f>+'VAL F - 10'!P16</f>
        <v>0</v>
      </c>
      <c r="AC15" s="72">
        <f>SUM(Tabla2[[#This Row],[VAL 15 - 07]:[VAL F-10]])</f>
        <v>166</v>
      </c>
      <c r="AD15" s="90">
        <f>AVERAGE(Tabla2[[#This Row],[VAL 15 - 07]:[VAL F-10]])</f>
        <v>8.3000000000000007</v>
      </c>
    </row>
    <row r="16" spans="2:30" x14ac:dyDescent="0.35">
      <c r="B16" s="48" t="s">
        <v>38</v>
      </c>
      <c r="C16" s="2" t="s">
        <v>50</v>
      </c>
      <c r="D16" s="2"/>
      <c r="E16" s="2">
        <v>0</v>
      </c>
      <c r="F16" s="2"/>
      <c r="G16" s="2"/>
      <c r="H16" s="2"/>
      <c r="I16" s="2">
        <v>0</v>
      </c>
      <c r="J16" s="2"/>
      <c r="K16" s="2">
        <v>0</v>
      </c>
      <c r="L16" s="2">
        <v>0</v>
      </c>
      <c r="M16" s="2"/>
      <c r="N16" s="2"/>
      <c r="O16" s="2">
        <v>0</v>
      </c>
      <c r="P16" s="5">
        <v>0</v>
      </c>
      <c r="Q16" s="5">
        <f>+'VAL 15 - 09'!S17</f>
        <v>14</v>
      </c>
      <c r="R16" s="56">
        <f>+'VAL 18 - 09'!P17</f>
        <v>0</v>
      </c>
      <c r="S16" s="56">
        <f>+'VAL 22 -09'!P17</f>
        <v>0</v>
      </c>
      <c r="T16" s="56">
        <f>+'VAL 26 - 09'!P17</f>
        <v>0</v>
      </c>
      <c r="U16" s="56">
        <f>+'VAL 02 - 10'!P17</f>
        <v>0</v>
      </c>
      <c r="V16" s="56">
        <f>+'VAL 09 - 10'!P17</f>
        <v>0</v>
      </c>
      <c r="W16" s="56">
        <f>+'VL 13 - 10'!P17</f>
        <v>0</v>
      </c>
      <c r="X16" s="56">
        <f>+'VAL 17 - 10'!P17</f>
        <v>0</v>
      </c>
      <c r="Y16" s="56">
        <f>+'VAL 20 - 10'!P17</f>
        <v>0</v>
      </c>
      <c r="Z16" s="56">
        <f>+'VAL C - 10'!P17</f>
        <v>0</v>
      </c>
      <c r="AA16" s="56">
        <f>+'VAL D - 10'!P17</f>
        <v>0</v>
      </c>
      <c r="AB16" s="56">
        <f>+'VAL F - 10'!P17</f>
        <v>0</v>
      </c>
      <c r="AC16" s="72">
        <f>SUM(Tabla2[[#This Row],[VAL 15 - 07]:[VAL F-10]])</f>
        <v>14</v>
      </c>
      <c r="AD16" s="90">
        <f>AVERAGE(Tabla2[[#This Row],[VAL 15 - 07]:[VAL F-10]])</f>
        <v>0.77777777777777779</v>
      </c>
    </row>
    <row r="17" spans="2:30" x14ac:dyDescent="0.35">
      <c r="B17" s="48" t="s">
        <v>27</v>
      </c>
      <c r="C17" s="2" t="s">
        <v>50</v>
      </c>
      <c r="D17" s="2"/>
      <c r="E17" s="2">
        <v>52</v>
      </c>
      <c r="F17" s="2"/>
      <c r="G17" s="2">
        <v>21</v>
      </c>
      <c r="H17" s="2"/>
      <c r="I17" s="2">
        <v>0</v>
      </c>
      <c r="J17" s="2"/>
      <c r="K17" s="2">
        <v>67</v>
      </c>
      <c r="L17" s="2">
        <v>0</v>
      </c>
      <c r="M17" s="2">
        <v>41</v>
      </c>
      <c r="N17" s="2">
        <v>60</v>
      </c>
      <c r="O17" s="2">
        <v>41</v>
      </c>
      <c r="P17" s="5">
        <v>71</v>
      </c>
      <c r="Q17" s="5">
        <f>+'VAL 15 - 09'!S18</f>
        <v>37</v>
      </c>
      <c r="R17" s="56">
        <f>+'VAL 18 - 09'!P18</f>
        <v>38</v>
      </c>
      <c r="S17" s="56">
        <f>+'VAL 22 -09'!P18</f>
        <v>47</v>
      </c>
      <c r="T17" s="56">
        <f>+'VAL 26 - 09'!P18</f>
        <v>33</v>
      </c>
      <c r="U17" s="56">
        <f>+'VAL 02 - 10'!P18</f>
        <v>46</v>
      </c>
      <c r="V17" s="56">
        <f>+'VAL 09 - 10'!P18</f>
        <v>28</v>
      </c>
      <c r="W17" s="56">
        <f>+'VL 13 - 10'!P18</f>
        <v>25</v>
      </c>
      <c r="X17" s="56">
        <f>+'VAL 17 - 10'!P18</f>
        <v>30</v>
      </c>
      <c r="Y17" s="56">
        <f>+'VAL 20 - 10'!P18</f>
        <v>27</v>
      </c>
      <c r="Z17" s="56">
        <f>+'VAL C - 10'!P18</f>
        <v>0</v>
      </c>
      <c r="AA17" s="56">
        <f>+'VAL D - 10'!P18</f>
        <v>0</v>
      </c>
      <c r="AB17" s="56">
        <f>+'VAL F - 10'!P18</f>
        <v>0</v>
      </c>
      <c r="AC17" s="72">
        <f>SUM(Tabla2[[#This Row],[VAL 15 - 07]:[VAL F-10]])</f>
        <v>664</v>
      </c>
      <c r="AD17" s="90">
        <f>AVERAGE(Tabla2[[#This Row],[VAL 15 - 07]:[VAL F-10]])</f>
        <v>31.61904761904762</v>
      </c>
    </row>
    <row r="18" spans="2:30" x14ac:dyDescent="0.35">
      <c r="B18" s="48" t="s">
        <v>18</v>
      </c>
      <c r="C18" s="2" t="s">
        <v>50</v>
      </c>
      <c r="D18" s="2"/>
      <c r="E18" s="2">
        <v>24</v>
      </c>
      <c r="F18" s="2">
        <v>14</v>
      </c>
      <c r="G18" s="2">
        <v>9</v>
      </c>
      <c r="H18" s="2">
        <v>19</v>
      </c>
      <c r="I18" s="2">
        <v>0</v>
      </c>
      <c r="J18" s="2">
        <v>23</v>
      </c>
      <c r="K18" s="2">
        <v>0</v>
      </c>
      <c r="L18" s="2">
        <v>0</v>
      </c>
      <c r="M18" s="2">
        <v>20</v>
      </c>
      <c r="N18" s="2"/>
      <c r="O18" s="2">
        <v>0</v>
      </c>
      <c r="P18" s="5">
        <v>0</v>
      </c>
      <c r="Q18" s="5">
        <f>+'VAL 15 - 09'!S19</f>
        <v>0</v>
      </c>
      <c r="R18" s="56">
        <f>+'VAL 18 - 09'!P19</f>
        <v>19</v>
      </c>
      <c r="S18" s="56">
        <f>+'VAL 22 -09'!P19</f>
        <v>19</v>
      </c>
      <c r="T18" s="56">
        <f>+'VAL 26 - 09'!P19</f>
        <v>17</v>
      </c>
      <c r="U18" s="56">
        <f>+'VAL 02 - 10'!P19</f>
        <v>25</v>
      </c>
      <c r="V18" s="56">
        <f>+'VAL 09 - 10'!P19</f>
        <v>7</v>
      </c>
      <c r="W18" s="56">
        <f>+'VL 13 - 10'!P19</f>
        <v>9</v>
      </c>
      <c r="X18" s="56">
        <f>+'VAL 17 - 10'!P19</f>
        <v>16</v>
      </c>
      <c r="Y18" s="56">
        <f>+'VAL 20 - 10'!P19</f>
        <v>11</v>
      </c>
      <c r="Z18" s="56">
        <f>+'VAL C - 10'!P19</f>
        <v>0</v>
      </c>
      <c r="AA18" s="56">
        <f>+'VAL D - 10'!P19</f>
        <v>0</v>
      </c>
      <c r="AB18" s="56">
        <f>+'VAL F - 10'!P19</f>
        <v>0</v>
      </c>
      <c r="AC18" s="72">
        <f>SUM(Tabla2[[#This Row],[VAL 15 - 07]:[VAL F-10]])</f>
        <v>232</v>
      </c>
      <c r="AD18" s="90">
        <f>AVERAGE(Tabla2[[#This Row],[VAL 15 - 07]:[VAL F-10]])</f>
        <v>10.086956521739131</v>
      </c>
    </row>
    <row r="19" spans="2:30" x14ac:dyDescent="0.35">
      <c r="B19" s="48" t="s">
        <v>19</v>
      </c>
      <c r="C19" s="2" t="s">
        <v>50</v>
      </c>
      <c r="D19" s="2"/>
      <c r="E19" s="2">
        <v>41</v>
      </c>
      <c r="F19" s="2"/>
      <c r="G19" s="2">
        <v>18</v>
      </c>
      <c r="H19" s="2"/>
      <c r="I19" s="2">
        <v>0</v>
      </c>
      <c r="J19" s="2"/>
      <c r="K19" s="2">
        <v>34</v>
      </c>
      <c r="L19" s="2">
        <v>36</v>
      </c>
      <c r="M19" s="2">
        <v>32</v>
      </c>
      <c r="N19" s="2"/>
      <c r="O19" s="2">
        <v>28</v>
      </c>
      <c r="P19" s="5">
        <v>39</v>
      </c>
      <c r="Q19" s="5">
        <f>+'VAL 15 - 09'!S20</f>
        <v>32</v>
      </c>
      <c r="R19" s="56">
        <f>+'VAL 18 - 09'!P20</f>
        <v>0</v>
      </c>
      <c r="S19" s="56">
        <f>+'VAL 22 -09'!P20</f>
        <v>32</v>
      </c>
      <c r="T19" s="56">
        <f>+'VAL 26 - 09'!P20</f>
        <v>38</v>
      </c>
      <c r="U19" s="56">
        <f>+'VAL 02 - 10'!P20</f>
        <v>40</v>
      </c>
      <c r="V19" s="56">
        <f>+'VAL 09 - 10'!P20</f>
        <v>9</v>
      </c>
      <c r="W19" s="56">
        <f>+'VL 13 - 10'!P20</f>
        <v>17</v>
      </c>
      <c r="X19" s="56">
        <f>+'VAL 17 - 10'!P20</f>
        <v>16</v>
      </c>
      <c r="Y19" s="56">
        <f>+'VAL 20 - 10'!P20</f>
        <v>17</v>
      </c>
      <c r="Z19" s="56">
        <f>+'VAL C - 10'!P20</f>
        <v>0</v>
      </c>
      <c r="AA19" s="56">
        <f>+'VAL D - 10'!P20</f>
        <v>0</v>
      </c>
      <c r="AB19" s="56">
        <f>+'VAL F - 10'!P20</f>
        <v>0</v>
      </c>
      <c r="AC19" s="72">
        <f>SUM(Tabla2[[#This Row],[VAL 15 - 07]:[VAL F-10]])</f>
        <v>429</v>
      </c>
      <c r="AD19" s="90">
        <f>AVERAGE(Tabla2[[#This Row],[VAL 15 - 07]:[VAL F-10]])</f>
        <v>21.45</v>
      </c>
    </row>
    <row r="20" spans="2:30" x14ac:dyDescent="0.35">
      <c r="B20" s="48" t="s">
        <v>47</v>
      </c>
      <c r="C20" s="2" t="s">
        <v>50</v>
      </c>
      <c r="D20" s="2"/>
      <c r="E20" s="2">
        <v>0</v>
      </c>
      <c r="F20" s="2">
        <v>0</v>
      </c>
      <c r="G20" s="2"/>
      <c r="H20" s="2">
        <v>3</v>
      </c>
      <c r="I20" s="2">
        <v>0</v>
      </c>
      <c r="J20" s="2"/>
      <c r="K20" s="2">
        <v>0</v>
      </c>
      <c r="L20" s="2">
        <v>0</v>
      </c>
      <c r="M20" s="2">
        <v>0</v>
      </c>
      <c r="N20" s="2"/>
      <c r="O20" s="2">
        <v>0</v>
      </c>
      <c r="P20" s="5">
        <v>0</v>
      </c>
      <c r="Q20" s="5">
        <f>+'VAL 15 - 09'!S21</f>
        <v>0</v>
      </c>
      <c r="R20" s="56">
        <f>+'VAL 18 - 09'!P21</f>
        <v>0</v>
      </c>
      <c r="S20" s="56">
        <f>+'VAL 22 -09'!P21</f>
        <v>0</v>
      </c>
      <c r="T20" s="56">
        <f>+'VAL 26 - 09'!P21</f>
        <v>0</v>
      </c>
      <c r="U20" s="56">
        <f>+'VAL 02 - 10'!P21</f>
        <v>0</v>
      </c>
      <c r="V20" s="56">
        <f>+'VAL 09 - 10'!P21</f>
        <v>0</v>
      </c>
      <c r="W20" s="56">
        <f>+'VL 13 - 10'!P21</f>
        <v>0</v>
      </c>
      <c r="X20" s="56">
        <f>+'VAL 17 - 10'!P21</f>
        <v>0</v>
      </c>
      <c r="Y20" s="56">
        <f>+'VAL 20 - 10'!P21</f>
        <v>0</v>
      </c>
      <c r="Z20" s="56">
        <f>+'VAL C - 10'!P21</f>
        <v>0</v>
      </c>
      <c r="AA20" s="56">
        <f>+'VAL D - 10'!P21</f>
        <v>0</v>
      </c>
      <c r="AB20" s="56">
        <f>+'VAL F - 10'!P21</f>
        <v>0</v>
      </c>
      <c r="AC20" s="72">
        <f>SUM(Tabla2[[#This Row],[VAL 15 - 07]:[VAL F-10]])</f>
        <v>3</v>
      </c>
      <c r="AD20" s="90">
        <f>AVERAGE(Tabla2[[#This Row],[VAL 15 - 07]:[VAL F-10]])</f>
        <v>0.14285714285714285</v>
      </c>
    </row>
    <row r="21" spans="2:30" x14ac:dyDescent="0.35">
      <c r="B21" s="48" t="s">
        <v>15</v>
      </c>
      <c r="C21" s="2" t="s">
        <v>50</v>
      </c>
      <c r="D21" s="2"/>
      <c r="E21" s="2">
        <v>0</v>
      </c>
      <c r="F21" s="2"/>
      <c r="G21" s="2"/>
      <c r="H21" s="2"/>
      <c r="I21" s="2">
        <v>3</v>
      </c>
      <c r="J21" s="2">
        <v>2</v>
      </c>
      <c r="K21" s="2">
        <v>0</v>
      </c>
      <c r="L21" s="2">
        <v>0</v>
      </c>
      <c r="M21" s="2">
        <v>1</v>
      </c>
      <c r="N21" s="2"/>
      <c r="O21" s="2">
        <v>0</v>
      </c>
      <c r="P21" s="5">
        <v>0</v>
      </c>
      <c r="Q21" s="5">
        <f>+'VAL 15 - 09'!S22</f>
        <v>0</v>
      </c>
      <c r="R21" s="56">
        <f>+'VAL 18 - 09'!P22</f>
        <v>1</v>
      </c>
      <c r="S21" s="56">
        <f>+'VAL 22 -09'!P22</f>
        <v>1</v>
      </c>
      <c r="T21" s="56">
        <f>+'VAL 26 - 09'!P22</f>
        <v>0</v>
      </c>
      <c r="U21" s="56">
        <f>+'VAL 02 - 10'!P22</f>
        <v>0</v>
      </c>
      <c r="V21" s="56">
        <f>+'VAL 09 - 10'!P22</f>
        <v>0</v>
      </c>
      <c r="W21" s="56">
        <f>+'VL 13 - 10'!P22</f>
        <v>0</v>
      </c>
      <c r="X21" s="56">
        <f>+'VAL 17 - 10'!P22</f>
        <v>0</v>
      </c>
      <c r="Y21" s="56">
        <f>+'VAL 20 - 10'!P22</f>
        <v>3</v>
      </c>
      <c r="Z21" s="56">
        <f>+'VAL C - 10'!P22</f>
        <v>0</v>
      </c>
      <c r="AA21" s="56">
        <f>+'VAL D - 10'!P22</f>
        <v>0</v>
      </c>
      <c r="AB21" s="56">
        <f>+'VAL F - 10'!P22</f>
        <v>0</v>
      </c>
      <c r="AC21" s="72">
        <f>SUM(Tabla2[[#This Row],[VAL 15 - 07]:[VAL F-10]])</f>
        <v>11</v>
      </c>
      <c r="AD21" s="90">
        <f>AVERAGE(Tabla2[[#This Row],[VAL 15 - 07]:[VAL F-10]])</f>
        <v>0.55000000000000004</v>
      </c>
    </row>
    <row r="22" spans="2:30" x14ac:dyDescent="0.35">
      <c r="B22" s="48" t="s">
        <v>20</v>
      </c>
      <c r="C22" s="2" t="s">
        <v>50</v>
      </c>
      <c r="D22" s="2"/>
      <c r="E22" s="2">
        <v>49</v>
      </c>
      <c r="F22" s="2"/>
      <c r="G22" s="2">
        <v>22</v>
      </c>
      <c r="H22" s="2"/>
      <c r="I22" s="2">
        <v>0</v>
      </c>
      <c r="J22" s="2"/>
      <c r="K22" s="2">
        <v>44</v>
      </c>
      <c r="L22" s="2">
        <v>53</v>
      </c>
      <c r="M22" s="2">
        <v>31</v>
      </c>
      <c r="N22" s="2"/>
      <c r="O22" s="2">
        <v>23</v>
      </c>
      <c r="P22" s="5">
        <v>46</v>
      </c>
      <c r="Q22" s="5">
        <f>+'VAL 15 - 09'!S23</f>
        <v>32</v>
      </c>
      <c r="R22" s="56">
        <f>+'VAL 18 - 09'!P23</f>
        <v>0</v>
      </c>
      <c r="S22" s="56">
        <f>+'VAL 22 -09'!P23</f>
        <v>29</v>
      </c>
      <c r="T22" s="56">
        <f>+'VAL 26 - 09'!P23</f>
        <v>1</v>
      </c>
      <c r="U22" s="56">
        <f>+'VAL 02 - 10'!P23</f>
        <v>35</v>
      </c>
      <c r="V22" s="56">
        <f>+'VAL 09 - 10'!P23</f>
        <v>19</v>
      </c>
      <c r="W22" s="56">
        <f>+'VL 13 - 10'!P23</f>
        <v>22</v>
      </c>
      <c r="X22" s="56">
        <f>+'VAL 17 - 10'!P23</f>
        <v>29</v>
      </c>
      <c r="Y22" s="56">
        <f>+'VAL 20 - 10'!P23</f>
        <v>15</v>
      </c>
      <c r="Z22" s="56">
        <f>+'VAL C - 10'!P23</f>
        <v>0</v>
      </c>
      <c r="AA22" s="56">
        <f>+'VAL D - 10'!P23</f>
        <v>0</v>
      </c>
      <c r="AB22" s="56">
        <f>+'VAL F - 10'!P23</f>
        <v>0</v>
      </c>
      <c r="AC22" s="72">
        <f>SUM(Tabla2[[#This Row],[VAL 15 - 07]:[VAL F-10]])</f>
        <v>450</v>
      </c>
      <c r="AD22" s="90">
        <f>AVERAGE(Tabla2[[#This Row],[VAL 15 - 07]:[VAL F-10]])</f>
        <v>22.5</v>
      </c>
    </row>
    <row r="23" spans="2:30" x14ac:dyDescent="0.35">
      <c r="B23" s="48" t="s">
        <v>41</v>
      </c>
      <c r="C23" s="2" t="s">
        <v>50</v>
      </c>
      <c r="D23" s="2"/>
      <c r="E23" s="2">
        <v>0</v>
      </c>
      <c r="F23" s="2"/>
      <c r="G23" s="2"/>
      <c r="H23" s="2">
        <v>14</v>
      </c>
      <c r="I23" s="2">
        <v>11</v>
      </c>
      <c r="J23" s="2">
        <v>4</v>
      </c>
      <c r="K23" s="2">
        <v>5</v>
      </c>
      <c r="L23" s="2">
        <v>0</v>
      </c>
      <c r="M23" s="2">
        <v>1</v>
      </c>
      <c r="N23" s="2"/>
      <c r="O23" s="2">
        <v>0</v>
      </c>
      <c r="P23" s="5">
        <v>5</v>
      </c>
      <c r="Q23" s="5">
        <f>+'VAL 15 - 09'!S24</f>
        <v>4</v>
      </c>
      <c r="R23" s="56">
        <f>+'VAL 18 - 09'!P24</f>
        <v>3</v>
      </c>
      <c r="S23" s="56">
        <f>+'VAL 22 -09'!P24</f>
        <v>1</v>
      </c>
      <c r="T23" s="56">
        <f>+'VAL 26 - 09'!P24</f>
        <v>9</v>
      </c>
      <c r="U23" s="56">
        <f>+'VAL 02 - 10'!P24</f>
        <v>5</v>
      </c>
      <c r="V23" s="56">
        <f>+'VAL 09 - 10'!P24</f>
        <v>3</v>
      </c>
      <c r="W23" s="56">
        <f>+'VL 13 - 10'!P24</f>
        <v>2</v>
      </c>
      <c r="X23" s="56">
        <f>+'VAL 17 - 10'!P24</f>
        <v>0</v>
      </c>
      <c r="Y23" s="56">
        <f>+'VAL 20 - 10'!P24</f>
        <v>2</v>
      </c>
      <c r="Z23" s="56">
        <f>+'VAL C - 10'!P24</f>
        <v>0</v>
      </c>
      <c r="AA23" s="56">
        <f>+'VAL D - 10'!P24</f>
        <v>0</v>
      </c>
      <c r="AB23" s="56">
        <f>+'VAL F - 10'!P24</f>
        <v>0</v>
      </c>
      <c r="AC23" s="72">
        <f>SUM(Tabla2[[#This Row],[VAL 15 - 07]:[VAL F-10]])</f>
        <v>69</v>
      </c>
      <c r="AD23" s="90">
        <f>AVERAGE(Tabla2[[#This Row],[VAL 15 - 07]:[VAL F-10]])</f>
        <v>3.2857142857142856</v>
      </c>
    </row>
    <row r="24" spans="2:30" x14ac:dyDescent="0.35">
      <c r="B24" s="48" t="s">
        <v>17</v>
      </c>
      <c r="C24" s="2" t="s">
        <v>50</v>
      </c>
      <c r="D24" s="2"/>
      <c r="E24" s="2">
        <v>4</v>
      </c>
      <c r="F24" s="2"/>
      <c r="G24" s="2">
        <v>5</v>
      </c>
      <c r="H24" s="2"/>
      <c r="I24" s="2">
        <v>0</v>
      </c>
      <c r="J24" s="2"/>
      <c r="K24" s="2">
        <v>4</v>
      </c>
      <c r="L24" s="2">
        <v>9</v>
      </c>
      <c r="M24" s="2">
        <v>1</v>
      </c>
      <c r="N24" s="2"/>
      <c r="O24" s="2">
        <v>9</v>
      </c>
      <c r="P24" s="5">
        <v>7</v>
      </c>
      <c r="Q24" s="5">
        <f>+'VAL 15 - 09'!S25</f>
        <v>5</v>
      </c>
      <c r="R24" s="56">
        <f>+'VAL 18 - 09'!P25</f>
        <v>0</v>
      </c>
      <c r="S24" s="56">
        <f>+'VAL 22 -09'!P25</f>
        <v>6</v>
      </c>
      <c r="T24" s="56">
        <f>+'VAL 26 - 09'!P25</f>
        <v>5</v>
      </c>
      <c r="U24" s="56">
        <f>+'VAL 02 - 10'!P25</f>
        <v>8</v>
      </c>
      <c r="V24" s="56">
        <f>+'VAL 09 - 10'!P25</f>
        <v>3</v>
      </c>
      <c r="W24" s="56">
        <f>+'VL 13 - 10'!P25</f>
        <v>2</v>
      </c>
      <c r="X24" s="56">
        <f>+'VAL 17 - 10'!P25</f>
        <v>3</v>
      </c>
      <c r="Y24" s="56">
        <f>+'VAL 20 - 10'!P25</f>
        <v>8</v>
      </c>
      <c r="Z24" s="56">
        <f>+'VAL C - 10'!P25</f>
        <v>0</v>
      </c>
      <c r="AA24" s="56">
        <f>+'VAL D - 10'!P25</f>
        <v>0</v>
      </c>
      <c r="AB24" s="56">
        <f>+'VAL F - 10'!P25</f>
        <v>0</v>
      </c>
      <c r="AC24" s="72">
        <f>SUM(Tabla2[[#This Row],[VAL 15 - 07]:[VAL F-10]])</f>
        <v>79</v>
      </c>
      <c r="AD24" s="90">
        <f>AVERAGE(Tabla2[[#This Row],[VAL 15 - 07]:[VAL F-10]])</f>
        <v>3.95</v>
      </c>
    </row>
    <row r="25" spans="2:30" x14ac:dyDescent="0.35">
      <c r="B25" s="48" t="s">
        <v>33</v>
      </c>
      <c r="C25" s="2" t="s">
        <v>50</v>
      </c>
      <c r="D25" s="2"/>
      <c r="E25" s="2">
        <v>34</v>
      </c>
      <c r="F25" s="2"/>
      <c r="G25" s="2"/>
      <c r="H25" s="2"/>
      <c r="I25" s="2">
        <v>16</v>
      </c>
      <c r="J25" s="2">
        <v>29</v>
      </c>
      <c r="K25" s="2">
        <v>0</v>
      </c>
      <c r="L25" s="2">
        <v>10</v>
      </c>
      <c r="M25" s="2">
        <v>16</v>
      </c>
      <c r="N25" s="2"/>
      <c r="O25" s="2">
        <v>0</v>
      </c>
      <c r="P25" s="5">
        <v>17</v>
      </c>
      <c r="Q25" s="5">
        <f>+'VAL 15 - 09'!S26</f>
        <v>24</v>
      </c>
      <c r="R25" s="56">
        <f>+'VAL 18 - 09'!P26</f>
        <v>20</v>
      </c>
      <c r="S25" s="56">
        <f>+'VAL 22 -09'!P26</f>
        <v>15</v>
      </c>
      <c r="T25" s="56">
        <f>+'VAL 26 - 09'!P26</f>
        <v>16</v>
      </c>
      <c r="U25" s="56">
        <f>+'VAL 02 - 10'!P26</f>
        <v>20</v>
      </c>
      <c r="V25" s="56">
        <f>+'VAL 09 - 10'!P26</f>
        <v>6</v>
      </c>
      <c r="W25" s="56">
        <f>+'VL 13 - 10'!P26</f>
        <v>7</v>
      </c>
      <c r="X25" s="56">
        <f>+'VAL 17 - 10'!P26</f>
        <v>10</v>
      </c>
      <c r="Y25" s="56">
        <f>+'VAL 20 - 10'!P26</f>
        <v>6</v>
      </c>
      <c r="Z25" s="56">
        <f>+'VAL C - 10'!P26</f>
        <v>0</v>
      </c>
      <c r="AA25" s="56">
        <f>+'VAL D - 10'!P26</f>
        <v>0</v>
      </c>
      <c r="AB25" s="56">
        <f>+'VAL F - 10'!P26</f>
        <v>0</v>
      </c>
      <c r="AC25" s="72">
        <f>SUM(Tabla2[[#This Row],[VAL 15 - 07]:[VAL F-10]])</f>
        <v>246</v>
      </c>
      <c r="AD25" s="90">
        <f>AVERAGE(Tabla2[[#This Row],[VAL 15 - 07]:[VAL F-10]])</f>
        <v>12.3</v>
      </c>
    </row>
    <row r="26" spans="2:30" x14ac:dyDescent="0.35">
      <c r="B26" s="48" t="s">
        <v>45</v>
      </c>
      <c r="C26" s="2" t="s">
        <v>50</v>
      </c>
      <c r="D26" s="2"/>
      <c r="E26" s="2">
        <v>0</v>
      </c>
      <c r="F26" s="2">
        <v>0</v>
      </c>
      <c r="G26" s="2"/>
      <c r="H26" s="2">
        <v>14</v>
      </c>
      <c r="I26" s="2">
        <v>3</v>
      </c>
      <c r="J26" s="2">
        <v>8</v>
      </c>
      <c r="K26" s="2">
        <v>0</v>
      </c>
      <c r="L26" s="2">
        <v>16</v>
      </c>
      <c r="M26" s="2">
        <v>4</v>
      </c>
      <c r="N26" s="2"/>
      <c r="O26" s="2">
        <v>11</v>
      </c>
      <c r="P26" s="5">
        <v>0</v>
      </c>
      <c r="Q26" s="5">
        <f>+'VAL 15 - 09'!S27</f>
        <v>0</v>
      </c>
      <c r="R26" s="56">
        <f>+'VAL 18 - 09'!P27</f>
        <v>7</v>
      </c>
      <c r="S26" s="56">
        <f>+'VAL 22 -09'!P27</f>
        <v>7</v>
      </c>
      <c r="T26" s="56">
        <f>+'VAL 26 - 09'!P27</f>
        <v>6</v>
      </c>
      <c r="U26" s="56">
        <f>+'VAL 02 - 10'!P27</f>
        <v>6</v>
      </c>
      <c r="V26" s="56">
        <f>+'VAL 09 - 10'!P27</f>
        <v>5</v>
      </c>
      <c r="W26" s="56">
        <f>+'VL 13 - 10'!P27</f>
        <v>0</v>
      </c>
      <c r="X26" s="56">
        <f>+'VAL 17 - 10'!P27</f>
        <v>14</v>
      </c>
      <c r="Y26" s="56">
        <f>+'VAL 20 - 10'!P27</f>
        <v>8</v>
      </c>
      <c r="Z26" s="56">
        <f>+'VAL C - 10'!P27</f>
        <v>0</v>
      </c>
      <c r="AA26" s="56">
        <f>+'VAL D - 10'!P27</f>
        <v>0</v>
      </c>
      <c r="AB26" s="56">
        <f>+'VAL F - 10'!P27</f>
        <v>0</v>
      </c>
      <c r="AC26" s="72">
        <f>SUM(Tabla2[[#This Row],[VAL 15 - 07]:[VAL F-10]])</f>
        <v>109</v>
      </c>
      <c r="AD26" s="90">
        <f>AVERAGE(Tabla2[[#This Row],[VAL 15 - 07]:[VAL F-10]])</f>
        <v>4.9545454545454541</v>
      </c>
    </row>
    <row r="27" spans="2:30" x14ac:dyDescent="0.35">
      <c r="B27" s="48" t="s">
        <v>25</v>
      </c>
      <c r="C27" s="2" t="s">
        <v>50</v>
      </c>
      <c r="D27" s="2"/>
      <c r="E27" s="2">
        <v>126</v>
      </c>
      <c r="F27" s="2">
        <v>1</v>
      </c>
      <c r="G27" s="2"/>
      <c r="H27" s="2"/>
      <c r="I27" s="2">
        <v>98</v>
      </c>
      <c r="J27" s="2"/>
      <c r="K27" s="2">
        <v>0</v>
      </c>
      <c r="L27" s="2">
        <v>120</v>
      </c>
      <c r="M27" s="2">
        <v>64</v>
      </c>
      <c r="N27" s="2"/>
      <c r="O27" s="2">
        <v>0</v>
      </c>
      <c r="P27" s="5">
        <v>0</v>
      </c>
      <c r="Q27" s="5">
        <f>+'VAL 15 - 09'!S28</f>
        <v>0</v>
      </c>
      <c r="R27" s="56">
        <f>+'VAL 18 - 09'!P28</f>
        <v>0</v>
      </c>
      <c r="S27" s="56">
        <f>+'VAL 22 -09'!P28</f>
        <v>75</v>
      </c>
      <c r="T27" s="56">
        <f>+'VAL 26 - 09'!P28</f>
        <v>108</v>
      </c>
      <c r="U27" s="56">
        <f>+'VAL 02 - 10'!P28</f>
        <v>75</v>
      </c>
      <c r="V27" s="56">
        <f>+'VAL 09 - 10'!P28</f>
        <v>51</v>
      </c>
      <c r="W27" s="56">
        <f>+'VL 13 - 10'!P28</f>
        <v>51</v>
      </c>
      <c r="X27" s="56">
        <f>+'VAL 17 - 10'!P28</f>
        <v>74</v>
      </c>
      <c r="Y27" s="56">
        <f>+'VAL 20 - 10'!P28</f>
        <v>68</v>
      </c>
      <c r="Z27" s="56">
        <f>+'VAL C - 10'!P28</f>
        <v>0</v>
      </c>
      <c r="AA27" s="56">
        <f>+'VAL D - 10'!P28</f>
        <v>0</v>
      </c>
      <c r="AB27" s="56">
        <f>+'VAL F - 10'!P28</f>
        <v>0</v>
      </c>
      <c r="AC27" s="72">
        <f>SUM(Tabla2[[#This Row],[VAL 15 - 07]:[VAL F-10]])</f>
        <v>911</v>
      </c>
      <c r="AD27" s="90">
        <f>AVERAGE(Tabla2[[#This Row],[VAL 15 - 07]:[VAL F-10]])</f>
        <v>45.55</v>
      </c>
    </row>
    <row r="28" spans="2:30" x14ac:dyDescent="0.35">
      <c r="B28" s="48" t="s">
        <v>46</v>
      </c>
      <c r="C28" s="2" t="s">
        <v>50</v>
      </c>
      <c r="D28" s="2"/>
      <c r="E28" s="2">
        <v>0</v>
      </c>
      <c r="F28" s="2">
        <v>0</v>
      </c>
      <c r="G28" s="2"/>
      <c r="H28" s="2">
        <v>7</v>
      </c>
      <c r="I28" s="2">
        <v>0</v>
      </c>
      <c r="J28" s="2">
        <v>14</v>
      </c>
      <c r="K28" s="2">
        <v>0</v>
      </c>
      <c r="L28" s="2">
        <v>14</v>
      </c>
      <c r="M28" s="2">
        <v>7</v>
      </c>
      <c r="N28" s="2"/>
      <c r="O28" s="2">
        <v>0</v>
      </c>
      <c r="P28" s="5">
        <v>0</v>
      </c>
      <c r="Q28" s="5">
        <f>+'VAL 15 - 09'!S29</f>
        <v>0</v>
      </c>
      <c r="R28" s="56">
        <f>+'VAL 18 - 09'!P29</f>
        <v>13</v>
      </c>
      <c r="S28" s="56">
        <f>+'VAL 22 -09'!P29</f>
        <v>0</v>
      </c>
      <c r="T28" s="56">
        <f>+'VAL 26 - 09'!P29</f>
        <v>4</v>
      </c>
      <c r="U28" s="56">
        <f>+'VAL 02 - 10'!P29</f>
        <v>8</v>
      </c>
      <c r="V28" s="56">
        <f>+'VAL 09 - 10'!P29</f>
        <v>5</v>
      </c>
      <c r="W28" s="56">
        <f>+'VL 13 - 10'!P29</f>
        <v>0</v>
      </c>
      <c r="X28" s="56">
        <f>+'VAL 17 - 10'!P29</f>
        <v>0</v>
      </c>
      <c r="Y28" s="56">
        <f>+'VAL 20 - 10'!P29</f>
        <v>6</v>
      </c>
      <c r="Z28" s="56">
        <f>+'VAL C - 10'!P29</f>
        <v>0</v>
      </c>
      <c r="AA28" s="56">
        <f>+'VAL D - 10'!P29</f>
        <v>0</v>
      </c>
      <c r="AB28" s="56">
        <f>+'VAL F - 10'!P29</f>
        <v>0</v>
      </c>
      <c r="AC28" s="72">
        <f>SUM(Tabla2[[#This Row],[VAL 15 - 07]:[VAL F-10]])</f>
        <v>78</v>
      </c>
      <c r="AD28" s="90">
        <f>AVERAGE(Tabla2[[#This Row],[VAL 15 - 07]:[VAL F-10]])</f>
        <v>3.5454545454545454</v>
      </c>
    </row>
    <row r="29" spans="2:30" x14ac:dyDescent="0.35">
      <c r="B29" s="48" t="s">
        <v>32</v>
      </c>
      <c r="C29" s="2" t="s">
        <v>50</v>
      </c>
      <c r="D29" s="2"/>
      <c r="E29" s="2">
        <v>57</v>
      </c>
      <c r="F29" s="2"/>
      <c r="G29" s="2">
        <v>16</v>
      </c>
      <c r="H29" s="2"/>
      <c r="I29" s="2">
        <v>60</v>
      </c>
      <c r="J29" s="2">
        <v>78</v>
      </c>
      <c r="K29" s="2">
        <v>0</v>
      </c>
      <c r="L29" s="2">
        <v>72</v>
      </c>
      <c r="M29" s="2">
        <v>37</v>
      </c>
      <c r="N29" s="2"/>
      <c r="O29" s="2">
        <v>0</v>
      </c>
      <c r="P29" s="5">
        <v>72</v>
      </c>
      <c r="Q29" s="5">
        <f>+'VAL 15 - 09'!S30</f>
        <v>36</v>
      </c>
      <c r="R29" s="56">
        <f>+'VAL 18 - 09'!P30</f>
        <v>38</v>
      </c>
      <c r="S29" s="56">
        <f>+'VAL 22 -09'!P30</f>
        <v>39</v>
      </c>
      <c r="T29" s="56">
        <f>+'VAL 26 - 09'!P30</f>
        <v>39</v>
      </c>
      <c r="U29" s="56">
        <f>+'VAL 02 - 10'!P30</f>
        <v>50</v>
      </c>
      <c r="V29" s="56">
        <f>+'VAL 09 - 10'!P30</f>
        <v>31</v>
      </c>
      <c r="W29" s="56">
        <f>+'VL 13 - 10'!P30</f>
        <v>17</v>
      </c>
      <c r="X29" s="56">
        <f>+'VAL 17 - 10'!P30</f>
        <v>29</v>
      </c>
      <c r="Y29" s="56">
        <f>+'VAL 20 - 10'!P30</f>
        <v>39</v>
      </c>
      <c r="Z29" s="56">
        <f>+'VAL C - 10'!P30</f>
        <v>0</v>
      </c>
      <c r="AA29" s="56">
        <f>+'VAL D - 10'!P30</f>
        <v>0</v>
      </c>
      <c r="AB29" s="56">
        <f>+'VAL F - 10'!P30</f>
        <v>0</v>
      </c>
      <c r="AC29" s="72">
        <f>SUM(Tabla2[[#This Row],[VAL 15 - 07]:[VAL F-10]])</f>
        <v>710</v>
      </c>
      <c r="AD29" s="90">
        <f>AVERAGE(Tabla2[[#This Row],[VAL 15 - 07]:[VAL F-10]])</f>
        <v>33.80952380952381</v>
      </c>
    </row>
    <row r="30" spans="2:30" x14ac:dyDescent="0.35">
      <c r="B30" s="48" t="s">
        <v>34</v>
      </c>
      <c r="C30" s="2" t="s">
        <v>50</v>
      </c>
      <c r="D30" s="2"/>
      <c r="E30" s="2">
        <v>0</v>
      </c>
      <c r="F30" s="2"/>
      <c r="G30" s="2"/>
      <c r="H30" s="2"/>
      <c r="I30" s="2">
        <v>7</v>
      </c>
      <c r="J30" s="2">
        <v>8</v>
      </c>
      <c r="K30" s="2">
        <v>0</v>
      </c>
      <c r="L30" s="2">
        <v>8</v>
      </c>
      <c r="M30" s="2">
        <v>8</v>
      </c>
      <c r="N30" s="2"/>
      <c r="O30" s="2">
        <v>0</v>
      </c>
      <c r="P30" s="5">
        <v>12</v>
      </c>
      <c r="Q30" s="5">
        <f>+'VAL 15 - 09'!S31</f>
        <v>5</v>
      </c>
      <c r="R30" s="56">
        <f>+'VAL 18 - 09'!P31</f>
        <v>7</v>
      </c>
      <c r="S30" s="56">
        <f>+'VAL 22 -09'!P31</f>
        <v>4</v>
      </c>
      <c r="T30" s="56">
        <f>+'VAL 26 - 09'!P31</f>
        <v>10</v>
      </c>
      <c r="U30" s="56">
        <f>+'VAL 02 - 10'!P31</f>
        <v>9</v>
      </c>
      <c r="V30" s="56">
        <f>+'VAL 09 - 10'!P31</f>
        <v>4</v>
      </c>
      <c r="W30" s="56">
        <f>+'VL 13 - 10'!P31</f>
        <v>3</v>
      </c>
      <c r="X30" s="56">
        <f>+'VAL 17 - 10'!P31</f>
        <v>5</v>
      </c>
      <c r="Y30" s="56">
        <f>+'VAL 20 - 10'!P31</f>
        <v>6</v>
      </c>
      <c r="Z30" s="56">
        <f>+'VAL C - 10'!P31</f>
        <v>0</v>
      </c>
      <c r="AA30" s="56">
        <f>+'VAL D - 10'!P31</f>
        <v>0</v>
      </c>
      <c r="AB30" s="56">
        <f>+'VAL F - 10'!P31</f>
        <v>0</v>
      </c>
      <c r="AC30" s="72">
        <f>SUM(Tabla2[[#This Row],[VAL 15 - 07]:[VAL F-10]])</f>
        <v>96</v>
      </c>
      <c r="AD30" s="90">
        <f>AVERAGE(Tabla2[[#This Row],[VAL 15 - 07]:[VAL F-10]])</f>
        <v>4.8</v>
      </c>
    </row>
    <row r="31" spans="2:30" x14ac:dyDescent="0.35">
      <c r="B31" s="48" t="s">
        <v>49</v>
      </c>
      <c r="C31" s="2" t="s">
        <v>50</v>
      </c>
      <c r="D31" s="2">
        <v>577</v>
      </c>
      <c r="E31" s="2">
        <v>0</v>
      </c>
      <c r="F31" s="2">
        <v>0</v>
      </c>
      <c r="G31" s="2"/>
      <c r="H31" s="2">
        <v>0</v>
      </c>
      <c r="I31" s="2">
        <v>0</v>
      </c>
      <c r="J31" s="2">
        <v>31</v>
      </c>
      <c r="K31" s="2">
        <v>0</v>
      </c>
      <c r="L31" s="2">
        <v>40</v>
      </c>
      <c r="M31" s="2">
        <v>23</v>
      </c>
      <c r="N31" s="2"/>
      <c r="O31" s="2">
        <v>0</v>
      </c>
      <c r="P31" s="5">
        <v>0</v>
      </c>
      <c r="Q31" s="5">
        <f>+'VAL 15 - 09'!S32</f>
        <v>0</v>
      </c>
      <c r="R31" s="56">
        <f>+'VAL 18 - 09'!P32</f>
        <v>13</v>
      </c>
      <c r="S31" s="56">
        <f>+'VAL 22 -09'!P32</f>
        <v>15</v>
      </c>
      <c r="T31" s="56">
        <f>+'VAL 26 - 09'!P32</f>
        <v>20</v>
      </c>
      <c r="U31" s="56">
        <f>+'VAL 02 - 10'!P32</f>
        <v>18</v>
      </c>
      <c r="V31" s="56">
        <f>+'VAL 09 - 10'!P32</f>
        <v>13</v>
      </c>
      <c r="W31" s="56">
        <f>+'VL 13 - 10'!P32</f>
        <v>0</v>
      </c>
      <c r="X31" s="56">
        <f>+'VAL 17 - 10'!P32</f>
        <v>0</v>
      </c>
      <c r="Y31" s="56">
        <f>+'VAL 20 - 10'!P32</f>
        <v>15</v>
      </c>
      <c r="Z31" s="56">
        <f>+'VAL C - 10'!P32</f>
        <v>0</v>
      </c>
      <c r="AA31" s="56">
        <f>+'VAL D - 10'!P32</f>
        <v>0</v>
      </c>
      <c r="AB31" s="56">
        <f>+'VAL F - 10'!P32</f>
        <v>0</v>
      </c>
      <c r="AC31" s="72">
        <f>SUM(Tabla2[[#This Row],[VAL 15 - 07]:[VAL F-10]])</f>
        <v>765</v>
      </c>
      <c r="AD31" s="90">
        <f>AVERAGE(Tabla2[[#This Row],[VAL 15 - 07]:[VAL F-10]])</f>
        <v>33.260869565217391</v>
      </c>
    </row>
    <row r="32" spans="2:30" x14ac:dyDescent="0.35">
      <c r="B32" s="48" t="s">
        <v>29</v>
      </c>
      <c r="C32" s="2" t="s">
        <v>50</v>
      </c>
      <c r="D32" s="2"/>
      <c r="E32" s="2">
        <v>0</v>
      </c>
      <c r="F32" s="2"/>
      <c r="G32" s="2"/>
      <c r="H32" s="2"/>
      <c r="I32" s="2"/>
      <c r="J32" s="2"/>
      <c r="K32" s="2">
        <v>0</v>
      </c>
      <c r="L32" s="2">
        <v>0</v>
      </c>
      <c r="M32" s="2"/>
      <c r="N32" s="2"/>
      <c r="O32" s="2">
        <v>0</v>
      </c>
      <c r="P32" s="5">
        <v>0</v>
      </c>
      <c r="Q32" s="5">
        <f>+'VAL 15 - 09'!S33</f>
        <v>0</v>
      </c>
      <c r="R32" s="56">
        <f>+'VAL 18 - 09'!P33</f>
        <v>0</v>
      </c>
      <c r="S32" s="56">
        <f>+'VAL 22 -09'!P33</f>
        <v>0</v>
      </c>
      <c r="T32" s="56">
        <f>+'VAL 26 - 09'!P33</f>
        <v>0</v>
      </c>
      <c r="U32" s="56">
        <f>+'VAL 02 - 10'!P33</f>
        <v>0</v>
      </c>
      <c r="V32" s="56">
        <f>+'VAL 09 - 10'!P33</f>
        <v>0</v>
      </c>
      <c r="W32" s="56">
        <f>+'VL 13 - 10'!P33</f>
        <v>0</v>
      </c>
      <c r="X32" s="56">
        <f>+'VAL 17 - 10'!P33</f>
        <v>0</v>
      </c>
      <c r="Y32" s="56">
        <f>+'VAL 20 - 10'!P33</f>
        <v>0</v>
      </c>
      <c r="Z32" s="56">
        <f>+'VAL C - 10'!P33</f>
        <v>0</v>
      </c>
      <c r="AA32" s="56">
        <f>+'VAL D - 10'!P33</f>
        <v>0</v>
      </c>
      <c r="AB32" s="56">
        <f>+'VAL F - 10'!P33</f>
        <v>0</v>
      </c>
      <c r="AC32" s="72">
        <f>SUM(Tabla2[[#This Row],[VAL 15 - 07]:[VAL F-10]])</f>
        <v>0</v>
      </c>
      <c r="AD32" s="90">
        <f>AVERAGE(Tabla2[[#This Row],[VAL 15 - 07]:[VAL F-10]])</f>
        <v>0</v>
      </c>
    </row>
    <row r="33" spans="2:30" x14ac:dyDescent="0.35">
      <c r="B33" s="48" t="s">
        <v>26</v>
      </c>
      <c r="C33" s="2" t="s">
        <v>50</v>
      </c>
      <c r="D33" s="2"/>
      <c r="E33" s="2">
        <v>33</v>
      </c>
      <c r="F33" s="2"/>
      <c r="G33" s="2">
        <v>11</v>
      </c>
      <c r="H33" s="2"/>
      <c r="I33" s="2">
        <v>0</v>
      </c>
      <c r="J33" s="2"/>
      <c r="K33" s="2">
        <v>36</v>
      </c>
      <c r="L33" s="2">
        <v>0</v>
      </c>
      <c r="M33" s="2">
        <v>18</v>
      </c>
      <c r="N33" s="2">
        <v>24</v>
      </c>
      <c r="O33" s="2">
        <v>21</v>
      </c>
      <c r="P33" s="5">
        <v>25</v>
      </c>
      <c r="Q33" s="5">
        <f>+'VAL 15 - 09'!S34</f>
        <v>18</v>
      </c>
      <c r="R33" s="56">
        <f>+'VAL 18 - 09'!P34</f>
        <v>18</v>
      </c>
      <c r="S33" s="56">
        <f>+'VAL 22 -09'!P34</f>
        <v>28</v>
      </c>
      <c r="T33" s="56">
        <f>+'VAL 26 - 09'!P34</f>
        <v>23</v>
      </c>
      <c r="U33" s="56">
        <f>+'VAL 02 - 10'!P34</f>
        <v>28</v>
      </c>
      <c r="V33" s="56">
        <f>+'VAL 09 - 10'!P34</f>
        <v>11</v>
      </c>
      <c r="W33" s="56">
        <f>+'VL 13 - 10'!P34</f>
        <v>11</v>
      </c>
      <c r="X33" s="56">
        <f>+'VAL 17 - 10'!P34</f>
        <v>12</v>
      </c>
      <c r="Y33" s="56">
        <f>+'VAL 20 - 10'!P34</f>
        <v>14</v>
      </c>
      <c r="Z33" s="56">
        <f>+'VAL C - 10'!P34</f>
        <v>0</v>
      </c>
      <c r="AA33" s="56">
        <f>+'VAL D - 10'!P34</f>
        <v>0</v>
      </c>
      <c r="AB33" s="56">
        <f>+'VAL F - 10'!P34</f>
        <v>0</v>
      </c>
      <c r="AC33" s="72">
        <f>SUM(Tabla2[[#This Row],[VAL 15 - 07]:[VAL F-10]])</f>
        <v>331</v>
      </c>
      <c r="AD33" s="90">
        <f>AVERAGE(Tabla2[[#This Row],[VAL 15 - 07]:[VAL F-10]])</f>
        <v>15.761904761904763</v>
      </c>
    </row>
    <row r="34" spans="2:30" x14ac:dyDescent="0.35">
      <c r="B34" s="48" t="s">
        <v>21</v>
      </c>
      <c r="C34" s="2" t="s">
        <v>50</v>
      </c>
      <c r="D34" s="2"/>
      <c r="E34" s="2">
        <v>0</v>
      </c>
      <c r="F34" s="2"/>
      <c r="G34" s="2">
        <v>1</v>
      </c>
      <c r="H34" s="2"/>
      <c r="I34" s="2">
        <v>0</v>
      </c>
      <c r="J34" s="2"/>
      <c r="K34" s="2">
        <v>5</v>
      </c>
      <c r="L34" s="2">
        <v>4</v>
      </c>
      <c r="M34" s="2">
        <v>1</v>
      </c>
      <c r="N34" s="2"/>
      <c r="O34" s="2">
        <v>2</v>
      </c>
      <c r="P34" s="5">
        <v>2</v>
      </c>
      <c r="Q34" s="5">
        <f>+'VAL 15 - 09'!S35</f>
        <v>6</v>
      </c>
      <c r="R34" s="56">
        <f>+'VAL 18 - 09'!P35</f>
        <v>0</v>
      </c>
      <c r="S34" s="56">
        <f>+'VAL 22 -09'!P35</f>
        <v>1</v>
      </c>
      <c r="T34" s="56">
        <f>+'VAL 26 - 09'!P35</f>
        <v>2</v>
      </c>
      <c r="U34" s="56">
        <f>+'VAL 02 - 10'!P35</f>
        <v>2</v>
      </c>
      <c r="V34" s="56">
        <f>+'VAL 09 - 10'!P35</f>
        <v>1</v>
      </c>
      <c r="W34" s="56">
        <f>+'VL 13 - 10'!P35</f>
        <v>0</v>
      </c>
      <c r="X34" s="56">
        <f>+'VAL 17 - 10'!P35</f>
        <v>4</v>
      </c>
      <c r="Y34" s="56">
        <f>+'VAL 20 - 10'!P35</f>
        <v>0</v>
      </c>
      <c r="Z34" s="56">
        <f>+'VAL C - 10'!P35</f>
        <v>0</v>
      </c>
      <c r="AA34" s="56">
        <f>+'VAL D - 10'!P35</f>
        <v>0</v>
      </c>
      <c r="AB34" s="56">
        <f>+'VAL F - 10'!P35</f>
        <v>0</v>
      </c>
      <c r="AC34" s="72">
        <f>SUM(Tabla2[[#This Row],[VAL 15 - 07]:[VAL F-10]])</f>
        <v>31</v>
      </c>
      <c r="AD34" s="90">
        <f>AVERAGE(Tabla2[[#This Row],[VAL 15 - 07]:[VAL F-10]])</f>
        <v>1.55</v>
      </c>
    </row>
    <row r="35" spans="2:30" x14ac:dyDescent="0.35">
      <c r="B35" s="48" t="s">
        <v>23</v>
      </c>
      <c r="C35" s="2" t="s">
        <v>50</v>
      </c>
      <c r="D35" s="2"/>
      <c r="E35" s="2">
        <v>25</v>
      </c>
      <c r="F35" s="2">
        <v>0</v>
      </c>
      <c r="G35" s="2"/>
      <c r="H35" s="2"/>
      <c r="I35" s="2">
        <v>0</v>
      </c>
      <c r="J35" s="2"/>
      <c r="K35" s="2">
        <v>0</v>
      </c>
      <c r="L35" s="2">
        <v>26</v>
      </c>
      <c r="M35" s="2">
        <v>6</v>
      </c>
      <c r="N35" s="2"/>
      <c r="O35" s="2">
        <v>0</v>
      </c>
      <c r="P35" s="5">
        <v>0</v>
      </c>
      <c r="Q35" s="5">
        <f>+'VAL 15 - 09'!S36</f>
        <v>0</v>
      </c>
      <c r="R35" s="56">
        <f>+'VAL 18 - 09'!P36</f>
        <v>0</v>
      </c>
      <c r="S35" s="56">
        <f>+'VAL 22 -09'!P36</f>
        <v>26</v>
      </c>
      <c r="T35" s="56">
        <f>+'VAL 26 - 09'!P36</f>
        <v>28</v>
      </c>
      <c r="U35" s="56">
        <f>+'VAL 02 - 10'!P36</f>
        <v>22</v>
      </c>
      <c r="V35" s="56">
        <f>+'VAL 09 - 10'!P36</f>
        <v>12</v>
      </c>
      <c r="W35" s="56">
        <f>+'VL 13 - 10'!P36</f>
        <v>11</v>
      </c>
      <c r="X35" s="56">
        <f>+'VAL 17 - 10'!P36</f>
        <v>12</v>
      </c>
      <c r="Y35" s="56">
        <f>+'VAL 20 - 10'!P36</f>
        <v>14</v>
      </c>
      <c r="Z35" s="56">
        <f>+'VAL C - 10'!P36</f>
        <v>0</v>
      </c>
      <c r="AA35" s="56">
        <f>+'VAL D - 10'!P36</f>
        <v>0</v>
      </c>
      <c r="AB35" s="56">
        <f>+'VAL F - 10'!P36</f>
        <v>0</v>
      </c>
      <c r="AC35" s="72">
        <f>SUM(Tabla2[[#This Row],[VAL 15 - 07]:[VAL F-10]])</f>
        <v>182</v>
      </c>
      <c r="AD35" s="90">
        <f>AVERAGE(Tabla2[[#This Row],[VAL 15 - 07]:[VAL F-10]])</f>
        <v>9.1</v>
      </c>
    </row>
    <row r="36" spans="2:30" x14ac:dyDescent="0.35">
      <c r="B36" s="48" t="s">
        <v>24</v>
      </c>
      <c r="C36" s="2" t="s">
        <v>50</v>
      </c>
      <c r="D36" s="2"/>
      <c r="E36" s="2">
        <v>18</v>
      </c>
      <c r="F36" s="2"/>
      <c r="G36" s="2"/>
      <c r="H36" s="2"/>
      <c r="I36" s="2">
        <v>18</v>
      </c>
      <c r="J36" s="2"/>
      <c r="K36" s="2">
        <v>0</v>
      </c>
      <c r="L36" s="2">
        <v>18</v>
      </c>
      <c r="M36" s="2">
        <v>13</v>
      </c>
      <c r="N36" s="2"/>
      <c r="O36" s="2">
        <v>0</v>
      </c>
      <c r="P36" s="5">
        <v>0</v>
      </c>
      <c r="Q36" s="5">
        <f>+'VAL 15 - 09'!S37</f>
        <v>0</v>
      </c>
      <c r="R36" s="56">
        <f>+'VAL 18 - 09'!P37</f>
        <v>0</v>
      </c>
      <c r="S36" s="56">
        <f>+'VAL 22 -09'!P37</f>
        <v>12</v>
      </c>
      <c r="T36" s="56">
        <f>+'VAL 26 - 09'!P37</f>
        <v>19</v>
      </c>
      <c r="U36" s="56">
        <f>+'VAL 02 - 10'!P37</f>
        <v>13</v>
      </c>
      <c r="V36" s="56">
        <f>+'VAL 09 - 10'!P37</f>
        <v>10</v>
      </c>
      <c r="W36" s="56">
        <f>+'VL 13 - 10'!P37</f>
        <v>7</v>
      </c>
      <c r="X36" s="56">
        <f>+'VAL 17 - 10'!P37</f>
        <v>8</v>
      </c>
      <c r="Y36" s="56">
        <f>+'VAL 20 - 10'!P37</f>
        <v>9</v>
      </c>
      <c r="Z36" s="56">
        <f>+'VAL C - 10'!P37</f>
        <v>0</v>
      </c>
      <c r="AA36" s="56">
        <f>+'VAL D - 10'!P37</f>
        <v>0</v>
      </c>
      <c r="AB36" s="56">
        <f>+'VAL F - 10'!P37</f>
        <v>0</v>
      </c>
      <c r="AC36" s="72">
        <f>SUM(Tabla2[[#This Row],[VAL 15 - 07]:[VAL F-10]])</f>
        <v>145</v>
      </c>
      <c r="AD36" s="90">
        <f>AVERAGE(Tabla2[[#This Row],[VAL 15 - 07]:[VAL F-10]])</f>
        <v>7.6315789473684212</v>
      </c>
    </row>
    <row r="37" spans="2:30" x14ac:dyDescent="0.35">
      <c r="B37" s="48" t="s">
        <v>9</v>
      </c>
      <c r="C37" s="2" t="s">
        <v>50</v>
      </c>
      <c r="D37" s="2"/>
      <c r="E37" s="2">
        <v>0</v>
      </c>
      <c r="F37" s="2">
        <v>17</v>
      </c>
      <c r="G37" s="2">
        <v>0</v>
      </c>
      <c r="H37" s="2"/>
      <c r="I37" s="2"/>
      <c r="J37" s="2">
        <v>39</v>
      </c>
      <c r="K37" s="2">
        <v>27</v>
      </c>
      <c r="L37" s="2">
        <v>0</v>
      </c>
      <c r="M37" s="2"/>
      <c r="N37" s="2"/>
      <c r="O37" s="2">
        <v>0</v>
      </c>
      <c r="P37" s="5">
        <v>0</v>
      </c>
      <c r="Q37" s="5">
        <f>+'VAL 15 - 09'!S38</f>
        <v>0</v>
      </c>
      <c r="R37" s="56">
        <f>+'VAL 18 - 09'!P38</f>
        <v>0</v>
      </c>
      <c r="S37" s="56">
        <f>+'VAL 22 -09'!P38</f>
        <v>0</v>
      </c>
      <c r="T37" s="56">
        <f>+'VAL 26 - 09'!P38</f>
        <v>0</v>
      </c>
      <c r="U37" s="56">
        <f>+'VAL 02 - 10'!P38</f>
        <v>0</v>
      </c>
      <c r="V37" s="56">
        <f>+'VAL 09 - 10'!P38</f>
        <v>0</v>
      </c>
      <c r="W37" s="56">
        <f>+'VL 13 - 10'!P38</f>
        <v>0</v>
      </c>
      <c r="X37" s="56">
        <f>+'VAL 17 - 10'!P38</f>
        <v>0</v>
      </c>
      <c r="Y37" s="56">
        <f>+'VAL 20 - 10'!P38</f>
        <v>0</v>
      </c>
      <c r="Z37" s="56">
        <f>+'VAL C - 10'!P38</f>
        <v>0</v>
      </c>
      <c r="AA37" s="56">
        <f>+'VAL D - 10'!P38</f>
        <v>0</v>
      </c>
      <c r="AB37" s="56">
        <f>+'VAL F - 10'!P38</f>
        <v>0</v>
      </c>
      <c r="AC37" s="72">
        <f>SUM(Tabla2[[#This Row],[VAL 15 - 07]:[VAL F-10]])</f>
        <v>83</v>
      </c>
      <c r="AD37" s="90">
        <f>AVERAGE(Tabla2[[#This Row],[VAL 15 - 07]:[VAL F-10]])</f>
        <v>4.1500000000000004</v>
      </c>
    </row>
    <row r="38" spans="2:30" x14ac:dyDescent="0.35">
      <c r="B38" s="48" t="s">
        <v>155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/>
      <c r="Q38" s="5">
        <f>+'VAL 15 - 09'!S39</f>
        <v>1</v>
      </c>
      <c r="R38" s="56">
        <f>+'VAL 18 - 09'!P39</f>
        <v>0</v>
      </c>
      <c r="S38" s="56">
        <f>+'VAL 22 -09'!P39</f>
        <v>1</v>
      </c>
      <c r="T38" s="56">
        <f>+'VAL 26 - 09'!P39</f>
        <v>1</v>
      </c>
      <c r="U38" s="56">
        <f>+'VAL 02 - 10'!P39</f>
        <v>1</v>
      </c>
      <c r="V38" s="56">
        <f>+'VAL 09 - 10'!P39</f>
        <v>0</v>
      </c>
      <c r="W38" s="56">
        <f>+'VL 13 - 10'!P39</f>
        <v>1</v>
      </c>
      <c r="X38" s="56">
        <f>+'VAL 17 - 10'!P39</f>
        <v>0</v>
      </c>
      <c r="Y38" s="56">
        <f>+'VAL 20 - 10'!P39</f>
        <v>0</v>
      </c>
      <c r="Z38" s="56">
        <f>+'VAL C - 10'!P39</f>
        <v>0</v>
      </c>
      <c r="AA38" s="56">
        <f>+'VAL D - 10'!P39</f>
        <v>0</v>
      </c>
      <c r="AB38" s="56">
        <f>+'VAL F - 10'!P39</f>
        <v>0</v>
      </c>
      <c r="AC38" s="72">
        <f>SUM(Tabla2[[#This Row],[VAL 15 - 07]:[VAL F-10]])</f>
        <v>5</v>
      </c>
      <c r="AD38" s="90">
        <f>AVERAGE(Tabla2[[#This Row],[VAL 15 - 07]:[VAL F-10]])</f>
        <v>0.41666666666666669</v>
      </c>
    </row>
    <row r="39" spans="2:30" x14ac:dyDescent="0.35">
      <c r="B39" s="48" t="s">
        <v>13</v>
      </c>
      <c r="C39" s="2" t="s">
        <v>50</v>
      </c>
      <c r="D39" s="2"/>
      <c r="E39" s="2">
        <v>19</v>
      </c>
      <c r="F39" s="2"/>
      <c r="G39" s="2">
        <v>7</v>
      </c>
      <c r="H39" s="2"/>
      <c r="I39" s="2">
        <v>0</v>
      </c>
      <c r="J39" s="2"/>
      <c r="K39" s="2">
        <v>22</v>
      </c>
      <c r="L39" s="2">
        <v>14</v>
      </c>
      <c r="M39" s="2">
        <v>10</v>
      </c>
      <c r="N39" s="2"/>
      <c r="O39" s="2">
        <v>9</v>
      </c>
      <c r="P39" s="5">
        <v>28</v>
      </c>
      <c r="Q39" s="5">
        <f>+'VAL 15 - 09'!S40</f>
        <v>16</v>
      </c>
      <c r="R39" s="56">
        <f>+'VAL 18 - 09'!P40</f>
        <v>0</v>
      </c>
      <c r="S39" s="56">
        <f>+'VAL 22 -09'!P40</f>
        <v>17</v>
      </c>
      <c r="T39" s="56">
        <f>+'VAL 26 - 09'!P40</f>
        <v>16</v>
      </c>
      <c r="U39" s="56">
        <f>+'VAL 02 - 10'!P40</f>
        <v>9</v>
      </c>
      <c r="V39" s="56">
        <f>+'VAL 09 - 10'!P40</f>
        <v>3</v>
      </c>
      <c r="W39" s="56">
        <f>+'VL 13 - 10'!P40</f>
        <v>10</v>
      </c>
      <c r="X39" s="56">
        <f>+'VAL 17 - 10'!P40</f>
        <v>8</v>
      </c>
      <c r="Y39" s="56">
        <f>+'VAL 20 - 10'!P40</f>
        <v>6</v>
      </c>
      <c r="Z39" s="56">
        <f>+'VAL C - 10'!P40</f>
        <v>0</v>
      </c>
      <c r="AA39" s="56">
        <f>+'VAL D - 10'!P40</f>
        <v>0</v>
      </c>
      <c r="AB39" s="56">
        <f>+'VAL F - 10'!P40</f>
        <v>0</v>
      </c>
      <c r="AC39" s="72">
        <f>SUM(Tabla2[[#This Row],[VAL 15 - 07]:[VAL F-10]])</f>
        <v>194</v>
      </c>
      <c r="AD39" s="90">
        <f>AVERAGE(Tabla2[[#This Row],[VAL 15 - 07]:[VAL F-10]])</f>
        <v>9.6999999999999993</v>
      </c>
    </row>
    <row r="40" spans="2:30" x14ac:dyDescent="0.35">
      <c r="B40" s="48" t="s">
        <v>31</v>
      </c>
      <c r="C40" s="2" t="s">
        <v>50</v>
      </c>
      <c r="D40" s="2"/>
      <c r="E40" s="2">
        <v>29</v>
      </c>
      <c r="F40" s="2"/>
      <c r="G40" s="2">
        <v>30</v>
      </c>
      <c r="H40" s="2"/>
      <c r="I40" s="2">
        <v>31</v>
      </c>
      <c r="J40" s="2">
        <v>33</v>
      </c>
      <c r="K40" s="2">
        <v>0</v>
      </c>
      <c r="L40" s="2">
        <v>40</v>
      </c>
      <c r="M40" s="2">
        <v>34</v>
      </c>
      <c r="N40" s="2"/>
      <c r="O40" s="2">
        <v>0</v>
      </c>
      <c r="P40" s="5">
        <v>36</v>
      </c>
      <c r="Q40" s="5">
        <f>+'VAL 15 - 09'!S41</f>
        <v>22</v>
      </c>
      <c r="R40" s="56">
        <f>+'VAL 18 - 09'!P41</f>
        <v>29</v>
      </c>
      <c r="S40" s="56">
        <f>+'VAL 22 -09'!P41</f>
        <v>24</v>
      </c>
      <c r="T40" s="56">
        <f>+'VAL 26 - 09'!P41</f>
        <v>26</v>
      </c>
      <c r="U40" s="56">
        <f>+'VAL 02 - 10'!P41</f>
        <v>20</v>
      </c>
      <c r="V40" s="56">
        <f>+'VAL 09 - 10'!P41</f>
        <v>18</v>
      </c>
      <c r="W40" s="56">
        <f>+'VL 13 - 10'!P41</f>
        <v>11</v>
      </c>
      <c r="X40" s="56">
        <f>+'VAL 17 - 10'!P41</f>
        <v>24</v>
      </c>
      <c r="Y40" s="56">
        <f>+'VAL 20 - 10'!P41</f>
        <v>12</v>
      </c>
      <c r="Z40" s="56">
        <f>+'VAL C - 10'!P41</f>
        <v>0</v>
      </c>
      <c r="AA40" s="56">
        <f>+'VAL D - 10'!P41</f>
        <v>0</v>
      </c>
      <c r="AB40" s="56">
        <f>+'VAL F - 10'!P41</f>
        <v>0</v>
      </c>
      <c r="AC40" s="72">
        <f>SUM(Tabla2[[#This Row],[VAL 15 - 07]:[VAL F-10]])</f>
        <v>419</v>
      </c>
      <c r="AD40" s="90">
        <f>AVERAGE(Tabla2[[#This Row],[VAL 15 - 07]:[VAL F-10]])</f>
        <v>19.952380952380953</v>
      </c>
    </row>
    <row r="41" spans="2:30" x14ac:dyDescent="0.35">
      <c r="B41" s="48" t="s">
        <v>37</v>
      </c>
      <c r="C41" s="2" t="s">
        <v>50</v>
      </c>
      <c r="D41" s="2"/>
      <c r="E41" s="2">
        <v>0</v>
      </c>
      <c r="F41" s="2"/>
      <c r="G41" s="2"/>
      <c r="H41" s="2"/>
      <c r="I41" s="2">
        <v>0</v>
      </c>
      <c r="J41" s="2"/>
      <c r="K41" s="2">
        <v>0</v>
      </c>
      <c r="L41" s="2">
        <v>0</v>
      </c>
      <c r="M41" s="2"/>
      <c r="N41" s="2"/>
      <c r="O41" s="2">
        <v>0</v>
      </c>
      <c r="P41" s="5">
        <v>0</v>
      </c>
      <c r="Q41" s="5">
        <f>+'VAL 15 - 09'!S42</f>
        <v>0</v>
      </c>
      <c r="R41" s="56">
        <f>+'VAL 18 - 09'!P42</f>
        <v>0</v>
      </c>
      <c r="S41" s="56">
        <f>+'VAL 22 -09'!P42</f>
        <v>0</v>
      </c>
      <c r="T41" s="56">
        <f>+'VAL 26 - 09'!P42</f>
        <v>0</v>
      </c>
      <c r="U41" s="56">
        <f>+'VAL 02 - 10'!P42</f>
        <v>0</v>
      </c>
      <c r="V41" s="56">
        <f>+'VAL 09 - 10'!P42</f>
        <v>0</v>
      </c>
      <c r="W41" s="56">
        <f>+'VL 13 - 10'!P42</f>
        <v>0</v>
      </c>
      <c r="X41" s="56">
        <f>+'VAL 17 - 10'!P42</f>
        <v>0</v>
      </c>
      <c r="Y41" s="56">
        <f>+'VAL 20 - 10'!P42</f>
        <v>0</v>
      </c>
      <c r="Z41" s="56">
        <f>+'VAL C - 10'!P42</f>
        <v>0</v>
      </c>
      <c r="AA41" s="56">
        <f>+'VAL D - 10'!P42</f>
        <v>0</v>
      </c>
      <c r="AB41" s="56">
        <f>+'VAL F - 10'!P42</f>
        <v>0</v>
      </c>
      <c r="AC41" s="72">
        <f>SUM(Tabla2[[#This Row],[VAL 15 - 07]:[VAL F-10]])</f>
        <v>0</v>
      </c>
      <c r="AD41" s="90">
        <f>AVERAGE(Tabla2[[#This Row],[VAL 15 - 07]:[VAL F-10]])</f>
        <v>0</v>
      </c>
    </row>
    <row r="42" spans="2:30" x14ac:dyDescent="0.35">
      <c r="B42" s="48" t="s">
        <v>39</v>
      </c>
      <c r="C42" s="2" t="s">
        <v>50</v>
      </c>
      <c r="D42" s="2"/>
      <c r="E42" s="2">
        <v>53</v>
      </c>
      <c r="F42" s="2"/>
      <c r="G42" s="2"/>
      <c r="H42" s="2">
        <v>12</v>
      </c>
      <c r="I42" s="2">
        <v>10</v>
      </c>
      <c r="J42" s="2">
        <v>11</v>
      </c>
      <c r="K42" s="2">
        <v>11</v>
      </c>
      <c r="L42" s="2">
        <v>0</v>
      </c>
      <c r="M42" s="2"/>
      <c r="N42" s="2"/>
      <c r="O42" s="2">
        <v>0</v>
      </c>
      <c r="P42" s="5">
        <v>11</v>
      </c>
      <c r="Q42" s="5">
        <f>+'VAL 15 - 09'!S43</f>
        <v>16</v>
      </c>
      <c r="R42" s="56">
        <f>+'VAL 18 - 09'!P43</f>
        <v>5</v>
      </c>
      <c r="S42" s="56">
        <f>+'VAL 22 -09'!P43</f>
        <v>6</v>
      </c>
      <c r="T42" s="56">
        <f>+'VAL 26 - 09'!P43</f>
        <v>5</v>
      </c>
      <c r="U42" s="56">
        <f>+'VAL 02 - 10'!P43</f>
        <v>7</v>
      </c>
      <c r="V42" s="56">
        <f>+'VAL 09 - 10'!P43</f>
        <v>4</v>
      </c>
      <c r="W42" s="56">
        <f>+'VL 13 - 10'!P43</f>
        <v>2</v>
      </c>
      <c r="X42" s="56">
        <f>+'VAL 17 - 10'!P43</f>
        <v>3</v>
      </c>
      <c r="Y42" s="56">
        <f>+'VAL 20 - 10'!P43</f>
        <v>3</v>
      </c>
      <c r="Z42" s="56">
        <f>+'VAL C - 10'!P43</f>
        <v>0</v>
      </c>
      <c r="AA42" s="56">
        <f>+'VAL D - 10'!P43</f>
        <v>0</v>
      </c>
      <c r="AB42" s="56">
        <f>+'VAL F - 10'!P43</f>
        <v>0</v>
      </c>
      <c r="AC42" s="72">
        <f>SUM(Tabla2[[#This Row],[VAL 15 - 07]:[VAL F-10]])</f>
        <v>159</v>
      </c>
      <c r="AD42" s="90">
        <f>AVERAGE(Tabla2[[#This Row],[VAL 15 - 07]:[VAL F-10]])</f>
        <v>7.95</v>
      </c>
    </row>
    <row r="43" spans="2:30" x14ac:dyDescent="0.35">
      <c r="B43" s="4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/>
      <c r="Q43" s="5"/>
      <c r="R43" s="56"/>
      <c r="S43" s="56">
        <f>+'VAL 22 -09'!P45</f>
        <v>0</v>
      </c>
      <c r="T43" s="56">
        <f>+'VAL 26 - 09'!P45</f>
        <v>0</v>
      </c>
      <c r="U43" s="56">
        <f>+'VAL 02 - 10'!P45</f>
        <v>0</v>
      </c>
      <c r="V43" s="56">
        <f>+'VAL 09 - 10'!P45</f>
        <v>0</v>
      </c>
      <c r="W43" s="56">
        <f>+'VL 13 - 10'!P45</f>
        <v>0</v>
      </c>
      <c r="X43" s="56"/>
      <c r="Y43" s="56">
        <f>+'VAL 20 - 10'!P44</f>
        <v>1113</v>
      </c>
      <c r="Z43" s="56">
        <f>+'VAL C - 10'!P44</f>
        <v>0</v>
      </c>
      <c r="AA43" s="56">
        <f>+'VAL D - 10'!P44</f>
        <v>0</v>
      </c>
      <c r="AB43" s="56">
        <f>+'VAL F - 10'!P44</f>
        <v>0</v>
      </c>
      <c r="AC43" s="72">
        <f>SUM(Tabla2[[#This Row],[VAL 15 - 07]:[VAL F-10]])</f>
        <v>1113</v>
      </c>
      <c r="AD43" s="90">
        <f>AVERAGE(Tabla2[[#This Row],[VAL 15 - 07]:[VAL F-10]])</f>
        <v>123.66666666666667</v>
      </c>
    </row>
    <row r="44" spans="2:30" x14ac:dyDescent="0.35">
      <c r="B44" s="16" t="s">
        <v>118</v>
      </c>
      <c r="C44" s="86">
        <f>SUBTOTAL(109,Tabla2[Unidad])</f>
        <v>0</v>
      </c>
      <c r="D44" s="86">
        <f>SUBTOTAL(109,Tabla2[VAL 15 - 07])</f>
        <v>577</v>
      </c>
      <c r="E44" s="86">
        <f>SUBTOTAL(109,Tabla2[VAL 24 - 27])</f>
        <v>1070</v>
      </c>
      <c r="F44" s="86">
        <f>SUBTOTAL(109,Tabla2[VAL 30 - 28])</f>
        <v>752</v>
      </c>
      <c r="G44" s="86">
        <f>SUBTOTAL(109,Tabla2[VAL 02 - 08])</f>
        <v>421</v>
      </c>
      <c r="H44" s="86">
        <f>SUBTOTAL(109,Tabla2[VAL 05 - 08])</f>
        <v>403</v>
      </c>
      <c r="I44" s="86">
        <f>SUBTOTAL(109,Tabla2[VAL 07 - 08])</f>
        <v>1001</v>
      </c>
      <c r="J44" s="86">
        <f>SUBTOTAL(109,Tabla2[VAL 11 - 08])</f>
        <v>1379</v>
      </c>
      <c r="K44" s="86">
        <f>SUBTOTAL(109,Tabla2[VAL 15 - 08])</f>
        <v>868</v>
      </c>
      <c r="L44" s="86">
        <f>SUBTOTAL(109,Tabla2[VAL 19 - 08])</f>
        <v>1457</v>
      </c>
      <c r="M44" s="86">
        <f>SUBTOTAL(109,Tabla2[VAL 26 - 08])</f>
        <v>1325</v>
      </c>
      <c r="N44" s="86">
        <f>SUBTOTAL(109,Tabla2[VAL 03 - 09])</f>
        <v>831</v>
      </c>
      <c r="O44" s="86">
        <f>SUBTOTAL(109,Tabla2[VAL 04 - 09])</f>
        <v>667</v>
      </c>
      <c r="P44" s="86">
        <f>SUBTOTAL(109,Tabla2[VAL11-09])</f>
        <v>916</v>
      </c>
      <c r="Q44" s="86">
        <f>SUBTOTAL(109,Tabla2[VAL15-09])</f>
        <v>594</v>
      </c>
      <c r="R44" s="86">
        <f>SUBTOTAL(109,Tabla2[VAL 18-09])</f>
        <v>808</v>
      </c>
      <c r="S44" s="86">
        <f>SUBTOTAL(109,Tabla2[VAL 22-09])</f>
        <v>1427</v>
      </c>
      <c r="T44" s="86">
        <f>SUBTOTAL(109,Tabla2[VAL 26-09])</f>
        <v>1364</v>
      </c>
      <c r="U44" s="86">
        <f>SUBTOTAL(109,Tabla2[VAL 02-098])</f>
        <v>1798</v>
      </c>
      <c r="V44" s="86">
        <f>SUBTOTAL(109,Tabla2[VAL 09-10])</f>
        <v>1025</v>
      </c>
      <c r="W44" s="86">
        <f>SUBTOTAL(109,Tabla2[VAL 13-10])</f>
        <v>905</v>
      </c>
      <c r="X44" s="86">
        <f>SUBTOTAL(109,Tabla2[VAL 17-10])</f>
        <v>1210</v>
      </c>
      <c r="Y44" s="86">
        <f>SUBTOTAL(109,Tabla2[VAL B-10])</f>
        <v>2226</v>
      </c>
      <c r="Z44" s="86">
        <f>SUBTOTAL(109,Tabla2[VAL C-10])</f>
        <v>0</v>
      </c>
      <c r="AA44" s="86">
        <f>SUBTOTAL(109,Tabla2[VAL D-10])</f>
        <v>0</v>
      </c>
      <c r="AB44" s="86">
        <f>SUBTOTAL(109,Tabla2[VAL F-10])</f>
        <v>0</v>
      </c>
      <c r="AC44" s="86">
        <f>SUBTOTAL(109,Tabla2[SUBTOTAL])</f>
        <v>23024</v>
      </c>
      <c r="AD44" s="96">
        <f>AVERAGE(Tabla2[[#Totals],[VAL 15 - 07]:[VAL F-10]])</f>
        <v>920.96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95F5-C39D-45CA-9D41-8DF37498C826}">
  <dimension ref="B2:J49"/>
  <sheetViews>
    <sheetView topLeftCell="A5" workbookViewId="0">
      <selection activeCell="H49" sqref="H49"/>
    </sheetView>
  </sheetViews>
  <sheetFormatPr baseColWidth="10" defaultRowHeight="14.5" x14ac:dyDescent="0.35"/>
  <cols>
    <col min="2" max="2" width="13.1796875" bestFit="1" customWidth="1"/>
  </cols>
  <sheetData>
    <row r="2" spans="2:10" x14ac:dyDescent="0.35">
      <c r="B2" s="110" t="s">
        <v>0</v>
      </c>
      <c r="C2" s="110"/>
      <c r="D2" s="110"/>
      <c r="E2" s="110"/>
      <c r="F2" s="110"/>
    </row>
    <row r="3" spans="2:10" ht="15" thickBot="1" x14ac:dyDescent="0.4"/>
    <row r="4" spans="2:10" ht="15" thickBot="1" x14ac:dyDescent="0.4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I4" t="s">
        <v>74</v>
      </c>
      <c r="J4" t="s">
        <v>75</v>
      </c>
    </row>
    <row r="5" spans="2:10" ht="19" thickBot="1" x14ac:dyDescent="0.5">
      <c r="B5" s="1" t="s">
        <v>5</v>
      </c>
      <c r="C5" s="1"/>
      <c r="D5" s="1"/>
      <c r="E5" s="4">
        <f>SUM(E6:E9)</f>
        <v>192</v>
      </c>
      <c r="F5" s="4">
        <f>SUM(F6:F9)</f>
        <v>576</v>
      </c>
      <c r="H5" t="s">
        <v>67</v>
      </c>
      <c r="I5">
        <f>+F5</f>
        <v>576</v>
      </c>
      <c r="J5">
        <f>+E5</f>
        <v>192</v>
      </c>
    </row>
    <row r="6" spans="2:10" ht="15" thickBot="1" x14ac:dyDescent="0.4">
      <c r="B6" s="1" t="s">
        <v>6</v>
      </c>
      <c r="C6" s="1" t="s">
        <v>50</v>
      </c>
      <c r="D6" s="1">
        <v>3</v>
      </c>
      <c r="E6" s="1">
        <f>38+20+11+22+22</f>
        <v>113</v>
      </c>
      <c r="F6" s="1">
        <f>+D6*E6</f>
        <v>339</v>
      </c>
      <c r="H6" t="s">
        <v>68</v>
      </c>
      <c r="I6">
        <f>+F10</f>
        <v>949</v>
      </c>
      <c r="J6">
        <f>+E10</f>
        <v>140</v>
      </c>
    </row>
    <row r="7" spans="2:10" ht="15" thickBot="1" x14ac:dyDescent="0.4">
      <c r="B7" s="1" t="s">
        <v>7</v>
      </c>
      <c r="C7" s="1" t="s">
        <v>50</v>
      </c>
      <c r="D7" s="1">
        <v>3</v>
      </c>
      <c r="E7" s="1">
        <v>0</v>
      </c>
      <c r="F7" s="1">
        <f t="shared" ref="F7:F48" si="0">+D7*E7</f>
        <v>0</v>
      </c>
      <c r="H7" t="s">
        <v>69</v>
      </c>
      <c r="I7">
        <f>+F22</f>
        <v>200</v>
      </c>
      <c r="J7">
        <f>+E22</f>
        <v>37</v>
      </c>
    </row>
    <row r="8" spans="2:10" ht="15" thickBot="1" x14ac:dyDescent="0.4">
      <c r="B8" s="1" t="s">
        <v>8</v>
      </c>
      <c r="C8" s="1" t="s">
        <v>50</v>
      </c>
      <c r="D8" s="1">
        <v>3</v>
      </c>
      <c r="E8" s="1">
        <v>79</v>
      </c>
      <c r="F8" s="1">
        <f t="shared" si="0"/>
        <v>237</v>
      </c>
      <c r="H8" t="s">
        <v>70</v>
      </c>
      <c r="I8">
        <f>+F30</f>
        <v>368</v>
      </c>
      <c r="J8">
        <f>+E30</f>
        <v>52</v>
      </c>
    </row>
    <row r="9" spans="2:10" ht="15" thickBot="1" x14ac:dyDescent="0.4">
      <c r="B9" s="1" t="s">
        <v>9</v>
      </c>
      <c r="C9" s="1" t="s">
        <v>50</v>
      </c>
      <c r="D9" s="1">
        <v>3</v>
      </c>
      <c r="E9" s="1">
        <v>0</v>
      </c>
      <c r="F9" s="1">
        <f t="shared" si="0"/>
        <v>0</v>
      </c>
      <c r="H9" t="s">
        <v>71</v>
      </c>
      <c r="I9">
        <f>+F36</f>
        <v>0</v>
      </c>
      <c r="J9">
        <f>+E36</f>
        <v>0</v>
      </c>
    </row>
    <row r="10" spans="2:10" ht="19" thickBot="1" x14ac:dyDescent="0.5">
      <c r="B10" s="1" t="s">
        <v>10</v>
      </c>
      <c r="C10" s="1"/>
      <c r="D10" s="1"/>
      <c r="E10" s="4">
        <f>SUM(E11:E21)</f>
        <v>140</v>
      </c>
      <c r="F10" s="4">
        <f>SUM(F11:F21)</f>
        <v>949</v>
      </c>
      <c r="H10" t="s">
        <v>44</v>
      </c>
      <c r="I10">
        <f>+F43</f>
        <v>0</v>
      </c>
      <c r="J10">
        <f>+C43+E43</f>
        <v>0</v>
      </c>
    </row>
    <row r="11" spans="2:10" ht="15" thickBot="1" x14ac:dyDescent="0.4">
      <c r="B11" s="1" t="s">
        <v>11</v>
      </c>
      <c r="C11" s="1" t="s">
        <v>50</v>
      </c>
      <c r="D11" s="1">
        <v>5</v>
      </c>
      <c r="E11" s="1">
        <v>57</v>
      </c>
      <c r="F11" s="1">
        <f t="shared" si="0"/>
        <v>285</v>
      </c>
      <c r="I11">
        <f>SUM(I5:I10)</f>
        <v>2093</v>
      </c>
      <c r="J11">
        <f>SUM(J5:J10)</f>
        <v>421</v>
      </c>
    </row>
    <row r="12" spans="2:10" ht="15" thickBot="1" x14ac:dyDescent="0.4">
      <c r="B12" s="1" t="s">
        <v>12</v>
      </c>
      <c r="C12" s="1" t="s">
        <v>50</v>
      </c>
      <c r="D12" s="1">
        <v>8</v>
      </c>
      <c r="E12" s="1">
        <v>8</v>
      </c>
      <c r="F12" s="1">
        <f t="shared" si="0"/>
        <v>64</v>
      </c>
    </row>
    <row r="13" spans="2:10" ht="15" thickBot="1" x14ac:dyDescent="0.4">
      <c r="B13" s="1" t="s">
        <v>13</v>
      </c>
      <c r="C13" s="1" t="s">
        <v>50</v>
      </c>
      <c r="D13" s="1">
        <v>8</v>
      </c>
      <c r="E13" s="1">
        <v>7</v>
      </c>
      <c r="F13" s="1">
        <f t="shared" si="0"/>
        <v>56</v>
      </c>
    </row>
    <row r="14" spans="2:10" ht="15" thickBot="1" x14ac:dyDescent="0.4">
      <c r="B14" s="1" t="s">
        <v>14</v>
      </c>
      <c r="C14" s="1" t="s">
        <v>50</v>
      </c>
      <c r="D14" s="1">
        <v>8</v>
      </c>
      <c r="E14" s="1">
        <v>2</v>
      </c>
      <c r="F14" s="1">
        <f t="shared" si="0"/>
        <v>16</v>
      </c>
    </row>
    <row r="15" spans="2:10" ht="15" thickBot="1" x14ac:dyDescent="0.4">
      <c r="B15" s="1" t="s">
        <v>15</v>
      </c>
      <c r="C15" s="1" t="s">
        <v>50</v>
      </c>
      <c r="D15" s="1">
        <v>8</v>
      </c>
      <c r="E15" s="1"/>
      <c r="F15" s="1">
        <f t="shared" si="0"/>
        <v>0</v>
      </c>
    </row>
    <row r="16" spans="2:10" ht="15" thickBot="1" x14ac:dyDescent="0.4">
      <c r="B16" s="1" t="s">
        <v>16</v>
      </c>
      <c r="C16" s="1" t="s">
        <v>50</v>
      </c>
      <c r="D16" s="1">
        <v>8</v>
      </c>
      <c r="E16" s="1">
        <v>11</v>
      </c>
      <c r="F16" s="1">
        <f t="shared" si="0"/>
        <v>88</v>
      </c>
    </row>
    <row r="17" spans="2:6" ht="15" thickBot="1" x14ac:dyDescent="0.4">
      <c r="B17" s="1" t="s">
        <v>17</v>
      </c>
      <c r="C17" s="1" t="s">
        <v>50</v>
      </c>
      <c r="D17" s="1">
        <v>8</v>
      </c>
      <c r="E17" s="1">
        <v>5</v>
      </c>
      <c r="F17" s="1">
        <f t="shared" si="0"/>
        <v>40</v>
      </c>
    </row>
    <row r="18" spans="2:6" ht="15" thickBot="1" x14ac:dyDescent="0.4">
      <c r="B18" s="1" t="s">
        <v>18</v>
      </c>
      <c r="C18" s="1" t="s">
        <v>50</v>
      </c>
      <c r="D18" s="1">
        <v>8</v>
      </c>
      <c r="E18" s="1">
        <v>9</v>
      </c>
      <c r="F18" s="1">
        <f t="shared" si="0"/>
        <v>72</v>
      </c>
    </row>
    <row r="19" spans="2:6" ht="15" thickBot="1" x14ac:dyDescent="0.4">
      <c r="B19" s="1" t="s">
        <v>19</v>
      </c>
      <c r="C19" s="1" t="s">
        <v>50</v>
      </c>
      <c r="D19" s="1">
        <v>8</v>
      </c>
      <c r="E19" s="1">
        <v>18</v>
      </c>
      <c r="F19" s="1">
        <f>+D19*E19</f>
        <v>144</v>
      </c>
    </row>
    <row r="20" spans="2:6" ht="15" thickBot="1" x14ac:dyDescent="0.4">
      <c r="B20" s="1" t="s">
        <v>20</v>
      </c>
      <c r="C20" s="1" t="s">
        <v>50</v>
      </c>
      <c r="D20" s="1">
        <v>8</v>
      </c>
      <c r="E20" s="1">
        <v>22</v>
      </c>
      <c r="F20" s="1">
        <f t="shared" si="0"/>
        <v>176</v>
      </c>
    </row>
    <row r="21" spans="2:6" ht="15" thickBot="1" x14ac:dyDescent="0.4">
      <c r="B21" s="1" t="s">
        <v>21</v>
      </c>
      <c r="C21" s="1" t="s">
        <v>50</v>
      </c>
      <c r="D21" s="1">
        <v>8</v>
      </c>
      <c r="E21" s="1">
        <v>1</v>
      </c>
      <c r="F21" s="1">
        <f t="shared" si="0"/>
        <v>8</v>
      </c>
    </row>
    <row r="22" spans="2:6" ht="19" thickBot="1" x14ac:dyDescent="0.5">
      <c r="B22" s="1" t="s">
        <v>22</v>
      </c>
      <c r="C22" s="1"/>
      <c r="D22" s="1"/>
      <c r="E22" s="4">
        <f>SUM(E23:E29)</f>
        <v>37</v>
      </c>
      <c r="F22" s="4">
        <f>SUM(F23:F29)</f>
        <v>200</v>
      </c>
    </row>
    <row r="23" spans="2:6" ht="15" thickBot="1" x14ac:dyDescent="0.4">
      <c r="B23" s="1" t="s">
        <v>23</v>
      </c>
      <c r="C23" s="1" t="s">
        <v>50</v>
      </c>
      <c r="D23" s="1">
        <v>5</v>
      </c>
      <c r="E23" s="1"/>
      <c r="F23" s="1">
        <f t="shared" si="0"/>
        <v>0</v>
      </c>
    </row>
    <row r="24" spans="2:6" ht="15" thickBot="1" x14ac:dyDescent="0.4">
      <c r="B24" s="1" t="s">
        <v>24</v>
      </c>
      <c r="C24" s="1" t="s">
        <v>50</v>
      </c>
      <c r="D24" s="1">
        <v>5</v>
      </c>
      <c r="E24" s="1"/>
      <c r="F24" s="1">
        <f t="shared" si="0"/>
        <v>0</v>
      </c>
    </row>
    <row r="25" spans="2:6" ht="15" thickBot="1" x14ac:dyDescent="0.4">
      <c r="B25" s="1" t="s">
        <v>25</v>
      </c>
      <c r="C25" s="1" t="s">
        <v>50</v>
      </c>
      <c r="D25" s="1">
        <v>5</v>
      </c>
      <c r="E25" s="1"/>
      <c r="F25" s="1">
        <f t="shared" si="0"/>
        <v>0</v>
      </c>
    </row>
    <row r="26" spans="2:6" ht="15" thickBot="1" x14ac:dyDescent="0.4">
      <c r="B26" s="1" t="s">
        <v>26</v>
      </c>
      <c r="C26" s="1" t="s">
        <v>50</v>
      </c>
      <c r="D26" s="1">
        <v>5</v>
      </c>
      <c r="E26" s="1">
        <v>11</v>
      </c>
      <c r="F26" s="1">
        <f t="shared" si="0"/>
        <v>55</v>
      </c>
    </row>
    <row r="27" spans="2:6" ht="15" thickBot="1" x14ac:dyDescent="0.4">
      <c r="B27" s="1" t="s">
        <v>27</v>
      </c>
      <c r="C27" s="1" t="s">
        <v>50</v>
      </c>
      <c r="D27" s="1">
        <v>5</v>
      </c>
      <c r="E27" s="1">
        <v>21</v>
      </c>
      <c r="F27" s="1">
        <f t="shared" si="0"/>
        <v>105</v>
      </c>
    </row>
    <row r="28" spans="2:6" ht="15" thickBot="1" x14ac:dyDescent="0.4">
      <c r="B28" s="1" t="s">
        <v>28</v>
      </c>
      <c r="C28" s="1" t="s">
        <v>50</v>
      </c>
      <c r="D28" s="1">
        <v>8</v>
      </c>
      <c r="E28" s="1">
        <v>5</v>
      </c>
      <c r="F28" s="1">
        <f t="shared" si="0"/>
        <v>40</v>
      </c>
    </row>
    <row r="29" spans="2:6" ht="15" thickBot="1" x14ac:dyDescent="0.4">
      <c r="B29" s="1" t="s">
        <v>29</v>
      </c>
      <c r="C29" s="1" t="s">
        <v>50</v>
      </c>
      <c r="D29" s="1">
        <v>8</v>
      </c>
      <c r="E29" s="1"/>
      <c r="F29" s="1">
        <f t="shared" si="0"/>
        <v>0</v>
      </c>
    </row>
    <row r="30" spans="2:6" ht="19" thickBot="1" x14ac:dyDescent="0.5">
      <c r="B30" s="1" t="s">
        <v>30</v>
      </c>
      <c r="C30" s="1"/>
      <c r="D30" s="1"/>
      <c r="E30" s="4">
        <f>SUM(E31:E35)</f>
        <v>52</v>
      </c>
      <c r="F30" s="4">
        <f>SUM(F31:F35)</f>
        <v>368</v>
      </c>
    </row>
    <row r="31" spans="2:6" ht="15" thickBot="1" x14ac:dyDescent="0.4">
      <c r="B31" s="1" t="s">
        <v>32</v>
      </c>
      <c r="C31" s="1" t="s">
        <v>50</v>
      </c>
      <c r="D31" s="1">
        <v>5</v>
      </c>
      <c r="E31" s="1">
        <v>16</v>
      </c>
      <c r="F31" s="1">
        <f t="shared" si="0"/>
        <v>80</v>
      </c>
    </row>
    <row r="32" spans="2:6" ht="15" thickBot="1" x14ac:dyDescent="0.4">
      <c r="B32" s="1" t="s">
        <v>31</v>
      </c>
      <c r="C32" s="1" t="s">
        <v>50</v>
      </c>
      <c r="D32" s="1">
        <v>8</v>
      </c>
      <c r="E32" s="1">
        <v>30</v>
      </c>
      <c r="F32" s="1">
        <f t="shared" si="0"/>
        <v>240</v>
      </c>
    </row>
    <row r="33" spans="2:6" ht="15" thickBot="1" x14ac:dyDescent="0.4">
      <c r="B33" s="1" t="s">
        <v>33</v>
      </c>
      <c r="C33" s="1" t="s">
        <v>50</v>
      </c>
      <c r="D33" s="1">
        <v>8</v>
      </c>
      <c r="E33" s="1"/>
      <c r="F33" s="1">
        <f t="shared" si="0"/>
        <v>0</v>
      </c>
    </row>
    <row r="34" spans="2:6" ht="15" thickBot="1" x14ac:dyDescent="0.4">
      <c r="B34" s="1" t="s">
        <v>34</v>
      </c>
      <c r="C34" s="1" t="s">
        <v>50</v>
      </c>
      <c r="D34" s="1">
        <v>8</v>
      </c>
      <c r="E34" s="1"/>
      <c r="F34" s="1">
        <f t="shared" si="0"/>
        <v>0</v>
      </c>
    </row>
    <row r="35" spans="2:6" ht="15" thickBot="1" x14ac:dyDescent="0.4">
      <c r="B35" s="1" t="s">
        <v>35</v>
      </c>
      <c r="C35" s="1" t="s">
        <v>50</v>
      </c>
      <c r="D35" s="1">
        <v>8</v>
      </c>
      <c r="E35" s="1">
        <v>6</v>
      </c>
      <c r="F35" s="1">
        <f t="shared" si="0"/>
        <v>48</v>
      </c>
    </row>
    <row r="36" spans="2:6" ht="19" thickBot="1" x14ac:dyDescent="0.5">
      <c r="B36" s="1" t="s">
        <v>36</v>
      </c>
      <c r="C36" s="1"/>
      <c r="D36" s="1"/>
      <c r="E36" s="4">
        <f>SUM(E37:E42)</f>
        <v>0</v>
      </c>
      <c r="F36" s="4">
        <f>SUM(F37:F42)</f>
        <v>0</v>
      </c>
    </row>
    <row r="37" spans="2:6" ht="15" thickBot="1" x14ac:dyDescent="0.4">
      <c r="B37" s="1" t="s">
        <v>37</v>
      </c>
      <c r="C37" s="1" t="s">
        <v>50</v>
      </c>
      <c r="D37" s="1">
        <v>8</v>
      </c>
      <c r="E37" s="1"/>
      <c r="F37" s="1">
        <f t="shared" si="0"/>
        <v>0</v>
      </c>
    </row>
    <row r="38" spans="2:6" ht="15" thickBot="1" x14ac:dyDescent="0.4">
      <c r="B38" s="1" t="s">
        <v>38</v>
      </c>
      <c r="C38" s="1" t="s">
        <v>50</v>
      </c>
      <c r="D38" s="1">
        <v>8</v>
      </c>
      <c r="E38" s="1"/>
      <c r="F38" s="1">
        <f t="shared" si="0"/>
        <v>0</v>
      </c>
    </row>
    <row r="39" spans="2:6" ht="15" thickBot="1" x14ac:dyDescent="0.4">
      <c r="B39" s="1" t="s">
        <v>39</v>
      </c>
      <c r="C39" s="1" t="s">
        <v>50</v>
      </c>
      <c r="D39" s="1">
        <v>8</v>
      </c>
      <c r="E39" s="1"/>
      <c r="F39" s="1">
        <f t="shared" si="0"/>
        <v>0</v>
      </c>
    </row>
    <row r="40" spans="2:6" ht="15" thickBot="1" x14ac:dyDescent="0.4">
      <c r="B40" s="1" t="s">
        <v>40</v>
      </c>
      <c r="C40" s="1" t="s">
        <v>50</v>
      </c>
      <c r="D40" s="1">
        <v>8</v>
      </c>
      <c r="E40" s="1"/>
      <c r="F40" s="1">
        <f t="shared" si="0"/>
        <v>0</v>
      </c>
    </row>
    <row r="41" spans="2:6" ht="15" thickBot="1" x14ac:dyDescent="0.4">
      <c r="B41" s="1" t="s">
        <v>41</v>
      </c>
      <c r="C41" s="1" t="s">
        <v>50</v>
      </c>
      <c r="D41" s="1">
        <v>8</v>
      </c>
      <c r="E41" s="1"/>
      <c r="F41" s="1">
        <f t="shared" si="0"/>
        <v>0</v>
      </c>
    </row>
    <row r="42" spans="2:6" ht="15" thickBot="1" x14ac:dyDescent="0.4">
      <c r="B42" s="1" t="s">
        <v>42</v>
      </c>
      <c r="C42" s="1" t="s">
        <v>50</v>
      </c>
      <c r="D42" s="1">
        <v>8</v>
      </c>
      <c r="E42" s="1"/>
      <c r="F42" s="1">
        <f t="shared" si="0"/>
        <v>0</v>
      </c>
    </row>
    <row r="43" spans="2:6" ht="19" thickBot="1" x14ac:dyDescent="0.5">
      <c r="B43" s="1" t="s">
        <v>43</v>
      </c>
      <c r="C43" s="1"/>
      <c r="D43" s="1"/>
      <c r="E43" s="4">
        <f>SUM(E44:E48)</f>
        <v>0</v>
      </c>
      <c r="F43" s="4">
        <f>SUM(F44:F48)</f>
        <v>0</v>
      </c>
    </row>
    <row r="44" spans="2:6" ht="15" thickBot="1" x14ac:dyDescent="0.4">
      <c r="B44" s="1" t="s">
        <v>44</v>
      </c>
      <c r="C44" s="1" t="s">
        <v>50</v>
      </c>
      <c r="D44" s="1">
        <v>8</v>
      </c>
      <c r="E44" s="1"/>
      <c r="F44" s="1">
        <f t="shared" si="0"/>
        <v>0</v>
      </c>
    </row>
    <row r="45" spans="2:6" ht="15" thickBot="1" x14ac:dyDescent="0.4">
      <c r="B45" s="1" t="s">
        <v>45</v>
      </c>
      <c r="C45" s="1" t="s">
        <v>50</v>
      </c>
      <c r="D45" s="1">
        <v>8</v>
      </c>
      <c r="E45" s="1"/>
      <c r="F45" s="1">
        <f t="shared" si="0"/>
        <v>0</v>
      </c>
    </row>
    <row r="46" spans="2:6" ht="15" thickBot="1" x14ac:dyDescent="0.4">
      <c r="B46" s="1" t="s">
        <v>46</v>
      </c>
      <c r="C46" s="1" t="s">
        <v>50</v>
      </c>
      <c r="D46" s="1">
        <v>8</v>
      </c>
      <c r="E46" s="1"/>
      <c r="F46" s="1">
        <f t="shared" si="0"/>
        <v>0</v>
      </c>
    </row>
    <row r="47" spans="2:6" ht="15" thickBot="1" x14ac:dyDescent="0.4">
      <c r="B47" s="1" t="s">
        <v>47</v>
      </c>
      <c r="C47" s="1" t="s">
        <v>50</v>
      </c>
      <c r="D47" s="1">
        <v>8</v>
      </c>
      <c r="E47" s="1"/>
      <c r="F47" s="1">
        <f>+D47*E47</f>
        <v>0</v>
      </c>
    </row>
    <row r="48" spans="2:6" ht="15" thickBot="1" x14ac:dyDescent="0.4">
      <c r="B48" s="1" t="s">
        <v>49</v>
      </c>
      <c r="C48" s="1" t="s">
        <v>50</v>
      </c>
      <c r="D48" s="1">
        <v>8</v>
      </c>
      <c r="E48" s="1"/>
      <c r="F48" s="1">
        <f t="shared" si="0"/>
        <v>0</v>
      </c>
    </row>
    <row r="49" spans="2:6" ht="19" thickBot="1" x14ac:dyDescent="0.5">
      <c r="B49" s="111" t="s">
        <v>51</v>
      </c>
      <c r="C49" s="111"/>
      <c r="D49" s="111"/>
      <c r="E49" s="4">
        <f>+E48+E47+E46+E45+E44+E42+E41+E40+E39+E38+E37+E35+E34+E33+E32+E31+E29+E28+E27+E26+E25+E24+E23+E21+E20+E19+E18+E17+E16+E15+E14+E13+E12+E11+E9+E8+E7+E6</f>
        <v>421</v>
      </c>
      <c r="F49" s="4">
        <f>+F43+F36+F30+F22+F10+F5</f>
        <v>2093</v>
      </c>
    </row>
  </sheetData>
  <mergeCells count="2">
    <mergeCell ref="B2:F2"/>
    <mergeCell ref="B49:D4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B6BE-5142-4AC3-A5EA-343041524813}">
  <dimension ref="B2:C12"/>
  <sheetViews>
    <sheetView workbookViewId="0">
      <selection activeCell="B13" sqref="B13"/>
    </sheetView>
  </sheetViews>
  <sheetFormatPr baseColWidth="10" defaultRowHeight="14.5" x14ac:dyDescent="0.35"/>
  <cols>
    <col min="2" max="2" width="12.1796875" bestFit="1" customWidth="1"/>
    <col min="3" max="3" width="11.81640625" bestFit="1" customWidth="1"/>
  </cols>
  <sheetData>
    <row r="2" spans="2:3" x14ac:dyDescent="0.35">
      <c r="B2" t="s">
        <v>124</v>
      </c>
      <c r="C2" t="s">
        <v>125</v>
      </c>
    </row>
    <row r="3" spans="2:3" x14ac:dyDescent="0.35">
      <c r="B3" t="s">
        <v>122</v>
      </c>
      <c r="C3" t="s">
        <v>126</v>
      </c>
    </row>
    <row r="4" spans="2:3" x14ac:dyDescent="0.35">
      <c r="B4" t="s">
        <v>123</v>
      </c>
      <c r="C4">
        <v>10111222331</v>
      </c>
    </row>
    <row r="7" spans="2:3" x14ac:dyDescent="0.35">
      <c r="B7" t="s">
        <v>127</v>
      </c>
    </row>
    <row r="8" spans="2:3" x14ac:dyDescent="0.35">
      <c r="B8" t="s">
        <v>128</v>
      </c>
    </row>
    <row r="9" spans="2:3" x14ac:dyDescent="0.35">
      <c r="B9" t="s">
        <v>129</v>
      </c>
    </row>
    <row r="10" spans="2:3" x14ac:dyDescent="0.35">
      <c r="B10" t="s">
        <v>130</v>
      </c>
    </row>
    <row r="11" spans="2:3" x14ac:dyDescent="0.35">
      <c r="B11" t="s">
        <v>131</v>
      </c>
    </row>
    <row r="12" spans="2:3" x14ac:dyDescent="0.35">
      <c r="B12" t="s">
        <v>132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C216-6777-4399-856E-BC4D94A056B4}">
  <dimension ref="B5:K13"/>
  <sheetViews>
    <sheetView zoomScale="122" zoomScaleNormal="88" workbookViewId="0">
      <selection activeCell="H6" sqref="H6"/>
    </sheetView>
  </sheetViews>
  <sheetFormatPr baseColWidth="10" defaultRowHeight="14.5" x14ac:dyDescent="0.35"/>
  <cols>
    <col min="3" max="3" width="13.90625" bestFit="1" customWidth="1"/>
    <col min="4" max="4" width="18.08984375" customWidth="1"/>
    <col min="5" max="5" width="13" customWidth="1"/>
    <col min="6" max="6" width="15.81640625" customWidth="1"/>
    <col min="7" max="7" width="12.81640625" bestFit="1" customWidth="1"/>
  </cols>
  <sheetData>
    <row r="5" spans="2:11" ht="45" customHeight="1" x14ac:dyDescent="0.35">
      <c r="B5" s="119" t="s">
        <v>79</v>
      </c>
      <c r="C5" s="119" t="s">
        <v>75</v>
      </c>
      <c r="D5" s="119" t="s">
        <v>78</v>
      </c>
      <c r="E5" s="121" t="s">
        <v>80</v>
      </c>
      <c r="F5" s="117" t="s">
        <v>164</v>
      </c>
      <c r="G5" s="118"/>
    </row>
    <row r="6" spans="2:11" ht="21" customHeight="1" x14ac:dyDescent="0.5">
      <c r="B6" s="120"/>
      <c r="C6" s="120"/>
      <c r="D6" s="120"/>
      <c r="E6" s="122"/>
      <c r="F6" s="100" t="s">
        <v>162</v>
      </c>
      <c r="G6" s="101" t="s">
        <v>163</v>
      </c>
      <c r="I6" s="57"/>
    </row>
    <row r="7" spans="2:11" x14ac:dyDescent="0.35">
      <c r="B7" s="2" t="s">
        <v>81</v>
      </c>
      <c r="C7" s="19">
        <f>577+'VAL 24 - 07'!J11+'VAL 30-07'!J11+'VAL 02- 08'!J11+'VAL 05-08'!J11</f>
        <v>3223</v>
      </c>
      <c r="D7" s="19">
        <f>Tabla1[[#Totals],[VAL 15 - 07]]+Tabla1[[#Totals],[VAL 24- 07]]+Tabla1[[#Totals],[VAL 30-07]]+Tabla1[[#Totals],[VAL 02-08]]+Tabla1[[#Totals],[VAL 05-08]]</f>
        <v>16591.5</v>
      </c>
      <c r="E7" s="32">
        <f>+Tabla6[[#Totals],[VAL 15- 07]]+Tabla6[[#Totals],[VAL 24- 07]]+Tabla6[[#Totals],[VAL 30-07]]+Tabla6[[#Totals],[VAL 02-08]]+Tabla6[[#Totals],[VAL 05-08]]</f>
        <v>9379.9</v>
      </c>
      <c r="F7" s="19">
        <v>3560</v>
      </c>
      <c r="G7" s="19">
        <v>18451</v>
      </c>
      <c r="I7" s="57">
        <f>+D7+D8</f>
        <v>49939.5</v>
      </c>
      <c r="J7" s="57">
        <f>+I7/I8</f>
        <v>5.3971144493677725</v>
      </c>
    </row>
    <row r="8" spans="2:11" x14ac:dyDescent="0.35">
      <c r="B8" s="2" t="s">
        <v>82</v>
      </c>
      <c r="C8" s="19">
        <f>+'VAL 07 -08'!J11+'VAL 11-08'!J11+'VAL 15 - 08'!J11+'VAL 19- 08'!J11+'VAL 26  - 08'!J11</f>
        <v>6030</v>
      </c>
      <c r="D8" s="19">
        <f>Tabla1[[#Totals],[VAL 07-08]]+Tabla1[[#Totals],[VAL 11-08]]+Tabla1[[#Totals],[VAL 15-08]]+Tabla1[[#Totals],[VAL 19-08]]+Tabla1[[#Totals],[VAL 26-08]]+Tabla1[[#Totals],[VAL 03-09]]+Tabla1[[#Totals],[VAL 04-09]]</f>
        <v>33348</v>
      </c>
      <c r="E8" s="32">
        <f>+Tabla6[[#Totals],[VAL 07-09]]+Tabla6[[#Totals],[VAL 11-08]]+Tabla6[[#Totals],[VAL 15-08]]+Tabla6[[#Totals],[VAL 19-08]]+Tabla6[[#Totals],[VAL 26-08]]+Tabla6[[#Totals],[VAL 03-09]]+Tabla6[[#Totals],[VAL 04-09]]</f>
        <v>17229.5</v>
      </c>
      <c r="F8" s="19">
        <v>6516</v>
      </c>
      <c r="G8" s="19">
        <v>30371</v>
      </c>
      <c r="I8" s="57">
        <f>+C7+C8</f>
        <v>9253</v>
      </c>
      <c r="K8" s="57">
        <f>+J7-J10</f>
        <v>2.8757592132281422</v>
      </c>
    </row>
    <row r="9" spans="2:11" x14ac:dyDescent="0.35">
      <c r="B9" s="2" t="s">
        <v>83</v>
      </c>
      <c r="C9" s="19">
        <f>+Tabla2[[#Totals],[VAL 03 - 09]]+Tabla2[[#Totals],[VAL 04 - 09]]+Tabla2[[#Totals],[VAL11-09]]+Tabla2[[#Totals],[VAL15-09]]+Tabla2[[#Totals],[VAL 18-09]]+Tabla2[[#Totals],[VAL 22-09]]+Tabla2[[#Totals],[VAL 26-09]]+Tabla2[[#Totals],[VAL 02-098]]</f>
        <v>8405</v>
      </c>
      <c r="D9" s="19">
        <f>+Tabla1[[#Totals],[VAL 11-09]]+Tabla1[[#Totals],[VAL 15-09]]+Tabla1[[#Totals],[VAL 22-09]]+Tabla1[[#Totals],[VAL 18-09]]+Tabla1[[#Totals],[VAL 26-09]]+Tabla1[[#Totals],[VAL 02-10]]</f>
        <v>33038</v>
      </c>
      <c r="E9" s="32">
        <f>+Tabla6[[#Totals],[VAL 11-09]]+Tabla6[[#Totals],[VAL 15-09]]+Tabla6[[#Totals],[VAL 18 - 09]]+Tabla6[[#Totals],[VAL 22 - 09]]+Tabla6[[#Totals],[VAL 26 - 09]]+Tabla6[[#Totals],[VAL 02 - 10]]</f>
        <v>18744.600000000002</v>
      </c>
      <c r="F9" s="19">
        <v>8276</v>
      </c>
      <c r="G9" s="32">
        <v>38711</v>
      </c>
      <c r="I9" s="57">
        <f>+E7+E8</f>
        <v>26609.4</v>
      </c>
    </row>
    <row r="10" spans="2:11" x14ac:dyDescent="0.35">
      <c r="B10" s="2" t="s">
        <v>84</v>
      </c>
      <c r="C10" s="19">
        <f>+Tabla2[[#Totals],[VAL 09-10]]+Tabla2[[#Totals],[VAL 13-10]]+Tabla2[[#Totals],[VAL 17-10]]</f>
        <v>3140</v>
      </c>
      <c r="D10" s="19">
        <f>+Tabla1[[#Totals],[VAL 09-10]]+Tabla1[[#Totals],[VAL 13-10]]</f>
        <v>8458</v>
      </c>
      <c r="E10" s="98">
        <f>+Tabla6[[#Totals],[VAL 09 - 10]]+Tabla6[[#Totals],[VAL 13 - 10]]</f>
        <v>4635.7</v>
      </c>
      <c r="F10" s="19">
        <v>2446</v>
      </c>
      <c r="G10" s="19"/>
      <c r="H10" s="57"/>
      <c r="I10" s="57">
        <f>+I7-I9</f>
        <v>23330.1</v>
      </c>
      <c r="J10" s="57">
        <f>+I10/I8</f>
        <v>2.5213552361396303</v>
      </c>
    </row>
    <row r="11" spans="2:11" x14ac:dyDescent="0.35">
      <c r="B11" s="2" t="s">
        <v>85</v>
      </c>
      <c r="C11" s="19"/>
      <c r="D11" s="19"/>
      <c r="E11" s="98"/>
      <c r="F11" s="19"/>
      <c r="G11" s="19"/>
      <c r="H11" s="57"/>
      <c r="J11" s="57">
        <f>+J10*C9</f>
        <v>21191.990759753593</v>
      </c>
      <c r="K11" s="57">
        <f>+K8*C9</f>
        <v>24170.756187182535</v>
      </c>
    </row>
    <row r="12" spans="2:11" x14ac:dyDescent="0.35">
      <c r="B12" s="2" t="s">
        <v>86</v>
      </c>
      <c r="C12" s="19"/>
      <c r="D12" s="19"/>
      <c r="E12" s="98"/>
      <c r="F12" s="19"/>
      <c r="G12" s="19"/>
    </row>
    <row r="13" spans="2:11" ht="18.5" x14ac:dyDescent="0.45">
      <c r="B13" s="2" t="s">
        <v>51</v>
      </c>
      <c r="C13" s="20">
        <f>SUM(C7:C12)</f>
        <v>20798</v>
      </c>
      <c r="D13" s="20">
        <f>SUM(D7:D12)</f>
        <v>91435.5</v>
      </c>
      <c r="E13" s="99">
        <f>SUM(E7:E12)</f>
        <v>49989.7</v>
      </c>
      <c r="F13" s="99">
        <f>SUM(F7:F12)</f>
        <v>20798</v>
      </c>
      <c r="G13" s="20">
        <f>SUM(G7:G12)</f>
        <v>87533</v>
      </c>
      <c r="H13" s="95"/>
      <c r="I13" s="57"/>
    </row>
  </sheetData>
  <mergeCells count="5">
    <mergeCell ref="F5:G5"/>
    <mergeCell ref="B5:B6"/>
    <mergeCell ref="C5:C6"/>
    <mergeCell ref="D5:D6"/>
    <mergeCell ref="E5:E6"/>
  </mergeCells>
  <phoneticPr fontId="4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E7B-7C60-40B9-8B8C-275B5FCE3272}">
  <dimension ref="A3:C82"/>
  <sheetViews>
    <sheetView zoomScale="137" workbookViewId="0">
      <selection activeCell="F2" sqref="F2"/>
    </sheetView>
  </sheetViews>
  <sheetFormatPr baseColWidth="10" defaultRowHeight="14.5" x14ac:dyDescent="0.35"/>
  <cols>
    <col min="1" max="1" width="16.6328125" bestFit="1" customWidth="1"/>
    <col min="2" max="3" width="18.1796875" bestFit="1" customWidth="1"/>
    <col min="4" max="4" width="5.08984375" bestFit="1" customWidth="1"/>
    <col min="5" max="5" width="6.08984375" bestFit="1" customWidth="1"/>
    <col min="6" max="6" width="4" bestFit="1" customWidth="1"/>
    <col min="7" max="7" width="12.36328125" bestFit="1" customWidth="1"/>
    <col min="8" max="9" width="6.08984375" bestFit="1" customWidth="1"/>
    <col min="10" max="11" width="4" bestFit="1" customWidth="1"/>
    <col min="12" max="12" width="6.08984375" bestFit="1" customWidth="1"/>
    <col min="13" max="15" width="12.36328125" bestFit="1" customWidth="1"/>
    <col min="16" max="17" width="7.1796875" bestFit="1" customWidth="1"/>
    <col min="18" max="19" width="12.36328125" bestFit="1" customWidth="1"/>
    <col min="20" max="20" width="5.08984375" bestFit="1" customWidth="1"/>
    <col min="21" max="21" width="7.1796875" bestFit="1" customWidth="1"/>
    <col min="22" max="22" width="6.08984375" bestFit="1" customWidth="1"/>
    <col min="23" max="24" width="12.36328125" bestFit="1" customWidth="1"/>
    <col min="25" max="25" width="6.08984375" bestFit="1" customWidth="1"/>
    <col min="26" max="26" width="12.36328125" bestFit="1" customWidth="1"/>
    <col min="27" max="28" width="5.08984375" bestFit="1" customWidth="1"/>
    <col min="29" max="30" width="12.36328125" bestFit="1" customWidth="1"/>
    <col min="31" max="31" width="7.1796875" bestFit="1" customWidth="1"/>
    <col min="32" max="33" width="3" bestFit="1" customWidth="1"/>
    <col min="34" max="34" width="5.08984375" bestFit="1" customWidth="1"/>
    <col min="35" max="37" width="12.36328125" bestFit="1" customWidth="1"/>
    <col min="38" max="38" width="8.08984375" bestFit="1" customWidth="1"/>
    <col min="39" max="39" width="18.1796875" bestFit="1" customWidth="1"/>
    <col min="40" max="40" width="12.36328125" bestFit="1" customWidth="1"/>
    <col min="41" max="41" width="5.08984375" bestFit="1" customWidth="1"/>
    <col min="42" max="42" width="6.08984375" bestFit="1" customWidth="1"/>
    <col min="43" max="43" width="4" bestFit="1" customWidth="1"/>
    <col min="44" max="44" width="12.36328125" bestFit="1" customWidth="1"/>
    <col min="45" max="46" width="6.08984375" bestFit="1" customWidth="1"/>
    <col min="47" max="48" width="4" bestFit="1" customWidth="1"/>
    <col min="49" max="49" width="6.08984375" bestFit="1" customWidth="1"/>
    <col min="50" max="52" width="12.36328125" bestFit="1" customWidth="1"/>
    <col min="53" max="54" width="7.1796875" bestFit="1" customWidth="1"/>
    <col min="55" max="56" width="12.36328125" bestFit="1" customWidth="1"/>
    <col min="57" max="57" width="5.08984375" bestFit="1" customWidth="1"/>
    <col min="58" max="58" width="7.1796875" bestFit="1" customWidth="1"/>
    <col min="59" max="59" width="6.08984375" bestFit="1" customWidth="1"/>
    <col min="60" max="61" width="12.36328125" bestFit="1" customWidth="1"/>
    <col min="62" max="62" width="6.08984375" bestFit="1" customWidth="1"/>
    <col min="63" max="63" width="12.36328125" bestFit="1" customWidth="1"/>
    <col min="64" max="65" width="5.08984375" bestFit="1" customWidth="1"/>
    <col min="66" max="67" width="12.36328125" bestFit="1" customWidth="1"/>
    <col min="68" max="68" width="7.1796875" bestFit="1" customWidth="1"/>
    <col min="69" max="69" width="3" bestFit="1" customWidth="1"/>
    <col min="70" max="70" width="4" bestFit="1" customWidth="1"/>
    <col min="71" max="71" width="5.08984375" bestFit="1" customWidth="1"/>
    <col min="72" max="74" width="12.36328125" bestFit="1" customWidth="1"/>
    <col min="75" max="75" width="8.08984375" bestFit="1" customWidth="1"/>
    <col min="76" max="77" width="22.90625" bestFit="1" customWidth="1"/>
  </cols>
  <sheetData>
    <row r="3" spans="1:3" x14ac:dyDescent="0.35">
      <c r="A3" s="83" t="s">
        <v>133</v>
      </c>
      <c r="B3" t="s">
        <v>151</v>
      </c>
      <c r="C3" t="s">
        <v>152</v>
      </c>
    </row>
    <row r="4" spans="1:3" x14ac:dyDescent="0.35">
      <c r="A4" s="84" t="s">
        <v>40</v>
      </c>
      <c r="B4">
        <v>0</v>
      </c>
    </row>
    <row r="5" spans="1:3" x14ac:dyDescent="0.35">
      <c r="A5" s="85">
        <v>16.888888888888889</v>
      </c>
      <c r="B5">
        <v>0</v>
      </c>
    </row>
    <row r="6" spans="1:3" x14ac:dyDescent="0.35">
      <c r="A6" s="84" t="s">
        <v>6</v>
      </c>
      <c r="B6">
        <v>123</v>
      </c>
      <c r="C6">
        <v>154</v>
      </c>
    </row>
    <row r="7" spans="1:3" x14ac:dyDescent="0.35">
      <c r="A7" s="91">
        <v>266.66666666666669</v>
      </c>
      <c r="B7">
        <v>123</v>
      </c>
      <c r="C7">
        <v>154</v>
      </c>
    </row>
    <row r="8" spans="1:3" x14ac:dyDescent="0.35">
      <c r="A8" s="84" t="s">
        <v>35</v>
      </c>
      <c r="B8">
        <v>17</v>
      </c>
    </row>
    <row r="9" spans="1:3" x14ac:dyDescent="0.35">
      <c r="A9" s="85">
        <v>12.666666666666666</v>
      </c>
      <c r="B9">
        <v>17</v>
      </c>
    </row>
    <row r="10" spans="1:3" x14ac:dyDescent="0.35">
      <c r="A10" s="84" t="s">
        <v>28</v>
      </c>
      <c r="B10">
        <v>19</v>
      </c>
    </row>
    <row r="11" spans="1:3" x14ac:dyDescent="0.35">
      <c r="A11" s="85">
        <v>12.777777777777779</v>
      </c>
      <c r="B11">
        <v>19</v>
      </c>
    </row>
    <row r="12" spans="1:3" x14ac:dyDescent="0.35">
      <c r="A12" s="84" t="s">
        <v>44</v>
      </c>
      <c r="B12">
        <v>0</v>
      </c>
      <c r="C12">
        <v>113</v>
      </c>
    </row>
    <row r="13" spans="1:3" x14ac:dyDescent="0.35">
      <c r="A13" s="85">
        <v>74</v>
      </c>
      <c r="B13">
        <v>0</v>
      </c>
      <c r="C13">
        <v>113</v>
      </c>
    </row>
    <row r="14" spans="1:3" x14ac:dyDescent="0.35">
      <c r="A14" s="84" t="s">
        <v>14</v>
      </c>
      <c r="B14">
        <v>6</v>
      </c>
    </row>
    <row r="15" spans="1:3" x14ac:dyDescent="0.35">
      <c r="A15" s="85">
        <v>5.5</v>
      </c>
      <c r="B15">
        <v>6</v>
      </c>
    </row>
    <row r="16" spans="1:3" x14ac:dyDescent="0.35">
      <c r="A16" s="84" t="s">
        <v>16</v>
      </c>
      <c r="B16">
        <v>31</v>
      </c>
    </row>
    <row r="17" spans="1:3" x14ac:dyDescent="0.35">
      <c r="A17" s="85">
        <v>18.75</v>
      </c>
      <c r="B17">
        <v>31</v>
      </c>
    </row>
    <row r="18" spans="1:3" x14ac:dyDescent="0.35">
      <c r="A18" s="84" t="s">
        <v>8</v>
      </c>
      <c r="B18">
        <v>0</v>
      </c>
      <c r="C18">
        <v>123</v>
      </c>
    </row>
    <row r="19" spans="1:3" x14ac:dyDescent="0.35">
      <c r="A19" s="85">
        <v>113.18181818181819</v>
      </c>
      <c r="B19">
        <v>0</v>
      </c>
      <c r="C19">
        <v>123</v>
      </c>
    </row>
    <row r="20" spans="1:3" x14ac:dyDescent="0.35">
      <c r="A20" s="84" t="s">
        <v>42</v>
      </c>
      <c r="B20">
        <v>0</v>
      </c>
    </row>
    <row r="21" spans="1:3" x14ac:dyDescent="0.35">
      <c r="A21" s="85">
        <v>8.3333333333333339</v>
      </c>
      <c r="B21">
        <v>0</v>
      </c>
    </row>
    <row r="22" spans="1:3" x14ac:dyDescent="0.35">
      <c r="A22" s="84" t="s">
        <v>11</v>
      </c>
      <c r="B22">
        <v>134</v>
      </c>
      <c r="C22">
        <v>168</v>
      </c>
    </row>
    <row r="23" spans="1:3" x14ac:dyDescent="0.35">
      <c r="A23" s="85">
        <v>75.5</v>
      </c>
      <c r="B23">
        <v>134</v>
      </c>
      <c r="C23">
        <v>168</v>
      </c>
    </row>
    <row r="24" spans="1:3" x14ac:dyDescent="0.35">
      <c r="A24" s="84" t="s">
        <v>7</v>
      </c>
      <c r="B24">
        <v>163</v>
      </c>
      <c r="C24">
        <v>162</v>
      </c>
    </row>
    <row r="25" spans="1:3" x14ac:dyDescent="0.35">
      <c r="A25" s="85">
        <v>117.54545454545455</v>
      </c>
      <c r="B25">
        <v>163</v>
      </c>
      <c r="C25">
        <v>162</v>
      </c>
    </row>
    <row r="26" spans="1:3" x14ac:dyDescent="0.35">
      <c r="A26" s="84" t="s">
        <v>12</v>
      </c>
      <c r="B26">
        <v>13</v>
      </c>
    </row>
    <row r="27" spans="1:3" x14ac:dyDescent="0.35">
      <c r="A27" s="85">
        <v>11.125</v>
      </c>
      <c r="B27">
        <v>13</v>
      </c>
    </row>
    <row r="28" spans="1:3" x14ac:dyDescent="0.35">
      <c r="A28" s="84" t="s">
        <v>38</v>
      </c>
      <c r="B28">
        <v>0</v>
      </c>
    </row>
    <row r="29" spans="1:3" x14ac:dyDescent="0.35">
      <c r="A29" s="85">
        <v>0</v>
      </c>
      <c r="B29">
        <v>0</v>
      </c>
    </row>
    <row r="30" spans="1:3" x14ac:dyDescent="0.35">
      <c r="A30" s="84" t="s">
        <v>27</v>
      </c>
      <c r="B30">
        <v>52</v>
      </c>
    </row>
    <row r="31" spans="1:3" x14ac:dyDescent="0.35">
      <c r="A31" s="85">
        <v>39.222222222222221</v>
      </c>
      <c r="B31">
        <v>52</v>
      </c>
    </row>
    <row r="32" spans="1:3" x14ac:dyDescent="0.35">
      <c r="A32" s="84" t="s">
        <v>18</v>
      </c>
      <c r="B32">
        <v>24</v>
      </c>
      <c r="C32">
        <v>14</v>
      </c>
    </row>
    <row r="33" spans="1:3" x14ac:dyDescent="0.35">
      <c r="A33" s="85">
        <v>9.9090909090909083</v>
      </c>
      <c r="B33">
        <v>24</v>
      </c>
      <c r="C33">
        <v>14</v>
      </c>
    </row>
    <row r="34" spans="1:3" x14ac:dyDescent="0.35">
      <c r="A34" s="84" t="s">
        <v>19</v>
      </c>
      <c r="B34">
        <v>41</v>
      </c>
    </row>
    <row r="35" spans="1:3" x14ac:dyDescent="0.35">
      <c r="A35" s="85">
        <v>28.5</v>
      </c>
      <c r="B35">
        <v>41</v>
      </c>
    </row>
    <row r="36" spans="1:3" x14ac:dyDescent="0.35">
      <c r="A36" s="84" t="s">
        <v>47</v>
      </c>
      <c r="B36">
        <v>0</v>
      </c>
      <c r="C36">
        <v>0</v>
      </c>
    </row>
    <row r="37" spans="1:3" x14ac:dyDescent="0.35">
      <c r="A37" s="85">
        <v>0.33333333333333331</v>
      </c>
      <c r="B37">
        <v>0</v>
      </c>
      <c r="C37">
        <v>0</v>
      </c>
    </row>
    <row r="38" spans="1:3" x14ac:dyDescent="0.35">
      <c r="A38" s="84" t="s">
        <v>15</v>
      </c>
      <c r="B38">
        <v>0</v>
      </c>
    </row>
    <row r="39" spans="1:3" x14ac:dyDescent="0.35">
      <c r="A39" s="85">
        <v>0.75</v>
      </c>
      <c r="B39">
        <v>0</v>
      </c>
    </row>
    <row r="40" spans="1:3" x14ac:dyDescent="0.35">
      <c r="A40" s="84" t="s">
        <v>20</v>
      </c>
      <c r="B40">
        <v>49</v>
      </c>
    </row>
    <row r="41" spans="1:3" x14ac:dyDescent="0.35">
      <c r="A41" s="85">
        <v>33.5</v>
      </c>
      <c r="B41">
        <v>49</v>
      </c>
    </row>
    <row r="42" spans="1:3" x14ac:dyDescent="0.35">
      <c r="A42" s="84" t="s">
        <v>41</v>
      </c>
      <c r="B42">
        <v>0</v>
      </c>
    </row>
    <row r="43" spans="1:3" x14ac:dyDescent="0.35">
      <c r="A43" s="85">
        <v>4.4444444444444446</v>
      </c>
      <c r="B43">
        <v>0</v>
      </c>
    </row>
    <row r="44" spans="1:3" x14ac:dyDescent="0.35">
      <c r="A44" s="84" t="s">
        <v>17</v>
      </c>
      <c r="B44">
        <v>4</v>
      </c>
    </row>
    <row r="45" spans="1:3" x14ac:dyDescent="0.35">
      <c r="A45" s="85">
        <v>4.875</v>
      </c>
      <c r="B45">
        <v>4</v>
      </c>
    </row>
    <row r="46" spans="1:3" x14ac:dyDescent="0.35">
      <c r="A46" s="84" t="s">
        <v>33</v>
      </c>
      <c r="B46">
        <v>34</v>
      </c>
    </row>
    <row r="47" spans="1:3" x14ac:dyDescent="0.35">
      <c r="A47" s="85">
        <v>15.25</v>
      </c>
      <c r="B47">
        <v>34</v>
      </c>
    </row>
    <row r="48" spans="1:3" x14ac:dyDescent="0.35">
      <c r="A48" s="84" t="s">
        <v>45</v>
      </c>
      <c r="B48">
        <v>0</v>
      </c>
      <c r="C48">
        <v>0</v>
      </c>
    </row>
    <row r="49" spans="1:3" x14ac:dyDescent="0.35">
      <c r="A49" s="85">
        <v>5.6</v>
      </c>
      <c r="B49">
        <v>0</v>
      </c>
      <c r="C49">
        <v>0</v>
      </c>
    </row>
    <row r="50" spans="1:3" x14ac:dyDescent="0.35">
      <c r="A50" s="84" t="s">
        <v>25</v>
      </c>
      <c r="B50">
        <v>126</v>
      </c>
      <c r="C50">
        <v>1</v>
      </c>
    </row>
    <row r="51" spans="1:3" x14ac:dyDescent="0.35">
      <c r="A51" s="85">
        <v>51.125</v>
      </c>
      <c r="B51">
        <v>126</v>
      </c>
      <c r="C51">
        <v>1</v>
      </c>
    </row>
    <row r="52" spans="1:3" x14ac:dyDescent="0.35">
      <c r="A52" s="84" t="s">
        <v>46</v>
      </c>
      <c r="B52">
        <v>0</v>
      </c>
      <c r="C52">
        <v>0</v>
      </c>
    </row>
    <row r="53" spans="1:3" x14ac:dyDescent="0.35">
      <c r="A53" s="85">
        <v>4.2</v>
      </c>
      <c r="B53">
        <v>0</v>
      </c>
      <c r="C53">
        <v>0</v>
      </c>
    </row>
    <row r="54" spans="1:3" x14ac:dyDescent="0.35">
      <c r="A54" s="84" t="s">
        <v>32</v>
      </c>
      <c r="B54">
        <v>57</v>
      </c>
    </row>
    <row r="55" spans="1:3" x14ac:dyDescent="0.35">
      <c r="A55" s="85">
        <v>43.555555555555557</v>
      </c>
      <c r="B55">
        <v>57</v>
      </c>
    </row>
    <row r="56" spans="1:3" x14ac:dyDescent="0.35">
      <c r="A56" s="84" t="s">
        <v>34</v>
      </c>
      <c r="B56">
        <v>0</v>
      </c>
    </row>
    <row r="57" spans="1:3" x14ac:dyDescent="0.35">
      <c r="A57" s="85">
        <v>5.375</v>
      </c>
      <c r="B57">
        <v>0</v>
      </c>
    </row>
    <row r="58" spans="1:3" x14ac:dyDescent="0.35">
      <c r="A58" s="84" t="s">
        <v>49</v>
      </c>
      <c r="B58">
        <v>0</v>
      </c>
      <c r="C58">
        <v>0</v>
      </c>
    </row>
    <row r="59" spans="1:3" x14ac:dyDescent="0.35">
      <c r="A59" s="85">
        <v>61</v>
      </c>
      <c r="B59">
        <v>0</v>
      </c>
      <c r="C59">
        <v>0</v>
      </c>
    </row>
    <row r="60" spans="1:3" x14ac:dyDescent="0.35">
      <c r="A60" s="84" t="s">
        <v>29</v>
      </c>
      <c r="B60">
        <v>0</v>
      </c>
    </row>
    <row r="61" spans="1:3" x14ac:dyDescent="0.35">
      <c r="A61" s="85">
        <v>0</v>
      </c>
      <c r="B61">
        <v>0</v>
      </c>
    </row>
    <row r="62" spans="1:3" x14ac:dyDescent="0.35">
      <c r="A62" s="84" t="s">
        <v>26</v>
      </c>
      <c r="B62">
        <v>33</v>
      </c>
    </row>
    <row r="63" spans="1:3" x14ac:dyDescent="0.35">
      <c r="A63" s="85">
        <v>18.666666666666668</v>
      </c>
      <c r="B63">
        <v>33</v>
      </c>
    </row>
    <row r="64" spans="1:3" x14ac:dyDescent="0.35">
      <c r="A64" s="84" t="s">
        <v>21</v>
      </c>
      <c r="B64">
        <v>0</v>
      </c>
    </row>
    <row r="65" spans="1:3" x14ac:dyDescent="0.35">
      <c r="A65" s="85">
        <v>1.875</v>
      </c>
      <c r="B65">
        <v>0</v>
      </c>
    </row>
    <row r="66" spans="1:3" x14ac:dyDescent="0.35">
      <c r="A66" s="84" t="s">
        <v>23</v>
      </c>
      <c r="B66">
        <v>25</v>
      </c>
      <c r="C66">
        <v>0</v>
      </c>
    </row>
    <row r="67" spans="1:3" x14ac:dyDescent="0.35">
      <c r="A67" s="85">
        <v>7.125</v>
      </c>
      <c r="B67">
        <v>25</v>
      </c>
      <c r="C67">
        <v>0</v>
      </c>
    </row>
    <row r="68" spans="1:3" x14ac:dyDescent="0.35">
      <c r="A68" s="84" t="s">
        <v>24</v>
      </c>
      <c r="B68">
        <v>18</v>
      </c>
    </row>
    <row r="69" spans="1:3" x14ac:dyDescent="0.35">
      <c r="A69" s="85">
        <v>9.5714285714285712</v>
      </c>
      <c r="B69">
        <v>18</v>
      </c>
    </row>
    <row r="70" spans="1:3" x14ac:dyDescent="0.35">
      <c r="A70" s="84" t="s">
        <v>9</v>
      </c>
      <c r="B70">
        <v>0</v>
      </c>
      <c r="C70">
        <v>17</v>
      </c>
    </row>
    <row r="71" spans="1:3" x14ac:dyDescent="0.35">
      <c r="A71" s="85">
        <v>10.375</v>
      </c>
      <c r="B71">
        <v>0</v>
      </c>
      <c r="C71">
        <v>17</v>
      </c>
    </row>
    <row r="72" spans="1:3" x14ac:dyDescent="0.35">
      <c r="A72" s="84" t="s">
        <v>13</v>
      </c>
      <c r="B72">
        <v>19</v>
      </c>
    </row>
    <row r="73" spans="1:3" x14ac:dyDescent="0.35">
      <c r="A73" s="85">
        <v>13.625</v>
      </c>
      <c r="B73">
        <v>19</v>
      </c>
    </row>
    <row r="74" spans="1:3" x14ac:dyDescent="0.35">
      <c r="A74" s="84" t="s">
        <v>31</v>
      </c>
      <c r="B74">
        <v>29</v>
      </c>
    </row>
    <row r="75" spans="1:3" x14ac:dyDescent="0.35">
      <c r="A75" s="85">
        <v>25.888888888888889</v>
      </c>
      <c r="B75">
        <v>29</v>
      </c>
    </row>
    <row r="76" spans="1:3" x14ac:dyDescent="0.35">
      <c r="A76" s="84" t="s">
        <v>37</v>
      </c>
      <c r="B76">
        <v>0</v>
      </c>
    </row>
    <row r="77" spans="1:3" x14ac:dyDescent="0.35">
      <c r="A77" s="85">
        <v>0</v>
      </c>
      <c r="B77">
        <v>0</v>
      </c>
    </row>
    <row r="78" spans="1:3" x14ac:dyDescent="0.35">
      <c r="A78" s="84" t="s">
        <v>39</v>
      </c>
      <c r="B78">
        <v>53</v>
      </c>
    </row>
    <row r="79" spans="1:3" x14ac:dyDescent="0.35">
      <c r="A79" s="85">
        <v>13.5</v>
      </c>
      <c r="B79">
        <v>53</v>
      </c>
    </row>
    <row r="80" spans="1:3" x14ac:dyDescent="0.35">
      <c r="A80" s="84" t="s">
        <v>135</v>
      </c>
    </row>
    <row r="81" spans="1:3" x14ac:dyDescent="0.35">
      <c r="A81" s="85" t="s">
        <v>150</v>
      </c>
    </row>
    <row r="82" spans="1:3" x14ac:dyDescent="0.35">
      <c r="A82" s="84" t="s">
        <v>134</v>
      </c>
      <c r="B82">
        <v>1070</v>
      </c>
      <c r="C82">
        <v>752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F020-4B01-4B3F-9B11-37BC03DB90F2}">
  <dimension ref="B3:X34"/>
  <sheetViews>
    <sheetView topLeftCell="A21" zoomScale="122" zoomScaleNormal="80" workbookViewId="0">
      <selection activeCell="I18" sqref="I18"/>
    </sheetView>
  </sheetViews>
  <sheetFormatPr baseColWidth="10" defaultRowHeight="14.5" x14ac:dyDescent="0.35"/>
  <cols>
    <col min="2" max="2" width="14.26953125" bestFit="1" customWidth="1"/>
    <col min="3" max="4" width="14.26953125" customWidth="1"/>
  </cols>
  <sheetData>
    <row r="3" spans="2:24" ht="18.5" x14ac:dyDescent="0.45">
      <c r="B3" s="123" t="s">
        <v>60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</row>
    <row r="4" spans="2:24" ht="14.5" customHeight="1" x14ac:dyDescent="0.35">
      <c r="B4" s="118" t="s">
        <v>62</v>
      </c>
      <c r="C4" s="125" t="s">
        <v>65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7"/>
      <c r="R4" s="2"/>
    </row>
    <row r="5" spans="2:24" x14ac:dyDescent="0.35">
      <c r="B5" s="118"/>
      <c r="C5" s="124" t="s">
        <v>87</v>
      </c>
      <c r="D5" s="124"/>
      <c r="E5" s="124" t="s">
        <v>63</v>
      </c>
      <c r="F5" s="124"/>
      <c r="G5" s="124" t="s">
        <v>53</v>
      </c>
      <c r="H5" s="124"/>
      <c r="I5" s="124" t="s">
        <v>54</v>
      </c>
      <c r="J5" s="124"/>
      <c r="K5" s="124" t="s">
        <v>55</v>
      </c>
      <c r="L5" s="124"/>
      <c r="M5" s="124" t="s">
        <v>64</v>
      </c>
      <c r="N5" s="124"/>
      <c r="O5" s="124" t="s">
        <v>56</v>
      </c>
      <c r="P5" s="124"/>
      <c r="Q5" s="124" t="s">
        <v>57</v>
      </c>
      <c r="R5" s="124"/>
      <c r="S5" s="124" t="s">
        <v>90</v>
      </c>
      <c r="T5" s="124"/>
      <c r="U5" s="124" t="s">
        <v>99</v>
      </c>
      <c r="V5" s="124"/>
      <c r="W5" s="124" t="s">
        <v>89</v>
      </c>
      <c r="X5" s="124"/>
    </row>
    <row r="6" spans="2:24" x14ac:dyDescent="0.35">
      <c r="B6" s="11"/>
      <c r="C6" s="2" t="s">
        <v>3</v>
      </c>
      <c r="D6" s="2" t="s">
        <v>66</v>
      </c>
      <c r="E6" s="2" t="s">
        <v>3</v>
      </c>
      <c r="F6" s="2" t="s">
        <v>66</v>
      </c>
      <c r="G6" s="2" t="s">
        <v>3</v>
      </c>
      <c r="H6" s="2" t="s">
        <v>66</v>
      </c>
      <c r="I6" s="2" t="s">
        <v>3</v>
      </c>
      <c r="J6" s="2" t="s">
        <v>66</v>
      </c>
      <c r="K6" s="2" t="s">
        <v>3</v>
      </c>
      <c r="L6" s="2" t="s">
        <v>66</v>
      </c>
      <c r="M6" s="2" t="s">
        <v>3</v>
      </c>
      <c r="N6" s="2" t="s">
        <v>66</v>
      </c>
      <c r="O6" s="2" t="s">
        <v>3</v>
      </c>
      <c r="P6" s="2" t="s">
        <v>66</v>
      </c>
      <c r="Q6" s="2" t="s">
        <v>3</v>
      </c>
      <c r="R6" s="2" t="s">
        <v>66</v>
      </c>
      <c r="S6" s="2" t="s">
        <v>3</v>
      </c>
      <c r="T6" s="2" t="s">
        <v>66</v>
      </c>
      <c r="U6" s="2" t="s">
        <v>3</v>
      </c>
      <c r="V6" s="2" t="s">
        <v>66</v>
      </c>
      <c r="W6" s="2" t="s">
        <v>3</v>
      </c>
      <c r="X6" s="2" t="s">
        <v>66</v>
      </c>
    </row>
    <row r="7" spans="2:24" x14ac:dyDescent="0.35">
      <c r="B7" s="2" t="s">
        <v>59</v>
      </c>
      <c r="C7" s="2"/>
      <c r="D7" s="2"/>
      <c r="E7" s="2">
        <f>+'VAL 24 - 07'!J5</f>
        <v>286</v>
      </c>
      <c r="F7" s="2">
        <f>+'VAL 24 - 07'!I5</f>
        <v>858</v>
      </c>
      <c r="G7" s="2">
        <f>+'VAL 30-07'!J5</f>
        <v>456</v>
      </c>
      <c r="H7" s="2">
        <f>+'VAL 30-07'!I5</f>
        <v>1368</v>
      </c>
      <c r="I7" s="2">
        <f>+'VAL 02- 08'!J5</f>
        <v>192</v>
      </c>
      <c r="J7" s="2">
        <f>+'VAL 02- 08'!I5</f>
        <v>576</v>
      </c>
      <c r="K7" s="2">
        <f>0+'VAL 05-08'!E5</f>
        <v>5</v>
      </c>
      <c r="L7" s="2">
        <f>+'VAL 05-08'!I5</f>
        <v>15</v>
      </c>
      <c r="M7" s="2">
        <f>0+'VAL 07 -08'!E5</f>
        <v>697</v>
      </c>
      <c r="N7" s="2">
        <f>+'VAL 07 -08'!I5</f>
        <v>2091</v>
      </c>
      <c r="O7" s="2">
        <f>0+'VAL 11-08'!E5</f>
        <v>773</v>
      </c>
      <c r="P7" s="2">
        <f>+'VAL 11-08'!I5</f>
        <v>2319</v>
      </c>
      <c r="Q7" s="2">
        <f>0+'VAL 15 - 08'!E5</f>
        <v>546</v>
      </c>
      <c r="R7" s="2">
        <f>+'VAL 15 - 08'!I5</f>
        <v>1638</v>
      </c>
      <c r="S7" s="2">
        <f>0+'VAL 19- 08'!J5</f>
        <v>802</v>
      </c>
      <c r="T7" s="2">
        <f>0+'VAL 19- 08'!I5</f>
        <v>2406</v>
      </c>
      <c r="U7" s="2">
        <f>0+'VAL 26  - 08'!J5</f>
        <v>766</v>
      </c>
      <c r="V7" s="2">
        <f>0+'VAL 26  - 08'!I5</f>
        <v>2298</v>
      </c>
      <c r="W7" s="2"/>
      <c r="X7" s="2"/>
    </row>
    <row r="8" spans="2:24" x14ac:dyDescent="0.35">
      <c r="B8" s="2" t="s">
        <v>10</v>
      </c>
      <c r="C8" s="2"/>
      <c r="D8" s="2"/>
      <c r="E8" s="2">
        <f>+'VAL 24 - 07'!J6</f>
        <v>321</v>
      </c>
      <c r="F8" s="2">
        <f>+'VAL 24 - 07'!I6</f>
        <v>2166</v>
      </c>
      <c r="G8" s="2">
        <f>+'VAL 30-07'!J6</f>
        <v>182</v>
      </c>
      <c r="H8" s="2">
        <f>+'VAL 30-07'!I6</f>
        <v>952</v>
      </c>
      <c r="I8" s="2">
        <f>+'VAL 02- 08'!J6</f>
        <v>140</v>
      </c>
      <c r="J8" s="2">
        <f>+'VAL 02- 08'!I6</f>
        <v>949</v>
      </c>
      <c r="K8" s="2">
        <f>0+'VAL 05-08'!E10</f>
        <v>126</v>
      </c>
      <c r="L8" s="2">
        <f>+'VAL 05-08'!I6</f>
        <v>687</v>
      </c>
      <c r="M8" s="2">
        <f>0+'VAL 07 -08'!E10</f>
        <v>3</v>
      </c>
      <c r="N8" s="2">
        <f>+'VAL 07 -08'!I6</f>
        <v>24</v>
      </c>
      <c r="O8" s="2">
        <f>0+'VAL 11-08'!E10</f>
        <v>231</v>
      </c>
      <c r="P8" s="2">
        <f>+'VAL 11-08'!I6</f>
        <v>1230</v>
      </c>
      <c r="Q8" s="2">
        <f>0+'VAL 15 - 08'!E10</f>
        <v>150</v>
      </c>
      <c r="R8" s="2">
        <f>+'VAL 15 - 08'!I6</f>
        <v>1200</v>
      </c>
      <c r="S8" s="2">
        <f>0+'VAL 19- 08'!J6</f>
        <v>179</v>
      </c>
      <c r="T8" s="2">
        <f>0+'VAL 19- 08'!I6</f>
        <v>1432</v>
      </c>
      <c r="U8" s="2">
        <f>0+'VAL 26  - 08'!J6</f>
        <v>200</v>
      </c>
      <c r="V8" s="2">
        <f>0+'VAL 26  - 08'!I6</f>
        <v>1351</v>
      </c>
      <c r="W8" s="2"/>
      <c r="X8" s="2"/>
    </row>
    <row r="9" spans="2:24" x14ac:dyDescent="0.35">
      <c r="B9" s="2" t="s">
        <v>22</v>
      </c>
      <c r="C9" s="2"/>
      <c r="D9" s="2"/>
      <c r="E9" s="2">
        <f>+'VAL 24 - 07'!J7</f>
        <v>273</v>
      </c>
      <c r="F9" s="2">
        <f>+'VAL 24 - 07'!I7</f>
        <v>1422</v>
      </c>
      <c r="G9" s="2">
        <f>+'VAL 30-07'!J7</f>
        <v>1</v>
      </c>
      <c r="H9" s="2">
        <f>+'VAL 30-07'!I7</f>
        <v>5</v>
      </c>
      <c r="I9" s="2">
        <f>+'VAL 02- 08'!J7</f>
        <v>37</v>
      </c>
      <c r="J9" s="2">
        <f>+'VAL 02- 08'!I7</f>
        <v>200</v>
      </c>
      <c r="K9" s="2">
        <f>0+'VAL 05-08'!E22</f>
        <v>0</v>
      </c>
      <c r="L9" s="2">
        <f>+'VAL 05-08'!I7</f>
        <v>0</v>
      </c>
      <c r="M9" s="2">
        <f>0+'VAL 07 -08'!E22</f>
        <v>116</v>
      </c>
      <c r="N9" s="2">
        <f>+'VAL 07 -08'!I7</f>
        <v>580</v>
      </c>
      <c r="O9" s="2">
        <f>0+'VAL 11-08'!E22</f>
        <v>0</v>
      </c>
      <c r="P9" s="2">
        <f>+'VAL 11-08'!I7</f>
        <v>0</v>
      </c>
      <c r="Q9" s="2">
        <f>0+'VAL 15 - 08'!E22</f>
        <v>127</v>
      </c>
      <c r="R9" s="2">
        <f>+'VAL 15 - 08'!I7</f>
        <v>707</v>
      </c>
      <c r="S9" s="2">
        <f>0+'VAL 19- 08'!J7</f>
        <v>164</v>
      </c>
      <c r="T9" s="2">
        <f>0+'VAL 19- 08'!I7</f>
        <v>820</v>
      </c>
      <c r="U9" s="2">
        <f>0+'VAL 26  - 08'!J7</f>
        <v>154</v>
      </c>
      <c r="V9" s="2">
        <f>0+'VAL 26  - 08'!I7</f>
        <v>806</v>
      </c>
      <c r="W9" s="2"/>
      <c r="X9" s="2"/>
    </row>
    <row r="10" spans="2:24" x14ac:dyDescent="0.35">
      <c r="B10" s="2" t="s">
        <v>61</v>
      </c>
      <c r="C10" s="2"/>
      <c r="D10" s="2"/>
      <c r="E10" s="2">
        <f>+'VAL 24 - 07'!J8</f>
        <v>137</v>
      </c>
      <c r="F10" s="2">
        <f>+'VAL 24 - 07'!I8</f>
        <v>925</v>
      </c>
      <c r="G10" s="2">
        <f>+'VAL 30-07'!J8</f>
        <v>0</v>
      </c>
      <c r="H10" s="2">
        <f>+'VAL 30-07'!I8</f>
        <v>0</v>
      </c>
      <c r="I10" s="2">
        <f>+'VAL 02- 08'!J8</f>
        <v>52</v>
      </c>
      <c r="J10" s="2">
        <f>+'VAL 02- 08'!I8</f>
        <v>368</v>
      </c>
      <c r="K10" s="2">
        <f>0+'VAL 05-08'!E30</f>
        <v>0</v>
      </c>
      <c r="L10" s="2">
        <f>+'VAL 05-08'!I8</f>
        <v>0</v>
      </c>
      <c r="M10" s="2">
        <f>0+'VAL 07 -08'!E30</f>
        <v>126</v>
      </c>
      <c r="N10" s="2">
        <f>+'VAL 07 -08'!I8</f>
        <v>528</v>
      </c>
      <c r="O10" s="2">
        <f>0+'VAL 11-08'!E30</f>
        <v>174</v>
      </c>
      <c r="P10" s="2">
        <f>+'VAL 11-08'!I8</f>
        <v>1158</v>
      </c>
      <c r="Q10" s="2">
        <f>0+'VAL 15 - 08'!E30</f>
        <v>0</v>
      </c>
      <c r="R10" s="2">
        <f>+'VAL 15 - 08'!I8</f>
        <v>0</v>
      </c>
      <c r="S10" s="2">
        <f>0+'VAL 19- 08'!J8</f>
        <v>141</v>
      </c>
      <c r="T10" s="2">
        <f>0+'VAL 19- 08'!I8</f>
        <v>912</v>
      </c>
      <c r="U10" s="2">
        <f>0+'VAL 26  - 08'!J8</f>
        <v>115</v>
      </c>
      <c r="V10" s="2">
        <f>0+'VAL 26  - 08'!I8</f>
        <v>809</v>
      </c>
      <c r="W10" s="2"/>
      <c r="X10" s="2"/>
    </row>
    <row r="11" spans="2:24" x14ac:dyDescent="0.35">
      <c r="B11" s="2" t="s">
        <v>36</v>
      </c>
      <c r="C11" s="2"/>
      <c r="D11" s="2"/>
      <c r="E11" s="2">
        <f>+'VAL 24 - 07'!J9</f>
        <v>53</v>
      </c>
      <c r="F11" s="2">
        <f>+'VAL 24 - 07'!I9</f>
        <v>424</v>
      </c>
      <c r="G11" s="2">
        <f>+'VAL 30-07'!J9</f>
        <v>0</v>
      </c>
      <c r="H11" s="2">
        <f>+'VAL 30-07'!I9</f>
        <v>0</v>
      </c>
      <c r="I11" s="2">
        <f>+'VAL 02- 08'!J9</f>
        <v>0</v>
      </c>
      <c r="J11" s="2">
        <f>+'VAL 02- 08'!I9</f>
        <v>0</v>
      </c>
      <c r="K11" s="2">
        <f>0+'VAL 05-08'!E36</f>
        <v>85</v>
      </c>
      <c r="L11" s="2">
        <f>+'VAL 05-08'!I9</f>
        <v>680</v>
      </c>
      <c r="M11" s="2">
        <f>0+'VAL 07 -08'!E36</f>
        <v>56</v>
      </c>
      <c r="N11" s="2">
        <f>+'VAL 07 -08'!I9</f>
        <v>448</v>
      </c>
      <c r="O11" s="2">
        <f>0+'VAL 11-08'!E36</f>
        <v>66</v>
      </c>
      <c r="P11" s="2">
        <f>+'VAL 11-08'!I9</f>
        <v>528</v>
      </c>
      <c r="Q11" s="2">
        <f>0+'VAL 15 - 08'!E36</f>
        <v>45</v>
      </c>
      <c r="R11" s="2">
        <f>+'VAL 15 - 08'!I9</f>
        <v>360</v>
      </c>
      <c r="S11" s="2">
        <f>0+'VAL 19- 08'!J9</f>
        <v>0</v>
      </c>
      <c r="T11" s="2">
        <f>0+'VAL 19- 08'!I9</f>
        <v>0</v>
      </c>
      <c r="U11" s="2">
        <f>0+'VAL 26  - 08'!J9</f>
        <v>22</v>
      </c>
      <c r="V11" s="2">
        <f>0+'VAL 26  - 08'!I9</f>
        <v>176</v>
      </c>
      <c r="W11" s="2"/>
      <c r="X11" s="2"/>
    </row>
    <row r="12" spans="2:24" x14ac:dyDescent="0.35">
      <c r="B12" s="2" t="s">
        <v>43</v>
      </c>
      <c r="C12" s="2"/>
      <c r="D12" s="2"/>
      <c r="E12" s="2">
        <f>+'VAL 24 - 07'!J10</f>
        <v>0</v>
      </c>
      <c r="F12" s="2">
        <f>+'VAL 24 - 07'!I10</f>
        <v>0</v>
      </c>
      <c r="G12" s="2">
        <f>+'VAL 30-07'!J10</f>
        <v>113</v>
      </c>
      <c r="H12" s="2">
        <f>+'VAL 30-07'!I10</f>
        <v>904</v>
      </c>
      <c r="I12" s="2">
        <f>+'VAL 02- 08'!J10</f>
        <v>0</v>
      </c>
      <c r="J12" s="2">
        <f>+'VAL 02- 08'!I10</f>
        <v>0</v>
      </c>
      <c r="K12" s="2">
        <f>0+'VAL 05-08'!E43</f>
        <v>187</v>
      </c>
      <c r="L12" s="2">
        <f>+'VAL 05-08'!I10</f>
        <v>1496</v>
      </c>
      <c r="M12" s="2">
        <f>0+'VAL 07 -08'!E43</f>
        <v>3</v>
      </c>
      <c r="N12" s="2">
        <f>+'VAL 07 -08'!I10</f>
        <v>24</v>
      </c>
      <c r="O12" s="2">
        <f>0+'VAL 11-08'!E43</f>
        <v>135</v>
      </c>
      <c r="P12" s="2">
        <f>+'VAL 11-08'!I10</f>
        <v>1080</v>
      </c>
      <c r="Q12" s="2">
        <f>0+'VAL 15 - 08'!E43</f>
        <v>0</v>
      </c>
      <c r="R12" s="2">
        <f>+'VAL 15 - 08'!I10</f>
        <v>0</v>
      </c>
      <c r="S12" s="2">
        <f>0+'VAL 19- 08'!J10</f>
        <v>171</v>
      </c>
      <c r="T12" s="2">
        <f>0+'VAL 19- 08'!I10</f>
        <v>1368</v>
      </c>
      <c r="U12" s="2">
        <f>0+'VAL 26  - 08'!J10</f>
        <v>68</v>
      </c>
      <c r="V12" s="2">
        <f>0+'VAL 26  - 08'!I10</f>
        <v>544</v>
      </c>
      <c r="W12" s="2"/>
      <c r="X12" s="2"/>
    </row>
    <row r="13" spans="2:24" x14ac:dyDescent="0.35">
      <c r="B13" s="2" t="s">
        <v>51</v>
      </c>
      <c r="C13" s="2">
        <v>577</v>
      </c>
      <c r="D13" s="2">
        <f>+C13*4.5</f>
        <v>2596.5</v>
      </c>
      <c r="E13" s="2">
        <f>+'VAL 24 - 07'!J11</f>
        <v>1070</v>
      </c>
      <c r="F13" s="2">
        <f t="shared" ref="F13:K13" si="0">SUM(F7:F12)</f>
        <v>5795</v>
      </c>
      <c r="G13" s="2">
        <f t="shared" si="0"/>
        <v>752</v>
      </c>
      <c r="H13" s="2">
        <f t="shared" si="0"/>
        <v>3229</v>
      </c>
      <c r="I13" s="2">
        <f t="shared" si="0"/>
        <v>421</v>
      </c>
      <c r="J13" s="2">
        <f t="shared" si="0"/>
        <v>2093</v>
      </c>
      <c r="K13" s="2">
        <f t="shared" si="0"/>
        <v>403</v>
      </c>
      <c r="L13" s="2">
        <f t="shared" ref="L13:T13" si="1">SUM(L7:L12)</f>
        <v>2878</v>
      </c>
      <c r="M13" s="2">
        <f t="shared" si="1"/>
        <v>1001</v>
      </c>
      <c r="N13" s="2">
        <f t="shared" si="1"/>
        <v>3695</v>
      </c>
      <c r="O13" s="2">
        <f t="shared" si="1"/>
        <v>1379</v>
      </c>
      <c r="P13" s="2">
        <f t="shared" si="1"/>
        <v>6315</v>
      </c>
      <c r="Q13" s="2">
        <f t="shared" si="1"/>
        <v>868</v>
      </c>
      <c r="R13" s="15">
        <f t="shared" si="1"/>
        <v>3905</v>
      </c>
      <c r="S13" s="2">
        <f t="shared" si="1"/>
        <v>1457</v>
      </c>
      <c r="T13" s="2">
        <f t="shared" si="1"/>
        <v>6938</v>
      </c>
      <c r="U13" s="2">
        <f>0+'VAL 26  - 08'!J11</f>
        <v>1325</v>
      </c>
      <c r="V13" s="2">
        <f>0+'VAL 26  - 08'!I11</f>
        <v>5984</v>
      </c>
      <c r="W13" s="2"/>
      <c r="X13" s="2"/>
    </row>
    <row r="17" spans="2:7" x14ac:dyDescent="0.35">
      <c r="B17" s="11" t="s">
        <v>76</v>
      </c>
      <c r="C17" s="125" t="s">
        <v>3</v>
      </c>
      <c r="D17" s="131"/>
      <c r="E17" s="132"/>
      <c r="F17" s="2" t="s">
        <v>88</v>
      </c>
      <c r="G17" s="16" t="s">
        <v>77</v>
      </c>
    </row>
    <row r="18" spans="2:7" x14ac:dyDescent="0.35">
      <c r="B18" s="2" t="s">
        <v>59</v>
      </c>
      <c r="C18" s="128">
        <f>+E7+G7+I7+K7+M7+O7+Q7+S7+U7</f>
        <v>4523</v>
      </c>
      <c r="D18" s="129"/>
      <c r="E18" s="130"/>
      <c r="F18" s="2">
        <f>+F7+H7+J7+L7+N7+P7+R7+T7+V7</f>
        <v>13569</v>
      </c>
      <c r="G18" t="e">
        <f>+GANACIA!#REF!</f>
        <v>#REF!</v>
      </c>
    </row>
    <row r="19" spans="2:7" x14ac:dyDescent="0.35">
      <c r="B19" s="2" t="s">
        <v>10</v>
      </c>
      <c r="C19" s="128">
        <f>+E8+G8+I8+K8+M8+O8+Q8+S8+U8</f>
        <v>1532</v>
      </c>
      <c r="D19" s="129"/>
      <c r="E19" s="130"/>
      <c r="F19" s="2">
        <f t="shared" ref="F19:F23" si="2">+F8+H8+J8+L8+N8+P8+R8+T8+V8</f>
        <v>9991</v>
      </c>
      <c r="G19" t="e">
        <f>+GANACIA!#REF!</f>
        <v>#REF!</v>
      </c>
    </row>
    <row r="20" spans="2:7" x14ac:dyDescent="0.35">
      <c r="B20" s="2" t="s">
        <v>22</v>
      </c>
      <c r="C20" s="128">
        <f t="shared" ref="C20:C23" si="3">+E9+G9+I9+K9+M9+O9+Q9+S9+U9</f>
        <v>872</v>
      </c>
      <c r="D20" s="129"/>
      <c r="E20" s="130"/>
      <c r="F20" s="2">
        <f t="shared" si="2"/>
        <v>4540</v>
      </c>
      <c r="G20" t="e">
        <f>+GANACIA!#REF!</f>
        <v>#REF!</v>
      </c>
    </row>
    <row r="21" spans="2:7" x14ac:dyDescent="0.35">
      <c r="B21" s="2" t="s">
        <v>61</v>
      </c>
      <c r="C21" s="128">
        <f t="shared" si="3"/>
        <v>745</v>
      </c>
      <c r="D21" s="129"/>
      <c r="E21" s="130"/>
      <c r="F21" s="2">
        <f t="shared" si="2"/>
        <v>4700</v>
      </c>
      <c r="G21" t="e">
        <f>+GANACIA!#REF!</f>
        <v>#REF!</v>
      </c>
    </row>
    <row r="22" spans="2:7" x14ac:dyDescent="0.35">
      <c r="B22" s="2" t="s">
        <v>36</v>
      </c>
      <c r="C22" s="128">
        <f t="shared" si="3"/>
        <v>327</v>
      </c>
      <c r="D22" s="129"/>
      <c r="E22" s="130"/>
      <c r="F22" s="2">
        <f t="shared" si="2"/>
        <v>2616</v>
      </c>
      <c r="G22" t="e">
        <f>+GANACIA!#REF!</f>
        <v>#REF!</v>
      </c>
    </row>
    <row r="23" spans="2:7" x14ac:dyDescent="0.35">
      <c r="B23" s="2" t="s">
        <v>43</v>
      </c>
      <c r="C23" s="128">
        <f t="shared" si="3"/>
        <v>677</v>
      </c>
      <c r="D23" s="129"/>
      <c r="E23" s="130"/>
      <c r="F23" s="2">
        <f t="shared" si="2"/>
        <v>5416</v>
      </c>
      <c r="G23" t="e">
        <f>+GANACIA!#REF!</f>
        <v>#REF!</v>
      </c>
    </row>
    <row r="24" spans="2:7" x14ac:dyDescent="0.35">
      <c r="B24" s="2" t="s">
        <v>51</v>
      </c>
      <c r="C24" s="128">
        <f>577+SUM(C18:E23)</f>
        <v>9253</v>
      </c>
      <c r="D24" s="129"/>
      <c r="E24" s="130"/>
      <c r="F24" s="2">
        <f>SUM(F18:F23)+2596.5</f>
        <v>43428.5</v>
      </c>
      <c r="G24">
        <f>+GANACIA!BF14+1557.9</f>
        <v>1557.9</v>
      </c>
    </row>
    <row r="27" spans="2:7" x14ac:dyDescent="0.35">
      <c r="B27" s="11" t="s">
        <v>76</v>
      </c>
      <c r="C27" s="2" t="s">
        <v>88</v>
      </c>
      <c r="D27" s="16" t="s">
        <v>77</v>
      </c>
    </row>
    <row r="28" spans="2:7" x14ac:dyDescent="0.35">
      <c r="B28" s="2" t="s">
        <v>59</v>
      </c>
      <c r="C28" s="2">
        <f>+F18</f>
        <v>13569</v>
      </c>
      <c r="D28" t="e">
        <f>+G18</f>
        <v>#REF!</v>
      </c>
    </row>
    <row r="29" spans="2:7" x14ac:dyDescent="0.35">
      <c r="B29" s="2" t="s">
        <v>10</v>
      </c>
      <c r="C29" s="2">
        <f t="shared" ref="C29:C34" si="4">+F19</f>
        <v>9991</v>
      </c>
      <c r="D29" t="e">
        <f t="shared" ref="D29:D34" si="5">+G19</f>
        <v>#REF!</v>
      </c>
    </row>
    <row r="30" spans="2:7" x14ac:dyDescent="0.35">
      <c r="B30" s="2" t="s">
        <v>22</v>
      </c>
      <c r="C30" s="2">
        <f t="shared" si="4"/>
        <v>4540</v>
      </c>
      <c r="D30" t="e">
        <f t="shared" si="5"/>
        <v>#REF!</v>
      </c>
    </row>
    <row r="31" spans="2:7" x14ac:dyDescent="0.35">
      <c r="B31" s="2" t="s">
        <v>61</v>
      </c>
      <c r="C31" s="2">
        <f t="shared" si="4"/>
        <v>4700</v>
      </c>
      <c r="D31" t="e">
        <f t="shared" si="5"/>
        <v>#REF!</v>
      </c>
    </row>
    <row r="32" spans="2:7" x14ac:dyDescent="0.35">
      <c r="B32" s="2" t="s">
        <v>36</v>
      </c>
      <c r="C32" s="2">
        <f t="shared" si="4"/>
        <v>2616</v>
      </c>
      <c r="D32" t="e">
        <f t="shared" si="5"/>
        <v>#REF!</v>
      </c>
    </row>
    <row r="33" spans="2:4" x14ac:dyDescent="0.35">
      <c r="B33" s="2" t="s">
        <v>43</v>
      </c>
      <c r="C33" s="2">
        <f t="shared" si="4"/>
        <v>5416</v>
      </c>
      <c r="D33" t="e">
        <f t="shared" si="5"/>
        <v>#REF!</v>
      </c>
    </row>
    <row r="34" spans="2:4" x14ac:dyDescent="0.35">
      <c r="B34" s="2" t="s">
        <v>51</v>
      </c>
      <c r="C34" s="2">
        <f t="shared" si="4"/>
        <v>43428.5</v>
      </c>
      <c r="D34">
        <f t="shared" si="5"/>
        <v>1557.9</v>
      </c>
    </row>
  </sheetData>
  <mergeCells count="22">
    <mergeCell ref="S5:T5"/>
    <mergeCell ref="U5:V5"/>
    <mergeCell ref="W5:X5"/>
    <mergeCell ref="C21:E21"/>
    <mergeCell ref="C22:E22"/>
    <mergeCell ref="C23:E23"/>
    <mergeCell ref="C24:E24"/>
    <mergeCell ref="C17:E17"/>
    <mergeCell ref="C18:E18"/>
    <mergeCell ref="C19:E19"/>
    <mergeCell ref="C20:E20"/>
    <mergeCell ref="B3:R3"/>
    <mergeCell ref="B4:B5"/>
    <mergeCell ref="E5:F5"/>
    <mergeCell ref="G5:H5"/>
    <mergeCell ref="I5:J5"/>
    <mergeCell ref="K5:L5"/>
    <mergeCell ref="M5:N5"/>
    <mergeCell ref="O5:P5"/>
    <mergeCell ref="Q5:R5"/>
    <mergeCell ref="C5:D5"/>
    <mergeCell ref="C4:Q4"/>
  </mergeCells>
  <phoneticPr fontId="4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0239-975E-4A9D-A85D-CEC2D9085457}">
  <dimension ref="B2:AF49"/>
  <sheetViews>
    <sheetView topLeftCell="A39" zoomScale="65" workbookViewId="0">
      <selection activeCell="Y7" sqref="Y7"/>
    </sheetView>
  </sheetViews>
  <sheetFormatPr baseColWidth="10" defaultRowHeight="14.5" x14ac:dyDescent="0.35"/>
  <cols>
    <col min="2" max="2" width="13.1796875" bestFit="1" customWidth="1"/>
    <col min="18" max="18" width="14.26953125" bestFit="1" customWidth="1"/>
  </cols>
  <sheetData>
    <row r="2" spans="2:32" x14ac:dyDescent="0.35">
      <c r="B2" s="113" t="s">
        <v>58</v>
      </c>
      <c r="C2" s="113"/>
      <c r="D2" s="113"/>
      <c r="E2" s="113"/>
      <c r="F2" s="113"/>
      <c r="G2" s="114"/>
      <c r="H2" s="114"/>
      <c r="I2" s="114"/>
      <c r="J2" s="114"/>
      <c r="K2" s="114"/>
      <c r="L2" s="114"/>
      <c r="M2" s="17"/>
      <c r="N2" s="17"/>
      <c r="O2" s="17"/>
    </row>
    <row r="4" spans="2:32" x14ac:dyDescent="0.35">
      <c r="B4" s="2" t="s">
        <v>1</v>
      </c>
      <c r="C4" s="2" t="s">
        <v>2</v>
      </c>
      <c r="D4" s="2" t="s">
        <v>48</v>
      </c>
      <c r="E4" s="2" t="s">
        <v>3</v>
      </c>
      <c r="F4" s="5" t="s">
        <v>52</v>
      </c>
      <c r="G4" s="2" t="s">
        <v>53</v>
      </c>
      <c r="H4" s="2" t="s">
        <v>54</v>
      </c>
      <c r="I4" s="2" t="s">
        <v>55</v>
      </c>
      <c r="J4" s="2" t="s">
        <v>64</v>
      </c>
      <c r="K4" s="2" t="s">
        <v>56</v>
      </c>
      <c r="L4" s="2" t="s">
        <v>57</v>
      </c>
      <c r="M4" s="2" t="s">
        <v>90</v>
      </c>
      <c r="N4" s="2" t="s">
        <v>99</v>
      </c>
      <c r="O4" s="2" t="s">
        <v>107</v>
      </c>
      <c r="P4" s="2" t="s">
        <v>108</v>
      </c>
    </row>
    <row r="5" spans="2:32" ht="18.5" x14ac:dyDescent="0.45">
      <c r="B5" s="2" t="s">
        <v>59</v>
      </c>
      <c r="C5" s="2"/>
      <c r="D5" s="2"/>
      <c r="E5" s="2"/>
      <c r="F5" s="9">
        <f>SUM(F6:F9)</f>
        <v>286</v>
      </c>
      <c r="G5" s="9">
        <f t="shared" ref="G5:O5" si="0">SUM(G6:G9)</f>
        <v>456</v>
      </c>
      <c r="H5" s="9">
        <f t="shared" si="0"/>
        <v>192</v>
      </c>
      <c r="I5" s="9">
        <f t="shared" si="0"/>
        <v>5</v>
      </c>
      <c r="J5" s="9">
        <f>SUM(J6:J9)</f>
        <v>697</v>
      </c>
      <c r="K5" s="9">
        <f>SUM(K6:K9)</f>
        <v>773</v>
      </c>
      <c r="L5" s="9">
        <f t="shared" si="0"/>
        <v>546</v>
      </c>
      <c r="M5" s="9">
        <f t="shared" si="0"/>
        <v>802</v>
      </c>
      <c r="N5" s="9">
        <f t="shared" si="0"/>
        <v>766</v>
      </c>
      <c r="O5" s="9">
        <f t="shared" si="0"/>
        <v>636</v>
      </c>
      <c r="P5" s="9">
        <f t="shared" ref="P5" si="1">SUM(P6:P9)</f>
        <v>371</v>
      </c>
      <c r="Q5" s="18"/>
      <c r="S5" s="5" t="s">
        <v>52</v>
      </c>
      <c r="T5" s="2" t="s">
        <v>53</v>
      </c>
      <c r="U5" s="2" t="s">
        <v>54</v>
      </c>
      <c r="V5" s="2" t="s">
        <v>55</v>
      </c>
      <c r="W5" s="2" t="s">
        <v>64</v>
      </c>
      <c r="X5" s="2" t="s">
        <v>56</v>
      </c>
      <c r="Y5" s="2" t="s">
        <v>57</v>
      </c>
      <c r="Z5" s="2" t="s">
        <v>90</v>
      </c>
      <c r="AA5" s="2" t="s">
        <v>99</v>
      </c>
      <c r="AB5" s="2" t="s">
        <v>107</v>
      </c>
      <c r="AC5" s="2" t="s">
        <v>108</v>
      </c>
      <c r="AD5" s="15" t="s">
        <v>51</v>
      </c>
    </row>
    <row r="6" spans="2:32" ht="18.5" x14ac:dyDescent="0.45">
      <c r="B6" s="2" t="s">
        <v>6</v>
      </c>
      <c r="C6" s="2" t="s">
        <v>50</v>
      </c>
      <c r="D6" s="2">
        <v>1</v>
      </c>
      <c r="E6" s="2"/>
      <c r="F6" s="5">
        <f>+D6*'VAL 24 - 07'!E6</f>
        <v>123</v>
      </c>
      <c r="G6" s="2">
        <f>+D6*'VAL 30-07'!E6</f>
        <v>154</v>
      </c>
      <c r="H6" s="2">
        <f>+D6*'VAL 02- 08'!E6</f>
        <v>113</v>
      </c>
      <c r="I6" s="2">
        <f>+D6*'VAL 05-08'!E6</f>
        <v>5</v>
      </c>
      <c r="J6" s="2">
        <f>+D6*'VAL 07 -08'!E6</f>
        <v>379</v>
      </c>
      <c r="K6" s="2">
        <f>+D6*'VAL 11-08'!E6</f>
        <v>461</v>
      </c>
      <c r="L6" s="2">
        <f>+D6*'VAL 15 - 08'!E6</f>
        <v>202</v>
      </c>
      <c r="M6">
        <f>+D6*'VAL 19- 08'!E6</f>
        <v>470</v>
      </c>
      <c r="N6">
        <f>+D6*'VAL 26  - 08'!E6</f>
        <v>547</v>
      </c>
      <c r="O6">
        <f>+D6*'VAL 03- 09'!E6</f>
        <v>164</v>
      </c>
      <c r="P6">
        <f>+D6*'VAL 04 - 09'!E6</f>
        <v>291</v>
      </c>
      <c r="R6" t="s">
        <v>72</v>
      </c>
      <c r="S6" s="9">
        <f t="shared" ref="S6:AC6" si="2">0+F5</f>
        <v>286</v>
      </c>
      <c r="T6" s="9">
        <f t="shared" si="2"/>
        <v>456</v>
      </c>
      <c r="U6" s="9">
        <f t="shared" si="2"/>
        <v>192</v>
      </c>
      <c r="V6" s="9">
        <f t="shared" si="2"/>
        <v>5</v>
      </c>
      <c r="W6" s="9">
        <f t="shared" si="2"/>
        <v>697</v>
      </c>
      <c r="X6" s="9">
        <f t="shared" si="2"/>
        <v>773</v>
      </c>
      <c r="Y6" s="9">
        <f t="shared" si="2"/>
        <v>546</v>
      </c>
      <c r="Z6" s="9">
        <f t="shared" si="2"/>
        <v>802</v>
      </c>
      <c r="AA6" s="9">
        <f t="shared" si="2"/>
        <v>766</v>
      </c>
      <c r="AB6" s="9">
        <f t="shared" si="2"/>
        <v>636</v>
      </c>
      <c r="AC6" s="9">
        <f t="shared" si="2"/>
        <v>371</v>
      </c>
      <c r="AD6" s="14">
        <f>SUM(S6:AC6)</f>
        <v>5530</v>
      </c>
    </row>
    <row r="7" spans="2:32" ht="18.5" x14ac:dyDescent="0.45">
      <c r="B7" s="2" t="s">
        <v>7</v>
      </c>
      <c r="C7" s="2" t="s">
        <v>50</v>
      </c>
      <c r="D7" s="2">
        <v>1</v>
      </c>
      <c r="E7" s="2"/>
      <c r="F7" s="5">
        <f>+D7*'VAL 24 - 07'!E7</f>
        <v>163</v>
      </c>
      <c r="G7" s="2">
        <f>+D7*'VAL 30-07'!E7</f>
        <v>162</v>
      </c>
      <c r="H7" s="2">
        <f>+D7*'VAL 02- 08'!E7</f>
        <v>0</v>
      </c>
      <c r="I7" s="2">
        <f>+D7*'VAL 05-08'!E7</f>
        <v>0</v>
      </c>
      <c r="J7" s="2">
        <f>+D7*'VAL 07 -08'!E7</f>
        <v>114</v>
      </c>
      <c r="K7" s="2">
        <f>+D7*'VAL 11-08'!E7</f>
        <v>145</v>
      </c>
      <c r="L7" s="2">
        <f>+D7*'VAL 15 - 08'!E7</f>
        <v>204</v>
      </c>
      <c r="M7">
        <f>+D7*'VAL 19- 08'!E7</f>
        <v>105</v>
      </c>
      <c r="N7">
        <f>+D7*'VAL 26  - 08'!E7</f>
        <v>105</v>
      </c>
      <c r="O7">
        <f>+D7*'VAL 03- 09'!E7</f>
        <v>295</v>
      </c>
      <c r="P7">
        <f>+D7*'VAL 04 - 09'!E7</f>
        <v>0</v>
      </c>
      <c r="R7" t="s">
        <v>10</v>
      </c>
      <c r="S7" s="9">
        <f t="shared" ref="S7:AC7" si="3">+F10</f>
        <v>1337</v>
      </c>
      <c r="T7" s="9">
        <f t="shared" si="3"/>
        <v>574</v>
      </c>
      <c r="U7" s="9">
        <f t="shared" si="3"/>
        <v>586</v>
      </c>
      <c r="V7" s="9">
        <f t="shared" si="3"/>
        <v>416</v>
      </c>
      <c r="W7" s="9">
        <f t="shared" si="3"/>
        <v>15</v>
      </c>
      <c r="X7" s="9">
        <f t="shared" si="3"/>
        <v>743</v>
      </c>
      <c r="Y7" s="9">
        <f t="shared" si="3"/>
        <v>750</v>
      </c>
      <c r="Z7" s="9">
        <f t="shared" si="3"/>
        <v>895</v>
      </c>
      <c r="AA7" s="9">
        <f t="shared" si="3"/>
        <v>834</v>
      </c>
      <c r="AB7" s="9">
        <f t="shared" si="3"/>
        <v>0</v>
      </c>
      <c r="AC7" s="9">
        <f t="shared" si="3"/>
        <v>555</v>
      </c>
      <c r="AD7" s="14">
        <f t="shared" ref="AD7:AD11" si="4">SUM(S7:AC7)</f>
        <v>6705</v>
      </c>
    </row>
    <row r="8" spans="2:32" ht="18.5" x14ac:dyDescent="0.45">
      <c r="B8" s="2" t="s">
        <v>8</v>
      </c>
      <c r="C8" s="2" t="s">
        <v>50</v>
      </c>
      <c r="D8" s="2">
        <v>1</v>
      </c>
      <c r="E8" s="2"/>
      <c r="F8" s="5">
        <f>+D8*'VAL 24 - 07'!E8</f>
        <v>0</v>
      </c>
      <c r="G8" s="2">
        <f>+D8*'VAL 30-07'!E8</f>
        <v>123</v>
      </c>
      <c r="H8" s="2">
        <f>+D8*'VAL 02- 08'!E8</f>
        <v>79</v>
      </c>
      <c r="I8" s="2">
        <f>+D8*'VAL 05-08'!E8</f>
        <v>0</v>
      </c>
      <c r="J8" s="2">
        <f>+D8*'VAL 07 -08'!E8</f>
        <v>204</v>
      </c>
      <c r="K8" s="2">
        <f>+D8*'VAL 11-08'!E8</f>
        <v>128</v>
      </c>
      <c r="L8" s="2">
        <f>+D8*'VAL 15 - 08'!E8</f>
        <v>113</v>
      </c>
      <c r="M8">
        <f>+D8*'VAL 19- 08'!E8</f>
        <v>227</v>
      </c>
      <c r="N8">
        <f>+D8*'VAL 26  - 08'!E8</f>
        <v>114</v>
      </c>
      <c r="O8">
        <f>+D8*'VAL 03- 09'!E8</f>
        <v>177</v>
      </c>
      <c r="P8">
        <f>+D8*'VAL 04 - 09'!E8</f>
        <v>80</v>
      </c>
      <c r="R8" t="s">
        <v>22</v>
      </c>
      <c r="S8" s="9">
        <f t="shared" ref="S8:AC8" si="5">+F22</f>
        <v>857</v>
      </c>
      <c r="T8" s="9">
        <f t="shared" si="5"/>
        <v>3</v>
      </c>
      <c r="U8" s="9">
        <f t="shared" si="5"/>
        <v>121</v>
      </c>
      <c r="V8" s="9">
        <f t="shared" si="5"/>
        <v>0</v>
      </c>
      <c r="W8" s="9">
        <f t="shared" si="5"/>
        <v>348</v>
      </c>
      <c r="X8" s="9">
        <f t="shared" si="5"/>
        <v>0</v>
      </c>
      <c r="Y8" s="9">
        <f t="shared" si="5"/>
        <v>429</v>
      </c>
      <c r="Z8" s="9">
        <f t="shared" si="5"/>
        <v>492</v>
      </c>
      <c r="AA8" s="9">
        <f t="shared" si="5"/>
        <v>486</v>
      </c>
      <c r="AB8" s="9">
        <f t="shared" si="5"/>
        <v>342</v>
      </c>
      <c r="AC8" s="9">
        <f t="shared" si="5"/>
        <v>261</v>
      </c>
      <c r="AD8" s="14">
        <f t="shared" si="4"/>
        <v>3339</v>
      </c>
    </row>
    <row r="9" spans="2:32" ht="18.5" x14ac:dyDescent="0.45">
      <c r="B9" s="2" t="s">
        <v>9</v>
      </c>
      <c r="C9" s="2" t="s">
        <v>50</v>
      </c>
      <c r="D9" s="2">
        <v>1</v>
      </c>
      <c r="E9" s="2"/>
      <c r="F9" s="5">
        <f>+D9*'VAL 24 - 07'!E9</f>
        <v>0</v>
      </c>
      <c r="G9" s="2">
        <f>+D9*'VAL 30-07'!E9</f>
        <v>17</v>
      </c>
      <c r="H9" s="2">
        <f>+D9*'VAL 02- 08'!E9</f>
        <v>0</v>
      </c>
      <c r="I9" s="2">
        <f>+D9*'VAL 05-08'!E9</f>
        <v>0</v>
      </c>
      <c r="J9" s="2">
        <f>+D9*'VAL 07 -08'!E9</f>
        <v>0</v>
      </c>
      <c r="K9" s="2">
        <f>+D9*'VAL 11-08'!E9</f>
        <v>39</v>
      </c>
      <c r="L9" s="2">
        <f>+D9*'VAL 15 - 08'!E9</f>
        <v>27</v>
      </c>
      <c r="M9">
        <f>+D9*'VAL 19- 08'!E9</f>
        <v>0</v>
      </c>
      <c r="N9">
        <f>+D9*'VAL 26  - 08'!E9</f>
        <v>0</v>
      </c>
      <c r="O9">
        <f>+D9*'VAL 03- 09'!E9</f>
        <v>0</v>
      </c>
      <c r="P9">
        <f>+D9*'VAL 04 - 09'!E9</f>
        <v>0</v>
      </c>
      <c r="R9" t="s">
        <v>30</v>
      </c>
      <c r="S9" s="9">
        <f t="shared" ref="S9:AC9" si="6">+F30</f>
        <v>571</v>
      </c>
      <c r="T9" s="9">
        <f t="shared" si="6"/>
        <v>0</v>
      </c>
      <c r="U9" s="9">
        <f t="shared" si="6"/>
        <v>228</v>
      </c>
      <c r="V9" s="9">
        <f t="shared" si="6"/>
        <v>0</v>
      </c>
      <c r="W9" s="9">
        <f t="shared" si="6"/>
        <v>510</v>
      </c>
      <c r="X9" s="9">
        <f t="shared" si="6"/>
        <v>714</v>
      </c>
      <c r="Y9" s="9">
        <f t="shared" si="6"/>
        <v>0</v>
      </c>
      <c r="Z9" s="9">
        <f t="shared" si="6"/>
        <v>561</v>
      </c>
      <c r="AA9" s="9">
        <f t="shared" si="6"/>
        <v>501</v>
      </c>
      <c r="AB9" s="9">
        <f t="shared" si="6"/>
        <v>0</v>
      </c>
      <c r="AC9" s="9">
        <f t="shared" si="6"/>
        <v>0</v>
      </c>
      <c r="AD9" s="14">
        <f t="shared" si="4"/>
        <v>3085</v>
      </c>
    </row>
    <row r="10" spans="2:32" ht="18.5" x14ac:dyDescent="0.45">
      <c r="B10" s="2" t="s">
        <v>10</v>
      </c>
      <c r="C10" s="2"/>
      <c r="D10" s="2"/>
      <c r="E10" s="2"/>
      <c r="F10" s="10">
        <f>SUM(F11:F21)</f>
        <v>1337</v>
      </c>
      <c r="G10" s="10">
        <f t="shared" ref="G10:O10" si="7">SUM(G11:G21)</f>
        <v>574</v>
      </c>
      <c r="H10" s="10">
        <f t="shared" si="7"/>
        <v>586</v>
      </c>
      <c r="I10" s="10">
        <f t="shared" si="7"/>
        <v>416</v>
      </c>
      <c r="J10" s="10">
        <f>SUM(J11:J21)</f>
        <v>15</v>
      </c>
      <c r="K10" s="10">
        <f t="shared" si="7"/>
        <v>743</v>
      </c>
      <c r="L10" s="10">
        <f t="shared" si="7"/>
        <v>750</v>
      </c>
      <c r="M10" s="10">
        <f t="shared" si="7"/>
        <v>895</v>
      </c>
      <c r="N10" s="10">
        <f t="shared" si="7"/>
        <v>834</v>
      </c>
      <c r="O10" s="10">
        <f t="shared" si="7"/>
        <v>0</v>
      </c>
      <c r="P10" s="10">
        <f t="shared" ref="P10" si="8">SUM(P11:P21)</f>
        <v>555</v>
      </c>
      <c r="Q10" s="13"/>
      <c r="R10" t="s">
        <v>36</v>
      </c>
      <c r="S10" s="9">
        <f t="shared" ref="S10:AC10" si="9">+F36</f>
        <v>265</v>
      </c>
      <c r="T10" s="9">
        <f t="shared" si="9"/>
        <v>0</v>
      </c>
      <c r="U10" s="9">
        <f t="shared" si="9"/>
        <v>0</v>
      </c>
      <c r="V10" s="9">
        <f t="shared" si="9"/>
        <v>425</v>
      </c>
      <c r="W10" s="9">
        <f t="shared" si="9"/>
        <v>280</v>
      </c>
      <c r="X10" s="9">
        <f t="shared" si="9"/>
        <v>330</v>
      </c>
      <c r="Y10" s="9">
        <f t="shared" si="9"/>
        <v>225</v>
      </c>
      <c r="Z10" s="9">
        <f t="shared" si="9"/>
        <v>0</v>
      </c>
      <c r="AA10" s="9">
        <f t="shared" si="9"/>
        <v>110</v>
      </c>
      <c r="AB10" s="9">
        <f t="shared" si="9"/>
        <v>0</v>
      </c>
      <c r="AC10" s="9">
        <f t="shared" si="9"/>
        <v>0</v>
      </c>
      <c r="AD10" s="14">
        <f t="shared" si="4"/>
        <v>1635</v>
      </c>
    </row>
    <row r="11" spans="2:32" ht="18.5" x14ac:dyDescent="0.45">
      <c r="B11" s="2" t="s">
        <v>11</v>
      </c>
      <c r="C11" s="2" t="s">
        <v>50</v>
      </c>
      <c r="D11" s="2">
        <v>3</v>
      </c>
      <c r="E11" s="2"/>
      <c r="F11" s="5">
        <f>+D11*'VAL 24 - 07'!E11</f>
        <v>402</v>
      </c>
      <c r="G11" s="2">
        <f>+D11*'VAL 30-07'!E11</f>
        <v>504</v>
      </c>
      <c r="H11" s="2">
        <f>+D11*'VAL 02- 08'!E11</f>
        <v>171</v>
      </c>
      <c r="I11" s="2">
        <f>+D11*'VAL 05-08'!E11</f>
        <v>321</v>
      </c>
      <c r="J11" s="2">
        <f>+D11*'VAL 07 -08'!E11</f>
        <v>0</v>
      </c>
      <c r="K11" s="2">
        <f>+D11*'VAL 11-08'!E11</f>
        <v>618</v>
      </c>
      <c r="L11" s="2">
        <f>+D11*'VAL 15 - 08'!E11</f>
        <v>0</v>
      </c>
      <c r="M11">
        <f>+D11*'VAL 19- 08'!E11</f>
        <v>0</v>
      </c>
      <c r="N11">
        <f>+D11*'VAL 26  - 08'!E11</f>
        <v>249</v>
      </c>
      <c r="O11">
        <f>+D11*'VAL 03- 09'!E11</f>
        <v>0</v>
      </c>
      <c r="P11">
        <f>+D11*'VAL 04 - 09'!E11</f>
        <v>0</v>
      </c>
      <c r="R11" t="s">
        <v>43</v>
      </c>
      <c r="S11" s="9">
        <f t="shared" ref="S11:Z11" si="10">+F43</f>
        <v>0</v>
      </c>
      <c r="T11" s="9">
        <f t="shared" si="10"/>
        <v>565</v>
      </c>
      <c r="U11" s="9">
        <f t="shared" si="10"/>
        <v>0</v>
      </c>
      <c r="V11" s="9">
        <f t="shared" si="10"/>
        <v>935</v>
      </c>
      <c r="W11" s="9">
        <f t="shared" si="10"/>
        <v>15</v>
      </c>
      <c r="X11" s="9">
        <f t="shared" si="10"/>
        <v>675</v>
      </c>
      <c r="Y11" s="9">
        <f t="shared" si="10"/>
        <v>0</v>
      </c>
      <c r="Z11" s="9">
        <f t="shared" si="10"/>
        <v>855</v>
      </c>
      <c r="AA11" s="9">
        <f t="shared" ref="AA11:AB11" si="11">+S43</f>
        <v>0</v>
      </c>
      <c r="AB11" s="9">
        <f t="shared" si="11"/>
        <v>0</v>
      </c>
      <c r="AC11" s="9">
        <f>+P43</f>
        <v>540</v>
      </c>
      <c r="AD11" s="14">
        <f t="shared" si="4"/>
        <v>3585</v>
      </c>
    </row>
    <row r="12" spans="2:32" ht="18.5" x14ac:dyDescent="0.45">
      <c r="B12" s="2" t="s">
        <v>12</v>
      </c>
      <c r="C12" s="2" t="s">
        <v>50</v>
      </c>
      <c r="D12" s="2">
        <v>5</v>
      </c>
      <c r="E12" s="2"/>
      <c r="F12" s="5">
        <f>+D12*'VAL 24 - 07'!E12</f>
        <v>65</v>
      </c>
      <c r="G12" s="2">
        <f>+D12*'VAL 30-07'!E12</f>
        <v>0</v>
      </c>
      <c r="H12" s="2">
        <f>+D12*'VAL 02- 08'!E12</f>
        <v>40</v>
      </c>
      <c r="I12" s="2">
        <f>+D12*'VAL 05-08'!E12</f>
        <v>0</v>
      </c>
      <c r="J12" s="2">
        <f>+D12*'VAL 07 -08'!E12</f>
        <v>0</v>
      </c>
      <c r="K12" s="2">
        <f>+D12*'VAL 11-08'!E12</f>
        <v>0</v>
      </c>
      <c r="L12" s="2">
        <f>+D12*'VAL 15 - 08'!E12</f>
        <v>55</v>
      </c>
      <c r="M12">
        <f>+D12*'VAL 19- 08'!E12</f>
        <v>105</v>
      </c>
      <c r="N12">
        <f>+D12*'VAL 26  - 08'!E12</f>
        <v>35</v>
      </c>
      <c r="O12">
        <f>+D12*'VAL 03- 09'!E12</f>
        <v>0</v>
      </c>
      <c r="P12">
        <f>+D12*'VAL 04 - 09'!E12</f>
        <v>65</v>
      </c>
      <c r="S12" s="14">
        <f>SUM(S6:S11)</f>
        <v>3316</v>
      </c>
      <c r="T12" s="14">
        <f t="shared" ref="T12:AB12" si="12">SUM(T6:T11)</f>
        <v>1598</v>
      </c>
      <c r="U12" s="14">
        <f t="shared" si="12"/>
        <v>1127</v>
      </c>
      <c r="V12" s="14">
        <f t="shared" si="12"/>
        <v>1781</v>
      </c>
      <c r="W12" s="14">
        <f t="shared" si="12"/>
        <v>1865</v>
      </c>
      <c r="X12" s="14">
        <f t="shared" si="12"/>
        <v>3235</v>
      </c>
      <c r="Y12" s="14">
        <f t="shared" si="12"/>
        <v>1950</v>
      </c>
      <c r="Z12" s="14">
        <f t="shared" si="12"/>
        <v>3605</v>
      </c>
      <c r="AA12" s="14">
        <f t="shared" si="12"/>
        <v>2697</v>
      </c>
      <c r="AB12" s="14">
        <f t="shared" si="12"/>
        <v>978</v>
      </c>
      <c r="AC12" s="14">
        <f>SUM(AC6:AC11)</f>
        <v>1727</v>
      </c>
      <c r="AD12" s="14">
        <f>SUM(AD6:AD11)</f>
        <v>23879</v>
      </c>
    </row>
    <row r="13" spans="2:32" x14ac:dyDescent="0.35">
      <c r="B13" s="2" t="s">
        <v>13</v>
      </c>
      <c r="C13" s="2" t="s">
        <v>50</v>
      </c>
      <c r="D13" s="2">
        <v>5</v>
      </c>
      <c r="E13" s="2"/>
      <c r="F13" s="5">
        <f>+D13*'VAL 24 - 07'!E13</f>
        <v>95</v>
      </c>
      <c r="G13" s="2">
        <f>+D13*'VAL 30-07'!E13</f>
        <v>0</v>
      </c>
      <c r="H13" s="2">
        <f>+D13*'VAL 02- 08'!E13</f>
        <v>35</v>
      </c>
      <c r="I13" s="2">
        <f>+D13*'VAL 05-08'!E13</f>
        <v>0</v>
      </c>
      <c r="J13" s="2">
        <f>+D13*'VAL 07 -08'!E13</f>
        <v>0</v>
      </c>
      <c r="K13" s="2">
        <f>+D13*'VAL 11-08'!E13</f>
        <v>0</v>
      </c>
      <c r="L13" s="2">
        <f>+D13*'VAL 15 - 08'!E13</f>
        <v>110</v>
      </c>
      <c r="M13">
        <f>+D13*'VAL 19- 08'!E13</f>
        <v>70</v>
      </c>
      <c r="N13">
        <f>+D13*'VAL 26  - 08'!E13</f>
        <v>50</v>
      </c>
      <c r="O13">
        <f>+D13*'VAL 03- 09'!E13</f>
        <v>0</v>
      </c>
      <c r="P13">
        <f>+D13*'VAL 04 - 09'!E13</f>
        <v>45</v>
      </c>
    </row>
    <row r="14" spans="2:32" x14ac:dyDescent="0.35">
      <c r="B14" s="2" t="s">
        <v>14</v>
      </c>
      <c r="C14" s="2" t="s">
        <v>50</v>
      </c>
      <c r="D14" s="2">
        <v>5</v>
      </c>
      <c r="E14" s="2"/>
      <c r="F14" s="5">
        <f>+D14*'VAL 24 - 07'!E14</f>
        <v>30</v>
      </c>
      <c r="G14" s="2">
        <f>+D14*'VAL 30-07'!E14</f>
        <v>0</v>
      </c>
      <c r="H14" s="2">
        <f>+D14*'VAL 02- 08'!E14</f>
        <v>10</v>
      </c>
      <c r="I14" s="2">
        <f>+D14*'VAL 05-08'!E14</f>
        <v>0</v>
      </c>
      <c r="J14" s="2">
        <f>+D14*'VAL 07 -08'!E14</f>
        <v>0</v>
      </c>
      <c r="K14" s="2">
        <f>+D14*'VAL 11-08'!E14</f>
        <v>0</v>
      </c>
      <c r="L14" s="2">
        <f>+D14*'VAL 15 - 08'!E14</f>
        <v>35</v>
      </c>
      <c r="M14">
        <f>+D14*'VAL 19- 08'!E14</f>
        <v>55</v>
      </c>
      <c r="N14">
        <f>+D14*'VAL 26  - 08'!E14</f>
        <v>25</v>
      </c>
      <c r="O14">
        <f>+D14*'VAL 03- 09'!E14</f>
        <v>0</v>
      </c>
      <c r="P14">
        <f>+D14*'VAL 04 - 09'!E14</f>
        <v>15</v>
      </c>
      <c r="T14" t="s">
        <v>93</v>
      </c>
    </row>
    <row r="15" spans="2:32" x14ac:dyDescent="0.35">
      <c r="B15" s="2" t="s">
        <v>15</v>
      </c>
      <c r="C15" s="2" t="s">
        <v>50</v>
      </c>
      <c r="D15" s="2">
        <v>5</v>
      </c>
      <c r="E15" s="2"/>
      <c r="F15" s="5">
        <f>+D15*'VAL 24 - 07'!E15</f>
        <v>0</v>
      </c>
      <c r="G15" s="2">
        <f>+D15*'VAL 30-07'!E15</f>
        <v>0</v>
      </c>
      <c r="H15" s="2">
        <f>+D15*'VAL 02- 08'!E15</f>
        <v>0</v>
      </c>
      <c r="I15" s="2">
        <f>+D15*'VAL 05-08'!E15</f>
        <v>0</v>
      </c>
      <c r="J15" s="2">
        <f>+D15*'VAL 07 -08'!E15</f>
        <v>15</v>
      </c>
      <c r="K15" s="2">
        <f>+D15*'VAL 11-08'!E15</f>
        <v>10</v>
      </c>
      <c r="L15" s="2">
        <f>+D15*'VAL 15 - 08'!E15</f>
        <v>0</v>
      </c>
      <c r="M15">
        <f>+D15*'VAL 19- 08'!E15</f>
        <v>0</v>
      </c>
      <c r="N15">
        <f>+D15*'VAL 26  - 08'!E15</f>
        <v>5</v>
      </c>
      <c r="O15">
        <f>+D15*'VAL 03- 09'!E15</f>
        <v>0</v>
      </c>
      <c r="P15">
        <f>+D15*'VAL 04 - 09'!E15</f>
        <v>0</v>
      </c>
      <c r="R15" t="s">
        <v>91</v>
      </c>
      <c r="S15" t="s">
        <v>92</v>
      </c>
      <c r="T15" t="s">
        <v>82</v>
      </c>
      <c r="U15" t="s">
        <v>83</v>
      </c>
      <c r="V15" t="s">
        <v>84</v>
      </c>
      <c r="W15" t="s">
        <v>85</v>
      </c>
      <c r="X15" t="s">
        <v>86</v>
      </c>
      <c r="Z15" t="s">
        <v>91</v>
      </c>
      <c r="AA15" t="s">
        <v>92</v>
      </c>
      <c r="AB15" t="s">
        <v>82</v>
      </c>
      <c r="AC15" t="s">
        <v>83</v>
      </c>
      <c r="AD15" t="s">
        <v>84</v>
      </c>
      <c r="AE15" t="s">
        <v>85</v>
      </c>
      <c r="AF15" t="s">
        <v>86</v>
      </c>
    </row>
    <row r="16" spans="2:32" x14ac:dyDescent="0.35">
      <c r="B16" s="2" t="s">
        <v>16</v>
      </c>
      <c r="C16" s="2" t="s">
        <v>50</v>
      </c>
      <c r="D16" s="2">
        <v>5</v>
      </c>
      <c r="E16" s="2"/>
      <c r="F16" s="5">
        <f>+D16*'VAL 24 - 07'!E16</f>
        <v>155</v>
      </c>
      <c r="G16" s="2">
        <f>+D16*'VAL 30-07'!E16</f>
        <v>0</v>
      </c>
      <c r="H16" s="2">
        <f>+D16*'VAL 02- 08'!E16</f>
        <v>55</v>
      </c>
      <c r="I16" s="2">
        <f>+D16*'VAL 05-08'!E16</f>
        <v>0</v>
      </c>
      <c r="J16" s="2">
        <f>+D16*'VAL 07 -08'!E16</f>
        <v>0</v>
      </c>
      <c r="K16" s="2">
        <f>+D16*'VAL 11-08'!E16</f>
        <v>0</v>
      </c>
      <c r="L16" s="2">
        <f>+D16*'VAL 15 - 08'!E16</f>
        <v>115</v>
      </c>
      <c r="M16">
        <f>+D16*'VAL 19- 08'!E16</f>
        <v>155</v>
      </c>
      <c r="N16">
        <f>+D16*'VAL 26  - 08'!E16</f>
        <v>45</v>
      </c>
      <c r="O16">
        <f>+D16*'VAL 03- 09'!E16</f>
        <v>0</v>
      </c>
      <c r="P16">
        <f>+D16*'VAL 04 - 09'!E16</f>
        <v>120</v>
      </c>
      <c r="R16" t="s">
        <v>10</v>
      </c>
      <c r="S16">
        <f>SUM(S7:V7)</f>
        <v>2913</v>
      </c>
      <c r="T16">
        <f>SUM(W6:AA6)</f>
        <v>3584</v>
      </c>
      <c r="U16">
        <f>SUM(AB6:AC6)</f>
        <v>1007</v>
      </c>
    </row>
    <row r="17" spans="2:28" x14ac:dyDescent="0.35">
      <c r="B17" s="2" t="s">
        <v>17</v>
      </c>
      <c r="C17" s="2" t="s">
        <v>50</v>
      </c>
      <c r="D17" s="2">
        <v>5</v>
      </c>
      <c r="E17" s="2"/>
      <c r="F17" s="5">
        <f>+D17*'VAL 24 - 07'!E17</f>
        <v>20</v>
      </c>
      <c r="G17" s="2">
        <f>+D17*'VAL 30-07'!E17</f>
        <v>0</v>
      </c>
      <c r="H17" s="2">
        <f>+D17*'VAL 02- 08'!E17</f>
        <v>25</v>
      </c>
      <c r="I17" s="2">
        <f>+D17*'VAL 05-08'!E17</f>
        <v>0</v>
      </c>
      <c r="J17" s="2">
        <f>+D17*'VAL 07 -08'!E17</f>
        <v>0</v>
      </c>
      <c r="K17" s="2">
        <f>+D17*'VAL 11-08'!E17</f>
        <v>0</v>
      </c>
      <c r="L17" s="2">
        <f>+D17*'VAL 15 - 08'!E17</f>
        <v>20</v>
      </c>
      <c r="M17">
        <f>+D17*'VAL 19- 08'!E17</f>
        <v>45</v>
      </c>
      <c r="N17">
        <f>+D17*'VAL 26  - 08'!E17</f>
        <v>5</v>
      </c>
      <c r="O17">
        <f>+D17*'VAL 03- 09'!E17</f>
        <v>0</v>
      </c>
      <c r="P17">
        <f>+D17*'VAL 04 - 09'!E17</f>
        <v>45</v>
      </c>
      <c r="R17" t="s">
        <v>30</v>
      </c>
      <c r="S17">
        <f>SUM(S9:V9)</f>
        <v>799</v>
      </c>
      <c r="T17">
        <f t="shared" ref="T17:T19" si="13">SUM(W7:AA7)</f>
        <v>3237</v>
      </c>
      <c r="U17">
        <f t="shared" ref="U17:U19" si="14">SUM(AB7:AC7)</f>
        <v>555</v>
      </c>
      <c r="Z17" t="s">
        <v>59</v>
      </c>
      <c r="AA17">
        <f>SUM(S6:V6)</f>
        <v>939</v>
      </c>
      <c r="AB17">
        <f>SUM(W6:Z6)</f>
        <v>2818</v>
      </c>
    </row>
    <row r="18" spans="2:28" x14ac:dyDescent="0.35">
      <c r="B18" s="2" t="s">
        <v>18</v>
      </c>
      <c r="C18" s="2" t="s">
        <v>50</v>
      </c>
      <c r="D18" s="2">
        <v>5</v>
      </c>
      <c r="E18" s="2"/>
      <c r="F18" s="5">
        <f>+D18*'VAL 24 - 07'!E18</f>
        <v>120</v>
      </c>
      <c r="G18" s="2">
        <f>+D18*'VAL 30-07'!E18</f>
        <v>70</v>
      </c>
      <c r="H18" s="2">
        <f>+D18*'VAL 02- 08'!E18</f>
        <v>45</v>
      </c>
      <c r="I18" s="2">
        <f>+D18*'VAL 05-08'!E18</f>
        <v>95</v>
      </c>
      <c r="J18" s="2">
        <f>+D18*'VAL 07 -08'!E18</f>
        <v>0</v>
      </c>
      <c r="K18" s="2">
        <f>+D18*'VAL 11-08'!E18</f>
        <v>115</v>
      </c>
      <c r="L18" s="2">
        <f>+D18*'VAL 15 - 08'!E18</f>
        <v>0</v>
      </c>
      <c r="M18">
        <f>+D18*'VAL 19- 08'!E18</f>
        <v>0</v>
      </c>
      <c r="N18">
        <f>+D18*'VAL 26  - 08'!E18</f>
        <v>100</v>
      </c>
      <c r="O18">
        <f>+D18*'VAL 03- 09'!E18</f>
        <v>0</v>
      </c>
      <c r="P18">
        <f>+D18*'VAL 04 - 09'!E18</f>
        <v>0</v>
      </c>
      <c r="R18" t="s">
        <v>36</v>
      </c>
      <c r="S18">
        <f>SUM(S10:V10)</f>
        <v>690</v>
      </c>
      <c r="T18">
        <f t="shared" si="13"/>
        <v>1755</v>
      </c>
      <c r="U18">
        <f t="shared" si="14"/>
        <v>603</v>
      </c>
      <c r="Z18" t="s">
        <v>94</v>
      </c>
      <c r="AA18">
        <f>SUM(S8:V8)</f>
        <v>981</v>
      </c>
      <c r="AB18">
        <f>SUM(W8:Z8)</f>
        <v>1269</v>
      </c>
    </row>
    <row r="19" spans="2:28" x14ac:dyDescent="0.35">
      <c r="B19" s="2" t="s">
        <v>19</v>
      </c>
      <c r="C19" s="2" t="s">
        <v>50</v>
      </c>
      <c r="D19" s="2">
        <v>5</v>
      </c>
      <c r="E19" s="2"/>
      <c r="F19" s="5">
        <f>+D19*'VAL 24 - 07'!E19</f>
        <v>205</v>
      </c>
      <c r="G19" s="2">
        <f>+D19*'VAL 30-07'!E19</f>
        <v>0</v>
      </c>
      <c r="H19" s="2">
        <f>+D19*'VAL 02- 08'!E19</f>
        <v>90</v>
      </c>
      <c r="I19" s="2">
        <f>+D19*'VAL 05-08'!E19</f>
        <v>0</v>
      </c>
      <c r="J19" s="2">
        <f>+D19*'VAL 07 -08'!E19</f>
        <v>0</v>
      </c>
      <c r="K19" s="2">
        <f>+D19*'VAL 11-08'!E19</f>
        <v>0</v>
      </c>
      <c r="L19" s="2">
        <f>+D19*'VAL 15 - 08'!E19</f>
        <v>170</v>
      </c>
      <c r="M19">
        <f>+D19*'VAL 19- 08'!E19</f>
        <v>180</v>
      </c>
      <c r="N19">
        <f>+D19*'VAL 26  - 08'!E19</f>
        <v>160</v>
      </c>
      <c r="O19">
        <f>+D19*'VAL 03- 09'!E19</f>
        <v>0</v>
      </c>
      <c r="P19">
        <f>+D19*'VAL 04 - 09'!E19</f>
        <v>140</v>
      </c>
      <c r="R19" t="s">
        <v>43</v>
      </c>
      <c r="S19">
        <f>SUM(S11:V11)</f>
        <v>1500</v>
      </c>
      <c r="T19">
        <f t="shared" si="13"/>
        <v>2286</v>
      </c>
      <c r="U19">
        <f t="shared" si="14"/>
        <v>0</v>
      </c>
      <c r="Z19" t="s">
        <v>51</v>
      </c>
      <c r="AA19">
        <f>SUM(AA17:AA18)</f>
        <v>1920</v>
      </c>
      <c r="AB19">
        <f>SUM(AB17:AB18)</f>
        <v>4087</v>
      </c>
    </row>
    <row r="20" spans="2:28" x14ac:dyDescent="0.35">
      <c r="B20" s="2" t="s">
        <v>20</v>
      </c>
      <c r="C20" s="2" t="s">
        <v>50</v>
      </c>
      <c r="D20" s="2">
        <v>5</v>
      </c>
      <c r="E20" s="2"/>
      <c r="F20" s="5">
        <f>+D20*'VAL 24 - 07'!E20</f>
        <v>245</v>
      </c>
      <c r="G20" s="2">
        <f>+D20*'VAL 30-07'!E20</f>
        <v>0</v>
      </c>
      <c r="H20" s="2">
        <f>+D20*'VAL 02- 08'!E20</f>
        <v>110</v>
      </c>
      <c r="I20" s="2">
        <f>+D20*'VAL 05-08'!E20</f>
        <v>0</v>
      </c>
      <c r="J20" s="2">
        <f>+D20*'VAL 07 -08'!E20</f>
        <v>0</v>
      </c>
      <c r="K20" s="2">
        <f>+D20*'VAL 11-08'!E20</f>
        <v>0</v>
      </c>
      <c r="L20" s="2">
        <f>+D20*'VAL 15 - 08'!E20</f>
        <v>220</v>
      </c>
      <c r="M20">
        <f>+D20*'VAL 19- 08'!E20</f>
        <v>265</v>
      </c>
      <c r="N20">
        <f>+D20*'VAL 26  - 08'!E20</f>
        <v>155</v>
      </c>
      <c r="O20">
        <f>+D20*'VAL 03- 09'!E20</f>
        <v>0</v>
      </c>
      <c r="P20">
        <f>+D20*'VAL 04 - 09'!E20</f>
        <v>115</v>
      </c>
      <c r="R20" t="s">
        <v>51</v>
      </c>
      <c r="S20">
        <f>SUM(S16:S19)+1557.9</f>
        <v>7459.9</v>
      </c>
      <c r="T20">
        <f>SUM(T16:T19)</f>
        <v>10862</v>
      </c>
      <c r="U20">
        <f>SUM(U16:U19)</f>
        <v>2165</v>
      </c>
    </row>
    <row r="21" spans="2:28" x14ac:dyDescent="0.35">
      <c r="B21" s="2" t="s">
        <v>21</v>
      </c>
      <c r="C21" s="2" t="s">
        <v>50</v>
      </c>
      <c r="D21" s="2">
        <v>5</v>
      </c>
      <c r="E21" s="2"/>
      <c r="F21" s="5">
        <f>+D21*'VAL 24 - 07'!E21</f>
        <v>0</v>
      </c>
      <c r="G21" s="2">
        <f>+D21*'VAL 30-07'!E21</f>
        <v>0</v>
      </c>
      <c r="H21" s="2">
        <f>+D21*'VAL 02- 08'!E21</f>
        <v>5</v>
      </c>
      <c r="I21" s="2">
        <f>+D21*'VAL 05-08'!E21</f>
        <v>0</v>
      </c>
      <c r="J21" s="2">
        <f>+D21*'VAL 07 -08'!E21</f>
        <v>0</v>
      </c>
      <c r="K21" s="2">
        <f>+D21*'VAL 11-08'!E21</f>
        <v>0</v>
      </c>
      <c r="L21" s="2">
        <f>+D21*'VAL 15 - 08'!E21</f>
        <v>25</v>
      </c>
      <c r="M21">
        <f>+D21*'VAL 19- 08'!E21</f>
        <v>20</v>
      </c>
      <c r="N21">
        <f>+D21*'VAL 26  - 08'!E21</f>
        <v>5</v>
      </c>
      <c r="O21">
        <f>+D21*'VAL 03- 09'!E21</f>
        <v>0</v>
      </c>
      <c r="P21">
        <f>+D21*'VAL 04 - 09'!E21</f>
        <v>10</v>
      </c>
    </row>
    <row r="22" spans="2:28" ht="18.5" x14ac:dyDescent="0.45">
      <c r="B22" s="2" t="s">
        <v>22</v>
      </c>
      <c r="C22" s="2"/>
      <c r="D22" s="2"/>
      <c r="E22" s="2"/>
      <c r="F22" s="10">
        <f>SUM(F23:F29)</f>
        <v>857</v>
      </c>
      <c r="G22" s="10">
        <f t="shared" ref="G22:K22" si="15">SUM(G23:G29)</f>
        <v>3</v>
      </c>
      <c r="H22" s="10">
        <f t="shared" si="15"/>
        <v>121</v>
      </c>
      <c r="I22" s="10">
        <f t="shared" si="15"/>
        <v>0</v>
      </c>
      <c r="J22" s="10">
        <f>SUM(J23:J29)</f>
        <v>348</v>
      </c>
      <c r="K22" s="10">
        <f t="shared" si="15"/>
        <v>0</v>
      </c>
      <c r="L22" s="10">
        <f>SUM(L23:L29)</f>
        <v>429</v>
      </c>
      <c r="M22" s="10">
        <f t="shared" ref="M22:O22" si="16">SUM(M23:M29)</f>
        <v>492</v>
      </c>
      <c r="N22" s="10">
        <f t="shared" si="16"/>
        <v>486</v>
      </c>
      <c r="O22" s="10">
        <f t="shared" si="16"/>
        <v>342</v>
      </c>
      <c r="P22" s="10">
        <f t="shared" ref="P22" si="17">SUM(P23:P29)</f>
        <v>261</v>
      </c>
      <c r="Q22" s="13"/>
    </row>
    <row r="23" spans="2:28" x14ac:dyDescent="0.35">
      <c r="B23" s="2" t="s">
        <v>23</v>
      </c>
      <c r="C23" s="2" t="s">
        <v>50</v>
      </c>
      <c r="D23" s="2">
        <v>3</v>
      </c>
      <c r="E23" s="2"/>
      <c r="F23" s="5">
        <f>+D23*'VAL 24 - 07'!E23</f>
        <v>75</v>
      </c>
      <c r="G23" s="2">
        <f>+D23*'VAL 30-07'!E23</f>
        <v>0</v>
      </c>
      <c r="H23" s="2">
        <f>+D23*'VAL 02- 08'!E23</f>
        <v>0</v>
      </c>
      <c r="I23" s="2">
        <f>+D23*'VAL 05-08'!E23</f>
        <v>0</v>
      </c>
      <c r="J23" s="2">
        <f>+GANACIA!D23*'VAL 07 -08'!E23</f>
        <v>0</v>
      </c>
      <c r="K23" s="2">
        <f>+D23*'VAL 11-08'!E23</f>
        <v>0</v>
      </c>
      <c r="L23" s="2">
        <f>+D23*'VAL 15 - 08'!E23</f>
        <v>0</v>
      </c>
      <c r="M23">
        <f>+D23*'VAL 19- 08'!E23</f>
        <v>78</v>
      </c>
      <c r="N23">
        <f>+D23*'VAL 26  - 08'!E23</f>
        <v>18</v>
      </c>
      <c r="O23">
        <f>+D23*'VAL 03- 09'!E23</f>
        <v>0</v>
      </c>
      <c r="P23">
        <f>+D23*'VAL 04 - 09'!E23</f>
        <v>0</v>
      </c>
    </row>
    <row r="24" spans="2:28" x14ac:dyDescent="0.35">
      <c r="B24" s="2" t="s">
        <v>24</v>
      </c>
      <c r="C24" s="2" t="s">
        <v>50</v>
      </c>
      <c r="D24" s="2">
        <v>3</v>
      </c>
      <c r="E24" s="2"/>
      <c r="F24" s="5">
        <f>+D24*'VAL 24 - 07'!E24</f>
        <v>54</v>
      </c>
      <c r="G24" s="2">
        <f>+D24*'VAL 30-07'!E24</f>
        <v>0</v>
      </c>
      <c r="H24" s="2">
        <f>+D24*'VAL 02- 08'!E24</f>
        <v>0</v>
      </c>
      <c r="I24" s="2">
        <f>+D24*'VAL 05-08'!E24</f>
        <v>0</v>
      </c>
      <c r="J24" s="2">
        <f>+GANACIA!D24*'VAL 07 -08'!E24</f>
        <v>54</v>
      </c>
      <c r="K24" s="2">
        <f>+D24*'VAL 11-08'!E24</f>
        <v>0</v>
      </c>
      <c r="L24" s="2">
        <f>+D24*'VAL 15 - 08'!E24</f>
        <v>0</v>
      </c>
      <c r="M24">
        <f>+D24*'VAL 19- 08'!E24</f>
        <v>54</v>
      </c>
      <c r="N24">
        <f>+D24*'VAL 26  - 08'!E24</f>
        <v>39</v>
      </c>
      <c r="O24">
        <f>+D24*'VAL 03- 09'!E24</f>
        <v>0</v>
      </c>
      <c r="P24">
        <f>+D24*'VAL 04 - 09'!E24</f>
        <v>0</v>
      </c>
    </row>
    <row r="25" spans="2:28" x14ac:dyDescent="0.35">
      <c r="B25" s="2" t="s">
        <v>25</v>
      </c>
      <c r="C25" s="2" t="s">
        <v>50</v>
      </c>
      <c r="D25" s="2">
        <v>3</v>
      </c>
      <c r="E25" s="2"/>
      <c r="F25" s="5">
        <f>+D25*'VAL 24 - 07'!E25</f>
        <v>378</v>
      </c>
      <c r="G25" s="2">
        <f>+D25*'VAL 30-07'!E25</f>
        <v>3</v>
      </c>
      <c r="H25" s="2">
        <f>+D25*'VAL 02- 08'!E25</f>
        <v>0</v>
      </c>
      <c r="I25" s="2">
        <f>+D25*'VAL 05-08'!E25</f>
        <v>0</v>
      </c>
      <c r="J25" s="2">
        <f>+GANACIA!D25*'VAL 07 -08'!E25</f>
        <v>294</v>
      </c>
      <c r="K25" s="2">
        <f>+D25*'VAL 11-08'!E25</f>
        <v>0</v>
      </c>
      <c r="L25" s="2">
        <f>+D25*'VAL 15 - 08'!E25</f>
        <v>0</v>
      </c>
      <c r="M25">
        <f>+D25*'VAL 19- 08'!E25</f>
        <v>360</v>
      </c>
      <c r="N25">
        <f>+D25*'VAL 26  - 08'!E25</f>
        <v>192</v>
      </c>
      <c r="O25">
        <f>+D25*'VAL 03- 09'!E25</f>
        <v>0</v>
      </c>
      <c r="P25">
        <f>+D25*'VAL 04 - 09'!E25</f>
        <v>0</v>
      </c>
    </row>
    <row r="26" spans="2:28" x14ac:dyDescent="0.35">
      <c r="B26" s="2" t="s">
        <v>26</v>
      </c>
      <c r="C26" s="2" t="s">
        <v>50</v>
      </c>
      <c r="D26" s="2">
        <v>3</v>
      </c>
      <c r="E26" s="2"/>
      <c r="F26" s="5">
        <f>+D26*'VAL 24 - 07'!E26</f>
        <v>99</v>
      </c>
      <c r="G26" s="2">
        <f>+D26*'VAL 30-07'!E26</f>
        <v>0</v>
      </c>
      <c r="H26" s="2">
        <f>+D26*'VAL 02- 08'!E26</f>
        <v>33</v>
      </c>
      <c r="I26" s="2">
        <f>+D26*'VAL 05-08'!E26</f>
        <v>0</v>
      </c>
      <c r="J26" s="2">
        <f>+GANACIA!D26*'VAL 07 -08'!E26</f>
        <v>0</v>
      </c>
      <c r="K26" s="2">
        <f>+D26*'VAL 11-08'!E26</f>
        <v>0</v>
      </c>
      <c r="L26" s="2">
        <f>+D26*'VAL 15 - 08'!E26</f>
        <v>108</v>
      </c>
      <c r="M26">
        <f>+D26*'VAL 19- 08'!E26</f>
        <v>0</v>
      </c>
      <c r="N26">
        <f>+D26*'VAL 26  - 08'!E26</f>
        <v>54</v>
      </c>
      <c r="O26">
        <f>+D26*'VAL 03- 09'!E26</f>
        <v>72</v>
      </c>
      <c r="P26">
        <f>+D26*'VAL 04 - 09'!E26</f>
        <v>63</v>
      </c>
    </row>
    <row r="27" spans="2:28" x14ac:dyDescent="0.35">
      <c r="B27" s="2" t="s">
        <v>27</v>
      </c>
      <c r="C27" s="2" t="s">
        <v>50</v>
      </c>
      <c r="D27" s="2">
        <v>3</v>
      </c>
      <c r="E27" s="2"/>
      <c r="F27" s="5">
        <f>+D27*'VAL 24 - 07'!E27</f>
        <v>156</v>
      </c>
      <c r="G27" s="2">
        <f>+D27*'VAL 30-07'!E27</f>
        <v>0</v>
      </c>
      <c r="H27" s="2">
        <f>+D27*'VAL 02- 08'!E27</f>
        <v>63</v>
      </c>
      <c r="I27" s="2">
        <f>+D27*'VAL 05-08'!E27</f>
        <v>0</v>
      </c>
      <c r="J27" s="2">
        <f>+GANACIA!D27*'VAL 07 -08'!E27</f>
        <v>0</v>
      </c>
      <c r="K27" s="2">
        <f>+D27*'VAL 11-08'!E27</f>
        <v>0</v>
      </c>
      <c r="L27" s="2">
        <f>+D27*'VAL 15 - 08'!E27</f>
        <v>201</v>
      </c>
      <c r="M27">
        <f>+D27*'VAL 19- 08'!E27</f>
        <v>0</v>
      </c>
      <c r="N27">
        <f>+D27*'VAL 26  - 08'!E27</f>
        <v>123</v>
      </c>
      <c r="O27">
        <f>+D27*'VAL 03- 09'!E27</f>
        <v>180</v>
      </c>
      <c r="P27">
        <f>+D27*'VAL 04 - 09'!E27</f>
        <v>123</v>
      </c>
    </row>
    <row r="28" spans="2:28" x14ac:dyDescent="0.35">
      <c r="B28" s="2" t="s">
        <v>28</v>
      </c>
      <c r="C28" s="2" t="s">
        <v>50</v>
      </c>
      <c r="D28" s="2">
        <v>5</v>
      </c>
      <c r="E28" s="2"/>
      <c r="F28" s="5">
        <f>+D28*'VAL 24 - 07'!E28</f>
        <v>95</v>
      </c>
      <c r="G28" s="2">
        <f>+D28*'VAL 30-07'!E28</f>
        <v>0</v>
      </c>
      <c r="H28" s="2">
        <f>+D28*'VAL 02- 08'!E28</f>
        <v>25</v>
      </c>
      <c r="I28" s="2">
        <f>+D28*'VAL 05-08'!E28</f>
        <v>0</v>
      </c>
      <c r="J28" s="2">
        <f>+GANACIA!D28*'VAL 07 -08'!E28</f>
        <v>0</v>
      </c>
      <c r="K28" s="2">
        <f>+D28*'VAL 11-08'!E28</f>
        <v>0</v>
      </c>
      <c r="L28" s="2">
        <f>+D28*'VAL 15 - 08'!E28</f>
        <v>120</v>
      </c>
      <c r="M28">
        <f>+D28*'VAL 19- 08'!E28</f>
        <v>0</v>
      </c>
      <c r="N28">
        <f>+D28*'VAL 26  - 08'!E28</f>
        <v>60</v>
      </c>
      <c r="O28">
        <f>+D28*'VAL 03- 09'!E28</f>
        <v>90</v>
      </c>
      <c r="P28">
        <f>+D28*'VAL 04 - 09'!E28</f>
        <v>75</v>
      </c>
    </row>
    <row r="29" spans="2:28" x14ac:dyDescent="0.35">
      <c r="B29" s="2" t="s">
        <v>29</v>
      </c>
      <c r="C29" s="2" t="s">
        <v>50</v>
      </c>
      <c r="D29" s="2">
        <v>5</v>
      </c>
      <c r="E29" s="2"/>
      <c r="F29" s="5">
        <f>+D29*'VAL 24 - 07'!E29</f>
        <v>0</v>
      </c>
      <c r="G29" s="2">
        <f>+D29*'VAL 30-07'!E29</f>
        <v>0</v>
      </c>
      <c r="H29" s="2">
        <f>+D29*'VAL 02- 08'!E29</f>
        <v>0</v>
      </c>
      <c r="I29" s="2">
        <f>+D29*'VAL 05-08'!E29</f>
        <v>0</v>
      </c>
      <c r="J29" s="2">
        <f>+'VAL 07 -08'!E29</f>
        <v>0</v>
      </c>
      <c r="K29" s="2">
        <f>+D29*'VAL 11-08'!E29</f>
        <v>0</v>
      </c>
      <c r="L29" s="2">
        <f>+D29*'VAL 15 - 08'!E29</f>
        <v>0</v>
      </c>
      <c r="M29">
        <f>+D29*'VAL 19- 08'!E29</f>
        <v>0</v>
      </c>
      <c r="N29">
        <f>+D29*'VAL 26  - 08'!E29</f>
        <v>0</v>
      </c>
      <c r="O29">
        <f>+D29*'VAL 03- 09'!E29</f>
        <v>0</v>
      </c>
      <c r="P29">
        <f>+D29*'VAL 04 - 09'!E29</f>
        <v>0</v>
      </c>
    </row>
    <row r="30" spans="2:28" ht="18.5" x14ac:dyDescent="0.45">
      <c r="B30" s="2" t="s">
        <v>30</v>
      </c>
      <c r="C30" s="2"/>
      <c r="D30" s="2"/>
      <c r="E30" s="2"/>
      <c r="F30" s="10">
        <f>SUM(F31:F35)</f>
        <v>571</v>
      </c>
      <c r="G30" s="10">
        <f t="shared" ref="G30:K30" si="18">SUM(G31:G35)</f>
        <v>0</v>
      </c>
      <c r="H30" s="10">
        <f t="shared" si="18"/>
        <v>228</v>
      </c>
      <c r="I30" s="10">
        <f t="shared" si="18"/>
        <v>0</v>
      </c>
      <c r="J30" s="10">
        <f>SUM(J31:J35)</f>
        <v>510</v>
      </c>
      <c r="K30" s="10">
        <f t="shared" si="18"/>
        <v>714</v>
      </c>
      <c r="L30" s="10">
        <f>SUM(L31:L35)</f>
        <v>0</v>
      </c>
      <c r="M30" s="10">
        <f t="shared" ref="M30:O30" si="19">SUM(M31:M35)</f>
        <v>561</v>
      </c>
      <c r="N30" s="10">
        <f t="shared" si="19"/>
        <v>501</v>
      </c>
      <c r="O30" s="10">
        <f t="shared" si="19"/>
        <v>0</v>
      </c>
      <c r="P30" s="10">
        <f t="shared" ref="P30" si="20">SUM(P31:P35)</f>
        <v>0</v>
      </c>
      <c r="Q30" s="13"/>
    </row>
    <row r="31" spans="2:28" x14ac:dyDescent="0.35">
      <c r="B31" s="2" t="s">
        <v>32</v>
      </c>
      <c r="C31" s="2" t="s">
        <v>50</v>
      </c>
      <c r="D31" s="2">
        <v>3</v>
      </c>
      <c r="E31" s="2"/>
      <c r="F31" s="5">
        <f>+D31*'VAL 24 - 07'!E31</f>
        <v>171</v>
      </c>
      <c r="G31" s="2">
        <f>+D31*'VAL 30-07'!E31</f>
        <v>0</v>
      </c>
      <c r="H31" s="2">
        <f>+D31*'VAL 02- 08'!E31</f>
        <v>48</v>
      </c>
      <c r="I31" s="2">
        <f>+D31*'VAL 05-08'!E31</f>
        <v>0</v>
      </c>
      <c r="J31" s="2">
        <f>+D31*'VAL 07 -08'!E31</f>
        <v>180</v>
      </c>
      <c r="K31" s="2">
        <f>+D31*'VAL 11-08'!E31</f>
        <v>234</v>
      </c>
      <c r="L31" s="2">
        <f>+D31*'VAL 15 - 08'!E31</f>
        <v>0</v>
      </c>
      <c r="M31">
        <f>+D31*'VAL 19- 08'!E31</f>
        <v>216</v>
      </c>
      <c r="N31">
        <f>+D31*'VAL 26  - 08'!E31</f>
        <v>111</v>
      </c>
      <c r="O31">
        <f>+D31*'VAL 03- 09'!E31</f>
        <v>0</v>
      </c>
      <c r="P31">
        <f>+D31*'VAL 04 - 09'!E31</f>
        <v>0</v>
      </c>
    </row>
    <row r="32" spans="2:28" x14ac:dyDescent="0.35">
      <c r="B32" s="2" t="s">
        <v>31</v>
      </c>
      <c r="C32" s="2" t="s">
        <v>50</v>
      </c>
      <c r="D32" s="2">
        <v>5</v>
      </c>
      <c r="E32" s="2"/>
      <c r="F32" s="5">
        <f>+D32*'VAL 24 - 07'!E32</f>
        <v>145</v>
      </c>
      <c r="G32" s="2">
        <f>+D32*'VAL 30-07'!E32</f>
        <v>0</v>
      </c>
      <c r="H32" s="2">
        <f>+D32*'VAL 02- 08'!E32</f>
        <v>150</v>
      </c>
      <c r="I32" s="2">
        <f>+D32*'VAL 05-08'!E32</f>
        <v>0</v>
      </c>
      <c r="J32" s="2">
        <f>+D32*'VAL 07 -08'!E32</f>
        <v>155</v>
      </c>
      <c r="K32" s="2">
        <f>+D32*'VAL 11-08'!E32</f>
        <v>165</v>
      </c>
      <c r="L32" s="2">
        <f>+D32*'VAL 15 - 08'!E32</f>
        <v>0</v>
      </c>
      <c r="M32">
        <f>+D32*'VAL 19- 08'!E32</f>
        <v>200</v>
      </c>
      <c r="N32">
        <f>+D32*'VAL 26  - 08'!E32</f>
        <v>170</v>
      </c>
      <c r="O32">
        <f>+D32*'VAL 03- 09'!E32</f>
        <v>0</v>
      </c>
      <c r="P32">
        <f>+D32*'VAL 04 - 09'!E32</f>
        <v>0</v>
      </c>
    </row>
    <row r="33" spans="2:17" x14ac:dyDescent="0.35">
      <c r="B33" s="2" t="s">
        <v>33</v>
      </c>
      <c r="C33" s="2" t="s">
        <v>50</v>
      </c>
      <c r="D33" s="2">
        <v>5</v>
      </c>
      <c r="E33" s="2"/>
      <c r="F33" s="5">
        <f>+D33*'VAL 24 - 07'!E33</f>
        <v>170</v>
      </c>
      <c r="G33" s="2">
        <f>+D33*'VAL 30-07'!E33</f>
        <v>0</v>
      </c>
      <c r="H33" s="2">
        <f>+D33*'VAL 02- 08'!E33</f>
        <v>0</v>
      </c>
      <c r="I33" s="2">
        <f>+D33*'VAL 05-08'!E33</f>
        <v>0</v>
      </c>
      <c r="J33" s="2">
        <f>+D33*'VAL 07 -08'!E33</f>
        <v>80</v>
      </c>
      <c r="K33" s="2">
        <f>+D33*'VAL 11-08'!E33</f>
        <v>145</v>
      </c>
      <c r="L33" s="2">
        <f>+D33*'VAL 15 - 08'!E33</f>
        <v>0</v>
      </c>
      <c r="M33">
        <f>+D33*'VAL 19- 08'!E33</f>
        <v>50</v>
      </c>
      <c r="N33">
        <f>+D33*'VAL 26  - 08'!E33</f>
        <v>80</v>
      </c>
      <c r="O33">
        <f>+D33*'VAL 03- 09'!E33</f>
        <v>0</v>
      </c>
      <c r="P33">
        <f>+D33*'VAL 04 - 09'!E33</f>
        <v>0</v>
      </c>
    </row>
    <row r="34" spans="2:17" x14ac:dyDescent="0.35">
      <c r="B34" s="2" t="s">
        <v>34</v>
      </c>
      <c r="C34" s="2" t="s">
        <v>50</v>
      </c>
      <c r="D34" s="2">
        <v>5</v>
      </c>
      <c r="E34" s="2"/>
      <c r="F34" s="5">
        <f>+D34*'VAL 24 - 07'!E34</f>
        <v>0</v>
      </c>
      <c r="G34" s="2">
        <f>+D34*'VAL 30-07'!E34</f>
        <v>0</v>
      </c>
      <c r="H34" s="2">
        <f>+D34*'VAL 02- 08'!E34</f>
        <v>0</v>
      </c>
      <c r="I34" s="2">
        <f>+D34*'VAL 05-08'!E34</f>
        <v>0</v>
      </c>
      <c r="J34" s="2">
        <f>+D34*'VAL 07 -08'!E34</f>
        <v>35</v>
      </c>
      <c r="K34" s="2">
        <f>+D34*'VAL 11-08'!E34</f>
        <v>40</v>
      </c>
      <c r="L34" s="2">
        <f>+D34*'VAL 15 - 08'!E34</f>
        <v>0</v>
      </c>
      <c r="M34">
        <f>+D34*'VAL 19- 08'!E34</f>
        <v>40</v>
      </c>
      <c r="N34">
        <f>+D34*'VAL 26  - 08'!E34</f>
        <v>40</v>
      </c>
      <c r="O34">
        <f>+D34*'VAL 03- 09'!E34</f>
        <v>0</v>
      </c>
      <c r="P34">
        <f>+D34*'VAL 04 - 09'!E34</f>
        <v>0</v>
      </c>
    </row>
    <row r="35" spans="2:17" x14ac:dyDescent="0.35">
      <c r="B35" s="2" t="s">
        <v>35</v>
      </c>
      <c r="C35" s="2" t="s">
        <v>50</v>
      </c>
      <c r="D35" s="2">
        <v>5</v>
      </c>
      <c r="E35" s="2"/>
      <c r="F35" s="5">
        <f>+D35*'VAL 24 - 07'!E35</f>
        <v>85</v>
      </c>
      <c r="G35" s="2">
        <f>+D35*'VAL 30-07'!E35</f>
        <v>0</v>
      </c>
      <c r="H35" s="2">
        <f>+D35*'VAL 02- 08'!E35</f>
        <v>30</v>
      </c>
      <c r="I35" s="2">
        <f>+D35*'VAL 05-08'!E35</f>
        <v>0</v>
      </c>
      <c r="J35" s="2">
        <f>+D35*'VAL 07 -08'!E35</f>
        <v>60</v>
      </c>
      <c r="K35" s="2">
        <f>+D35*'VAL 11-08'!E35</f>
        <v>130</v>
      </c>
      <c r="L35" s="2">
        <f>+D35*'VAL 15 - 08'!E35</f>
        <v>0</v>
      </c>
      <c r="M35">
        <f>+D35*'VAL 19- 08'!E35</f>
        <v>55</v>
      </c>
      <c r="N35">
        <f>+D35*'VAL 26  - 08'!E35</f>
        <v>100</v>
      </c>
      <c r="O35">
        <f>+D35*'VAL 03- 09'!E35</f>
        <v>0</v>
      </c>
      <c r="P35">
        <f>+D35*'VAL 04 - 09'!E35</f>
        <v>0</v>
      </c>
    </row>
    <row r="36" spans="2:17" ht="18.5" x14ac:dyDescent="0.45">
      <c r="B36" s="2" t="s">
        <v>36</v>
      </c>
      <c r="C36" s="2"/>
      <c r="D36" s="2"/>
      <c r="E36" s="2"/>
      <c r="F36" s="10">
        <f>SUM(F37:F42)</f>
        <v>265</v>
      </c>
      <c r="G36" s="10">
        <f t="shared" ref="G36:O36" si="21">SUM(G37:G42)</f>
        <v>0</v>
      </c>
      <c r="H36" s="10">
        <f t="shared" si="21"/>
        <v>0</v>
      </c>
      <c r="I36" s="10">
        <f t="shared" si="21"/>
        <v>425</v>
      </c>
      <c r="J36" s="10">
        <f>SUM(J37:J42)</f>
        <v>280</v>
      </c>
      <c r="K36" s="10">
        <f t="shared" si="21"/>
        <v>330</v>
      </c>
      <c r="L36" s="10">
        <f t="shared" si="21"/>
        <v>225</v>
      </c>
      <c r="M36" s="10">
        <f t="shared" si="21"/>
        <v>0</v>
      </c>
      <c r="N36" s="10">
        <f t="shared" si="21"/>
        <v>110</v>
      </c>
      <c r="O36" s="10">
        <f t="shared" si="21"/>
        <v>0</v>
      </c>
      <c r="P36" s="10">
        <f t="shared" ref="P36" si="22">SUM(P37:P42)</f>
        <v>0</v>
      </c>
      <c r="Q36" s="13"/>
    </row>
    <row r="37" spans="2:17" x14ac:dyDescent="0.35">
      <c r="B37" s="2" t="s">
        <v>37</v>
      </c>
      <c r="C37" s="2" t="s">
        <v>50</v>
      </c>
      <c r="D37" s="2">
        <v>5</v>
      </c>
      <c r="E37" s="2"/>
      <c r="F37" s="5">
        <f>+D37*'VAL 24 - 07'!E37</f>
        <v>0</v>
      </c>
      <c r="G37" s="2">
        <f>+D37*'VAL 30-07'!E37</f>
        <v>0</v>
      </c>
      <c r="H37" s="2">
        <f>+D37*'VAL 02- 08'!E37</f>
        <v>0</v>
      </c>
      <c r="I37" s="2">
        <f>+D37*'VAL 05-08'!E37</f>
        <v>0</v>
      </c>
      <c r="J37" s="2">
        <f>+D37*'VAL 07 -08'!E37</f>
        <v>0</v>
      </c>
      <c r="K37" s="2">
        <f>+D37*'VAL 11-08'!E37</f>
        <v>0</v>
      </c>
      <c r="L37" s="2">
        <f>+D37*'VAL 15 - 08'!E37</f>
        <v>0</v>
      </c>
      <c r="M37">
        <f>+D37*'VAL 19- 08'!E37</f>
        <v>0</v>
      </c>
      <c r="N37">
        <f>+D37*'VAL 26  - 08'!E37</f>
        <v>0</v>
      </c>
      <c r="O37">
        <f>+D37*'VAL 03- 09'!E37</f>
        <v>0</v>
      </c>
      <c r="P37">
        <f>+D37*'VAL 04 - 09'!E37</f>
        <v>0</v>
      </c>
    </row>
    <row r="38" spans="2:17" x14ac:dyDescent="0.35">
      <c r="B38" s="2" t="s">
        <v>38</v>
      </c>
      <c r="C38" s="2" t="s">
        <v>50</v>
      </c>
      <c r="D38" s="2">
        <v>5</v>
      </c>
      <c r="E38" s="2"/>
      <c r="F38" s="5">
        <f>+D38*'VAL 24 - 07'!E38</f>
        <v>0</v>
      </c>
      <c r="G38" s="2">
        <f>+D38*'VAL 30-07'!E38</f>
        <v>0</v>
      </c>
      <c r="H38" s="2">
        <f>+D38*'VAL 02- 08'!E38</f>
        <v>0</v>
      </c>
      <c r="I38" s="2">
        <f>+D38*'VAL 05-08'!E38</f>
        <v>0</v>
      </c>
      <c r="J38" s="2">
        <f>+D38*'VAL 07 -08'!E38</f>
        <v>0</v>
      </c>
      <c r="K38" s="2">
        <f>+D38*'VAL 11-08'!E38</f>
        <v>0</v>
      </c>
      <c r="L38" s="2">
        <f>+D38*'VAL 15 - 08'!E38</f>
        <v>0</v>
      </c>
      <c r="M38">
        <f>+D38*'VAL 19- 08'!E38</f>
        <v>0</v>
      </c>
      <c r="N38">
        <f>+D38*'VAL 26  - 08'!E38</f>
        <v>0</v>
      </c>
      <c r="O38">
        <f>+D38*'VAL 03- 09'!E38</f>
        <v>0</v>
      </c>
      <c r="P38">
        <f>+D38*'VAL 04 - 09'!E38</f>
        <v>0</v>
      </c>
    </row>
    <row r="39" spans="2:17" x14ac:dyDescent="0.35">
      <c r="B39" s="2" t="s">
        <v>39</v>
      </c>
      <c r="C39" s="2" t="s">
        <v>50</v>
      </c>
      <c r="D39" s="2">
        <v>5</v>
      </c>
      <c r="E39" s="2"/>
      <c r="F39" s="5">
        <f>+D39*'VAL 24 - 07'!E39</f>
        <v>265</v>
      </c>
      <c r="G39" s="2">
        <f>+D39*'VAL 30-07'!E39</f>
        <v>0</v>
      </c>
      <c r="H39" s="2">
        <f>+D39*'VAL 02- 08'!E39</f>
        <v>0</v>
      </c>
      <c r="I39" s="2">
        <f>+D39*'VAL 05-08'!E39</f>
        <v>60</v>
      </c>
      <c r="J39" s="2">
        <f>+D39*'VAL 07 -08'!E39</f>
        <v>50</v>
      </c>
      <c r="K39" s="2">
        <f>+D39*'VAL 11-08'!E39</f>
        <v>55</v>
      </c>
      <c r="L39" s="2">
        <f>+D39*'VAL 15 - 08'!E39</f>
        <v>55</v>
      </c>
      <c r="M39">
        <f>+D39*'VAL 19- 08'!E39</f>
        <v>0</v>
      </c>
      <c r="N39">
        <f>+D39*'VAL 26  - 08'!E39</f>
        <v>0</v>
      </c>
      <c r="O39">
        <f>+D39*'VAL 03- 09'!E39</f>
        <v>0</v>
      </c>
      <c r="P39">
        <f>+D39*'VAL 04 - 09'!E39</f>
        <v>0</v>
      </c>
    </row>
    <row r="40" spans="2:17" x14ac:dyDescent="0.35">
      <c r="B40" s="2" t="s">
        <v>40</v>
      </c>
      <c r="C40" s="2" t="s">
        <v>50</v>
      </c>
      <c r="D40" s="2">
        <v>5</v>
      </c>
      <c r="E40" s="2"/>
      <c r="F40" s="5">
        <f>+D40*'VAL 24 - 07'!E40</f>
        <v>0</v>
      </c>
      <c r="G40" s="2">
        <f>+D40*'VAL 30-07'!E40</f>
        <v>0</v>
      </c>
      <c r="H40" s="2">
        <f>+D40*'VAL 02- 08'!E40</f>
        <v>0</v>
      </c>
      <c r="I40" s="2">
        <f>+D40*'VAL 05-08'!E40</f>
        <v>180</v>
      </c>
      <c r="J40" s="2">
        <f>+D40*'VAL 07 -08'!E40</f>
        <v>125</v>
      </c>
      <c r="K40" s="2">
        <f>+D40*'VAL 11-08'!E40</f>
        <v>170</v>
      </c>
      <c r="L40" s="2">
        <f>+D40*'VAL 15 - 08'!E40</f>
        <v>95</v>
      </c>
      <c r="M40">
        <f>+D40*'VAL 19- 08'!E40</f>
        <v>0</v>
      </c>
      <c r="N40">
        <f>+D40*'VAL 26  - 08'!E40</f>
        <v>95</v>
      </c>
      <c r="O40">
        <f>+D40*'VAL 03- 09'!E40</f>
        <v>0</v>
      </c>
      <c r="P40">
        <f>+D40*'VAL 04 - 09'!E40</f>
        <v>0</v>
      </c>
    </row>
    <row r="41" spans="2:17" x14ac:dyDescent="0.35">
      <c r="B41" s="2" t="s">
        <v>41</v>
      </c>
      <c r="C41" s="2" t="s">
        <v>50</v>
      </c>
      <c r="D41" s="2">
        <v>5</v>
      </c>
      <c r="E41" s="2"/>
      <c r="F41" s="5">
        <f>+D41*'VAL 24 - 07'!E41</f>
        <v>0</v>
      </c>
      <c r="G41" s="2">
        <f>+D41*'VAL 30-07'!E41</f>
        <v>0</v>
      </c>
      <c r="H41" s="2">
        <f>+D41*'VAL 02- 08'!E41</f>
        <v>0</v>
      </c>
      <c r="I41" s="2">
        <f>+D41*'VAL 05-08'!E41</f>
        <v>70</v>
      </c>
      <c r="J41" s="2">
        <f>+D41*'VAL 07 -08'!E41</f>
        <v>55</v>
      </c>
      <c r="K41" s="2">
        <f>+D41*'VAL 11-08'!E41</f>
        <v>20</v>
      </c>
      <c r="L41" s="2">
        <f>+D41*'VAL 15 - 08'!E41</f>
        <v>25</v>
      </c>
      <c r="M41">
        <f>+D41*'VAL 19- 08'!E41</f>
        <v>0</v>
      </c>
      <c r="N41">
        <f>+D41*'VAL 26  - 08'!E41</f>
        <v>5</v>
      </c>
      <c r="O41">
        <f>+D41*'VAL 03- 09'!E41</f>
        <v>0</v>
      </c>
      <c r="P41">
        <f>+D41*'VAL 04 - 09'!E41</f>
        <v>0</v>
      </c>
    </row>
    <row r="42" spans="2:17" x14ac:dyDescent="0.35">
      <c r="B42" s="2" t="s">
        <v>42</v>
      </c>
      <c r="C42" s="2" t="s">
        <v>50</v>
      </c>
      <c r="D42" s="2">
        <v>5</v>
      </c>
      <c r="E42" s="2"/>
      <c r="F42" s="5">
        <f>+D42*'VAL 24 - 07'!E42</f>
        <v>0</v>
      </c>
      <c r="G42" s="2">
        <f>+D42*'VAL 30-07'!E42</f>
        <v>0</v>
      </c>
      <c r="H42" s="2">
        <f>+D42*'VAL 02- 08'!E42</f>
        <v>0</v>
      </c>
      <c r="I42" s="2">
        <f>+D42*'VAL 05-08'!E42</f>
        <v>115</v>
      </c>
      <c r="J42" s="2">
        <f>+D42*'VAL 07 -08'!E42</f>
        <v>50</v>
      </c>
      <c r="K42" s="2">
        <f>+D42*'VAL 11-08'!E42</f>
        <v>85</v>
      </c>
      <c r="L42" s="2">
        <f>+D42*'VAL 15 - 08'!E42</f>
        <v>50</v>
      </c>
      <c r="M42">
        <f>+D42*'VAL 19- 08'!E42</f>
        <v>0</v>
      </c>
      <c r="N42">
        <f>+D42*'VAL 26  - 08'!E42</f>
        <v>10</v>
      </c>
      <c r="O42">
        <f>+D42*'VAL 03- 09'!E42</f>
        <v>0</v>
      </c>
      <c r="P42">
        <f>+D42*'VAL 04 - 09'!E42</f>
        <v>0</v>
      </c>
    </row>
    <row r="43" spans="2:17" ht="18.5" x14ac:dyDescent="0.45">
      <c r="B43" s="2" t="s">
        <v>43</v>
      </c>
      <c r="C43" s="2"/>
      <c r="D43" s="2"/>
      <c r="E43" s="2"/>
      <c r="F43" s="10">
        <f>SUM(F44:F48)</f>
        <v>0</v>
      </c>
      <c r="G43" s="10">
        <f t="shared" ref="G43:O43" si="23">SUM(G44:G48)</f>
        <v>565</v>
      </c>
      <c r="H43" s="10">
        <f t="shared" si="23"/>
        <v>0</v>
      </c>
      <c r="I43" s="10">
        <f t="shared" si="23"/>
        <v>935</v>
      </c>
      <c r="J43" s="10">
        <f>SUM(J44:J48)</f>
        <v>15</v>
      </c>
      <c r="K43" s="10">
        <f t="shared" si="23"/>
        <v>675</v>
      </c>
      <c r="L43" s="10">
        <f t="shared" si="23"/>
        <v>0</v>
      </c>
      <c r="M43" s="10">
        <f t="shared" si="23"/>
        <v>855</v>
      </c>
      <c r="N43" s="10">
        <f t="shared" si="23"/>
        <v>340</v>
      </c>
      <c r="O43" s="10">
        <f t="shared" si="23"/>
        <v>465</v>
      </c>
      <c r="P43" s="10">
        <f t="shared" ref="P43" si="24">SUM(P44:P48)</f>
        <v>540</v>
      </c>
      <c r="Q43" s="13"/>
    </row>
    <row r="44" spans="2:17" x14ac:dyDescent="0.35">
      <c r="B44" s="2" t="s">
        <v>44</v>
      </c>
      <c r="C44" s="2" t="s">
        <v>50</v>
      </c>
      <c r="D44" s="2">
        <v>5</v>
      </c>
      <c r="E44" s="2"/>
      <c r="F44" s="5">
        <f>+D44*'VAL 24 - 07'!E44</f>
        <v>0</v>
      </c>
      <c r="G44" s="2">
        <f>+D44*'VAL 30-07'!E44</f>
        <v>565</v>
      </c>
      <c r="H44" s="2">
        <f>+D44*'VAL 02- 08'!E44</f>
        <v>0</v>
      </c>
      <c r="I44" s="2">
        <f>+D44*'VAL 05-08'!E44</f>
        <v>815</v>
      </c>
      <c r="J44" s="2">
        <f>+D44*'VAL 07 -08'!E44</f>
        <v>0</v>
      </c>
      <c r="K44" s="2">
        <f>+D44*'VAL 11-08'!E44</f>
        <v>410</v>
      </c>
      <c r="L44" s="2">
        <f>+D44*'VAL 15 - 08'!E44</f>
        <v>0</v>
      </c>
      <c r="M44">
        <f>+D44*'VAL 19- 08'!E44</f>
        <v>505</v>
      </c>
      <c r="N44">
        <f>+D44*'VAL 26  - 08'!E44</f>
        <v>170</v>
      </c>
      <c r="O44">
        <f>+D44*'VAL 03- 09'!E44</f>
        <v>465</v>
      </c>
      <c r="P44">
        <f>+D44*'VAL 04 - 09'!E44</f>
        <v>485</v>
      </c>
    </row>
    <row r="45" spans="2:17" x14ac:dyDescent="0.35">
      <c r="B45" s="2" t="s">
        <v>45</v>
      </c>
      <c r="C45" s="2" t="s">
        <v>50</v>
      </c>
      <c r="D45" s="2">
        <v>5</v>
      </c>
      <c r="E45" s="2"/>
      <c r="F45" s="5">
        <f>+D45*'VAL 24 - 07'!E45</f>
        <v>0</v>
      </c>
      <c r="G45" s="2">
        <f>+D45*'VAL 30-07'!E45</f>
        <v>0</v>
      </c>
      <c r="H45" s="2">
        <f>+D45*'VAL 02- 08'!E45</f>
        <v>0</v>
      </c>
      <c r="I45" s="2">
        <f>+D45*'VAL 05-08'!E45</f>
        <v>70</v>
      </c>
      <c r="J45" s="2">
        <f>+D45*'VAL 07 -08'!E45</f>
        <v>15</v>
      </c>
      <c r="K45" s="2">
        <f>+D45*'VAL 11-08'!E45</f>
        <v>40</v>
      </c>
      <c r="L45" s="2">
        <f>+D45*'VAL 15 - 08'!E45</f>
        <v>0</v>
      </c>
      <c r="M45">
        <f>+D45*'VAL 19- 08'!E45</f>
        <v>80</v>
      </c>
      <c r="N45">
        <f>+D45*'VAL 26  - 08'!E45</f>
        <v>20</v>
      </c>
      <c r="O45">
        <f>+D45*'VAL 03- 09'!E45</f>
        <v>0</v>
      </c>
      <c r="P45">
        <f>+D45*'VAL 04 - 09'!E45</f>
        <v>55</v>
      </c>
    </row>
    <row r="46" spans="2:17" x14ac:dyDescent="0.35">
      <c r="B46" s="2" t="s">
        <v>46</v>
      </c>
      <c r="C46" s="2" t="s">
        <v>50</v>
      </c>
      <c r="D46" s="2">
        <v>5</v>
      </c>
      <c r="E46" s="2"/>
      <c r="F46" s="5">
        <f>+D46*'VAL 24 - 07'!E46</f>
        <v>0</v>
      </c>
      <c r="G46" s="2">
        <f>+D46*'VAL 30-07'!E46</f>
        <v>0</v>
      </c>
      <c r="H46" s="2">
        <f>+D46*'VAL 02- 08'!E46</f>
        <v>0</v>
      </c>
      <c r="I46" s="2">
        <f>+D46*'VAL 05-08'!E46</f>
        <v>35</v>
      </c>
      <c r="J46" s="2">
        <f>+D46*'VAL 07 -08'!E46</f>
        <v>0</v>
      </c>
      <c r="K46" s="2">
        <f>+D46*'VAL 11-08'!E46</f>
        <v>70</v>
      </c>
      <c r="L46" s="2">
        <f>+D46*'VAL 15 - 08'!E46</f>
        <v>0</v>
      </c>
      <c r="M46">
        <f>+D46*'VAL 19- 08'!E46</f>
        <v>70</v>
      </c>
      <c r="N46">
        <f>+D46*'VAL 26  - 08'!E46</f>
        <v>35</v>
      </c>
      <c r="O46">
        <f>+D46*'VAL 03- 09'!E46</f>
        <v>0</v>
      </c>
      <c r="P46">
        <f>+D46*'VAL 04 - 09'!E46</f>
        <v>0</v>
      </c>
    </row>
    <row r="47" spans="2:17" x14ac:dyDescent="0.35">
      <c r="B47" s="2" t="s">
        <v>47</v>
      </c>
      <c r="C47" s="2" t="s">
        <v>50</v>
      </c>
      <c r="D47" s="2">
        <v>5</v>
      </c>
      <c r="E47" s="2"/>
      <c r="F47" s="5">
        <f>+D47*'VAL 24 - 07'!E47</f>
        <v>0</v>
      </c>
      <c r="G47" s="2">
        <f>+D47*'VAL 30-07'!E47</f>
        <v>0</v>
      </c>
      <c r="H47" s="2">
        <f>+D47*'VAL 02- 08'!E47</f>
        <v>0</v>
      </c>
      <c r="I47" s="2">
        <f>+D47*'VAL 05-08'!E47</f>
        <v>15</v>
      </c>
      <c r="J47" s="2">
        <f>+D47*'VAL 07 -08'!E47</f>
        <v>0</v>
      </c>
      <c r="K47" s="2">
        <f>+D47*'VAL 11-08'!E47</f>
        <v>0</v>
      </c>
      <c r="L47" s="2">
        <f>+D47*'VAL 15 - 08'!E47</f>
        <v>0</v>
      </c>
      <c r="M47">
        <f>+D47*'VAL 19- 08'!E47</f>
        <v>0</v>
      </c>
      <c r="N47">
        <f>+D47*'VAL 26  - 08'!E47</f>
        <v>0</v>
      </c>
      <c r="O47">
        <f>+D47*'VAL 03- 09'!E47</f>
        <v>0</v>
      </c>
      <c r="P47">
        <f>+D47*'VAL 04 - 09'!E47</f>
        <v>0</v>
      </c>
    </row>
    <row r="48" spans="2:17" ht="15" thickBot="1" x14ac:dyDescent="0.4">
      <c r="B48" s="3" t="s">
        <v>49</v>
      </c>
      <c r="C48" s="3" t="s">
        <v>50</v>
      </c>
      <c r="D48" s="3">
        <v>5</v>
      </c>
      <c r="E48" s="2"/>
      <c r="F48" s="5">
        <f>+D48*'VAL 24 - 07'!E48</f>
        <v>0</v>
      </c>
      <c r="G48" s="2">
        <f>+D48*'VAL 30-07'!E48</f>
        <v>0</v>
      </c>
      <c r="H48" s="2">
        <f>+D48*'VAL 02- 08'!E48</f>
        <v>0</v>
      </c>
      <c r="I48" s="2">
        <f>+D48*'VAL 05-08'!E48</f>
        <v>0</v>
      </c>
      <c r="J48" s="2">
        <f>+D48*'VAL 07 -08'!E48</f>
        <v>0</v>
      </c>
      <c r="K48" s="2">
        <f>+D48*'VAL 11-08'!E48</f>
        <v>155</v>
      </c>
      <c r="L48" s="2">
        <f>+D48*'VAL 15 - 08'!E48</f>
        <v>0</v>
      </c>
      <c r="M48">
        <f>+D48*'VAL 19- 08'!E48</f>
        <v>200</v>
      </c>
      <c r="N48">
        <f>+D48*'VAL 26  - 08'!E48</f>
        <v>115</v>
      </c>
      <c r="O48">
        <f>+D48*'VAL 03- 09'!E48</f>
        <v>0</v>
      </c>
      <c r="P48">
        <f>+D48*'VAL 04 - 09'!E48</f>
        <v>0</v>
      </c>
    </row>
    <row r="49" spans="2:17" ht="19" thickBot="1" x14ac:dyDescent="0.5">
      <c r="B49" s="6" t="s">
        <v>51</v>
      </c>
      <c r="C49" s="7"/>
      <c r="D49" s="115">
        <f>SUM(F49:L49)</f>
        <v>14872</v>
      </c>
      <c r="E49" s="116"/>
      <c r="F49" s="8">
        <f>+F43+F36+F30+F22+F10+F5</f>
        <v>3316</v>
      </c>
      <c r="G49" s="8">
        <f t="shared" ref="G49:O49" si="25">+G43+G36+G30+G22+G10+G5</f>
        <v>1598</v>
      </c>
      <c r="H49" s="8">
        <f t="shared" si="25"/>
        <v>1127</v>
      </c>
      <c r="I49" s="8">
        <f t="shared" si="25"/>
        <v>1781</v>
      </c>
      <c r="J49" s="8">
        <f>+J43+J36+J30+J22+J10+J5</f>
        <v>1865</v>
      </c>
      <c r="K49" s="8">
        <f t="shared" si="25"/>
        <v>3235</v>
      </c>
      <c r="L49" s="8">
        <f t="shared" si="25"/>
        <v>1950</v>
      </c>
      <c r="M49" s="8">
        <f t="shared" si="25"/>
        <v>3605</v>
      </c>
      <c r="N49" s="8">
        <f t="shared" si="25"/>
        <v>3037</v>
      </c>
      <c r="O49" s="8">
        <f t="shared" si="25"/>
        <v>1443</v>
      </c>
      <c r="P49" s="8">
        <f t="shared" ref="P49" si="26">+P43+P36+P30+P22+P10+P5</f>
        <v>1727</v>
      </c>
      <c r="Q49" s="42"/>
    </row>
  </sheetData>
  <mergeCells count="2">
    <mergeCell ref="B2:L2"/>
    <mergeCell ref="D49:E49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3EDA-184B-47AC-8F20-9AF0A252962C}">
  <dimension ref="B2:J49"/>
  <sheetViews>
    <sheetView workbookViewId="0">
      <selection activeCell="E5" sqref="E5:E49"/>
    </sheetView>
  </sheetViews>
  <sheetFormatPr baseColWidth="10" defaultRowHeight="14.5" x14ac:dyDescent="0.35"/>
  <cols>
    <col min="2" max="2" width="13.1796875" bestFit="1" customWidth="1"/>
  </cols>
  <sheetData>
    <row r="2" spans="2:10" x14ac:dyDescent="0.35">
      <c r="B2" s="110" t="s">
        <v>0</v>
      </c>
      <c r="C2" s="110"/>
      <c r="D2" s="110"/>
      <c r="E2" s="110"/>
      <c r="F2" s="110"/>
    </row>
    <row r="3" spans="2:10" ht="15" thickBot="1" x14ac:dyDescent="0.4"/>
    <row r="4" spans="2:10" ht="15" thickBot="1" x14ac:dyDescent="0.4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I4" t="s">
        <v>74</v>
      </c>
      <c r="J4" t="s">
        <v>75</v>
      </c>
    </row>
    <row r="5" spans="2:10" ht="19" thickBot="1" x14ac:dyDescent="0.5">
      <c r="B5" s="1" t="s">
        <v>5</v>
      </c>
      <c r="C5" s="1"/>
      <c r="D5" s="1"/>
      <c r="E5" s="4">
        <f>SUM(E6:E9)</f>
        <v>5</v>
      </c>
      <c r="F5" s="4">
        <f>SUM(F6:F9)</f>
        <v>15</v>
      </c>
      <c r="H5" t="s">
        <v>67</v>
      </c>
      <c r="I5">
        <f>+F5</f>
        <v>15</v>
      </c>
      <c r="J5">
        <f>+E5</f>
        <v>5</v>
      </c>
    </row>
    <row r="6" spans="2:10" ht="15" thickBot="1" x14ac:dyDescent="0.4">
      <c r="B6" s="1" t="s">
        <v>6</v>
      </c>
      <c r="C6" s="1" t="s">
        <v>50</v>
      </c>
      <c r="D6" s="1">
        <v>3</v>
      </c>
      <c r="E6" s="1">
        <v>5</v>
      </c>
      <c r="F6" s="1">
        <f>+D6*E6</f>
        <v>15</v>
      </c>
      <c r="H6" t="s">
        <v>68</v>
      </c>
      <c r="I6">
        <f>+F10</f>
        <v>687</v>
      </c>
      <c r="J6">
        <f>+E10</f>
        <v>126</v>
      </c>
    </row>
    <row r="7" spans="2:10" ht="15" thickBot="1" x14ac:dyDescent="0.4">
      <c r="B7" s="1" t="s">
        <v>7</v>
      </c>
      <c r="C7" s="1" t="s">
        <v>50</v>
      </c>
      <c r="D7" s="1">
        <v>3</v>
      </c>
      <c r="E7" s="1"/>
      <c r="F7" s="1">
        <f t="shared" ref="F7:F48" si="0">+D7*E7</f>
        <v>0</v>
      </c>
      <c r="H7" t="s">
        <v>69</v>
      </c>
      <c r="I7">
        <f>+F22</f>
        <v>0</v>
      </c>
      <c r="J7">
        <f>+E22</f>
        <v>0</v>
      </c>
    </row>
    <row r="8" spans="2:10" ht="15" thickBot="1" x14ac:dyDescent="0.4">
      <c r="B8" s="1" t="s">
        <v>8</v>
      </c>
      <c r="C8" s="1" t="s">
        <v>50</v>
      </c>
      <c r="D8" s="1">
        <v>3</v>
      </c>
      <c r="E8" s="1"/>
      <c r="F8" s="1">
        <f t="shared" si="0"/>
        <v>0</v>
      </c>
      <c r="H8" t="s">
        <v>70</v>
      </c>
      <c r="I8">
        <f>+F30</f>
        <v>0</v>
      </c>
      <c r="J8">
        <f>+E30</f>
        <v>0</v>
      </c>
    </row>
    <row r="9" spans="2:10" ht="15" thickBot="1" x14ac:dyDescent="0.4">
      <c r="B9" s="1" t="s">
        <v>9</v>
      </c>
      <c r="C9" s="1" t="s">
        <v>50</v>
      </c>
      <c r="D9" s="1">
        <v>3</v>
      </c>
      <c r="E9" s="1"/>
      <c r="F9" s="1">
        <f t="shared" si="0"/>
        <v>0</v>
      </c>
      <c r="H9" t="s">
        <v>71</v>
      </c>
      <c r="I9">
        <f>+F36</f>
        <v>680</v>
      </c>
      <c r="J9">
        <f>+E36</f>
        <v>85</v>
      </c>
    </row>
    <row r="10" spans="2:10" ht="19" thickBot="1" x14ac:dyDescent="0.5">
      <c r="B10" s="1" t="s">
        <v>10</v>
      </c>
      <c r="C10" s="1"/>
      <c r="D10" s="1"/>
      <c r="E10" s="4">
        <f>SUM(E11:E21)</f>
        <v>126</v>
      </c>
      <c r="F10" s="4">
        <f>SUM(F11:F21)</f>
        <v>687</v>
      </c>
      <c r="H10" t="s">
        <v>44</v>
      </c>
      <c r="I10">
        <f>+F43</f>
        <v>1496</v>
      </c>
      <c r="J10">
        <f>+C43+E43</f>
        <v>187</v>
      </c>
    </row>
    <row r="11" spans="2:10" ht="15" thickBot="1" x14ac:dyDescent="0.4">
      <c r="B11" s="1" t="s">
        <v>11</v>
      </c>
      <c r="C11" s="1" t="s">
        <v>50</v>
      </c>
      <c r="D11" s="1">
        <v>5</v>
      </c>
      <c r="E11" s="1">
        <v>107</v>
      </c>
      <c r="F11" s="1">
        <f t="shared" si="0"/>
        <v>535</v>
      </c>
      <c r="I11">
        <f>SUM(I5:I10)</f>
        <v>2878</v>
      </c>
      <c r="J11">
        <f>SUM(J5:J10)</f>
        <v>403</v>
      </c>
    </row>
    <row r="12" spans="2:10" ht="15" thickBot="1" x14ac:dyDescent="0.4">
      <c r="B12" s="1" t="s">
        <v>12</v>
      </c>
      <c r="C12" s="1" t="s">
        <v>50</v>
      </c>
      <c r="D12" s="1">
        <v>8</v>
      </c>
      <c r="E12" s="1"/>
      <c r="F12" s="1">
        <f t="shared" si="0"/>
        <v>0</v>
      </c>
    </row>
    <row r="13" spans="2:10" ht="15" thickBot="1" x14ac:dyDescent="0.4">
      <c r="B13" s="1" t="s">
        <v>13</v>
      </c>
      <c r="C13" s="1" t="s">
        <v>50</v>
      </c>
      <c r="D13" s="1">
        <v>8</v>
      </c>
      <c r="E13" s="1"/>
      <c r="F13" s="1">
        <f t="shared" si="0"/>
        <v>0</v>
      </c>
    </row>
    <row r="14" spans="2:10" ht="15" thickBot="1" x14ac:dyDescent="0.4">
      <c r="B14" s="1" t="s">
        <v>14</v>
      </c>
      <c r="C14" s="1" t="s">
        <v>50</v>
      </c>
      <c r="D14" s="1">
        <v>8</v>
      </c>
      <c r="E14" s="1"/>
      <c r="F14" s="1">
        <f t="shared" si="0"/>
        <v>0</v>
      </c>
    </row>
    <row r="15" spans="2:10" ht="15" thickBot="1" x14ac:dyDescent="0.4">
      <c r="B15" s="1" t="s">
        <v>15</v>
      </c>
      <c r="C15" s="1" t="s">
        <v>50</v>
      </c>
      <c r="D15" s="1">
        <v>8</v>
      </c>
      <c r="E15" s="1"/>
      <c r="F15" s="1">
        <f t="shared" si="0"/>
        <v>0</v>
      </c>
    </row>
    <row r="16" spans="2:10" ht="15" thickBot="1" x14ac:dyDescent="0.4">
      <c r="B16" s="1" t="s">
        <v>16</v>
      </c>
      <c r="C16" s="1" t="s">
        <v>50</v>
      </c>
      <c r="D16" s="1">
        <v>8</v>
      </c>
      <c r="E16" s="1"/>
      <c r="F16" s="1">
        <f t="shared" si="0"/>
        <v>0</v>
      </c>
    </row>
    <row r="17" spans="2:6" ht="15" thickBot="1" x14ac:dyDescent="0.4">
      <c r="B17" s="1" t="s">
        <v>17</v>
      </c>
      <c r="C17" s="1" t="s">
        <v>50</v>
      </c>
      <c r="D17" s="1">
        <v>8</v>
      </c>
      <c r="E17" s="1"/>
      <c r="F17" s="1">
        <f t="shared" si="0"/>
        <v>0</v>
      </c>
    </row>
    <row r="18" spans="2:6" ht="15" thickBot="1" x14ac:dyDescent="0.4">
      <c r="B18" s="1" t="s">
        <v>18</v>
      </c>
      <c r="C18" s="1" t="s">
        <v>50</v>
      </c>
      <c r="D18" s="1">
        <v>8</v>
      </c>
      <c r="E18" s="1">
        <v>19</v>
      </c>
      <c r="F18" s="1">
        <f t="shared" si="0"/>
        <v>152</v>
      </c>
    </row>
    <row r="19" spans="2:6" ht="15" thickBot="1" x14ac:dyDescent="0.4">
      <c r="B19" s="1" t="s">
        <v>19</v>
      </c>
      <c r="C19" s="1" t="s">
        <v>50</v>
      </c>
      <c r="D19" s="1">
        <v>8</v>
      </c>
      <c r="E19" s="1"/>
      <c r="F19" s="1">
        <f>+D19*E19</f>
        <v>0</v>
      </c>
    </row>
    <row r="20" spans="2:6" ht="15" thickBot="1" x14ac:dyDescent="0.4">
      <c r="B20" s="1" t="s">
        <v>20</v>
      </c>
      <c r="C20" s="1" t="s">
        <v>50</v>
      </c>
      <c r="D20" s="1">
        <v>8</v>
      </c>
      <c r="E20" s="1"/>
      <c r="F20" s="1">
        <f t="shared" si="0"/>
        <v>0</v>
      </c>
    </row>
    <row r="21" spans="2:6" ht="15" thickBot="1" x14ac:dyDescent="0.4">
      <c r="B21" s="1" t="s">
        <v>21</v>
      </c>
      <c r="C21" s="1" t="s">
        <v>50</v>
      </c>
      <c r="D21" s="1">
        <v>8</v>
      </c>
      <c r="E21" s="1"/>
      <c r="F21" s="1">
        <f t="shared" si="0"/>
        <v>0</v>
      </c>
    </row>
    <row r="22" spans="2:6" ht="19" thickBot="1" x14ac:dyDescent="0.5">
      <c r="B22" s="1" t="s">
        <v>22</v>
      </c>
      <c r="C22" s="1"/>
      <c r="D22" s="1"/>
      <c r="E22" s="4">
        <f>SUM(E23:E29)</f>
        <v>0</v>
      </c>
      <c r="F22" s="4">
        <f>SUM(F23:F29)</f>
        <v>0</v>
      </c>
    </row>
    <row r="23" spans="2:6" ht="15" thickBot="1" x14ac:dyDescent="0.4">
      <c r="B23" s="1" t="s">
        <v>23</v>
      </c>
      <c r="C23" s="1" t="s">
        <v>50</v>
      </c>
      <c r="D23" s="1">
        <v>5</v>
      </c>
      <c r="E23" s="1"/>
      <c r="F23" s="1">
        <f t="shared" si="0"/>
        <v>0</v>
      </c>
    </row>
    <row r="24" spans="2:6" ht="15" thickBot="1" x14ac:dyDescent="0.4">
      <c r="B24" s="1" t="s">
        <v>24</v>
      </c>
      <c r="C24" s="1" t="s">
        <v>50</v>
      </c>
      <c r="D24" s="1">
        <v>5</v>
      </c>
      <c r="E24" s="1"/>
      <c r="F24" s="1">
        <f t="shared" si="0"/>
        <v>0</v>
      </c>
    </row>
    <row r="25" spans="2:6" ht="15" thickBot="1" x14ac:dyDescent="0.4">
      <c r="B25" s="1" t="s">
        <v>25</v>
      </c>
      <c r="C25" s="1" t="s">
        <v>50</v>
      </c>
      <c r="D25" s="1">
        <v>5</v>
      </c>
      <c r="E25" s="1"/>
      <c r="F25" s="1">
        <f t="shared" si="0"/>
        <v>0</v>
      </c>
    </row>
    <row r="26" spans="2:6" ht="15" thickBot="1" x14ac:dyDescent="0.4">
      <c r="B26" s="1" t="s">
        <v>26</v>
      </c>
      <c r="C26" s="1" t="s">
        <v>50</v>
      </c>
      <c r="D26" s="1">
        <v>5</v>
      </c>
      <c r="E26" s="1"/>
      <c r="F26" s="1">
        <f t="shared" si="0"/>
        <v>0</v>
      </c>
    </row>
    <row r="27" spans="2:6" ht="15" thickBot="1" x14ac:dyDescent="0.4">
      <c r="B27" s="1" t="s">
        <v>27</v>
      </c>
      <c r="C27" s="1" t="s">
        <v>50</v>
      </c>
      <c r="D27" s="1">
        <v>5</v>
      </c>
      <c r="E27" s="1"/>
      <c r="F27" s="1">
        <f t="shared" si="0"/>
        <v>0</v>
      </c>
    </row>
    <row r="28" spans="2:6" ht="15" thickBot="1" x14ac:dyDescent="0.4">
      <c r="B28" s="1" t="s">
        <v>28</v>
      </c>
      <c r="C28" s="1" t="s">
        <v>50</v>
      </c>
      <c r="D28" s="1">
        <v>8</v>
      </c>
      <c r="E28" s="1"/>
      <c r="F28" s="1">
        <f t="shared" si="0"/>
        <v>0</v>
      </c>
    </row>
    <row r="29" spans="2:6" ht="15" thickBot="1" x14ac:dyDescent="0.4">
      <c r="B29" s="1" t="s">
        <v>29</v>
      </c>
      <c r="C29" s="1" t="s">
        <v>50</v>
      </c>
      <c r="D29" s="1">
        <v>8</v>
      </c>
      <c r="E29" s="1"/>
      <c r="F29" s="1">
        <f t="shared" si="0"/>
        <v>0</v>
      </c>
    </row>
    <row r="30" spans="2:6" ht="19" thickBot="1" x14ac:dyDescent="0.5">
      <c r="B30" s="1" t="s">
        <v>30</v>
      </c>
      <c r="C30" s="1"/>
      <c r="D30" s="1"/>
      <c r="E30" s="4">
        <f>SUM(E31:E35)</f>
        <v>0</v>
      </c>
      <c r="F30" s="4">
        <f>SUM(F31:F35)</f>
        <v>0</v>
      </c>
    </row>
    <row r="31" spans="2:6" ht="15" thickBot="1" x14ac:dyDescent="0.4">
      <c r="B31" s="1" t="s">
        <v>32</v>
      </c>
      <c r="C31" s="1" t="s">
        <v>50</v>
      </c>
      <c r="D31" s="1">
        <v>5</v>
      </c>
      <c r="E31" s="1"/>
      <c r="F31" s="1">
        <f t="shared" si="0"/>
        <v>0</v>
      </c>
    </row>
    <row r="32" spans="2:6" ht="15" thickBot="1" x14ac:dyDescent="0.4">
      <c r="B32" s="1" t="s">
        <v>31</v>
      </c>
      <c r="C32" s="1" t="s">
        <v>50</v>
      </c>
      <c r="D32" s="1">
        <v>8</v>
      </c>
      <c r="E32" s="1"/>
      <c r="F32" s="1">
        <f t="shared" si="0"/>
        <v>0</v>
      </c>
    </row>
    <row r="33" spans="2:6" ht="15" thickBot="1" x14ac:dyDescent="0.4">
      <c r="B33" s="1" t="s">
        <v>33</v>
      </c>
      <c r="C33" s="1" t="s">
        <v>50</v>
      </c>
      <c r="D33" s="1">
        <v>8</v>
      </c>
      <c r="E33" s="1"/>
      <c r="F33" s="1">
        <f t="shared" si="0"/>
        <v>0</v>
      </c>
    </row>
    <row r="34" spans="2:6" ht="15" thickBot="1" x14ac:dyDescent="0.4">
      <c r="B34" s="1" t="s">
        <v>34</v>
      </c>
      <c r="C34" s="1" t="s">
        <v>50</v>
      </c>
      <c r="D34" s="1">
        <v>8</v>
      </c>
      <c r="E34" s="1"/>
      <c r="F34" s="1">
        <f t="shared" si="0"/>
        <v>0</v>
      </c>
    </row>
    <row r="35" spans="2:6" ht="15" thickBot="1" x14ac:dyDescent="0.4">
      <c r="B35" s="1" t="s">
        <v>35</v>
      </c>
      <c r="C35" s="1" t="s">
        <v>50</v>
      </c>
      <c r="D35" s="1">
        <v>8</v>
      </c>
      <c r="E35" s="1"/>
      <c r="F35" s="1">
        <f t="shared" si="0"/>
        <v>0</v>
      </c>
    </row>
    <row r="36" spans="2:6" ht="19" thickBot="1" x14ac:dyDescent="0.5">
      <c r="B36" s="1" t="s">
        <v>36</v>
      </c>
      <c r="C36" s="1"/>
      <c r="D36" s="1"/>
      <c r="E36" s="4">
        <f>SUM(E37:E42)</f>
        <v>85</v>
      </c>
      <c r="F36" s="4">
        <f>SUM(F37:F42)</f>
        <v>680</v>
      </c>
    </row>
    <row r="37" spans="2:6" ht="15" thickBot="1" x14ac:dyDescent="0.4">
      <c r="B37" s="1" t="s">
        <v>37</v>
      </c>
      <c r="C37" s="1" t="s">
        <v>50</v>
      </c>
      <c r="D37" s="1">
        <v>8</v>
      </c>
      <c r="E37" s="1"/>
      <c r="F37" s="1">
        <f t="shared" si="0"/>
        <v>0</v>
      </c>
    </row>
    <row r="38" spans="2:6" ht="15" thickBot="1" x14ac:dyDescent="0.4">
      <c r="B38" s="1" t="s">
        <v>38</v>
      </c>
      <c r="C38" s="1" t="s">
        <v>50</v>
      </c>
      <c r="D38" s="1">
        <v>8</v>
      </c>
      <c r="E38" s="1"/>
      <c r="F38" s="1">
        <f t="shared" si="0"/>
        <v>0</v>
      </c>
    </row>
    <row r="39" spans="2:6" ht="15" thickBot="1" x14ac:dyDescent="0.4">
      <c r="B39" s="1" t="s">
        <v>39</v>
      </c>
      <c r="C39" s="1" t="s">
        <v>50</v>
      </c>
      <c r="D39" s="1">
        <v>8</v>
      </c>
      <c r="E39" s="1">
        <v>12</v>
      </c>
      <c r="F39" s="1">
        <f t="shared" si="0"/>
        <v>96</v>
      </c>
    </row>
    <row r="40" spans="2:6" ht="15" thickBot="1" x14ac:dyDescent="0.4">
      <c r="B40" s="1" t="s">
        <v>40</v>
      </c>
      <c r="C40" s="1" t="s">
        <v>50</v>
      </c>
      <c r="D40" s="1">
        <v>8</v>
      </c>
      <c r="E40" s="1">
        <v>36</v>
      </c>
      <c r="F40" s="1">
        <f t="shared" si="0"/>
        <v>288</v>
      </c>
    </row>
    <row r="41" spans="2:6" ht="15" thickBot="1" x14ac:dyDescent="0.4">
      <c r="B41" s="1" t="s">
        <v>41</v>
      </c>
      <c r="C41" s="1" t="s">
        <v>50</v>
      </c>
      <c r="D41" s="1">
        <v>8</v>
      </c>
      <c r="E41" s="1">
        <v>14</v>
      </c>
      <c r="F41" s="1">
        <f t="shared" si="0"/>
        <v>112</v>
      </c>
    </row>
    <row r="42" spans="2:6" ht="15" thickBot="1" x14ac:dyDescent="0.4">
      <c r="B42" s="1" t="s">
        <v>42</v>
      </c>
      <c r="C42" s="1" t="s">
        <v>50</v>
      </c>
      <c r="D42" s="1">
        <v>8</v>
      </c>
      <c r="E42" s="1">
        <v>23</v>
      </c>
      <c r="F42" s="1">
        <f t="shared" si="0"/>
        <v>184</v>
      </c>
    </row>
    <row r="43" spans="2:6" ht="19" thickBot="1" x14ac:dyDescent="0.5">
      <c r="B43" s="1" t="s">
        <v>43</v>
      </c>
      <c r="C43" s="1"/>
      <c r="D43" s="1"/>
      <c r="E43" s="4">
        <f>SUM(E44:E48)</f>
        <v>187</v>
      </c>
      <c r="F43" s="4">
        <f>SUM(F44:F48)</f>
        <v>1496</v>
      </c>
    </row>
    <row r="44" spans="2:6" ht="15" thickBot="1" x14ac:dyDescent="0.4">
      <c r="B44" s="1" t="s">
        <v>44</v>
      </c>
      <c r="C44" s="1" t="s">
        <v>50</v>
      </c>
      <c r="D44" s="1">
        <v>8</v>
      </c>
      <c r="E44" s="1">
        <v>163</v>
      </c>
      <c r="F44" s="1">
        <f t="shared" si="0"/>
        <v>1304</v>
      </c>
    </row>
    <row r="45" spans="2:6" ht="15" thickBot="1" x14ac:dyDescent="0.4">
      <c r="B45" s="1" t="s">
        <v>45</v>
      </c>
      <c r="C45" s="1" t="s">
        <v>50</v>
      </c>
      <c r="D45" s="1">
        <v>8</v>
      </c>
      <c r="E45" s="1">
        <v>14</v>
      </c>
      <c r="F45" s="1">
        <f t="shared" si="0"/>
        <v>112</v>
      </c>
    </row>
    <row r="46" spans="2:6" ht="15" thickBot="1" x14ac:dyDescent="0.4">
      <c r="B46" s="1" t="s">
        <v>46</v>
      </c>
      <c r="C46" s="1" t="s">
        <v>50</v>
      </c>
      <c r="D46" s="1">
        <v>8</v>
      </c>
      <c r="E46" s="1">
        <v>7</v>
      </c>
      <c r="F46" s="1">
        <f t="shared" si="0"/>
        <v>56</v>
      </c>
    </row>
    <row r="47" spans="2:6" ht="15" thickBot="1" x14ac:dyDescent="0.4">
      <c r="B47" s="1" t="s">
        <v>47</v>
      </c>
      <c r="C47" s="1" t="s">
        <v>50</v>
      </c>
      <c r="D47" s="1">
        <v>8</v>
      </c>
      <c r="E47" s="1">
        <v>3</v>
      </c>
      <c r="F47" s="1">
        <f>+D47*E47</f>
        <v>24</v>
      </c>
    </row>
    <row r="48" spans="2:6" ht="15" thickBot="1" x14ac:dyDescent="0.4">
      <c r="B48" s="1" t="s">
        <v>49</v>
      </c>
      <c r="C48" s="1" t="s">
        <v>50</v>
      </c>
      <c r="D48" s="1">
        <v>8</v>
      </c>
      <c r="E48" s="1">
        <v>0</v>
      </c>
      <c r="F48" s="1">
        <f t="shared" si="0"/>
        <v>0</v>
      </c>
    </row>
    <row r="49" spans="2:6" ht="19" thickBot="1" x14ac:dyDescent="0.5">
      <c r="B49" s="111" t="s">
        <v>51</v>
      </c>
      <c r="C49" s="111"/>
      <c r="D49" s="111"/>
      <c r="E49" s="4">
        <f>+E48+E47+E46+E45+E44+E42+E41+E40+E39+E38+E37+E35+E34+E33+E32+E31+E29+E28+E27+E26+E25+E24+E23+E21+E20+E19+E18+E17+E16+E15+E14+E13+E12+E11+E9+E8+E7+E6</f>
        <v>403</v>
      </c>
      <c r="F49" s="4">
        <f>+F43+F36+F30+F22+F10+F5</f>
        <v>2878</v>
      </c>
    </row>
  </sheetData>
  <mergeCells count="2">
    <mergeCell ref="B2:F2"/>
    <mergeCell ref="B49:D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EDA3-B95B-45AD-9961-201DB92CBEA3}">
  <dimension ref="B2:J49"/>
  <sheetViews>
    <sheetView topLeftCell="A2" workbookViewId="0">
      <selection activeCell="E5" sqref="E5:E49"/>
    </sheetView>
  </sheetViews>
  <sheetFormatPr baseColWidth="10" defaultRowHeight="14.5" x14ac:dyDescent="0.35"/>
  <cols>
    <col min="2" max="2" width="13.1796875" bestFit="1" customWidth="1"/>
  </cols>
  <sheetData>
    <row r="2" spans="2:10" x14ac:dyDescent="0.35">
      <c r="B2" s="110" t="s">
        <v>0</v>
      </c>
      <c r="C2" s="110"/>
      <c r="D2" s="110"/>
      <c r="E2" s="110"/>
      <c r="F2" s="110"/>
    </row>
    <row r="3" spans="2:10" ht="15" thickBot="1" x14ac:dyDescent="0.4"/>
    <row r="4" spans="2:10" ht="15" thickBot="1" x14ac:dyDescent="0.4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I4" t="s">
        <v>74</v>
      </c>
      <c r="J4" t="s">
        <v>75</v>
      </c>
    </row>
    <row r="5" spans="2:10" ht="19" thickBot="1" x14ac:dyDescent="0.5">
      <c r="B5" s="1" t="s">
        <v>5</v>
      </c>
      <c r="C5" s="1"/>
      <c r="D5" s="1"/>
      <c r="E5" s="4">
        <f>SUM(E6:E9)</f>
        <v>697</v>
      </c>
      <c r="F5" s="4">
        <f>SUM(F6:F9)</f>
        <v>2091</v>
      </c>
      <c r="H5" t="s">
        <v>67</v>
      </c>
      <c r="I5">
        <f>+F5</f>
        <v>2091</v>
      </c>
      <c r="J5">
        <f>+E5</f>
        <v>697</v>
      </c>
    </row>
    <row r="6" spans="2:10" ht="15" thickBot="1" x14ac:dyDescent="0.4">
      <c r="B6" s="1" t="s">
        <v>6</v>
      </c>
      <c r="C6" s="1" t="s">
        <v>50</v>
      </c>
      <c r="D6" s="1">
        <v>3</v>
      </c>
      <c r="E6" s="1">
        <v>379</v>
      </c>
      <c r="F6" s="1">
        <f>+D6*E6</f>
        <v>1137</v>
      </c>
      <c r="H6" t="s">
        <v>68</v>
      </c>
      <c r="I6">
        <f>+F10</f>
        <v>24</v>
      </c>
      <c r="J6">
        <f>+E10</f>
        <v>3</v>
      </c>
    </row>
    <row r="7" spans="2:10" ht="15" thickBot="1" x14ac:dyDescent="0.4">
      <c r="B7" s="1" t="s">
        <v>7</v>
      </c>
      <c r="C7" s="1" t="s">
        <v>50</v>
      </c>
      <c r="D7" s="1">
        <v>3</v>
      </c>
      <c r="E7" s="1">
        <v>114</v>
      </c>
      <c r="F7" s="1">
        <f t="shared" ref="F7:F48" si="0">+D7*E7</f>
        <v>342</v>
      </c>
      <c r="H7" t="s">
        <v>69</v>
      </c>
      <c r="I7">
        <f>+F22</f>
        <v>580</v>
      </c>
      <c r="J7">
        <f>+E22</f>
        <v>116</v>
      </c>
    </row>
    <row r="8" spans="2:10" ht="15" thickBot="1" x14ac:dyDescent="0.4">
      <c r="B8" s="1" t="s">
        <v>8</v>
      </c>
      <c r="C8" s="1" t="s">
        <v>50</v>
      </c>
      <c r="D8" s="1">
        <v>3</v>
      </c>
      <c r="E8" s="1">
        <v>204</v>
      </c>
      <c r="F8" s="1">
        <f t="shared" si="0"/>
        <v>612</v>
      </c>
      <c r="H8" t="s">
        <v>70</v>
      </c>
      <c r="I8">
        <f>+F30</f>
        <v>528</v>
      </c>
      <c r="J8">
        <f>+E30</f>
        <v>126</v>
      </c>
    </row>
    <row r="9" spans="2:10" ht="15" thickBot="1" x14ac:dyDescent="0.4">
      <c r="B9" s="1" t="s">
        <v>9</v>
      </c>
      <c r="C9" s="1" t="s">
        <v>50</v>
      </c>
      <c r="D9" s="1">
        <v>3</v>
      </c>
      <c r="E9" s="1"/>
      <c r="F9" s="1">
        <f t="shared" si="0"/>
        <v>0</v>
      </c>
      <c r="H9" t="s">
        <v>71</v>
      </c>
      <c r="I9">
        <f>+F36</f>
        <v>448</v>
      </c>
      <c r="J9">
        <f>+E36</f>
        <v>56</v>
      </c>
    </row>
    <row r="10" spans="2:10" ht="19" thickBot="1" x14ac:dyDescent="0.5">
      <c r="B10" s="1" t="s">
        <v>10</v>
      </c>
      <c r="C10" s="1"/>
      <c r="D10" s="1"/>
      <c r="E10" s="4">
        <f>SUM(E11:E21)</f>
        <v>3</v>
      </c>
      <c r="F10" s="4">
        <f>SUM(F11:F21)</f>
        <v>24</v>
      </c>
      <c r="H10" t="s">
        <v>44</v>
      </c>
      <c r="I10">
        <f>+F43</f>
        <v>24</v>
      </c>
      <c r="J10">
        <f>+C43+E43</f>
        <v>3</v>
      </c>
    </row>
    <row r="11" spans="2:10" ht="15" thickBot="1" x14ac:dyDescent="0.4">
      <c r="B11" s="1" t="s">
        <v>11</v>
      </c>
      <c r="C11" s="1" t="s">
        <v>50</v>
      </c>
      <c r="D11" s="1">
        <v>5</v>
      </c>
      <c r="E11" s="1">
        <v>0</v>
      </c>
      <c r="F11" s="1">
        <f t="shared" si="0"/>
        <v>0</v>
      </c>
      <c r="I11">
        <f>SUM(I5:I10)</f>
        <v>3695</v>
      </c>
      <c r="J11">
        <f>SUM(J5:J10)</f>
        <v>1001</v>
      </c>
    </row>
    <row r="12" spans="2:10" ht="15" thickBot="1" x14ac:dyDescent="0.4">
      <c r="B12" s="1" t="s">
        <v>12</v>
      </c>
      <c r="C12" s="1" t="s">
        <v>50</v>
      </c>
      <c r="D12" s="1">
        <v>8</v>
      </c>
      <c r="E12" s="1">
        <v>0</v>
      </c>
      <c r="F12" s="1">
        <f t="shared" si="0"/>
        <v>0</v>
      </c>
    </row>
    <row r="13" spans="2:10" ht="15" thickBot="1" x14ac:dyDescent="0.4">
      <c r="B13" s="1" t="s">
        <v>13</v>
      </c>
      <c r="C13" s="1" t="s">
        <v>50</v>
      </c>
      <c r="D13" s="1">
        <v>8</v>
      </c>
      <c r="E13" s="1">
        <v>0</v>
      </c>
      <c r="F13" s="1">
        <f t="shared" si="0"/>
        <v>0</v>
      </c>
    </row>
    <row r="14" spans="2:10" ht="15" thickBot="1" x14ac:dyDescent="0.4">
      <c r="B14" s="1" t="s">
        <v>14</v>
      </c>
      <c r="C14" s="1" t="s">
        <v>50</v>
      </c>
      <c r="D14" s="1">
        <v>8</v>
      </c>
      <c r="E14" s="1">
        <v>0</v>
      </c>
      <c r="F14" s="1">
        <f t="shared" si="0"/>
        <v>0</v>
      </c>
    </row>
    <row r="15" spans="2:10" ht="15" thickBot="1" x14ac:dyDescent="0.4">
      <c r="B15" s="1" t="s">
        <v>15</v>
      </c>
      <c r="C15" s="1" t="s">
        <v>50</v>
      </c>
      <c r="D15" s="1">
        <v>8</v>
      </c>
      <c r="E15" s="1">
        <v>3</v>
      </c>
      <c r="F15" s="1">
        <f t="shared" si="0"/>
        <v>24</v>
      </c>
    </row>
    <row r="16" spans="2:10" ht="15" thickBot="1" x14ac:dyDescent="0.4">
      <c r="B16" s="1" t="s">
        <v>16</v>
      </c>
      <c r="C16" s="1" t="s">
        <v>50</v>
      </c>
      <c r="D16" s="1">
        <v>8</v>
      </c>
      <c r="E16" s="1">
        <v>0</v>
      </c>
      <c r="F16" s="1">
        <f t="shared" si="0"/>
        <v>0</v>
      </c>
    </row>
    <row r="17" spans="2:6" ht="15" thickBot="1" x14ac:dyDescent="0.4">
      <c r="B17" s="1" t="s">
        <v>17</v>
      </c>
      <c r="C17" s="1" t="s">
        <v>50</v>
      </c>
      <c r="D17" s="1">
        <v>8</v>
      </c>
      <c r="E17" s="1">
        <v>0</v>
      </c>
      <c r="F17" s="1">
        <f t="shared" si="0"/>
        <v>0</v>
      </c>
    </row>
    <row r="18" spans="2:6" ht="15" thickBot="1" x14ac:dyDescent="0.4">
      <c r="B18" s="1" t="s">
        <v>18</v>
      </c>
      <c r="C18" s="1" t="s">
        <v>50</v>
      </c>
      <c r="D18" s="1">
        <v>8</v>
      </c>
      <c r="E18" s="1">
        <v>0</v>
      </c>
      <c r="F18" s="1">
        <f t="shared" si="0"/>
        <v>0</v>
      </c>
    </row>
    <row r="19" spans="2:6" ht="15" thickBot="1" x14ac:dyDescent="0.4">
      <c r="B19" s="1" t="s">
        <v>19</v>
      </c>
      <c r="C19" s="1" t="s">
        <v>50</v>
      </c>
      <c r="D19" s="1">
        <v>8</v>
      </c>
      <c r="E19" s="1">
        <v>0</v>
      </c>
      <c r="F19" s="1">
        <f>+D19*E19</f>
        <v>0</v>
      </c>
    </row>
    <row r="20" spans="2:6" ht="15" thickBot="1" x14ac:dyDescent="0.4">
      <c r="B20" s="1" t="s">
        <v>20</v>
      </c>
      <c r="C20" s="1" t="s">
        <v>50</v>
      </c>
      <c r="D20" s="1">
        <v>8</v>
      </c>
      <c r="E20" s="1">
        <v>0</v>
      </c>
      <c r="F20" s="1">
        <f t="shared" si="0"/>
        <v>0</v>
      </c>
    </row>
    <row r="21" spans="2:6" ht="15" thickBot="1" x14ac:dyDescent="0.4">
      <c r="B21" s="1" t="s">
        <v>21</v>
      </c>
      <c r="C21" s="1" t="s">
        <v>50</v>
      </c>
      <c r="D21" s="1">
        <v>8</v>
      </c>
      <c r="E21" s="1">
        <v>0</v>
      </c>
      <c r="F21" s="1">
        <f t="shared" si="0"/>
        <v>0</v>
      </c>
    </row>
    <row r="22" spans="2:6" ht="19" thickBot="1" x14ac:dyDescent="0.5">
      <c r="B22" s="1" t="s">
        <v>22</v>
      </c>
      <c r="C22" s="1"/>
      <c r="D22" s="1"/>
      <c r="E22" s="4">
        <f>SUM(E23:E29)</f>
        <v>116</v>
      </c>
      <c r="F22" s="4">
        <f>SUM(F23:F29)</f>
        <v>580</v>
      </c>
    </row>
    <row r="23" spans="2:6" ht="15" thickBot="1" x14ac:dyDescent="0.4">
      <c r="B23" s="1" t="s">
        <v>23</v>
      </c>
      <c r="C23" s="1" t="s">
        <v>50</v>
      </c>
      <c r="D23" s="1">
        <v>5</v>
      </c>
      <c r="E23" s="1">
        <v>0</v>
      </c>
      <c r="F23" s="1">
        <f t="shared" si="0"/>
        <v>0</v>
      </c>
    </row>
    <row r="24" spans="2:6" ht="15" thickBot="1" x14ac:dyDescent="0.4">
      <c r="B24" s="1" t="s">
        <v>24</v>
      </c>
      <c r="C24" s="1" t="s">
        <v>50</v>
      </c>
      <c r="D24" s="1">
        <v>5</v>
      </c>
      <c r="E24" s="1">
        <v>18</v>
      </c>
      <c r="F24" s="1">
        <f t="shared" si="0"/>
        <v>90</v>
      </c>
    </row>
    <row r="25" spans="2:6" ht="15" thickBot="1" x14ac:dyDescent="0.4">
      <c r="B25" s="1" t="s">
        <v>25</v>
      </c>
      <c r="C25" s="1" t="s">
        <v>50</v>
      </c>
      <c r="D25" s="1">
        <v>5</v>
      </c>
      <c r="E25" s="1">
        <v>98</v>
      </c>
      <c r="F25" s="1">
        <f t="shared" si="0"/>
        <v>490</v>
      </c>
    </row>
    <row r="26" spans="2:6" ht="15" thickBot="1" x14ac:dyDescent="0.4">
      <c r="B26" s="1" t="s">
        <v>26</v>
      </c>
      <c r="C26" s="1" t="s">
        <v>50</v>
      </c>
      <c r="D26" s="1">
        <v>5</v>
      </c>
      <c r="E26" s="1">
        <v>0</v>
      </c>
      <c r="F26" s="1">
        <f t="shared" si="0"/>
        <v>0</v>
      </c>
    </row>
    <row r="27" spans="2:6" ht="15" thickBot="1" x14ac:dyDescent="0.4">
      <c r="B27" s="1" t="s">
        <v>27</v>
      </c>
      <c r="C27" s="1" t="s">
        <v>50</v>
      </c>
      <c r="D27" s="1">
        <v>5</v>
      </c>
      <c r="E27" s="1">
        <v>0</v>
      </c>
      <c r="F27" s="1">
        <f t="shared" si="0"/>
        <v>0</v>
      </c>
    </row>
    <row r="28" spans="2:6" ht="15" thickBot="1" x14ac:dyDescent="0.4">
      <c r="B28" s="1" t="s">
        <v>28</v>
      </c>
      <c r="C28" s="1" t="s">
        <v>50</v>
      </c>
      <c r="D28" s="1">
        <v>8</v>
      </c>
      <c r="E28" s="1">
        <v>0</v>
      </c>
      <c r="F28" s="1">
        <f t="shared" si="0"/>
        <v>0</v>
      </c>
    </row>
    <row r="29" spans="2:6" ht="15" thickBot="1" x14ac:dyDescent="0.4">
      <c r="B29" s="1" t="s">
        <v>29</v>
      </c>
      <c r="C29" s="1" t="s">
        <v>50</v>
      </c>
      <c r="D29" s="1">
        <v>8</v>
      </c>
      <c r="E29" s="1"/>
      <c r="F29" s="1">
        <f t="shared" si="0"/>
        <v>0</v>
      </c>
    </row>
    <row r="30" spans="2:6" ht="19" thickBot="1" x14ac:dyDescent="0.5">
      <c r="B30" s="1" t="s">
        <v>30</v>
      </c>
      <c r="C30" s="1"/>
      <c r="D30" s="1"/>
      <c r="E30" s="4">
        <f>SUM(E31:E35)</f>
        <v>126</v>
      </c>
      <c r="F30" s="4">
        <f>SUM(F32:F35)</f>
        <v>528</v>
      </c>
    </row>
    <row r="31" spans="2:6" ht="15" thickBot="1" x14ac:dyDescent="0.4">
      <c r="B31" s="1" t="s">
        <v>32</v>
      </c>
      <c r="C31" s="1" t="s">
        <v>50</v>
      </c>
      <c r="D31" s="1">
        <v>5</v>
      </c>
      <c r="E31" s="1">
        <v>60</v>
      </c>
      <c r="F31" s="1">
        <f t="shared" si="0"/>
        <v>300</v>
      </c>
    </row>
    <row r="32" spans="2:6" ht="15" thickBot="1" x14ac:dyDescent="0.4">
      <c r="B32" s="1" t="s">
        <v>31</v>
      </c>
      <c r="C32" s="1" t="s">
        <v>50</v>
      </c>
      <c r="D32" s="1">
        <v>8</v>
      </c>
      <c r="E32" s="1">
        <v>31</v>
      </c>
      <c r="F32" s="1">
        <f t="shared" si="0"/>
        <v>248</v>
      </c>
    </row>
    <row r="33" spans="2:6" ht="15" thickBot="1" x14ac:dyDescent="0.4">
      <c r="B33" s="1" t="s">
        <v>33</v>
      </c>
      <c r="C33" s="1" t="s">
        <v>50</v>
      </c>
      <c r="D33" s="1">
        <v>8</v>
      </c>
      <c r="E33" s="1">
        <v>16</v>
      </c>
      <c r="F33" s="1">
        <f t="shared" si="0"/>
        <v>128</v>
      </c>
    </row>
    <row r="34" spans="2:6" ht="15" thickBot="1" x14ac:dyDescent="0.4">
      <c r="B34" s="1" t="s">
        <v>34</v>
      </c>
      <c r="C34" s="1" t="s">
        <v>50</v>
      </c>
      <c r="D34" s="1">
        <v>8</v>
      </c>
      <c r="E34" s="1">
        <v>7</v>
      </c>
      <c r="F34" s="1">
        <f t="shared" si="0"/>
        <v>56</v>
      </c>
    </row>
    <row r="35" spans="2:6" ht="15" thickBot="1" x14ac:dyDescent="0.4">
      <c r="B35" s="1" t="s">
        <v>35</v>
      </c>
      <c r="C35" s="1" t="s">
        <v>50</v>
      </c>
      <c r="D35" s="1">
        <v>8</v>
      </c>
      <c r="E35" s="1">
        <v>12</v>
      </c>
      <c r="F35" s="1">
        <f t="shared" si="0"/>
        <v>96</v>
      </c>
    </row>
    <row r="36" spans="2:6" ht="19" thickBot="1" x14ac:dyDescent="0.5">
      <c r="B36" s="1" t="s">
        <v>36</v>
      </c>
      <c r="C36" s="1"/>
      <c r="D36" s="1"/>
      <c r="E36" s="4">
        <f>SUM(E37:E42)</f>
        <v>56</v>
      </c>
      <c r="F36" s="4">
        <f>SUM(F37:F42)</f>
        <v>448</v>
      </c>
    </row>
    <row r="37" spans="2:6" ht="15" thickBot="1" x14ac:dyDescent="0.4">
      <c r="B37" s="1" t="s">
        <v>37</v>
      </c>
      <c r="C37" s="1" t="s">
        <v>50</v>
      </c>
      <c r="D37" s="1">
        <v>8</v>
      </c>
      <c r="E37" s="1">
        <v>0</v>
      </c>
      <c r="F37" s="1">
        <f t="shared" si="0"/>
        <v>0</v>
      </c>
    </row>
    <row r="38" spans="2:6" ht="15" thickBot="1" x14ac:dyDescent="0.4">
      <c r="B38" s="1" t="s">
        <v>38</v>
      </c>
      <c r="C38" s="1" t="s">
        <v>50</v>
      </c>
      <c r="D38" s="1">
        <v>8</v>
      </c>
      <c r="E38" s="1">
        <v>0</v>
      </c>
      <c r="F38" s="1">
        <f t="shared" si="0"/>
        <v>0</v>
      </c>
    </row>
    <row r="39" spans="2:6" ht="15" thickBot="1" x14ac:dyDescent="0.4">
      <c r="B39" s="1" t="s">
        <v>39</v>
      </c>
      <c r="C39" s="1" t="s">
        <v>50</v>
      </c>
      <c r="D39" s="1">
        <v>8</v>
      </c>
      <c r="E39" s="1">
        <v>10</v>
      </c>
      <c r="F39" s="1">
        <f t="shared" si="0"/>
        <v>80</v>
      </c>
    </row>
    <row r="40" spans="2:6" ht="15" thickBot="1" x14ac:dyDescent="0.4">
      <c r="B40" s="1" t="s">
        <v>40</v>
      </c>
      <c r="C40" s="1" t="s">
        <v>50</v>
      </c>
      <c r="D40" s="1">
        <v>8</v>
      </c>
      <c r="E40" s="1">
        <v>25</v>
      </c>
      <c r="F40" s="1">
        <f t="shared" si="0"/>
        <v>200</v>
      </c>
    </row>
    <row r="41" spans="2:6" ht="15" thickBot="1" x14ac:dyDescent="0.4">
      <c r="B41" s="1" t="s">
        <v>41</v>
      </c>
      <c r="C41" s="1" t="s">
        <v>50</v>
      </c>
      <c r="D41" s="1">
        <v>8</v>
      </c>
      <c r="E41" s="1">
        <v>11</v>
      </c>
      <c r="F41" s="1">
        <f t="shared" si="0"/>
        <v>88</v>
      </c>
    </row>
    <row r="42" spans="2:6" ht="15" thickBot="1" x14ac:dyDescent="0.4">
      <c r="B42" s="1" t="s">
        <v>42</v>
      </c>
      <c r="C42" s="1" t="s">
        <v>50</v>
      </c>
      <c r="D42" s="1">
        <v>8</v>
      </c>
      <c r="E42" s="1">
        <v>10</v>
      </c>
      <c r="F42" s="1">
        <f t="shared" si="0"/>
        <v>80</v>
      </c>
    </row>
    <row r="43" spans="2:6" ht="19" thickBot="1" x14ac:dyDescent="0.5">
      <c r="B43" s="1" t="s">
        <v>43</v>
      </c>
      <c r="C43" s="1"/>
      <c r="D43" s="1"/>
      <c r="E43" s="4">
        <f>SUM(E44:E48)</f>
        <v>3</v>
      </c>
      <c r="F43" s="4">
        <f>SUM(F44:F48)</f>
        <v>24</v>
      </c>
    </row>
    <row r="44" spans="2:6" ht="15" thickBot="1" x14ac:dyDescent="0.4">
      <c r="B44" s="1" t="s">
        <v>44</v>
      </c>
      <c r="C44" s="1" t="s">
        <v>50</v>
      </c>
      <c r="D44" s="1">
        <v>8</v>
      </c>
      <c r="E44" s="1">
        <v>0</v>
      </c>
      <c r="F44" s="1">
        <f t="shared" si="0"/>
        <v>0</v>
      </c>
    </row>
    <row r="45" spans="2:6" ht="15" thickBot="1" x14ac:dyDescent="0.4">
      <c r="B45" s="1" t="s">
        <v>45</v>
      </c>
      <c r="C45" s="1" t="s">
        <v>50</v>
      </c>
      <c r="D45" s="1">
        <v>8</v>
      </c>
      <c r="E45" s="1">
        <v>3</v>
      </c>
      <c r="F45" s="1">
        <f t="shared" si="0"/>
        <v>24</v>
      </c>
    </row>
    <row r="46" spans="2:6" ht="15" thickBot="1" x14ac:dyDescent="0.4">
      <c r="B46" s="1" t="s">
        <v>46</v>
      </c>
      <c r="C46" s="1" t="s">
        <v>50</v>
      </c>
      <c r="D46" s="1">
        <v>8</v>
      </c>
      <c r="E46" s="1">
        <v>0</v>
      </c>
      <c r="F46" s="1">
        <f t="shared" si="0"/>
        <v>0</v>
      </c>
    </row>
    <row r="47" spans="2:6" ht="15" thickBot="1" x14ac:dyDescent="0.4">
      <c r="B47" s="1" t="s">
        <v>47</v>
      </c>
      <c r="C47" s="1" t="s">
        <v>50</v>
      </c>
      <c r="D47" s="1">
        <v>8</v>
      </c>
      <c r="E47" s="1">
        <v>0</v>
      </c>
      <c r="F47" s="1">
        <f>+D47*E47</f>
        <v>0</v>
      </c>
    </row>
    <row r="48" spans="2:6" ht="15" thickBot="1" x14ac:dyDescent="0.4">
      <c r="B48" s="1" t="s">
        <v>49</v>
      </c>
      <c r="C48" s="1" t="s">
        <v>50</v>
      </c>
      <c r="D48" s="1">
        <v>8</v>
      </c>
      <c r="E48" s="1">
        <v>0</v>
      </c>
      <c r="F48" s="1">
        <f t="shared" si="0"/>
        <v>0</v>
      </c>
    </row>
    <row r="49" spans="2:6" ht="19" thickBot="1" x14ac:dyDescent="0.5">
      <c r="B49" s="111" t="s">
        <v>51</v>
      </c>
      <c r="C49" s="111"/>
      <c r="D49" s="111"/>
      <c r="E49" s="4">
        <f>+E43+E36+E30+E22+E10+E5</f>
        <v>1001</v>
      </c>
      <c r="F49" s="4">
        <f>+F43+F36+F30+F22+F10+F5</f>
        <v>3695</v>
      </c>
    </row>
  </sheetData>
  <mergeCells count="2">
    <mergeCell ref="B2:F2"/>
    <mergeCell ref="B49:D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198D-23DC-40CE-BFA6-E21374E95719}">
  <dimension ref="B2:J49"/>
  <sheetViews>
    <sheetView topLeftCell="A3" workbookViewId="0">
      <selection activeCell="A55" sqref="A55"/>
    </sheetView>
  </sheetViews>
  <sheetFormatPr baseColWidth="10" defaultRowHeight="14.5" x14ac:dyDescent="0.35"/>
  <cols>
    <col min="2" max="2" width="13.1796875" bestFit="1" customWidth="1"/>
  </cols>
  <sheetData>
    <row r="2" spans="2:10" x14ac:dyDescent="0.35">
      <c r="B2" s="110" t="s">
        <v>0</v>
      </c>
      <c r="C2" s="110"/>
      <c r="D2" s="110"/>
      <c r="E2" s="110"/>
      <c r="F2" s="110"/>
    </row>
    <row r="3" spans="2:10" ht="15" thickBot="1" x14ac:dyDescent="0.4"/>
    <row r="4" spans="2:10" ht="15" thickBot="1" x14ac:dyDescent="0.4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I4" t="s">
        <v>74</v>
      </c>
      <c r="J4" t="s">
        <v>75</v>
      </c>
    </row>
    <row r="5" spans="2:10" ht="19" thickBot="1" x14ac:dyDescent="0.5">
      <c r="B5" s="1" t="s">
        <v>5</v>
      </c>
      <c r="C5" s="1"/>
      <c r="D5" s="1"/>
      <c r="E5" s="4">
        <f>SUM(E6:E9)</f>
        <v>773</v>
      </c>
      <c r="F5" s="4">
        <f>SUM(F6:F9)</f>
        <v>2319</v>
      </c>
      <c r="H5" t="s">
        <v>67</v>
      </c>
      <c r="I5">
        <f>+F5</f>
        <v>2319</v>
      </c>
      <c r="J5">
        <f>+E5</f>
        <v>773</v>
      </c>
    </row>
    <row r="6" spans="2:10" ht="15" thickBot="1" x14ac:dyDescent="0.4">
      <c r="B6" s="1" t="s">
        <v>6</v>
      </c>
      <c r="C6" s="1" t="s">
        <v>50</v>
      </c>
      <c r="D6" s="1">
        <v>3</v>
      </c>
      <c r="E6" s="1">
        <f>210+184+33+22+12</f>
        <v>461</v>
      </c>
      <c r="F6" s="1">
        <f>+D6*E6</f>
        <v>1383</v>
      </c>
      <c r="H6" t="s">
        <v>68</v>
      </c>
      <c r="I6">
        <f>+F10</f>
        <v>1230</v>
      </c>
      <c r="J6">
        <f>+E10</f>
        <v>231</v>
      </c>
    </row>
    <row r="7" spans="2:10" ht="15" thickBot="1" x14ac:dyDescent="0.4">
      <c r="B7" s="1" t="s">
        <v>7</v>
      </c>
      <c r="C7" s="1" t="s">
        <v>50</v>
      </c>
      <c r="D7" s="1">
        <v>3</v>
      </c>
      <c r="E7" s="1">
        <v>145</v>
      </c>
      <c r="F7" s="1">
        <f t="shared" ref="F7:F48" si="0">+D7*E7</f>
        <v>435</v>
      </c>
      <c r="H7" t="s">
        <v>69</v>
      </c>
      <c r="I7">
        <f>+F22</f>
        <v>0</v>
      </c>
      <c r="J7">
        <f>+E22</f>
        <v>0</v>
      </c>
    </row>
    <row r="8" spans="2:10" ht="15" thickBot="1" x14ac:dyDescent="0.4">
      <c r="B8" s="1" t="s">
        <v>8</v>
      </c>
      <c r="C8" s="1" t="s">
        <v>50</v>
      </c>
      <c r="D8" s="1">
        <v>3</v>
      </c>
      <c r="E8" s="1">
        <f>63+65</f>
        <v>128</v>
      </c>
      <c r="F8" s="1">
        <f t="shared" si="0"/>
        <v>384</v>
      </c>
      <c r="H8" t="s">
        <v>70</v>
      </c>
      <c r="I8">
        <f>+F30</f>
        <v>1158</v>
      </c>
      <c r="J8">
        <f>+E30</f>
        <v>174</v>
      </c>
    </row>
    <row r="9" spans="2:10" ht="15" thickBot="1" x14ac:dyDescent="0.4">
      <c r="B9" s="1" t="s">
        <v>9</v>
      </c>
      <c r="C9" s="1" t="s">
        <v>50</v>
      </c>
      <c r="D9" s="1">
        <v>3</v>
      </c>
      <c r="E9" s="1">
        <v>39</v>
      </c>
      <c r="F9" s="1">
        <f t="shared" si="0"/>
        <v>117</v>
      </c>
      <c r="H9" t="s">
        <v>71</v>
      </c>
      <c r="I9">
        <f>+F36</f>
        <v>528</v>
      </c>
      <c r="J9">
        <f>+E36</f>
        <v>66</v>
      </c>
    </row>
    <row r="10" spans="2:10" ht="19" thickBot="1" x14ac:dyDescent="0.5">
      <c r="B10" s="1" t="s">
        <v>10</v>
      </c>
      <c r="C10" s="1"/>
      <c r="D10" s="1"/>
      <c r="E10" s="4">
        <f>SUM(E11:E21)</f>
        <v>231</v>
      </c>
      <c r="F10" s="4">
        <f>SUM(F11:F21)</f>
        <v>1230</v>
      </c>
      <c r="H10" t="s">
        <v>44</v>
      </c>
      <c r="I10">
        <f>+F43</f>
        <v>1080</v>
      </c>
      <c r="J10">
        <f>+C43+E43</f>
        <v>135</v>
      </c>
    </row>
    <row r="11" spans="2:10" ht="15" thickBot="1" x14ac:dyDescent="0.4">
      <c r="B11" s="1" t="s">
        <v>11</v>
      </c>
      <c r="C11" s="1" t="s">
        <v>50</v>
      </c>
      <c r="D11" s="1">
        <v>5</v>
      </c>
      <c r="E11" s="1">
        <v>206</v>
      </c>
      <c r="F11" s="1">
        <f t="shared" si="0"/>
        <v>1030</v>
      </c>
      <c r="I11">
        <f>SUM(I5:I10)</f>
        <v>6315</v>
      </c>
      <c r="J11">
        <f>SUM(J5:J10)</f>
        <v>1379</v>
      </c>
    </row>
    <row r="12" spans="2:10" ht="15" thickBot="1" x14ac:dyDescent="0.4">
      <c r="B12" s="1" t="s">
        <v>12</v>
      </c>
      <c r="C12" s="1" t="s">
        <v>50</v>
      </c>
      <c r="D12" s="1">
        <v>8</v>
      </c>
      <c r="E12" s="1"/>
      <c r="F12" s="1">
        <f t="shared" si="0"/>
        <v>0</v>
      </c>
    </row>
    <row r="13" spans="2:10" ht="15" thickBot="1" x14ac:dyDescent="0.4">
      <c r="B13" s="1" t="s">
        <v>13</v>
      </c>
      <c r="C13" s="1" t="s">
        <v>50</v>
      </c>
      <c r="D13" s="1">
        <v>8</v>
      </c>
      <c r="E13" s="1"/>
      <c r="F13" s="1">
        <f t="shared" si="0"/>
        <v>0</v>
      </c>
    </row>
    <row r="14" spans="2:10" ht="15" thickBot="1" x14ac:dyDescent="0.4">
      <c r="B14" s="1" t="s">
        <v>14</v>
      </c>
      <c r="C14" s="1" t="s">
        <v>50</v>
      </c>
      <c r="D14" s="1">
        <v>8</v>
      </c>
      <c r="E14" s="1"/>
      <c r="F14" s="1">
        <f t="shared" si="0"/>
        <v>0</v>
      </c>
    </row>
    <row r="15" spans="2:10" ht="15" thickBot="1" x14ac:dyDescent="0.4">
      <c r="B15" s="1" t="s">
        <v>15</v>
      </c>
      <c r="C15" s="1" t="s">
        <v>50</v>
      </c>
      <c r="D15" s="1">
        <v>8</v>
      </c>
      <c r="E15" s="1">
        <v>2</v>
      </c>
      <c r="F15" s="1">
        <f t="shared" si="0"/>
        <v>16</v>
      </c>
    </row>
    <row r="16" spans="2:10" ht="15" thickBot="1" x14ac:dyDescent="0.4">
      <c r="B16" s="1" t="s">
        <v>16</v>
      </c>
      <c r="C16" s="1" t="s">
        <v>50</v>
      </c>
      <c r="D16" s="1">
        <v>8</v>
      </c>
      <c r="E16" s="1"/>
      <c r="F16" s="1">
        <f t="shared" si="0"/>
        <v>0</v>
      </c>
    </row>
    <row r="17" spans="2:6" ht="15" thickBot="1" x14ac:dyDescent="0.4">
      <c r="B17" s="1" t="s">
        <v>17</v>
      </c>
      <c r="C17" s="1" t="s">
        <v>50</v>
      </c>
      <c r="D17" s="1">
        <v>8</v>
      </c>
      <c r="E17" s="1"/>
      <c r="F17" s="1">
        <f t="shared" si="0"/>
        <v>0</v>
      </c>
    </row>
    <row r="18" spans="2:6" ht="15" thickBot="1" x14ac:dyDescent="0.4">
      <c r="B18" s="1" t="s">
        <v>18</v>
      </c>
      <c r="C18" s="1" t="s">
        <v>50</v>
      </c>
      <c r="D18" s="1">
        <v>8</v>
      </c>
      <c r="E18" s="1">
        <v>23</v>
      </c>
      <c r="F18" s="1">
        <f t="shared" si="0"/>
        <v>184</v>
      </c>
    </row>
    <row r="19" spans="2:6" ht="15" thickBot="1" x14ac:dyDescent="0.4">
      <c r="B19" s="1" t="s">
        <v>19</v>
      </c>
      <c r="C19" s="1" t="s">
        <v>50</v>
      </c>
      <c r="D19" s="1">
        <v>8</v>
      </c>
      <c r="E19" s="1"/>
      <c r="F19" s="1">
        <f>+D19*E19</f>
        <v>0</v>
      </c>
    </row>
    <row r="20" spans="2:6" ht="15" thickBot="1" x14ac:dyDescent="0.4">
      <c r="B20" s="1" t="s">
        <v>20</v>
      </c>
      <c r="C20" s="1" t="s">
        <v>50</v>
      </c>
      <c r="D20" s="1">
        <v>8</v>
      </c>
      <c r="E20" s="1"/>
      <c r="F20" s="1">
        <f t="shared" si="0"/>
        <v>0</v>
      </c>
    </row>
    <row r="21" spans="2:6" ht="15" thickBot="1" x14ac:dyDescent="0.4">
      <c r="B21" s="1" t="s">
        <v>21</v>
      </c>
      <c r="C21" s="1" t="s">
        <v>50</v>
      </c>
      <c r="D21" s="1">
        <v>8</v>
      </c>
      <c r="E21" s="1"/>
      <c r="F21" s="1">
        <f t="shared" si="0"/>
        <v>0</v>
      </c>
    </row>
    <row r="22" spans="2:6" ht="19" thickBot="1" x14ac:dyDescent="0.5">
      <c r="B22" s="1" t="s">
        <v>22</v>
      </c>
      <c r="C22" s="1"/>
      <c r="D22" s="1"/>
      <c r="E22" s="4">
        <f>SUM(E23:E29)</f>
        <v>0</v>
      </c>
      <c r="F22" s="1">
        <f>SUM(F23:F29)</f>
        <v>0</v>
      </c>
    </row>
    <row r="23" spans="2:6" ht="15" thickBot="1" x14ac:dyDescent="0.4">
      <c r="B23" s="1" t="s">
        <v>23</v>
      </c>
      <c r="C23" s="1" t="s">
        <v>50</v>
      </c>
      <c r="D23" s="1">
        <v>5</v>
      </c>
      <c r="E23" s="1"/>
      <c r="F23" s="1">
        <f t="shared" si="0"/>
        <v>0</v>
      </c>
    </row>
    <row r="24" spans="2:6" ht="15" thickBot="1" x14ac:dyDescent="0.4">
      <c r="B24" s="1" t="s">
        <v>24</v>
      </c>
      <c r="C24" s="1" t="s">
        <v>50</v>
      </c>
      <c r="D24" s="1">
        <v>5</v>
      </c>
      <c r="E24" s="1"/>
      <c r="F24" s="1">
        <f t="shared" si="0"/>
        <v>0</v>
      </c>
    </row>
    <row r="25" spans="2:6" ht="15" thickBot="1" x14ac:dyDescent="0.4">
      <c r="B25" s="1" t="s">
        <v>25</v>
      </c>
      <c r="C25" s="1" t="s">
        <v>50</v>
      </c>
      <c r="D25" s="1">
        <v>5</v>
      </c>
      <c r="E25" s="1"/>
      <c r="F25" s="1">
        <f t="shared" si="0"/>
        <v>0</v>
      </c>
    </row>
    <row r="26" spans="2:6" ht="15" thickBot="1" x14ac:dyDescent="0.4">
      <c r="B26" s="1" t="s">
        <v>26</v>
      </c>
      <c r="C26" s="1" t="s">
        <v>50</v>
      </c>
      <c r="D26" s="1">
        <v>5</v>
      </c>
      <c r="E26" s="1"/>
      <c r="F26" s="1">
        <f t="shared" si="0"/>
        <v>0</v>
      </c>
    </row>
    <row r="27" spans="2:6" ht="15" thickBot="1" x14ac:dyDescent="0.4">
      <c r="B27" s="1" t="s">
        <v>27</v>
      </c>
      <c r="C27" s="1" t="s">
        <v>50</v>
      </c>
      <c r="D27" s="1">
        <v>5</v>
      </c>
      <c r="E27" s="1"/>
      <c r="F27" s="1">
        <f t="shared" si="0"/>
        <v>0</v>
      </c>
    </row>
    <row r="28" spans="2:6" ht="15" thickBot="1" x14ac:dyDescent="0.4">
      <c r="B28" s="1" t="s">
        <v>28</v>
      </c>
      <c r="C28" s="1" t="s">
        <v>50</v>
      </c>
      <c r="D28" s="1">
        <v>8</v>
      </c>
      <c r="E28" s="1"/>
      <c r="F28" s="1">
        <f t="shared" si="0"/>
        <v>0</v>
      </c>
    </row>
    <row r="29" spans="2:6" ht="15" thickBot="1" x14ac:dyDescent="0.4">
      <c r="B29" s="1" t="s">
        <v>29</v>
      </c>
      <c r="C29" s="1" t="s">
        <v>50</v>
      </c>
      <c r="D29" s="1">
        <v>8</v>
      </c>
      <c r="E29" s="1"/>
      <c r="F29" s="1">
        <f t="shared" si="0"/>
        <v>0</v>
      </c>
    </row>
    <row r="30" spans="2:6" ht="19" thickBot="1" x14ac:dyDescent="0.5">
      <c r="B30" s="1" t="s">
        <v>30</v>
      </c>
      <c r="C30" s="1"/>
      <c r="D30" s="1"/>
      <c r="E30" s="4">
        <f>SUM(E31:E35)</f>
        <v>174</v>
      </c>
      <c r="F30" s="4">
        <f>SUM(F31:F35)</f>
        <v>1158</v>
      </c>
    </row>
    <row r="31" spans="2:6" ht="15" thickBot="1" x14ac:dyDescent="0.4">
      <c r="B31" s="1" t="s">
        <v>32</v>
      </c>
      <c r="C31" s="1" t="s">
        <v>50</v>
      </c>
      <c r="D31" s="1">
        <v>5</v>
      </c>
      <c r="E31" s="1">
        <v>78</v>
      </c>
      <c r="F31" s="1">
        <f t="shared" si="0"/>
        <v>390</v>
      </c>
    </row>
    <row r="32" spans="2:6" ht="15" thickBot="1" x14ac:dyDescent="0.4">
      <c r="B32" s="1" t="s">
        <v>31</v>
      </c>
      <c r="C32" s="1" t="s">
        <v>50</v>
      </c>
      <c r="D32" s="1">
        <v>8</v>
      </c>
      <c r="E32" s="1">
        <v>33</v>
      </c>
      <c r="F32" s="1">
        <f t="shared" si="0"/>
        <v>264</v>
      </c>
    </row>
    <row r="33" spans="2:6" ht="15" thickBot="1" x14ac:dyDescent="0.4">
      <c r="B33" s="1" t="s">
        <v>33</v>
      </c>
      <c r="C33" s="1" t="s">
        <v>50</v>
      </c>
      <c r="D33" s="1">
        <v>8</v>
      </c>
      <c r="E33" s="1">
        <v>29</v>
      </c>
      <c r="F33" s="1">
        <f t="shared" si="0"/>
        <v>232</v>
      </c>
    </row>
    <row r="34" spans="2:6" ht="15" thickBot="1" x14ac:dyDescent="0.4">
      <c r="B34" s="1" t="s">
        <v>34</v>
      </c>
      <c r="C34" s="1" t="s">
        <v>50</v>
      </c>
      <c r="D34" s="1">
        <v>8</v>
      </c>
      <c r="E34" s="1">
        <v>8</v>
      </c>
      <c r="F34" s="1">
        <f t="shared" si="0"/>
        <v>64</v>
      </c>
    </row>
    <row r="35" spans="2:6" ht="15" thickBot="1" x14ac:dyDescent="0.4">
      <c r="B35" s="1" t="s">
        <v>35</v>
      </c>
      <c r="C35" s="1" t="s">
        <v>50</v>
      </c>
      <c r="D35" s="1">
        <v>8</v>
      </c>
      <c r="E35" s="1">
        <v>26</v>
      </c>
      <c r="F35" s="1">
        <f t="shared" si="0"/>
        <v>208</v>
      </c>
    </row>
    <row r="36" spans="2:6" ht="19" thickBot="1" x14ac:dyDescent="0.5">
      <c r="B36" s="1" t="s">
        <v>36</v>
      </c>
      <c r="C36" s="1"/>
      <c r="D36" s="1"/>
      <c r="E36" s="4">
        <f>SUM(E37:E42)</f>
        <v>66</v>
      </c>
      <c r="F36" s="4">
        <f>SUM(F37:F42)</f>
        <v>528</v>
      </c>
    </row>
    <row r="37" spans="2:6" ht="15" thickBot="1" x14ac:dyDescent="0.4">
      <c r="B37" s="1" t="s">
        <v>37</v>
      </c>
      <c r="C37" s="1" t="s">
        <v>50</v>
      </c>
      <c r="D37" s="1">
        <v>8</v>
      </c>
      <c r="E37" s="1"/>
      <c r="F37" s="1">
        <f t="shared" si="0"/>
        <v>0</v>
      </c>
    </row>
    <row r="38" spans="2:6" ht="15" thickBot="1" x14ac:dyDescent="0.4">
      <c r="B38" s="1" t="s">
        <v>38</v>
      </c>
      <c r="C38" s="1" t="s">
        <v>50</v>
      </c>
      <c r="D38" s="1">
        <v>8</v>
      </c>
      <c r="E38" s="1"/>
      <c r="F38" s="1">
        <f t="shared" si="0"/>
        <v>0</v>
      </c>
    </row>
    <row r="39" spans="2:6" ht="15" thickBot="1" x14ac:dyDescent="0.4">
      <c r="B39" s="1" t="s">
        <v>39</v>
      </c>
      <c r="C39" s="1" t="s">
        <v>50</v>
      </c>
      <c r="D39" s="1">
        <v>8</v>
      </c>
      <c r="E39" s="1">
        <v>11</v>
      </c>
      <c r="F39" s="1">
        <f t="shared" si="0"/>
        <v>88</v>
      </c>
    </row>
    <row r="40" spans="2:6" ht="15" thickBot="1" x14ac:dyDescent="0.4">
      <c r="B40" s="1" t="s">
        <v>40</v>
      </c>
      <c r="C40" s="1" t="s">
        <v>50</v>
      </c>
      <c r="D40" s="1">
        <v>8</v>
      </c>
      <c r="E40" s="1">
        <v>34</v>
      </c>
      <c r="F40" s="1">
        <f t="shared" si="0"/>
        <v>272</v>
      </c>
    </row>
    <row r="41" spans="2:6" ht="15" thickBot="1" x14ac:dyDescent="0.4">
      <c r="B41" s="1" t="s">
        <v>41</v>
      </c>
      <c r="C41" s="1" t="s">
        <v>50</v>
      </c>
      <c r="D41" s="1">
        <v>8</v>
      </c>
      <c r="E41" s="1">
        <v>4</v>
      </c>
      <c r="F41" s="1">
        <f t="shared" si="0"/>
        <v>32</v>
      </c>
    </row>
    <row r="42" spans="2:6" ht="15" thickBot="1" x14ac:dyDescent="0.4">
      <c r="B42" s="1" t="s">
        <v>42</v>
      </c>
      <c r="C42" s="1" t="s">
        <v>50</v>
      </c>
      <c r="D42" s="1">
        <v>8</v>
      </c>
      <c r="E42" s="1">
        <v>17</v>
      </c>
      <c r="F42" s="1">
        <f t="shared" si="0"/>
        <v>136</v>
      </c>
    </row>
    <row r="43" spans="2:6" ht="19" thickBot="1" x14ac:dyDescent="0.5">
      <c r="B43" s="1" t="s">
        <v>43</v>
      </c>
      <c r="C43" s="1"/>
      <c r="D43" s="1"/>
      <c r="E43" s="4">
        <f>SUM(E44:E48)</f>
        <v>135</v>
      </c>
      <c r="F43" s="4">
        <f>SUM(F44:F48)</f>
        <v>1080</v>
      </c>
    </row>
    <row r="44" spans="2:6" ht="15" thickBot="1" x14ac:dyDescent="0.4">
      <c r="B44" s="1" t="s">
        <v>44</v>
      </c>
      <c r="C44" s="1" t="s">
        <v>50</v>
      </c>
      <c r="D44" s="1">
        <v>8</v>
      </c>
      <c r="E44" s="1">
        <v>82</v>
      </c>
      <c r="F44" s="1">
        <f t="shared" si="0"/>
        <v>656</v>
      </c>
    </row>
    <row r="45" spans="2:6" ht="15" thickBot="1" x14ac:dyDescent="0.4">
      <c r="B45" s="1" t="s">
        <v>45</v>
      </c>
      <c r="C45" s="1" t="s">
        <v>50</v>
      </c>
      <c r="D45" s="1">
        <v>8</v>
      </c>
      <c r="E45" s="1">
        <v>8</v>
      </c>
      <c r="F45" s="1">
        <f t="shared" si="0"/>
        <v>64</v>
      </c>
    </row>
    <row r="46" spans="2:6" ht="15" thickBot="1" x14ac:dyDescent="0.4">
      <c r="B46" s="1" t="s">
        <v>46</v>
      </c>
      <c r="C46" s="1" t="s">
        <v>50</v>
      </c>
      <c r="D46" s="1">
        <v>8</v>
      </c>
      <c r="E46" s="1">
        <v>14</v>
      </c>
      <c r="F46" s="1">
        <f t="shared" si="0"/>
        <v>112</v>
      </c>
    </row>
    <row r="47" spans="2:6" ht="15" thickBot="1" x14ac:dyDescent="0.4">
      <c r="B47" s="1" t="s">
        <v>47</v>
      </c>
      <c r="C47" s="1" t="s">
        <v>50</v>
      </c>
      <c r="D47" s="1">
        <v>8</v>
      </c>
      <c r="E47" s="1"/>
      <c r="F47" s="1">
        <f>+D47*E47</f>
        <v>0</v>
      </c>
    </row>
    <row r="48" spans="2:6" ht="15" thickBot="1" x14ac:dyDescent="0.4">
      <c r="B48" s="1" t="s">
        <v>49</v>
      </c>
      <c r="C48" s="1" t="s">
        <v>50</v>
      </c>
      <c r="D48" s="1">
        <v>8</v>
      </c>
      <c r="E48" s="1">
        <v>31</v>
      </c>
      <c r="F48" s="1">
        <f t="shared" si="0"/>
        <v>248</v>
      </c>
    </row>
    <row r="49" spans="2:6" ht="15" thickBot="1" x14ac:dyDescent="0.4">
      <c r="B49" s="111" t="s">
        <v>51</v>
      </c>
      <c r="C49" s="111"/>
      <c r="D49" s="111"/>
      <c r="E49" s="1">
        <f>+E43+E36+E30+E22+E10+E5</f>
        <v>1379</v>
      </c>
      <c r="F49" s="1">
        <f>+F43+F36+F30+F22+F10+F5</f>
        <v>6315</v>
      </c>
    </row>
  </sheetData>
  <mergeCells count="2">
    <mergeCell ref="B2:F2"/>
    <mergeCell ref="B49:D4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CF78-62D7-450E-873C-37DE895741C4}">
  <dimension ref="B2:J49"/>
  <sheetViews>
    <sheetView topLeftCell="A5" workbookViewId="0">
      <selection activeCell="E5" sqref="E5:E49"/>
    </sheetView>
  </sheetViews>
  <sheetFormatPr baseColWidth="10" defaultRowHeight="14.5" x14ac:dyDescent="0.35"/>
  <cols>
    <col min="2" max="2" width="13.1796875" bestFit="1" customWidth="1"/>
  </cols>
  <sheetData>
    <row r="2" spans="2:10" x14ac:dyDescent="0.35">
      <c r="B2" s="110" t="s">
        <v>0</v>
      </c>
      <c r="C2" s="110"/>
      <c r="D2" s="110"/>
      <c r="E2" s="110"/>
      <c r="F2" s="110"/>
    </row>
    <row r="3" spans="2:10" ht="15" thickBot="1" x14ac:dyDescent="0.4"/>
    <row r="4" spans="2:10" ht="15" thickBot="1" x14ac:dyDescent="0.4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I4" t="s">
        <v>74</v>
      </c>
      <c r="J4" t="s">
        <v>75</v>
      </c>
    </row>
    <row r="5" spans="2:10" ht="19" thickBot="1" x14ac:dyDescent="0.5">
      <c r="B5" s="1" t="s">
        <v>5</v>
      </c>
      <c r="C5" s="1"/>
      <c r="D5" s="1"/>
      <c r="E5" s="4">
        <f>SUM(E6:E9)</f>
        <v>546</v>
      </c>
      <c r="F5" s="4">
        <f>SUM(F6:F9)</f>
        <v>1638</v>
      </c>
      <c r="H5" t="s">
        <v>67</v>
      </c>
      <c r="I5">
        <f>+F5</f>
        <v>1638</v>
      </c>
      <c r="J5">
        <f>+E5</f>
        <v>546</v>
      </c>
    </row>
    <row r="6" spans="2:10" ht="15" thickBot="1" x14ac:dyDescent="0.4">
      <c r="B6" s="1" t="s">
        <v>6</v>
      </c>
      <c r="C6" s="1" t="s">
        <v>50</v>
      </c>
      <c r="D6" s="1">
        <v>3</v>
      </c>
      <c r="E6" s="1">
        <f>96+94+11+1</f>
        <v>202</v>
      </c>
      <c r="F6" s="1">
        <f>+D6*E6</f>
        <v>606</v>
      </c>
      <c r="H6" t="s">
        <v>68</v>
      </c>
      <c r="I6">
        <f>+F10</f>
        <v>1200</v>
      </c>
      <c r="J6">
        <f>+E10</f>
        <v>150</v>
      </c>
    </row>
    <row r="7" spans="2:10" ht="15" thickBot="1" x14ac:dyDescent="0.4">
      <c r="B7" s="1" t="s">
        <v>7</v>
      </c>
      <c r="C7" s="1" t="s">
        <v>50</v>
      </c>
      <c r="D7" s="1">
        <v>3</v>
      </c>
      <c r="E7" s="1">
        <f>106+97+1</f>
        <v>204</v>
      </c>
      <c r="F7" s="1">
        <f t="shared" ref="F7:F48" si="0">+D7*E7</f>
        <v>612</v>
      </c>
      <c r="H7" t="s">
        <v>69</v>
      </c>
      <c r="I7">
        <f>+F22</f>
        <v>707</v>
      </c>
      <c r="J7">
        <f>+E22</f>
        <v>127</v>
      </c>
    </row>
    <row r="8" spans="2:10" ht="15" thickBot="1" x14ac:dyDescent="0.4">
      <c r="B8" s="1" t="s">
        <v>8</v>
      </c>
      <c r="C8" s="1" t="s">
        <v>50</v>
      </c>
      <c r="D8" s="1">
        <v>3</v>
      </c>
      <c r="E8" s="1">
        <v>113</v>
      </c>
      <c r="F8" s="1">
        <f t="shared" si="0"/>
        <v>339</v>
      </c>
      <c r="H8" t="s">
        <v>70</v>
      </c>
      <c r="I8">
        <f>+F30</f>
        <v>0</v>
      </c>
      <c r="J8">
        <f>+E30</f>
        <v>0</v>
      </c>
    </row>
    <row r="9" spans="2:10" ht="15" thickBot="1" x14ac:dyDescent="0.4">
      <c r="B9" s="1" t="s">
        <v>9</v>
      </c>
      <c r="C9" s="1" t="s">
        <v>50</v>
      </c>
      <c r="D9" s="1">
        <v>3</v>
      </c>
      <c r="E9" s="1">
        <v>27</v>
      </c>
      <c r="F9" s="1">
        <f t="shared" si="0"/>
        <v>81</v>
      </c>
      <c r="H9" t="s">
        <v>71</v>
      </c>
      <c r="I9">
        <f>+F36</f>
        <v>360</v>
      </c>
      <c r="J9">
        <f>+E36</f>
        <v>45</v>
      </c>
    </row>
    <row r="10" spans="2:10" ht="19" thickBot="1" x14ac:dyDescent="0.5">
      <c r="B10" s="1" t="s">
        <v>10</v>
      </c>
      <c r="C10" s="1"/>
      <c r="D10" s="1"/>
      <c r="E10" s="4">
        <f>SUM(E11:E21)</f>
        <v>150</v>
      </c>
      <c r="F10" s="4">
        <f>SUM(F11:F21)</f>
        <v>1200</v>
      </c>
      <c r="H10" t="s">
        <v>44</v>
      </c>
      <c r="I10">
        <f>+F43</f>
        <v>0</v>
      </c>
      <c r="J10">
        <f>+C43+E43</f>
        <v>0</v>
      </c>
    </row>
    <row r="11" spans="2:10" ht="15" thickBot="1" x14ac:dyDescent="0.4">
      <c r="B11" s="1" t="s">
        <v>11</v>
      </c>
      <c r="C11" s="1" t="s">
        <v>50</v>
      </c>
      <c r="D11" s="1">
        <v>5</v>
      </c>
      <c r="E11" s="1"/>
      <c r="F11" s="1">
        <f t="shared" si="0"/>
        <v>0</v>
      </c>
      <c r="I11">
        <f>SUM(I5:I10)</f>
        <v>3905</v>
      </c>
      <c r="J11">
        <f>SUM(J5:J10)</f>
        <v>868</v>
      </c>
    </row>
    <row r="12" spans="2:10" ht="15" thickBot="1" x14ac:dyDescent="0.4">
      <c r="B12" s="1" t="s">
        <v>12</v>
      </c>
      <c r="C12" s="1" t="s">
        <v>50</v>
      </c>
      <c r="D12" s="1">
        <v>8</v>
      </c>
      <c r="E12" s="1">
        <v>11</v>
      </c>
      <c r="F12" s="1">
        <f t="shared" si="0"/>
        <v>88</v>
      </c>
    </row>
    <row r="13" spans="2:10" ht="15" thickBot="1" x14ac:dyDescent="0.4">
      <c r="B13" s="1" t="s">
        <v>13</v>
      </c>
      <c r="C13" s="1" t="s">
        <v>50</v>
      </c>
      <c r="D13" s="1">
        <v>8</v>
      </c>
      <c r="E13" s="1">
        <v>22</v>
      </c>
      <c r="F13" s="1">
        <f t="shared" si="0"/>
        <v>176</v>
      </c>
    </row>
    <row r="14" spans="2:10" ht="15" thickBot="1" x14ac:dyDescent="0.4">
      <c r="B14" s="1" t="s">
        <v>14</v>
      </c>
      <c r="C14" s="1" t="s">
        <v>50</v>
      </c>
      <c r="D14" s="1">
        <v>8</v>
      </c>
      <c r="E14" s="1">
        <v>7</v>
      </c>
      <c r="F14" s="1">
        <f t="shared" si="0"/>
        <v>56</v>
      </c>
    </row>
    <row r="15" spans="2:10" ht="15" thickBot="1" x14ac:dyDescent="0.4">
      <c r="B15" s="1" t="s">
        <v>15</v>
      </c>
      <c r="C15" s="1" t="s">
        <v>50</v>
      </c>
      <c r="D15" s="1">
        <v>8</v>
      </c>
      <c r="E15" s="1">
        <v>0</v>
      </c>
      <c r="F15" s="1">
        <f t="shared" si="0"/>
        <v>0</v>
      </c>
    </row>
    <row r="16" spans="2:10" ht="15" thickBot="1" x14ac:dyDescent="0.4">
      <c r="B16" s="1" t="s">
        <v>16</v>
      </c>
      <c r="C16" s="1" t="s">
        <v>50</v>
      </c>
      <c r="D16" s="1">
        <v>8</v>
      </c>
      <c r="E16" s="1">
        <v>23</v>
      </c>
      <c r="F16" s="1">
        <f t="shared" si="0"/>
        <v>184</v>
      </c>
    </row>
    <row r="17" spans="2:6" ht="15" thickBot="1" x14ac:dyDescent="0.4">
      <c r="B17" s="1" t="s">
        <v>17</v>
      </c>
      <c r="C17" s="1" t="s">
        <v>50</v>
      </c>
      <c r="D17" s="1">
        <v>8</v>
      </c>
      <c r="E17" s="1">
        <v>4</v>
      </c>
      <c r="F17" s="1">
        <f t="shared" si="0"/>
        <v>32</v>
      </c>
    </row>
    <row r="18" spans="2:6" ht="15" thickBot="1" x14ac:dyDescent="0.4">
      <c r="B18" s="1" t="s">
        <v>18</v>
      </c>
      <c r="C18" s="1" t="s">
        <v>50</v>
      </c>
      <c r="D18" s="1">
        <v>8</v>
      </c>
      <c r="E18" s="1">
        <v>0</v>
      </c>
      <c r="F18" s="1">
        <f t="shared" si="0"/>
        <v>0</v>
      </c>
    </row>
    <row r="19" spans="2:6" ht="15" thickBot="1" x14ac:dyDescent="0.4">
      <c r="B19" s="1" t="s">
        <v>19</v>
      </c>
      <c r="C19" s="1" t="s">
        <v>50</v>
      </c>
      <c r="D19" s="1">
        <v>8</v>
      </c>
      <c r="E19" s="1">
        <v>34</v>
      </c>
      <c r="F19" s="1">
        <f>+D19*E19</f>
        <v>272</v>
      </c>
    </row>
    <row r="20" spans="2:6" ht="15" thickBot="1" x14ac:dyDescent="0.4">
      <c r="B20" s="1" t="s">
        <v>20</v>
      </c>
      <c r="C20" s="1" t="s">
        <v>50</v>
      </c>
      <c r="D20" s="1">
        <v>8</v>
      </c>
      <c r="E20" s="1">
        <v>44</v>
      </c>
      <c r="F20" s="1">
        <f t="shared" si="0"/>
        <v>352</v>
      </c>
    </row>
    <row r="21" spans="2:6" ht="15" thickBot="1" x14ac:dyDescent="0.4">
      <c r="B21" s="1" t="s">
        <v>21</v>
      </c>
      <c r="C21" s="1" t="s">
        <v>50</v>
      </c>
      <c r="D21" s="1">
        <v>8</v>
      </c>
      <c r="E21" s="1">
        <v>5</v>
      </c>
      <c r="F21" s="1">
        <f t="shared" si="0"/>
        <v>40</v>
      </c>
    </row>
    <row r="22" spans="2:6" ht="19" thickBot="1" x14ac:dyDescent="0.5">
      <c r="B22" s="1" t="s">
        <v>22</v>
      </c>
      <c r="C22" s="1"/>
      <c r="D22" s="1"/>
      <c r="E22" s="4">
        <f>SUM(E23:E29)</f>
        <v>127</v>
      </c>
      <c r="F22" s="4">
        <f>SUM(F23:F29)</f>
        <v>707</v>
      </c>
    </row>
    <row r="23" spans="2:6" ht="15" thickBot="1" x14ac:dyDescent="0.4">
      <c r="B23" s="1" t="s">
        <v>23</v>
      </c>
      <c r="C23" s="1" t="s">
        <v>50</v>
      </c>
      <c r="D23" s="1">
        <v>5</v>
      </c>
      <c r="E23" s="1">
        <v>0</v>
      </c>
      <c r="F23" s="1">
        <f t="shared" si="0"/>
        <v>0</v>
      </c>
    </row>
    <row r="24" spans="2:6" ht="15" thickBot="1" x14ac:dyDescent="0.4">
      <c r="B24" s="1" t="s">
        <v>24</v>
      </c>
      <c r="C24" s="1" t="s">
        <v>50</v>
      </c>
      <c r="D24" s="1">
        <v>5</v>
      </c>
      <c r="E24" s="1">
        <v>0</v>
      </c>
      <c r="F24" s="1">
        <f t="shared" si="0"/>
        <v>0</v>
      </c>
    </row>
    <row r="25" spans="2:6" ht="15" thickBot="1" x14ac:dyDescent="0.4">
      <c r="B25" s="1" t="s">
        <v>25</v>
      </c>
      <c r="C25" s="1" t="s">
        <v>50</v>
      </c>
      <c r="D25" s="1">
        <v>5</v>
      </c>
      <c r="E25" s="1">
        <v>0</v>
      </c>
      <c r="F25" s="1">
        <f t="shared" si="0"/>
        <v>0</v>
      </c>
    </row>
    <row r="26" spans="2:6" ht="15" thickBot="1" x14ac:dyDescent="0.4">
      <c r="B26" s="1" t="s">
        <v>26</v>
      </c>
      <c r="C26" s="1" t="s">
        <v>50</v>
      </c>
      <c r="D26" s="1">
        <v>5</v>
      </c>
      <c r="E26" s="1">
        <v>36</v>
      </c>
      <c r="F26" s="1">
        <f t="shared" si="0"/>
        <v>180</v>
      </c>
    </row>
    <row r="27" spans="2:6" ht="15" thickBot="1" x14ac:dyDescent="0.4">
      <c r="B27" s="1" t="s">
        <v>27</v>
      </c>
      <c r="C27" s="1" t="s">
        <v>50</v>
      </c>
      <c r="D27" s="1">
        <v>5</v>
      </c>
      <c r="E27" s="1">
        <v>67</v>
      </c>
      <c r="F27" s="1">
        <f t="shared" si="0"/>
        <v>335</v>
      </c>
    </row>
    <row r="28" spans="2:6" ht="15" thickBot="1" x14ac:dyDescent="0.4">
      <c r="B28" s="1" t="s">
        <v>28</v>
      </c>
      <c r="C28" s="1" t="s">
        <v>50</v>
      </c>
      <c r="D28" s="1">
        <v>8</v>
      </c>
      <c r="E28" s="1">
        <v>24</v>
      </c>
      <c r="F28" s="1">
        <f t="shared" si="0"/>
        <v>192</v>
      </c>
    </row>
    <row r="29" spans="2:6" ht="15" thickBot="1" x14ac:dyDescent="0.4">
      <c r="B29" s="1" t="s">
        <v>29</v>
      </c>
      <c r="C29" s="1" t="s">
        <v>50</v>
      </c>
      <c r="D29" s="1">
        <v>8</v>
      </c>
      <c r="E29" s="1">
        <v>0</v>
      </c>
      <c r="F29" s="1">
        <f t="shared" si="0"/>
        <v>0</v>
      </c>
    </row>
    <row r="30" spans="2:6" ht="19" thickBot="1" x14ac:dyDescent="0.5">
      <c r="B30" s="1" t="s">
        <v>30</v>
      </c>
      <c r="C30" s="1"/>
      <c r="D30" s="1"/>
      <c r="E30" s="4">
        <f>SUM(E31:E35)</f>
        <v>0</v>
      </c>
      <c r="F30" s="4">
        <f>SUM(F31:F35)</f>
        <v>0</v>
      </c>
    </row>
    <row r="31" spans="2:6" ht="15" thickBot="1" x14ac:dyDescent="0.4">
      <c r="B31" s="1" t="s">
        <v>32</v>
      </c>
      <c r="C31" s="1" t="s">
        <v>50</v>
      </c>
      <c r="D31" s="1">
        <v>5</v>
      </c>
      <c r="E31" s="1">
        <v>0</v>
      </c>
      <c r="F31" s="1">
        <f t="shared" si="0"/>
        <v>0</v>
      </c>
    </row>
    <row r="32" spans="2:6" ht="15" thickBot="1" x14ac:dyDescent="0.4">
      <c r="B32" s="1" t="s">
        <v>31</v>
      </c>
      <c r="C32" s="1" t="s">
        <v>50</v>
      </c>
      <c r="D32" s="1">
        <v>8</v>
      </c>
      <c r="E32" s="1">
        <v>0</v>
      </c>
      <c r="F32" s="1">
        <f t="shared" si="0"/>
        <v>0</v>
      </c>
    </row>
    <row r="33" spans="2:6" ht="15" thickBot="1" x14ac:dyDescent="0.4">
      <c r="B33" s="1" t="s">
        <v>33</v>
      </c>
      <c r="C33" s="1" t="s">
        <v>50</v>
      </c>
      <c r="D33" s="1">
        <v>8</v>
      </c>
      <c r="E33" s="1">
        <v>0</v>
      </c>
      <c r="F33" s="1">
        <f t="shared" si="0"/>
        <v>0</v>
      </c>
    </row>
    <row r="34" spans="2:6" ht="15" thickBot="1" x14ac:dyDescent="0.4">
      <c r="B34" s="1" t="s">
        <v>34</v>
      </c>
      <c r="C34" s="1" t="s">
        <v>50</v>
      </c>
      <c r="D34" s="1">
        <v>8</v>
      </c>
      <c r="E34" s="1">
        <v>0</v>
      </c>
      <c r="F34" s="1">
        <f t="shared" si="0"/>
        <v>0</v>
      </c>
    </row>
    <row r="35" spans="2:6" ht="15" thickBot="1" x14ac:dyDescent="0.4">
      <c r="B35" s="1" t="s">
        <v>35</v>
      </c>
      <c r="C35" s="1" t="s">
        <v>50</v>
      </c>
      <c r="D35" s="1">
        <v>8</v>
      </c>
      <c r="E35" s="1">
        <v>0</v>
      </c>
      <c r="F35" s="1">
        <f t="shared" si="0"/>
        <v>0</v>
      </c>
    </row>
    <row r="36" spans="2:6" ht="19" thickBot="1" x14ac:dyDescent="0.5">
      <c r="B36" s="1" t="s">
        <v>36</v>
      </c>
      <c r="C36" s="1"/>
      <c r="D36" s="1"/>
      <c r="E36" s="4">
        <f>SUM(E37:E42)</f>
        <v>45</v>
      </c>
      <c r="F36" s="4">
        <f>SUM(F37:F42)</f>
        <v>360</v>
      </c>
    </row>
    <row r="37" spans="2:6" ht="15" thickBot="1" x14ac:dyDescent="0.4">
      <c r="B37" s="1" t="s">
        <v>37</v>
      </c>
      <c r="C37" s="1" t="s">
        <v>50</v>
      </c>
      <c r="D37" s="1">
        <v>8</v>
      </c>
      <c r="E37" s="1">
        <v>0</v>
      </c>
      <c r="F37" s="1">
        <f t="shared" si="0"/>
        <v>0</v>
      </c>
    </row>
    <row r="38" spans="2:6" ht="15" thickBot="1" x14ac:dyDescent="0.4">
      <c r="B38" s="1" t="s">
        <v>38</v>
      </c>
      <c r="C38" s="1" t="s">
        <v>50</v>
      </c>
      <c r="D38" s="1">
        <v>8</v>
      </c>
      <c r="E38" s="1">
        <v>0</v>
      </c>
      <c r="F38" s="1">
        <f t="shared" si="0"/>
        <v>0</v>
      </c>
    </row>
    <row r="39" spans="2:6" ht="15" thickBot="1" x14ac:dyDescent="0.4">
      <c r="B39" s="1" t="s">
        <v>39</v>
      </c>
      <c r="C39" s="1" t="s">
        <v>50</v>
      </c>
      <c r="D39" s="1">
        <v>8</v>
      </c>
      <c r="E39" s="1">
        <f>9+2</f>
        <v>11</v>
      </c>
      <c r="F39" s="1">
        <f t="shared" si="0"/>
        <v>88</v>
      </c>
    </row>
    <row r="40" spans="2:6" ht="15" thickBot="1" x14ac:dyDescent="0.4">
      <c r="B40" s="1" t="s">
        <v>40</v>
      </c>
      <c r="C40" s="1" t="s">
        <v>50</v>
      </c>
      <c r="D40" s="1">
        <v>8</v>
      </c>
      <c r="E40" s="1">
        <v>19</v>
      </c>
      <c r="F40" s="1">
        <f t="shared" si="0"/>
        <v>152</v>
      </c>
    </row>
    <row r="41" spans="2:6" ht="15" thickBot="1" x14ac:dyDescent="0.4">
      <c r="B41" s="1" t="s">
        <v>41</v>
      </c>
      <c r="C41" s="1" t="s">
        <v>50</v>
      </c>
      <c r="D41" s="1">
        <v>8</v>
      </c>
      <c r="E41" s="1">
        <v>5</v>
      </c>
      <c r="F41" s="1">
        <f t="shared" si="0"/>
        <v>40</v>
      </c>
    </row>
    <row r="42" spans="2:6" ht="15" thickBot="1" x14ac:dyDescent="0.4">
      <c r="B42" s="1" t="s">
        <v>42</v>
      </c>
      <c r="C42" s="1" t="s">
        <v>50</v>
      </c>
      <c r="D42" s="1">
        <v>8</v>
      </c>
      <c r="E42" s="1">
        <v>10</v>
      </c>
      <c r="F42" s="1">
        <f t="shared" si="0"/>
        <v>80</v>
      </c>
    </row>
    <row r="43" spans="2:6" ht="19" thickBot="1" x14ac:dyDescent="0.5">
      <c r="B43" s="1" t="s">
        <v>43</v>
      </c>
      <c r="C43" s="1"/>
      <c r="D43" s="1"/>
      <c r="E43" s="4">
        <f>SUM(E44:E48)</f>
        <v>0</v>
      </c>
      <c r="F43" s="4">
        <f>SUM(F44:F48)</f>
        <v>0</v>
      </c>
    </row>
    <row r="44" spans="2:6" ht="15" thickBot="1" x14ac:dyDescent="0.4">
      <c r="B44" s="1" t="s">
        <v>44</v>
      </c>
      <c r="C44" s="1" t="s">
        <v>50</v>
      </c>
      <c r="D44" s="1">
        <v>8</v>
      </c>
      <c r="E44" s="1">
        <v>0</v>
      </c>
      <c r="F44" s="1">
        <f t="shared" si="0"/>
        <v>0</v>
      </c>
    </row>
    <row r="45" spans="2:6" ht="15" thickBot="1" x14ac:dyDescent="0.4">
      <c r="B45" s="1" t="s">
        <v>45</v>
      </c>
      <c r="C45" s="1" t="s">
        <v>50</v>
      </c>
      <c r="D45" s="1">
        <v>8</v>
      </c>
      <c r="E45" s="1">
        <v>0</v>
      </c>
      <c r="F45" s="1">
        <f t="shared" si="0"/>
        <v>0</v>
      </c>
    </row>
    <row r="46" spans="2:6" ht="15" thickBot="1" x14ac:dyDescent="0.4">
      <c r="B46" s="1" t="s">
        <v>46</v>
      </c>
      <c r="C46" s="1" t="s">
        <v>50</v>
      </c>
      <c r="D46" s="1">
        <v>8</v>
      </c>
      <c r="E46" s="1">
        <v>0</v>
      </c>
      <c r="F46" s="1">
        <f t="shared" si="0"/>
        <v>0</v>
      </c>
    </row>
    <row r="47" spans="2:6" ht="15" thickBot="1" x14ac:dyDescent="0.4">
      <c r="B47" s="1" t="s">
        <v>47</v>
      </c>
      <c r="C47" s="1" t="s">
        <v>50</v>
      </c>
      <c r="D47" s="1">
        <v>8</v>
      </c>
      <c r="E47" s="1">
        <v>0</v>
      </c>
      <c r="F47" s="1">
        <f>+D47*E47</f>
        <v>0</v>
      </c>
    </row>
    <row r="48" spans="2:6" ht="15" thickBot="1" x14ac:dyDescent="0.4">
      <c r="B48" s="1" t="s">
        <v>49</v>
      </c>
      <c r="C48" s="1" t="s">
        <v>50</v>
      </c>
      <c r="D48" s="1">
        <v>8</v>
      </c>
      <c r="E48" s="1">
        <v>0</v>
      </c>
      <c r="F48" s="1">
        <f t="shared" si="0"/>
        <v>0</v>
      </c>
    </row>
    <row r="49" spans="2:6" ht="19" thickBot="1" x14ac:dyDescent="0.5">
      <c r="B49" s="111" t="s">
        <v>51</v>
      </c>
      <c r="C49" s="111"/>
      <c r="D49" s="111"/>
      <c r="E49" s="4">
        <f>+E43+E36+E30+E22+E10+E5</f>
        <v>868</v>
      </c>
      <c r="F49" s="4">
        <f>+F43+F36+F30+F22+F10+F5</f>
        <v>3905</v>
      </c>
    </row>
  </sheetData>
  <mergeCells count="2">
    <mergeCell ref="B2:F2"/>
    <mergeCell ref="B49:D4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A98F-5484-467D-AAD0-C6F7975A8475}">
  <dimension ref="B2:J49"/>
  <sheetViews>
    <sheetView topLeftCell="A5" workbookViewId="0">
      <selection activeCell="E5" sqref="E5:E49"/>
    </sheetView>
  </sheetViews>
  <sheetFormatPr baseColWidth="10" defaultRowHeight="14.5" x14ac:dyDescent="0.35"/>
  <cols>
    <col min="2" max="2" width="13.1796875" bestFit="1" customWidth="1"/>
  </cols>
  <sheetData>
    <row r="2" spans="2:10" x14ac:dyDescent="0.35">
      <c r="B2" s="110" t="s">
        <v>0</v>
      </c>
      <c r="C2" s="110"/>
      <c r="D2" s="110"/>
      <c r="E2" s="110"/>
      <c r="F2" s="110"/>
    </row>
    <row r="3" spans="2:10" ht="15" thickBot="1" x14ac:dyDescent="0.4"/>
    <row r="4" spans="2:10" ht="15" thickBot="1" x14ac:dyDescent="0.4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I4" t="s">
        <v>74</v>
      </c>
      <c r="J4" t="s">
        <v>75</v>
      </c>
    </row>
    <row r="5" spans="2:10" ht="19" thickBot="1" x14ac:dyDescent="0.5">
      <c r="B5" s="1" t="s">
        <v>59</v>
      </c>
      <c r="C5" s="1"/>
      <c r="D5" s="1"/>
      <c r="E5" s="4">
        <f>SUM(E6:E9)</f>
        <v>802</v>
      </c>
      <c r="F5" s="4">
        <f>SUM(F6:F9)</f>
        <v>2406</v>
      </c>
      <c r="H5" t="s">
        <v>67</v>
      </c>
      <c r="I5">
        <f>+F5</f>
        <v>2406</v>
      </c>
      <c r="J5">
        <f>+E5</f>
        <v>802</v>
      </c>
    </row>
    <row r="6" spans="2:10" ht="15" thickBot="1" x14ac:dyDescent="0.4">
      <c r="B6" s="1" t="s">
        <v>6</v>
      </c>
      <c r="C6" s="1" t="s">
        <v>50</v>
      </c>
      <c r="D6" s="1">
        <v>3</v>
      </c>
      <c r="E6" s="1">
        <v>470</v>
      </c>
      <c r="F6" s="1">
        <f>+D6*E6</f>
        <v>1410</v>
      </c>
      <c r="H6" t="s">
        <v>68</v>
      </c>
      <c r="I6">
        <f>+F10</f>
        <v>1432</v>
      </c>
      <c r="J6">
        <f>+E10</f>
        <v>179</v>
      </c>
    </row>
    <row r="7" spans="2:10" ht="15" thickBot="1" x14ac:dyDescent="0.4">
      <c r="B7" s="1" t="s">
        <v>7</v>
      </c>
      <c r="C7" s="1" t="s">
        <v>50</v>
      </c>
      <c r="D7" s="1">
        <v>3</v>
      </c>
      <c r="E7" s="1">
        <v>105</v>
      </c>
      <c r="F7" s="1">
        <f t="shared" ref="F7:F48" si="0">+D7*E7</f>
        <v>315</v>
      </c>
      <c r="H7" t="s">
        <v>69</v>
      </c>
      <c r="I7">
        <f>+F22</f>
        <v>820</v>
      </c>
      <c r="J7">
        <f>+E22</f>
        <v>164</v>
      </c>
    </row>
    <row r="8" spans="2:10" ht="15" thickBot="1" x14ac:dyDescent="0.4">
      <c r="B8" s="1" t="s">
        <v>8</v>
      </c>
      <c r="C8" s="1" t="s">
        <v>50</v>
      </c>
      <c r="D8" s="1">
        <v>3</v>
      </c>
      <c r="E8" s="1">
        <v>227</v>
      </c>
      <c r="F8" s="1">
        <f t="shared" si="0"/>
        <v>681</v>
      </c>
      <c r="H8" t="s">
        <v>70</v>
      </c>
      <c r="I8">
        <f>+F30</f>
        <v>912</v>
      </c>
      <c r="J8">
        <f>+E30</f>
        <v>141</v>
      </c>
    </row>
    <row r="9" spans="2:10" ht="15" thickBot="1" x14ac:dyDescent="0.4">
      <c r="B9" s="1" t="s">
        <v>9</v>
      </c>
      <c r="C9" s="1" t="s">
        <v>50</v>
      </c>
      <c r="D9" s="1">
        <v>3</v>
      </c>
      <c r="E9" s="1">
        <v>0</v>
      </c>
      <c r="F9" s="1">
        <f t="shared" si="0"/>
        <v>0</v>
      </c>
      <c r="H9" t="s">
        <v>71</v>
      </c>
      <c r="I9">
        <f>+F36</f>
        <v>0</v>
      </c>
      <c r="J9">
        <f>+E36</f>
        <v>0</v>
      </c>
    </row>
    <row r="10" spans="2:10" ht="19" thickBot="1" x14ac:dyDescent="0.5">
      <c r="B10" s="1" t="s">
        <v>10</v>
      </c>
      <c r="C10" s="1"/>
      <c r="D10" s="1"/>
      <c r="E10" s="4">
        <f>SUM(E11:E21)</f>
        <v>179</v>
      </c>
      <c r="F10" s="4">
        <f>SUM(F11:F21)</f>
        <v>1432</v>
      </c>
      <c r="H10" t="s">
        <v>44</v>
      </c>
      <c r="I10">
        <f>+F43</f>
        <v>1368</v>
      </c>
      <c r="J10">
        <f>+C43+E43</f>
        <v>171</v>
      </c>
    </row>
    <row r="11" spans="2:10" ht="15" thickBot="1" x14ac:dyDescent="0.4">
      <c r="B11" s="1" t="s">
        <v>11</v>
      </c>
      <c r="C11" s="1" t="s">
        <v>50</v>
      </c>
      <c r="D11" s="1">
        <v>5</v>
      </c>
      <c r="E11" s="1">
        <v>0</v>
      </c>
      <c r="F11" s="1">
        <f t="shared" si="0"/>
        <v>0</v>
      </c>
      <c r="I11">
        <f>SUM(I5:I10)</f>
        <v>6938</v>
      </c>
      <c r="J11">
        <f>SUM(J5:J10)</f>
        <v>1457</v>
      </c>
    </row>
    <row r="12" spans="2:10" ht="15" thickBot="1" x14ac:dyDescent="0.4">
      <c r="B12" s="1" t="s">
        <v>12</v>
      </c>
      <c r="C12" s="1" t="s">
        <v>50</v>
      </c>
      <c r="D12" s="1">
        <v>8</v>
      </c>
      <c r="E12" s="1">
        <v>21</v>
      </c>
      <c r="F12" s="1">
        <f t="shared" si="0"/>
        <v>168</v>
      </c>
    </row>
    <row r="13" spans="2:10" ht="15" thickBot="1" x14ac:dyDescent="0.4">
      <c r="B13" s="1" t="s">
        <v>13</v>
      </c>
      <c r="C13" s="1" t="s">
        <v>50</v>
      </c>
      <c r="D13" s="1">
        <v>8</v>
      </c>
      <c r="E13" s="1">
        <v>14</v>
      </c>
      <c r="F13" s="1">
        <f t="shared" si="0"/>
        <v>112</v>
      </c>
    </row>
    <row r="14" spans="2:10" ht="15" thickBot="1" x14ac:dyDescent="0.4">
      <c r="B14" s="1" t="s">
        <v>14</v>
      </c>
      <c r="C14" s="1" t="s">
        <v>50</v>
      </c>
      <c r="D14" s="1">
        <v>8</v>
      </c>
      <c r="E14" s="1">
        <v>11</v>
      </c>
      <c r="F14" s="1">
        <f t="shared" si="0"/>
        <v>88</v>
      </c>
    </row>
    <row r="15" spans="2:10" ht="15" thickBot="1" x14ac:dyDescent="0.4">
      <c r="B15" s="1" t="s">
        <v>15</v>
      </c>
      <c r="C15" s="1" t="s">
        <v>50</v>
      </c>
      <c r="D15" s="1">
        <v>8</v>
      </c>
      <c r="E15" s="1">
        <v>0</v>
      </c>
      <c r="F15" s="1">
        <f t="shared" si="0"/>
        <v>0</v>
      </c>
    </row>
    <row r="16" spans="2:10" ht="15" thickBot="1" x14ac:dyDescent="0.4">
      <c r="B16" s="1" t="s">
        <v>16</v>
      </c>
      <c r="C16" s="1" t="s">
        <v>50</v>
      </c>
      <c r="D16" s="1">
        <v>8</v>
      </c>
      <c r="E16" s="1">
        <v>31</v>
      </c>
      <c r="F16" s="1">
        <f t="shared" si="0"/>
        <v>248</v>
      </c>
    </row>
    <row r="17" spans="2:6" ht="15" thickBot="1" x14ac:dyDescent="0.4">
      <c r="B17" s="1" t="s">
        <v>17</v>
      </c>
      <c r="C17" s="1" t="s">
        <v>50</v>
      </c>
      <c r="D17" s="1">
        <v>8</v>
      </c>
      <c r="E17" s="1">
        <v>9</v>
      </c>
      <c r="F17" s="1">
        <f t="shared" si="0"/>
        <v>72</v>
      </c>
    </row>
    <row r="18" spans="2:6" ht="15" thickBot="1" x14ac:dyDescent="0.4">
      <c r="B18" s="1" t="s">
        <v>18</v>
      </c>
      <c r="C18" s="1" t="s">
        <v>50</v>
      </c>
      <c r="D18" s="1">
        <v>8</v>
      </c>
      <c r="E18" s="1">
        <v>0</v>
      </c>
      <c r="F18" s="1">
        <f t="shared" si="0"/>
        <v>0</v>
      </c>
    </row>
    <row r="19" spans="2:6" ht="15" thickBot="1" x14ac:dyDescent="0.4">
      <c r="B19" s="1" t="s">
        <v>19</v>
      </c>
      <c r="C19" s="1" t="s">
        <v>50</v>
      </c>
      <c r="D19" s="1">
        <v>8</v>
      </c>
      <c r="E19" s="1">
        <v>36</v>
      </c>
      <c r="F19" s="1">
        <f>+D19*E19</f>
        <v>288</v>
      </c>
    </row>
    <row r="20" spans="2:6" ht="15" thickBot="1" x14ac:dyDescent="0.4">
      <c r="B20" s="1" t="s">
        <v>20</v>
      </c>
      <c r="C20" s="1" t="s">
        <v>50</v>
      </c>
      <c r="D20" s="1">
        <v>8</v>
      </c>
      <c r="E20" s="1">
        <v>53</v>
      </c>
      <c r="F20" s="1">
        <f t="shared" si="0"/>
        <v>424</v>
      </c>
    </row>
    <row r="21" spans="2:6" ht="15" thickBot="1" x14ac:dyDescent="0.4">
      <c r="B21" s="1" t="s">
        <v>21</v>
      </c>
      <c r="C21" s="1" t="s">
        <v>50</v>
      </c>
      <c r="D21" s="1">
        <v>8</v>
      </c>
      <c r="E21" s="1">
        <v>4</v>
      </c>
      <c r="F21" s="1">
        <f t="shared" si="0"/>
        <v>32</v>
      </c>
    </row>
    <row r="22" spans="2:6" ht="19" thickBot="1" x14ac:dyDescent="0.5">
      <c r="B22" s="1" t="s">
        <v>22</v>
      </c>
      <c r="C22" s="1"/>
      <c r="D22" s="1"/>
      <c r="E22" s="4">
        <f>SUM(E23:E29)</f>
        <v>164</v>
      </c>
      <c r="F22" s="4">
        <f>SUM(F23:F29)</f>
        <v>820</v>
      </c>
    </row>
    <row r="23" spans="2:6" ht="15" thickBot="1" x14ac:dyDescent="0.4">
      <c r="B23" s="1" t="s">
        <v>23</v>
      </c>
      <c r="C23" s="1" t="s">
        <v>50</v>
      </c>
      <c r="D23" s="1">
        <v>5</v>
      </c>
      <c r="E23" s="1">
        <v>26</v>
      </c>
      <c r="F23" s="1">
        <f t="shared" si="0"/>
        <v>130</v>
      </c>
    </row>
    <row r="24" spans="2:6" ht="15" thickBot="1" x14ac:dyDescent="0.4">
      <c r="B24" s="1" t="s">
        <v>24</v>
      </c>
      <c r="C24" s="1" t="s">
        <v>50</v>
      </c>
      <c r="D24" s="1">
        <v>5</v>
      </c>
      <c r="E24" s="1">
        <v>18</v>
      </c>
      <c r="F24" s="1">
        <f t="shared" si="0"/>
        <v>90</v>
      </c>
    </row>
    <row r="25" spans="2:6" ht="15" thickBot="1" x14ac:dyDescent="0.4">
      <c r="B25" s="1" t="s">
        <v>25</v>
      </c>
      <c r="C25" s="1" t="s">
        <v>50</v>
      </c>
      <c r="D25" s="1">
        <v>5</v>
      </c>
      <c r="E25" s="1">
        <v>120</v>
      </c>
      <c r="F25" s="1">
        <f t="shared" si="0"/>
        <v>600</v>
      </c>
    </row>
    <row r="26" spans="2:6" ht="15" thickBot="1" x14ac:dyDescent="0.4">
      <c r="B26" s="1" t="s">
        <v>26</v>
      </c>
      <c r="C26" s="1" t="s">
        <v>50</v>
      </c>
      <c r="D26" s="1">
        <v>5</v>
      </c>
      <c r="E26" s="1">
        <v>0</v>
      </c>
      <c r="F26" s="1">
        <f t="shared" si="0"/>
        <v>0</v>
      </c>
    </row>
    <row r="27" spans="2:6" ht="15" thickBot="1" x14ac:dyDescent="0.4">
      <c r="B27" s="1" t="s">
        <v>27</v>
      </c>
      <c r="C27" s="1" t="s">
        <v>50</v>
      </c>
      <c r="D27" s="1">
        <v>5</v>
      </c>
      <c r="E27" s="1">
        <v>0</v>
      </c>
      <c r="F27" s="1">
        <f t="shared" si="0"/>
        <v>0</v>
      </c>
    </row>
    <row r="28" spans="2:6" ht="15" thickBot="1" x14ac:dyDescent="0.4">
      <c r="B28" s="1" t="s">
        <v>28</v>
      </c>
      <c r="C28" s="1" t="s">
        <v>50</v>
      </c>
      <c r="D28" s="1">
        <v>8</v>
      </c>
      <c r="E28" s="1">
        <v>0</v>
      </c>
      <c r="F28" s="1">
        <f t="shared" si="0"/>
        <v>0</v>
      </c>
    </row>
    <row r="29" spans="2:6" ht="15" thickBot="1" x14ac:dyDescent="0.4">
      <c r="B29" s="1" t="s">
        <v>29</v>
      </c>
      <c r="C29" s="1" t="s">
        <v>50</v>
      </c>
      <c r="D29" s="1">
        <v>8</v>
      </c>
      <c r="E29" s="1">
        <v>0</v>
      </c>
      <c r="F29" s="1">
        <f t="shared" si="0"/>
        <v>0</v>
      </c>
    </row>
    <row r="30" spans="2:6" ht="19" thickBot="1" x14ac:dyDescent="0.5">
      <c r="B30" s="1" t="s">
        <v>30</v>
      </c>
      <c r="C30" s="1"/>
      <c r="D30" s="1"/>
      <c r="E30" s="4">
        <f>SUM(E31:E35)</f>
        <v>141</v>
      </c>
      <c r="F30" s="4">
        <f>SUM(F31:F35)</f>
        <v>912</v>
      </c>
    </row>
    <row r="31" spans="2:6" ht="15" thickBot="1" x14ac:dyDescent="0.4">
      <c r="B31" s="1" t="s">
        <v>32</v>
      </c>
      <c r="C31" s="1" t="s">
        <v>50</v>
      </c>
      <c r="D31" s="1">
        <v>5</v>
      </c>
      <c r="E31" s="1">
        <v>72</v>
      </c>
      <c r="F31" s="1">
        <f t="shared" si="0"/>
        <v>360</v>
      </c>
    </row>
    <row r="32" spans="2:6" ht="15" thickBot="1" x14ac:dyDescent="0.4">
      <c r="B32" s="1" t="s">
        <v>31</v>
      </c>
      <c r="C32" s="1" t="s">
        <v>50</v>
      </c>
      <c r="D32" s="1">
        <v>8</v>
      </c>
      <c r="E32" s="1">
        <v>40</v>
      </c>
      <c r="F32" s="1">
        <f t="shared" si="0"/>
        <v>320</v>
      </c>
    </row>
    <row r="33" spans="2:6" ht="15" thickBot="1" x14ac:dyDescent="0.4">
      <c r="B33" s="1" t="s">
        <v>33</v>
      </c>
      <c r="C33" s="1" t="s">
        <v>50</v>
      </c>
      <c r="D33" s="1">
        <v>8</v>
      </c>
      <c r="E33" s="1">
        <v>10</v>
      </c>
      <c r="F33" s="1">
        <f t="shared" si="0"/>
        <v>80</v>
      </c>
    </row>
    <row r="34" spans="2:6" ht="15" thickBot="1" x14ac:dyDescent="0.4">
      <c r="B34" s="1" t="s">
        <v>34</v>
      </c>
      <c r="C34" s="1" t="s">
        <v>50</v>
      </c>
      <c r="D34" s="1">
        <v>8</v>
      </c>
      <c r="E34" s="1">
        <v>8</v>
      </c>
      <c r="F34" s="1">
        <f t="shared" si="0"/>
        <v>64</v>
      </c>
    </row>
    <row r="35" spans="2:6" ht="15" thickBot="1" x14ac:dyDescent="0.4">
      <c r="B35" s="1" t="s">
        <v>35</v>
      </c>
      <c r="C35" s="1" t="s">
        <v>50</v>
      </c>
      <c r="D35" s="1">
        <v>8</v>
      </c>
      <c r="E35" s="1">
        <v>11</v>
      </c>
      <c r="F35" s="1">
        <f t="shared" si="0"/>
        <v>88</v>
      </c>
    </row>
    <row r="36" spans="2:6" ht="19" thickBot="1" x14ac:dyDescent="0.5">
      <c r="B36" s="1" t="s">
        <v>36</v>
      </c>
      <c r="C36" s="1"/>
      <c r="D36" s="1"/>
      <c r="E36" s="4">
        <f>SUM(E37:E42)</f>
        <v>0</v>
      </c>
      <c r="F36" s="4">
        <f>SUM(F37:F42)</f>
        <v>0</v>
      </c>
    </row>
    <row r="37" spans="2:6" ht="15" thickBot="1" x14ac:dyDescent="0.4">
      <c r="B37" s="1" t="s">
        <v>37</v>
      </c>
      <c r="C37" s="1" t="s">
        <v>50</v>
      </c>
      <c r="D37" s="1">
        <v>8</v>
      </c>
      <c r="E37" s="1">
        <v>0</v>
      </c>
      <c r="F37" s="1">
        <f t="shared" si="0"/>
        <v>0</v>
      </c>
    </row>
    <row r="38" spans="2:6" ht="15" thickBot="1" x14ac:dyDescent="0.4">
      <c r="B38" s="1" t="s">
        <v>38</v>
      </c>
      <c r="C38" s="1" t="s">
        <v>50</v>
      </c>
      <c r="D38" s="1">
        <v>8</v>
      </c>
      <c r="E38" s="1">
        <v>0</v>
      </c>
      <c r="F38" s="1">
        <f t="shared" si="0"/>
        <v>0</v>
      </c>
    </row>
    <row r="39" spans="2:6" ht="15" thickBot="1" x14ac:dyDescent="0.4">
      <c r="B39" s="1" t="s">
        <v>39</v>
      </c>
      <c r="C39" s="1" t="s">
        <v>50</v>
      </c>
      <c r="D39" s="1">
        <v>8</v>
      </c>
      <c r="E39" s="1">
        <v>0</v>
      </c>
      <c r="F39" s="1">
        <f t="shared" si="0"/>
        <v>0</v>
      </c>
    </row>
    <row r="40" spans="2:6" ht="15" thickBot="1" x14ac:dyDescent="0.4">
      <c r="B40" s="1" t="s">
        <v>40</v>
      </c>
      <c r="C40" s="1" t="s">
        <v>50</v>
      </c>
      <c r="D40" s="1">
        <v>8</v>
      </c>
      <c r="E40" s="1">
        <v>0</v>
      </c>
      <c r="F40" s="1">
        <f t="shared" si="0"/>
        <v>0</v>
      </c>
    </row>
    <row r="41" spans="2:6" ht="15" thickBot="1" x14ac:dyDescent="0.4">
      <c r="B41" s="1" t="s">
        <v>41</v>
      </c>
      <c r="C41" s="1" t="s">
        <v>50</v>
      </c>
      <c r="D41" s="1">
        <v>8</v>
      </c>
      <c r="E41" s="1">
        <v>0</v>
      </c>
      <c r="F41" s="1">
        <f t="shared" si="0"/>
        <v>0</v>
      </c>
    </row>
    <row r="42" spans="2:6" ht="15" thickBot="1" x14ac:dyDescent="0.4">
      <c r="B42" s="1" t="s">
        <v>42</v>
      </c>
      <c r="C42" s="1" t="s">
        <v>50</v>
      </c>
      <c r="D42" s="1">
        <v>8</v>
      </c>
      <c r="E42" s="1">
        <v>0</v>
      </c>
      <c r="F42" s="1">
        <f t="shared" si="0"/>
        <v>0</v>
      </c>
    </row>
    <row r="43" spans="2:6" ht="19" thickBot="1" x14ac:dyDescent="0.5">
      <c r="B43" s="1" t="s">
        <v>43</v>
      </c>
      <c r="C43" s="1"/>
      <c r="D43" s="1"/>
      <c r="E43" s="4">
        <f>SUM(E44:E48)</f>
        <v>171</v>
      </c>
      <c r="F43" s="4">
        <f>SUM(F44:F48)</f>
        <v>1368</v>
      </c>
    </row>
    <row r="44" spans="2:6" ht="15" thickBot="1" x14ac:dyDescent="0.4">
      <c r="B44" s="1" t="s">
        <v>44</v>
      </c>
      <c r="C44" s="1" t="s">
        <v>50</v>
      </c>
      <c r="D44" s="1">
        <v>8</v>
      </c>
      <c r="E44" s="1">
        <v>101</v>
      </c>
      <c r="F44" s="1">
        <f t="shared" si="0"/>
        <v>808</v>
      </c>
    </row>
    <row r="45" spans="2:6" ht="15" thickBot="1" x14ac:dyDescent="0.4">
      <c r="B45" s="1" t="s">
        <v>45</v>
      </c>
      <c r="C45" s="1" t="s">
        <v>50</v>
      </c>
      <c r="D45" s="1">
        <v>8</v>
      </c>
      <c r="E45" s="1">
        <v>16</v>
      </c>
      <c r="F45" s="1">
        <f t="shared" si="0"/>
        <v>128</v>
      </c>
    </row>
    <row r="46" spans="2:6" ht="15" thickBot="1" x14ac:dyDescent="0.4">
      <c r="B46" s="1" t="s">
        <v>46</v>
      </c>
      <c r="C46" s="1" t="s">
        <v>50</v>
      </c>
      <c r="D46" s="1">
        <v>8</v>
      </c>
      <c r="E46" s="1">
        <v>14</v>
      </c>
      <c r="F46" s="1">
        <f t="shared" si="0"/>
        <v>112</v>
      </c>
    </row>
    <row r="47" spans="2:6" ht="15" thickBot="1" x14ac:dyDescent="0.4">
      <c r="B47" s="1" t="s">
        <v>47</v>
      </c>
      <c r="C47" s="1" t="s">
        <v>50</v>
      </c>
      <c r="D47" s="1">
        <v>8</v>
      </c>
      <c r="E47" s="1">
        <v>0</v>
      </c>
      <c r="F47" s="1">
        <f>+D47*E47</f>
        <v>0</v>
      </c>
    </row>
    <row r="48" spans="2:6" ht="15" thickBot="1" x14ac:dyDescent="0.4">
      <c r="B48" s="1" t="s">
        <v>49</v>
      </c>
      <c r="C48" s="1" t="s">
        <v>50</v>
      </c>
      <c r="D48" s="1">
        <v>8</v>
      </c>
      <c r="E48" s="1">
        <v>40</v>
      </c>
      <c r="F48" s="1">
        <f t="shared" si="0"/>
        <v>320</v>
      </c>
    </row>
    <row r="49" spans="2:6" ht="19" thickBot="1" x14ac:dyDescent="0.5">
      <c r="B49" s="111" t="s">
        <v>51</v>
      </c>
      <c r="C49" s="111"/>
      <c r="D49" s="111"/>
      <c r="E49" s="4">
        <f>+E43+E36+E30+E22+E10+E5</f>
        <v>1457</v>
      </c>
      <c r="F49" s="4">
        <f>+F43+F36+F30+F22+F10+F5</f>
        <v>6938</v>
      </c>
    </row>
  </sheetData>
  <mergeCells count="2">
    <mergeCell ref="B2:F2"/>
    <mergeCell ref="B49:D4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00B8-4910-4467-A847-8EE4595D0CB1}">
  <dimension ref="B2:M51"/>
  <sheetViews>
    <sheetView workbookViewId="0">
      <selection activeCell="E5" sqref="E5:E49"/>
    </sheetView>
  </sheetViews>
  <sheetFormatPr baseColWidth="10" defaultRowHeight="14.5" x14ac:dyDescent="0.35"/>
  <cols>
    <col min="2" max="2" width="13.1796875" bestFit="1" customWidth="1"/>
    <col min="10" max="10" width="15.1796875" bestFit="1" customWidth="1"/>
  </cols>
  <sheetData>
    <row r="2" spans="2:13" x14ac:dyDescent="0.35">
      <c r="B2" s="110" t="s">
        <v>100</v>
      </c>
      <c r="C2" s="110"/>
      <c r="D2" s="110"/>
      <c r="E2" s="110"/>
      <c r="F2" s="110"/>
    </row>
    <row r="3" spans="2:13" ht="15" thickBot="1" x14ac:dyDescent="0.4">
      <c r="H3" s="112" t="s">
        <v>103</v>
      </c>
      <c r="I3" s="112"/>
      <c r="J3" s="112"/>
    </row>
    <row r="4" spans="2:13" ht="29.5" thickBot="1" x14ac:dyDescent="0.4">
      <c r="B4" s="1" t="s">
        <v>1</v>
      </c>
      <c r="C4" s="1" t="s">
        <v>2</v>
      </c>
      <c r="D4" s="1" t="s">
        <v>48</v>
      </c>
      <c r="E4" s="1" t="s">
        <v>3</v>
      </c>
      <c r="F4" s="1" t="s">
        <v>4</v>
      </c>
      <c r="H4" s="2" t="s">
        <v>76</v>
      </c>
      <c r="I4" s="2" t="s">
        <v>101</v>
      </c>
      <c r="J4" s="2" t="s">
        <v>102</v>
      </c>
      <c r="L4" s="22" t="s">
        <v>95</v>
      </c>
      <c r="M4" s="22" t="s">
        <v>96</v>
      </c>
    </row>
    <row r="5" spans="2:13" ht="19" thickBot="1" x14ac:dyDescent="0.5">
      <c r="B5" s="1" t="s">
        <v>59</v>
      </c>
      <c r="C5" s="1"/>
      <c r="D5" s="1"/>
      <c r="E5" s="4">
        <f>SUM(E6:E9)</f>
        <v>766</v>
      </c>
      <c r="F5" s="4">
        <f>SUM(F6:F9)</f>
        <v>2298</v>
      </c>
      <c r="H5" s="2" t="s">
        <v>67</v>
      </c>
      <c r="I5" s="2">
        <f>+F5</f>
        <v>2298</v>
      </c>
      <c r="J5" s="2">
        <f>+E5</f>
        <v>766</v>
      </c>
      <c r="L5" s="23" t="s">
        <v>59</v>
      </c>
      <c r="M5" s="24">
        <v>766</v>
      </c>
    </row>
    <row r="6" spans="2:13" ht="15" thickBot="1" x14ac:dyDescent="0.4">
      <c r="B6" s="1" t="s">
        <v>6</v>
      </c>
      <c r="C6" s="1" t="s">
        <v>50</v>
      </c>
      <c r="D6" s="1">
        <v>3</v>
      </c>
      <c r="E6" s="1">
        <v>547</v>
      </c>
      <c r="F6" s="1">
        <f>+D6*E6</f>
        <v>1641</v>
      </c>
      <c r="H6" s="2" t="s">
        <v>68</v>
      </c>
      <c r="I6" s="2">
        <f>+F10</f>
        <v>1351</v>
      </c>
      <c r="J6" s="2">
        <f>+E10</f>
        <v>200</v>
      </c>
      <c r="L6" s="25" t="s">
        <v>6</v>
      </c>
      <c r="M6" s="26">
        <v>547</v>
      </c>
    </row>
    <row r="7" spans="2:13" ht="29.5" thickBot="1" x14ac:dyDescent="0.4">
      <c r="B7" s="1" t="s">
        <v>7</v>
      </c>
      <c r="C7" s="1" t="s">
        <v>50</v>
      </c>
      <c r="D7" s="1">
        <v>3</v>
      </c>
      <c r="E7" s="1">
        <v>105</v>
      </c>
      <c r="F7" s="1">
        <f t="shared" ref="F7:F48" si="0">+D7*E7</f>
        <v>315</v>
      </c>
      <c r="H7" s="2" t="s">
        <v>69</v>
      </c>
      <c r="I7" s="2">
        <f>+F22</f>
        <v>806</v>
      </c>
      <c r="J7" s="2">
        <f>+E22</f>
        <v>154</v>
      </c>
      <c r="L7" s="25" t="s">
        <v>7</v>
      </c>
      <c r="M7" s="26">
        <v>105</v>
      </c>
    </row>
    <row r="8" spans="2:13" ht="15" thickBot="1" x14ac:dyDescent="0.4">
      <c r="B8" s="1" t="s">
        <v>8</v>
      </c>
      <c r="C8" s="1" t="s">
        <v>50</v>
      </c>
      <c r="D8" s="1">
        <v>3</v>
      </c>
      <c r="E8" s="1">
        <v>114</v>
      </c>
      <c r="F8" s="1">
        <f t="shared" si="0"/>
        <v>342</v>
      </c>
      <c r="H8" s="2" t="s">
        <v>70</v>
      </c>
      <c r="I8" s="2">
        <f>+F30</f>
        <v>809</v>
      </c>
      <c r="J8" s="2">
        <f>+E30</f>
        <v>115</v>
      </c>
      <c r="L8" s="25" t="s">
        <v>8</v>
      </c>
      <c r="M8" s="26">
        <v>114</v>
      </c>
    </row>
    <row r="9" spans="2:13" ht="29.5" thickBot="1" x14ac:dyDescent="0.4">
      <c r="B9" s="1" t="s">
        <v>9</v>
      </c>
      <c r="C9" s="1" t="s">
        <v>50</v>
      </c>
      <c r="D9" s="1">
        <v>3</v>
      </c>
      <c r="E9" s="1"/>
      <c r="F9" s="1">
        <f t="shared" si="0"/>
        <v>0</v>
      </c>
      <c r="H9" s="2" t="s">
        <v>71</v>
      </c>
      <c r="I9" s="2">
        <f>+F36</f>
        <v>176</v>
      </c>
      <c r="J9" s="2">
        <f>+E36</f>
        <v>22</v>
      </c>
      <c r="L9" s="25" t="s">
        <v>9</v>
      </c>
      <c r="M9" s="25"/>
    </row>
    <row r="10" spans="2:13" ht="19" thickBot="1" x14ac:dyDescent="0.5">
      <c r="B10" s="1" t="s">
        <v>10</v>
      </c>
      <c r="C10" s="1"/>
      <c r="D10" s="1"/>
      <c r="E10" s="4">
        <f>SUM(E11:E21)</f>
        <v>200</v>
      </c>
      <c r="F10" s="4">
        <f>SUM(F11:F21)</f>
        <v>1351</v>
      </c>
      <c r="H10" s="2" t="s">
        <v>44</v>
      </c>
      <c r="I10" s="2">
        <f>+F43</f>
        <v>544</v>
      </c>
      <c r="J10" s="2">
        <f>+C43+E43</f>
        <v>68</v>
      </c>
      <c r="L10" s="23" t="s">
        <v>10</v>
      </c>
      <c r="M10" s="24">
        <v>200</v>
      </c>
    </row>
    <row r="11" spans="2:13" ht="29.5" thickBot="1" x14ac:dyDescent="0.4">
      <c r="B11" s="1" t="s">
        <v>11</v>
      </c>
      <c r="C11" s="1" t="s">
        <v>50</v>
      </c>
      <c r="D11" s="1">
        <v>5</v>
      </c>
      <c r="E11" s="1">
        <v>83</v>
      </c>
      <c r="F11" s="1">
        <f t="shared" si="0"/>
        <v>415</v>
      </c>
      <c r="H11" s="2" t="s">
        <v>51</v>
      </c>
      <c r="I11" s="2">
        <f>SUM(I5:I10)</f>
        <v>5984</v>
      </c>
      <c r="J11" s="2">
        <f>SUM(J5:J10)</f>
        <v>1325</v>
      </c>
      <c r="L11" s="25" t="s">
        <v>11</v>
      </c>
      <c r="M11" s="26">
        <v>83</v>
      </c>
    </row>
    <row r="12" spans="2:13" ht="15" thickBot="1" x14ac:dyDescent="0.4">
      <c r="B12" s="1" t="s">
        <v>12</v>
      </c>
      <c r="C12" s="1" t="s">
        <v>50</v>
      </c>
      <c r="D12" s="1">
        <v>8</v>
      </c>
      <c r="E12" s="1">
        <v>7</v>
      </c>
      <c r="F12" s="1">
        <f t="shared" si="0"/>
        <v>56</v>
      </c>
      <c r="L12" s="25" t="s">
        <v>12</v>
      </c>
      <c r="M12" s="26">
        <v>7</v>
      </c>
    </row>
    <row r="13" spans="2:13" ht="15" thickBot="1" x14ac:dyDescent="0.4">
      <c r="B13" s="1" t="s">
        <v>13</v>
      </c>
      <c r="C13" s="1" t="s">
        <v>50</v>
      </c>
      <c r="D13" s="1">
        <v>8</v>
      </c>
      <c r="E13" s="1">
        <v>10</v>
      </c>
      <c r="F13" s="1">
        <f t="shared" si="0"/>
        <v>80</v>
      </c>
      <c r="L13" s="25" t="s">
        <v>13</v>
      </c>
      <c r="M13" s="26">
        <v>10</v>
      </c>
    </row>
    <row r="14" spans="2:13" ht="15" thickBot="1" x14ac:dyDescent="0.4">
      <c r="B14" s="1" t="s">
        <v>14</v>
      </c>
      <c r="C14" s="1" t="s">
        <v>50</v>
      </c>
      <c r="D14" s="1">
        <v>8</v>
      </c>
      <c r="E14" s="1">
        <v>5</v>
      </c>
      <c r="F14" s="1">
        <f t="shared" si="0"/>
        <v>40</v>
      </c>
      <c r="L14" s="25" t="s">
        <v>14</v>
      </c>
      <c r="M14" s="26">
        <v>5</v>
      </c>
    </row>
    <row r="15" spans="2:13" ht="15" thickBot="1" x14ac:dyDescent="0.4">
      <c r="B15" s="1" t="s">
        <v>15</v>
      </c>
      <c r="C15" s="1" t="s">
        <v>50</v>
      </c>
      <c r="D15" s="1">
        <v>8</v>
      </c>
      <c r="E15" s="1">
        <v>1</v>
      </c>
      <c r="F15" s="1">
        <f t="shared" si="0"/>
        <v>8</v>
      </c>
      <c r="L15" s="25" t="s">
        <v>15</v>
      </c>
      <c r="M15" s="26">
        <v>1</v>
      </c>
    </row>
    <row r="16" spans="2:13" ht="15" thickBot="1" x14ac:dyDescent="0.4">
      <c r="B16" s="1" t="s">
        <v>16</v>
      </c>
      <c r="C16" s="1" t="s">
        <v>50</v>
      </c>
      <c r="D16" s="1">
        <v>8</v>
      </c>
      <c r="E16" s="1">
        <v>9</v>
      </c>
      <c r="F16" s="1">
        <f t="shared" si="0"/>
        <v>72</v>
      </c>
      <c r="L16" s="25" t="s">
        <v>16</v>
      </c>
      <c r="M16" s="26">
        <v>9</v>
      </c>
    </row>
    <row r="17" spans="2:13" ht="15" thickBot="1" x14ac:dyDescent="0.4">
      <c r="B17" s="1" t="s">
        <v>17</v>
      </c>
      <c r="C17" s="1" t="s">
        <v>50</v>
      </c>
      <c r="D17" s="1">
        <v>8</v>
      </c>
      <c r="E17" s="1">
        <v>1</v>
      </c>
      <c r="F17" s="1">
        <f t="shared" si="0"/>
        <v>8</v>
      </c>
      <c r="L17" s="25" t="s">
        <v>17</v>
      </c>
      <c r="M17" s="26">
        <v>1</v>
      </c>
    </row>
    <row r="18" spans="2:13" ht="15" thickBot="1" x14ac:dyDescent="0.4">
      <c r="B18" s="1" t="s">
        <v>18</v>
      </c>
      <c r="C18" s="1" t="s">
        <v>50</v>
      </c>
      <c r="D18" s="1">
        <v>8</v>
      </c>
      <c r="E18" s="1">
        <v>20</v>
      </c>
      <c r="F18" s="1">
        <f t="shared" si="0"/>
        <v>160</v>
      </c>
      <c r="L18" s="25" t="s">
        <v>18</v>
      </c>
      <c r="M18" s="26">
        <v>20</v>
      </c>
    </row>
    <row r="19" spans="2:13" ht="15" thickBot="1" x14ac:dyDescent="0.4">
      <c r="B19" s="1" t="s">
        <v>19</v>
      </c>
      <c r="C19" s="1" t="s">
        <v>50</v>
      </c>
      <c r="D19" s="1">
        <v>8</v>
      </c>
      <c r="E19" s="1">
        <v>32</v>
      </c>
      <c r="F19" s="1">
        <f>+D19*E19</f>
        <v>256</v>
      </c>
      <c r="L19" s="25" t="s">
        <v>19</v>
      </c>
      <c r="M19" s="26">
        <v>32</v>
      </c>
    </row>
    <row r="20" spans="2:13" ht="15" thickBot="1" x14ac:dyDescent="0.4">
      <c r="B20" s="1" t="s">
        <v>20</v>
      </c>
      <c r="C20" s="1" t="s">
        <v>50</v>
      </c>
      <c r="D20" s="1">
        <v>8</v>
      </c>
      <c r="E20" s="1">
        <v>31</v>
      </c>
      <c r="F20" s="1">
        <f t="shared" si="0"/>
        <v>248</v>
      </c>
      <c r="L20" s="25" t="s">
        <v>20</v>
      </c>
      <c r="M20" s="26">
        <v>31</v>
      </c>
    </row>
    <row r="21" spans="2:13" ht="15" thickBot="1" x14ac:dyDescent="0.4">
      <c r="B21" s="1" t="s">
        <v>21</v>
      </c>
      <c r="C21" s="1" t="s">
        <v>50</v>
      </c>
      <c r="D21" s="1">
        <v>8</v>
      </c>
      <c r="E21" s="1">
        <v>1</v>
      </c>
      <c r="F21" s="1">
        <f t="shared" si="0"/>
        <v>8</v>
      </c>
      <c r="L21" s="25" t="s">
        <v>21</v>
      </c>
      <c r="M21" s="26">
        <v>1</v>
      </c>
    </row>
    <row r="22" spans="2:13" ht="19" thickBot="1" x14ac:dyDescent="0.5">
      <c r="B22" s="1" t="s">
        <v>22</v>
      </c>
      <c r="C22" s="1"/>
      <c r="D22" s="1"/>
      <c r="E22" s="4">
        <f>SUM(E23:E29)</f>
        <v>154</v>
      </c>
      <c r="F22" s="4">
        <f>SUM(F23:F29)</f>
        <v>806</v>
      </c>
      <c r="L22" s="23" t="s">
        <v>22</v>
      </c>
      <c r="M22" s="24">
        <v>154</v>
      </c>
    </row>
    <row r="23" spans="2:13" ht="15" thickBot="1" x14ac:dyDescent="0.4">
      <c r="B23" s="1" t="s">
        <v>23</v>
      </c>
      <c r="C23" s="1" t="s">
        <v>50</v>
      </c>
      <c r="D23" s="1">
        <v>5</v>
      </c>
      <c r="E23" s="1">
        <v>6</v>
      </c>
      <c r="F23" s="1">
        <f t="shared" si="0"/>
        <v>30</v>
      </c>
      <c r="L23" s="25" t="s">
        <v>23</v>
      </c>
      <c r="M23" s="26">
        <v>6</v>
      </c>
    </row>
    <row r="24" spans="2:13" ht="15" thickBot="1" x14ac:dyDescent="0.4">
      <c r="B24" s="1" t="s">
        <v>24</v>
      </c>
      <c r="C24" s="1" t="s">
        <v>50</v>
      </c>
      <c r="D24" s="1">
        <v>5</v>
      </c>
      <c r="E24" s="1">
        <v>13</v>
      </c>
      <c r="F24" s="1">
        <f t="shared" si="0"/>
        <v>65</v>
      </c>
      <c r="L24" s="25" t="s">
        <v>24</v>
      </c>
      <c r="M24" s="26">
        <v>13</v>
      </c>
    </row>
    <row r="25" spans="2:13" ht="15" thickBot="1" x14ac:dyDescent="0.4">
      <c r="B25" s="1" t="s">
        <v>25</v>
      </c>
      <c r="C25" s="1" t="s">
        <v>50</v>
      </c>
      <c r="D25" s="1">
        <v>5</v>
      </c>
      <c r="E25" s="1">
        <v>64</v>
      </c>
      <c r="F25" s="1">
        <f t="shared" si="0"/>
        <v>320</v>
      </c>
      <c r="L25" s="25" t="s">
        <v>25</v>
      </c>
      <c r="M25" s="26">
        <v>64</v>
      </c>
    </row>
    <row r="26" spans="2:13" ht="15" thickBot="1" x14ac:dyDescent="0.4">
      <c r="B26" s="1" t="s">
        <v>26</v>
      </c>
      <c r="C26" s="1" t="s">
        <v>50</v>
      </c>
      <c r="D26" s="1">
        <v>5</v>
      </c>
      <c r="E26" s="1">
        <v>18</v>
      </c>
      <c r="F26" s="1">
        <f t="shared" si="0"/>
        <v>90</v>
      </c>
      <c r="L26" s="25" t="s">
        <v>26</v>
      </c>
      <c r="M26" s="26">
        <v>18</v>
      </c>
    </row>
    <row r="27" spans="2:13" ht="15" thickBot="1" x14ac:dyDescent="0.4">
      <c r="B27" s="1" t="s">
        <v>27</v>
      </c>
      <c r="C27" s="1" t="s">
        <v>50</v>
      </c>
      <c r="D27" s="1">
        <v>5</v>
      </c>
      <c r="E27" s="1">
        <v>41</v>
      </c>
      <c r="F27" s="1">
        <f t="shared" si="0"/>
        <v>205</v>
      </c>
      <c r="L27" s="25" t="s">
        <v>27</v>
      </c>
      <c r="M27" s="26">
        <v>41</v>
      </c>
    </row>
    <row r="28" spans="2:13" ht="15" thickBot="1" x14ac:dyDescent="0.4">
      <c r="B28" s="1" t="s">
        <v>28</v>
      </c>
      <c r="C28" s="1" t="s">
        <v>50</v>
      </c>
      <c r="D28" s="1">
        <v>8</v>
      </c>
      <c r="E28" s="1">
        <v>12</v>
      </c>
      <c r="F28" s="1">
        <f t="shared" si="0"/>
        <v>96</v>
      </c>
      <c r="L28" s="25" t="s">
        <v>28</v>
      </c>
      <c r="M28" s="26">
        <v>12</v>
      </c>
    </row>
    <row r="29" spans="2:13" ht="15" thickBot="1" x14ac:dyDescent="0.4">
      <c r="B29" s="1" t="s">
        <v>29</v>
      </c>
      <c r="C29" s="1" t="s">
        <v>50</v>
      </c>
      <c r="D29" s="1">
        <v>8</v>
      </c>
      <c r="E29" s="1"/>
      <c r="F29" s="1">
        <f t="shared" si="0"/>
        <v>0</v>
      </c>
      <c r="L29" s="25" t="s">
        <v>29</v>
      </c>
      <c r="M29" s="25"/>
    </row>
    <row r="30" spans="2:13" ht="30.5" thickBot="1" x14ac:dyDescent="0.5">
      <c r="B30" s="1" t="s">
        <v>30</v>
      </c>
      <c r="C30" s="1"/>
      <c r="D30" s="1"/>
      <c r="E30" s="4">
        <f>SUM(E31:E35)</f>
        <v>115</v>
      </c>
      <c r="F30" s="4">
        <f>SUM(F31:F35)</f>
        <v>809</v>
      </c>
      <c r="L30" s="23" t="s">
        <v>30</v>
      </c>
      <c r="M30" s="24">
        <v>115</v>
      </c>
    </row>
    <row r="31" spans="2:13" ht="15" thickBot="1" x14ac:dyDescent="0.4">
      <c r="B31" s="1" t="s">
        <v>32</v>
      </c>
      <c r="C31" s="1" t="s">
        <v>50</v>
      </c>
      <c r="D31" s="1">
        <v>5</v>
      </c>
      <c r="E31" s="1">
        <v>37</v>
      </c>
      <c r="F31" s="1">
        <f t="shared" si="0"/>
        <v>185</v>
      </c>
      <c r="L31" s="25" t="s">
        <v>32</v>
      </c>
      <c r="M31" s="26">
        <v>37</v>
      </c>
    </row>
    <row r="32" spans="2:13" ht="15" thickBot="1" x14ac:dyDescent="0.4">
      <c r="B32" s="1" t="s">
        <v>31</v>
      </c>
      <c r="C32" s="1" t="s">
        <v>50</v>
      </c>
      <c r="D32" s="1">
        <v>8</v>
      </c>
      <c r="E32" s="1">
        <v>34</v>
      </c>
      <c r="F32" s="1">
        <f t="shared" si="0"/>
        <v>272</v>
      </c>
      <c r="L32" s="25" t="s">
        <v>31</v>
      </c>
      <c r="M32" s="26">
        <v>34</v>
      </c>
    </row>
    <row r="33" spans="2:13" ht="15" thickBot="1" x14ac:dyDescent="0.4">
      <c r="B33" s="1" t="s">
        <v>33</v>
      </c>
      <c r="C33" s="1" t="s">
        <v>50</v>
      </c>
      <c r="D33" s="1">
        <v>8</v>
      </c>
      <c r="E33" s="1">
        <v>16</v>
      </c>
      <c r="F33" s="1">
        <f t="shared" si="0"/>
        <v>128</v>
      </c>
      <c r="L33" s="25" t="s">
        <v>33</v>
      </c>
      <c r="M33" s="26">
        <v>16</v>
      </c>
    </row>
    <row r="34" spans="2:13" ht="15" thickBot="1" x14ac:dyDescent="0.4">
      <c r="B34" s="1" t="s">
        <v>34</v>
      </c>
      <c r="C34" s="1" t="s">
        <v>50</v>
      </c>
      <c r="D34" s="1">
        <v>8</v>
      </c>
      <c r="E34" s="1">
        <v>8</v>
      </c>
      <c r="F34" s="1">
        <f t="shared" si="0"/>
        <v>64</v>
      </c>
      <c r="L34" s="25" t="s">
        <v>34</v>
      </c>
      <c r="M34" s="26">
        <v>8</v>
      </c>
    </row>
    <row r="35" spans="2:13" ht="15" thickBot="1" x14ac:dyDescent="0.4">
      <c r="B35" s="1" t="s">
        <v>35</v>
      </c>
      <c r="C35" s="1" t="s">
        <v>50</v>
      </c>
      <c r="D35" s="1">
        <v>8</v>
      </c>
      <c r="E35" s="1">
        <v>20</v>
      </c>
      <c r="F35" s="1">
        <f t="shared" si="0"/>
        <v>160</v>
      </c>
      <c r="L35" s="27" t="s">
        <v>97</v>
      </c>
      <c r="M35" s="26">
        <v>3</v>
      </c>
    </row>
    <row r="36" spans="2:13" ht="30.5" thickBot="1" x14ac:dyDescent="0.5">
      <c r="B36" s="1" t="s">
        <v>36</v>
      </c>
      <c r="C36" s="1"/>
      <c r="D36" s="1"/>
      <c r="E36" s="4">
        <f>SUM(E37:E42)</f>
        <v>22</v>
      </c>
      <c r="F36" s="4">
        <f>SUM(F37:F42)</f>
        <v>176</v>
      </c>
      <c r="L36" s="27" t="s">
        <v>35</v>
      </c>
      <c r="M36" s="26">
        <v>17</v>
      </c>
    </row>
    <row r="37" spans="2:13" ht="30" thickBot="1" x14ac:dyDescent="0.45">
      <c r="B37" s="1" t="s">
        <v>37</v>
      </c>
      <c r="C37" s="1" t="s">
        <v>50</v>
      </c>
      <c r="D37" s="1">
        <v>8</v>
      </c>
      <c r="E37" s="1"/>
      <c r="F37" s="1">
        <f t="shared" si="0"/>
        <v>0</v>
      </c>
      <c r="L37" s="23" t="s">
        <v>36</v>
      </c>
      <c r="M37" s="24">
        <v>22</v>
      </c>
    </row>
    <row r="38" spans="2:13" ht="15" thickBot="1" x14ac:dyDescent="0.4">
      <c r="B38" s="1" t="s">
        <v>38</v>
      </c>
      <c r="C38" s="1" t="s">
        <v>50</v>
      </c>
      <c r="D38" s="1">
        <v>8</v>
      </c>
      <c r="E38" s="1"/>
      <c r="F38" s="1">
        <f t="shared" si="0"/>
        <v>0</v>
      </c>
      <c r="L38" s="25" t="s">
        <v>37</v>
      </c>
      <c r="M38" s="26">
        <v>0</v>
      </c>
    </row>
    <row r="39" spans="2:13" ht="15" thickBot="1" x14ac:dyDescent="0.4">
      <c r="B39" s="1" t="s">
        <v>39</v>
      </c>
      <c r="C39" s="1" t="s">
        <v>50</v>
      </c>
      <c r="D39" s="1">
        <v>8</v>
      </c>
      <c r="E39" s="1"/>
      <c r="F39" s="1">
        <f t="shared" si="0"/>
        <v>0</v>
      </c>
      <c r="L39" s="25" t="s">
        <v>38</v>
      </c>
      <c r="M39" s="26">
        <v>0</v>
      </c>
    </row>
    <row r="40" spans="2:13" ht="15" thickBot="1" x14ac:dyDescent="0.4">
      <c r="B40" s="1" t="s">
        <v>40</v>
      </c>
      <c r="C40" s="1" t="s">
        <v>50</v>
      </c>
      <c r="D40" s="1">
        <v>8</v>
      </c>
      <c r="E40" s="1">
        <v>19</v>
      </c>
      <c r="F40" s="1">
        <f t="shared" si="0"/>
        <v>152</v>
      </c>
      <c r="L40" s="25" t="s">
        <v>39</v>
      </c>
      <c r="M40" s="26">
        <v>0</v>
      </c>
    </row>
    <row r="41" spans="2:13" ht="15" thickBot="1" x14ac:dyDescent="0.4">
      <c r="B41" s="1" t="s">
        <v>41</v>
      </c>
      <c r="C41" s="1" t="s">
        <v>50</v>
      </c>
      <c r="D41" s="1">
        <v>8</v>
      </c>
      <c r="E41" s="1">
        <v>1</v>
      </c>
      <c r="F41" s="1">
        <f t="shared" si="0"/>
        <v>8</v>
      </c>
      <c r="L41" s="25" t="s">
        <v>40</v>
      </c>
      <c r="M41" s="26">
        <v>19</v>
      </c>
    </row>
    <row r="42" spans="2:13" ht="15" thickBot="1" x14ac:dyDescent="0.4">
      <c r="B42" s="1" t="s">
        <v>42</v>
      </c>
      <c r="C42" s="1" t="s">
        <v>50</v>
      </c>
      <c r="D42" s="1">
        <v>8</v>
      </c>
      <c r="E42" s="1">
        <v>2</v>
      </c>
      <c r="F42" s="1">
        <f t="shared" si="0"/>
        <v>16</v>
      </c>
      <c r="L42" s="25" t="s">
        <v>98</v>
      </c>
      <c r="M42" s="26">
        <v>1</v>
      </c>
    </row>
    <row r="43" spans="2:13" ht="19" thickBot="1" x14ac:dyDescent="0.5">
      <c r="B43" s="1" t="s">
        <v>43</v>
      </c>
      <c r="C43" s="1"/>
      <c r="D43" s="1"/>
      <c r="E43" s="4">
        <f>SUM(E44:E48)</f>
        <v>68</v>
      </c>
      <c r="F43" s="4">
        <f>SUM(F44:F48)</f>
        <v>544</v>
      </c>
      <c r="L43" s="25" t="s">
        <v>42</v>
      </c>
      <c r="M43" s="26">
        <v>2</v>
      </c>
    </row>
    <row r="44" spans="2:13" ht="17.5" thickBot="1" x14ac:dyDescent="0.45">
      <c r="B44" s="1" t="s">
        <v>44</v>
      </c>
      <c r="C44" s="1" t="s">
        <v>50</v>
      </c>
      <c r="D44" s="1">
        <v>8</v>
      </c>
      <c r="E44" s="1">
        <v>34</v>
      </c>
      <c r="F44" s="1">
        <f t="shared" si="0"/>
        <v>272</v>
      </c>
      <c r="L44" s="23" t="s">
        <v>43</v>
      </c>
      <c r="M44" s="24">
        <v>68</v>
      </c>
    </row>
    <row r="45" spans="2:13" ht="15" thickBot="1" x14ac:dyDescent="0.4">
      <c r="B45" s="1" t="s">
        <v>45</v>
      </c>
      <c r="C45" s="1" t="s">
        <v>50</v>
      </c>
      <c r="D45" s="1">
        <v>8</v>
      </c>
      <c r="E45" s="1">
        <v>4</v>
      </c>
      <c r="F45" s="1">
        <f t="shared" si="0"/>
        <v>32</v>
      </c>
      <c r="L45" s="25" t="s">
        <v>44</v>
      </c>
      <c r="M45" s="26">
        <v>34</v>
      </c>
    </row>
    <row r="46" spans="2:13" ht="15" thickBot="1" x14ac:dyDescent="0.4">
      <c r="B46" s="1" t="s">
        <v>46</v>
      </c>
      <c r="C46" s="1" t="s">
        <v>50</v>
      </c>
      <c r="D46" s="1">
        <v>8</v>
      </c>
      <c r="E46" s="1">
        <v>7</v>
      </c>
      <c r="F46" s="1">
        <f t="shared" si="0"/>
        <v>56</v>
      </c>
      <c r="L46" s="25" t="s">
        <v>45</v>
      </c>
      <c r="M46" s="26">
        <v>4</v>
      </c>
    </row>
    <row r="47" spans="2:13" ht="15" thickBot="1" x14ac:dyDescent="0.4">
      <c r="B47" s="1" t="s">
        <v>47</v>
      </c>
      <c r="C47" s="1" t="s">
        <v>50</v>
      </c>
      <c r="D47" s="1">
        <v>8</v>
      </c>
      <c r="E47" s="1">
        <v>0</v>
      </c>
      <c r="F47" s="1">
        <f>+D47*E47</f>
        <v>0</v>
      </c>
      <c r="L47" s="25" t="s">
        <v>46</v>
      </c>
      <c r="M47" s="26">
        <v>7</v>
      </c>
    </row>
    <row r="48" spans="2:13" ht="15" thickBot="1" x14ac:dyDescent="0.4">
      <c r="B48" s="1" t="s">
        <v>49</v>
      </c>
      <c r="C48" s="1" t="s">
        <v>50</v>
      </c>
      <c r="D48" s="1">
        <v>8</v>
      </c>
      <c r="E48" s="1">
        <v>23</v>
      </c>
      <c r="F48" s="1">
        <f t="shared" si="0"/>
        <v>184</v>
      </c>
      <c r="L48" s="25" t="s">
        <v>47</v>
      </c>
      <c r="M48" s="26">
        <v>0</v>
      </c>
    </row>
    <row r="49" spans="2:13" ht="30.5" thickBot="1" x14ac:dyDescent="0.5">
      <c r="B49" s="111" t="s">
        <v>51</v>
      </c>
      <c r="C49" s="111"/>
      <c r="D49" s="111"/>
      <c r="E49" s="4">
        <f>+E43+E36+E30+E22+E10+E5</f>
        <v>1325</v>
      </c>
      <c r="F49" s="4">
        <f>+F43+F36+F30+F22+F10+F5</f>
        <v>5984</v>
      </c>
      <c r="L49" s="25" t="s">
        <v>49</v>
      </c>
      <c r="M49" s="26">
        <v>23</v>
      </c>
    </row>
    <row r="50" spans="2:13" ht="15" thickBot="1" x14ac:dyDescent="0.4">
      <c r="L50" s="21"/>
      <c r="M50" s="21"/>
    </row>
    <row r="51" spans="2:13" ht="27.5" thickBot="1" x14ac:dyDescent="0.65">
      <c r="L51" s="21" t="s">
        <v>51</v>
      </c>
      <c r="M51" s="28">
        <v>1325</v>
      </c>
    </row>
  </sheetData>
  <mergeCells count="3">
    <mergeCell ref="B2:F2"/>
    <mergeCell ref="B49:D49"/>
    <mergeCell ref="H3:J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A Z O W 0 3 N H o y l A A A A 9 g A A A B I A H A B D b 2 5 m a W c v U G F j a 2 F n Z S 5 4 b W w g o h g A K K A U A A A A A A A A A A A A A A A A A A A A A A A A A A A A h Y 8 x D o I w G I W v Q r r T F t B o y E 8 Z j J s k J C b G t S k V G q A Y W i x 3 c / B I X k G M o m 6 O 7 3 v f 8 N 7 9 e o N 0 b B v v I n u j O p 2 g A F P k S S 2 6 Q u k y Q Y M 9 + W u U M s i 5 q H k p v U n W J h 5 N k a D K 2 n N M i H M O u w h 3 f U l C S g N y z H Z 7 U c m W o 4 + s / s u + 0 s Z y L S R i c H i N Y S E O F i u 8 p B G m Q G Y I m d J f I Z z 2 P t s f C J u h s U M v m T R + v g U y R y D v D + w B U E s D B B Q A A g A I A B g G T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B k 5 b K I p H u A 4 A A A A R A A A A E w A c A E Z v c m 1 1 b G F z L 1 N l Y 3 R p b 2 4 x L m 0 g o h g A K K A U A A A A A A A A A A A A A A A A A A A A A A A A A A A A K 0 5 N L s n M z 1 M I h t C G 1 g B Q S w E C L Q A U A A I A C A A Y B k 5 b T c 0 e j K U A A A D 2 A A A A E g A A A A A A A A A A A A A A A A A A A A A A Q 2 9 u Z m l n L 1 B h Y 2 t h Z 2 U u e G 1 s U E s B A i 0 A F A A C A A g A G A Z O W w / K 6 a u k A A A A 6 Q A A A B M A A A A A A A A A A A A A A A A A 8 Q A A A F t D b 2 5 0 Z W 5 0 X 1 R 5 c G V z X S 5 4 b W x Q S w E C L Q A U A A I A C A A Y B k 5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9 C i d C N I z k u w / U 7 m M + t N 2 A A A A A A C A A A A A A A Q Z g A A A A E A A C A A A A B 3 K 1 J 6 U x A Y x I + A 3 X q I K S w t Z j 2 K 3 H Y h D v + 9 t h p t Q D b k A A A A A A A O g A A A A A I A A C A A A A C n P 0 J E V P c t U u B m j d 4 U g W Q R e z f 6 D o G q c K M 7 g w E O 2 f 8 + 5 V A A A A C A M k o K j B a 8 Z e f 7 D q B D M n p u d 0 s 4 G G t o / V M F J O Q Y F y x L j S 5 5 M v L s x S A Q z v A T o v e O z l 6 i 6 Y N U u a C V x D s J q y D D + / Y c O j C U t K R z B v j a o W 3 i y s a C s U A A A A A j O 6 w l M L L Q O u o 4 E I G 4 c C 1 T M A 4 n R m D / m C L N z s S C w q / e / W l A u 7 7 X s X d e h Y K q q 4 M W H N u r H O S v d 9 U k F K U U 8 S O X u D D b < / D a t a M a s h u p > 
</file>

<file path=customXml/itemProps1.xml><?xml version="1.0" encoding="utf-8"?>
<ds:datastoreItem xmlns:ds="http://schemas.openxmlformats.org/officeDocument/2006/customXml" ds:itemID="{017FD2CA-A6D3-48E2-A690-2E0CD8541D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VAL 24 - 07</vt:lpstr>
      <vt:lpstr>VAL 30-07</vt:lpstr>
      <vt:lpstr>VAL 02- 08</vt:lpstr>
      <vt:lpstr>VAL 05-08</vt:lpstr>
      <vt:lpstr>VAL 07 -08</vt:lpstr>
      <vt:lpstr>VAL 11-08</vt:lpstr>
      <vt:lpstr>VAL 15 - 08</vt:lpstr>
      <vt:lpstr>VAL 19- 08</vt:lpstr>
      <vt:lpstr>VAL 26  - 08</vt:lpstr>
      <vt:lpstr>VAL 03- 09</vt:lpstr>
      <vt:lpstr>VAL 04 - 09</vt:lpstr>
      <vt:lpstr>VAL 11 - 09</vt:lpstr>
      <vt:lpstr>VAL 15 - 09</vt:lpstr>
      <vt:lpstr>VAL 18 - 09</vt:lpstr>
      <vt:lpstr>VAL 22 -09</vt:lpstr>
      <vt:lpstr>VAL 26 - 09</vt:lpstr>
      <vt:lpstr>VAL 02 - 10</vt:lpstr>
      <vt:lpstr>VAL 09 - 10</vt:lpstr>
      <vt:lpstr>VAL C - 10</vt:lpstr>
      <vt:lpstr>VAL D - 10</vt:lpstr>
      <vt:lpstr>VAL F - 10</vt:lpstr>
      <vt:lpstr>VL 13 - 10</vt:lpstr>
      <vt:lpstr>VAL 17 - 10</vt:lpstr>
      <vt:lpstr>VAL 20 - 10</vt:lpstr>
      <vt:lpstr>DATOS VAL TOTALES</vt:lpstr>
      <vt:lpstr>VAL-REAL</vt:lpstr>
      <vt:lpstr>GANACIA</vt:lpstr>
      <vt:lpstr>PAGO CURRIER</vt:lpstr>
      <vt:lpstr>R CANT. VALZ</vt:lpstr>
      <vt:lpstr>CLAVE</vt:lpstr>
      <vt:lpstr>CUADRO RESUMEN TOTAL</vt:lpstr>
      <vt:lpstr>Hoja2</vt:lpstr>
      <vt:lpstr>GRAFICO DE ACTIV.</vt:lpstr>
      <vt:lpstr>GRAF. PUEB COOP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pinillos</dc:creator>
  <cp:lastModifiedBy>Oscar Delgado Vasquez</cp:lastModifiedBy>
  <dcterms:created xsi:type="dcterms:W3CDTF">2025-08-13T18:48:39Z</dcterms:created>
  <dcterms:modified xsi:type="dcterms:W3CDTF">2025-10-21T21:28:46Z</dcterms:modified>
</cp:coreProperties>
</file>