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597EF14-865F-408E-9544-5DE9AA9AFF66}" xr6:coauthVersionLast="47" xr6:coauthVersionMax="47" xr10:uidLastSave="{00000000-0000-0000-0000-000000000000}"/>
  <bookViews>
    <workbookView xWindow="-96" yWindow="0" windowWidth="11712" windowHeight="12336" firstSheet="2" activeTab="2" xr2:uid="{00000000-000D-0000-FFFF-FFFF00000000}"/>
  </bookViews>
  <sheets>
    <sheet name="Ejercicio1" sheetId="1" r:id="rId1"/>
    <sheet name="Ejercicio2" sheetId="3" r:id="rId2"/>
    <sheet name="Ejercicio3" sheetId="4" r:id="rId3"/>
    <sheet name="Ejercicio4" sheetId="5" r:id="rId4"/>
    <sheet name="Ejercicio5" sheetId="6" r:id="rId5"/>
    <sheet name="Ejercicio6" sheetId="7" r:id="rId6"/>
    <sheet name="Ejercicio7" sheetId="8" r:id="rId7"/>
    <sheet name="Ejercicio8" sheetId="9" r:id="rId8"/>
    <sheet name="Ejercicio9" sheetId="10" r:id="rId9"/>
    <sheet name="Ejercicio10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1" l="1"/>
  <c r="G20" i="11"/>
  <c r="F21" i="11"/>
  <c r="G21" i="11"/>
  <c r="F22" i="11"/>
  <c r="G22" i="11"/>
  <c r="F23" i="11"/>
  <c r="G23" i="11"/>
  <c r="F24" i="11"/>
  <c r="G24" i="11"/>
  <c r="D25" i="11"/>
  <c r="C34" i="11" s="1"/>
  <c r="E25" i="11"/>
  <c r="F33" i="11" s="1"/>
  <c r="C33" i="11"/>
  <c r="D45" i="11" s="1"/>
  <c r="D42" i="11"/>
  <c r="I21" i="11" s="1"/>
  <c r="L20" i="10"/>
  <c r="L21" i="10"/>
  <c r="L22" i="10"/>
  <c r="L23" i="10"/>
  <c r="L24" i="10"/>
  <c r="L25" i="10"/>
  <c r="L26" i="10"/>
  <c r="L27" i="10"/>
  <c r="L28" i="10"/>
  <c r="L19" i="10"/>
  <c r="J58" i="10"/>
  <c r="L58" i="10"/>
  <c r="I45" i="10" a="1"/>
  <c r="I45" i="10" s="1"/>
  <c r="M45" i="10" s="1" a="1"/>
  <c r="M45" i="10" s="1"/>
  <c r="B43" i="10" a="1"/>
  <c r="B43" i="10" s="1"/>
  <c r="C58" i="10"/>
  <c r="E58" i="10"/>
  <c r="E19" i="10"/>
  <c r="I19" i="10" s="1"/>
  <c r="F19" i="10"/>
  <c r="G19" i="10"/>
  <c r="H19" i="10"/>
  <c r="E20" i="10"/>
  <c r="I20" i="10" s="1"/>
  <c r="F20" i="10"/>
  <c r="G20" i="10"/>
  <c r="H20" i="10"/>
  <c r="E21" i="10"/>
  <c r="I21" i="10" s="1"/>
  <c r="F21" i="10"/>
  <c r="G21" i="10"/>
  <c r="H21" i="10"/>
  <c r="E22" i="10"/>
  <c r="I22" i="10" s="1"/>
  <c r="F22" i="10"/>
  <c r="G22" i="10"/>
  <c r="H22" i="10"/>
  <c r="E23" i="10"/>
  <c r="I23" i="10" s="1"/>
  <c r="F23" i="10"/>
  <c r="G23" i="10"/>
  <c r="H23" i="10"/>
  <c r="E24" i="10"/>
  <c r="I24" i="10" s="1"/>
  <c r="F24" i="10"/>
  <c r="G24" i="10"/>
  <c r="H24" i="10"/>
  <c r="E25" i="10"/>
  <c r="I25" i="10" s="1"/>
  <c r="F25" i="10"/>
  <c r="G25" i="10"/>
  <c r="H25" i="10"/>
  <c r="E26" i="10"/>
  <c r="I26" i="10" s="1"/>
  <c r="F26" i="10"/>
  <c r="G26" i="10"/>
  <c r="H26" i="10"/>
  <c r="E27" i="10"/>
  <c r="I27" i="10" s="1"/>
  <c r="F27" i="10"/>
  <c r="G27" i="10"/>
  <c r="H27" i="10"/>
  <c r="E28" i="10"/>
  <c r="I28" i="10" s="1"/>
  <c r="F28" i="10"/>
  <c r="G28" i="10"/>
  <c r="H28" i="10"/>
  <c r="C29" i="10"/>
  <c r="D29" i="10"/>
  <c r="J29" i="10"/>
  <c r="C52" i="10" s="1"/>
  <c r="K29" i="10"/>
  <c r="J52" i="10" s="1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D28" i="9"/>
  <c r="D38" i="9" s="1"/>
  <c r="E28" i="9"/>
  <c r="F38" i="9" s="1"/>
  <c r="C38" i="9"/>
  <c r="D59" i="9" s="1"/>
  <c r="D55" i="9"/>
  <c r="I20" i="9" s="1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D28" i="8"/>
  <c r="D37" i="8" s="1"/>
  <c r="E28" i="8"/>
  <c r="F37" i="8" s="1"/>
  <c r="C37" i="8"/>
  <c r="D57" i="8"/>
  <c r="I19" i="8" s="1"/>
  <c r="C67" i="8"/>
  <c r="L32" i="7"/>
  <c r="K12" i="7" s="1"/>
  <c r="H29" i="3"/>
  <c r="D19" i="7"/>
  <c r="F31" i="7" s="1"/>
  <c r="C19" i="7"/>
  <c r="C31" i="7" s="1"/>
  <c r="H18" i="7"/>
  <c r="G18" i="7"/>
  <c r="F18" i="7"/>
  <c r="E18" i="7"/>
  <c r="I18" i="7" s="1"/>
  <c r="H17" i="7"/>
  <c r="G17" i="7"/>
  <c r="F17" i="7"/>
  <c r="E17" i="7"/>
  <c r="I17" i="7" s="1"/>
  <c r="H16" i="7"/>
  <c r="G16" i="7"/>
  <c r="F16" i="7"/>
  <c r="E16" i="7"/>
  <c r="I16" i="7" s="1"/>
  <c r="H15" i="7"/>
  <c r="G15" i="7"/>
  <c r="F15" i="7"/>
  <c r="E15" i="7"/>
  <c r="I15" i="7" s="1"/>
  <c r="H14" i="7"/>
  <c r="G14" i="7"/>
  <c r="F14" i="7"/>
  <c r="E14" i="7"/>
  <c r="I14" i="7" s="1"/>
  <c r="H13" i="7"/>
  <c r="G13" i="7"/>
  <c r="F13" i="7"/>
  <c r="E13" i="7"/>
  <c r="I13" i="7" s="1"/>
  <c r="H12" i="7"/>
  <c r="G12" i="7"/>
  <c r="F12" i="7"/>
  <c r="E12" i="7"/>
  <c r="I12" i="7" s="1"/>
  <c r="C49" i="6"/>
  <c r="M14" i="6" s="1"/>
  <c r="B31" i="6"/>
  <c r="E23" i="6"/>
  <c r="F31" i="6" s="1"/>
  <c r="D23" i="6"/>
  <c r="D31" i="6" s="1"/>
  <c r="C23" i="6"/>
  <c r="B32" i="6" s="1"/>
  <c r="J22" i="6"/>
  <c r="I22" i="6"/>
  <c r="H22" i="6"/>
  <c r="G22" i="6"/>
  <c r="F22" i="6"/>
  <c r="J21" i="6"/>
  <c r="I21" i="6"/>
  <c r="H21" i="6"/>
  <c r="G21" i="6"/>
  <c r="F21" i="6"/>
  <c r="J20" i="6"/>
  <c r="I20" i="6"/>
  <c r="H20" i="6"/>
  <c r="G20" i="6"/>
  <c r="F20" i="6"/>
  <c r="J19" i="6"/>
  <c r="I19" i="6"/>
  <c r="H19" i="6"/>
  <c r="G19" i="6"/>
  <c r="F19" i="6"/>
  <c r="J18" i="6"/>
  <c r="I18" i="6"/>
  <c r="H18" i="6"/>
  <c r="G18" i="6"/>
  <c r="F18" i="6"/>
  <c r="J17" i="6"/>
  <c r="I17" i="6"/>
  <c r="H17" i="6"/>
  <c r="G17" i="6"/>
  <c r="F17" i="6"/>
  <c r="J16" i="6"/>
  <c r="I16" i="6"/>
  <c r="H16" i="6"/>
  <c r="G16" i="6"/>
  <c r="F16" i="6"/>
  <c r="J15" i="6"/>
  <c r="I15" i="6"/>
  <c r="H15" i="6"/>
  <c r="G15" i="6"/>
  <c r="F15" i="6"/>
  <c r="J14" i="6"/>
  <c r="I14" i="6"/>
  <c r="H14" i="6"/>
  <c r="G14" i="6"/>
  <c r="F14" i="6"/>
  <c r="C50" i="5"/>
  <c r="M13" i="5" s="1"/>
  <c r="B30" i="5"/>
  <c r="E22" i="5"/>
  <c r="F30" i="5" s="1"/>
  <c r="D22" i="5"/>
  <c r="D30" i="5" s="1"/>
  <c r="C22" i="5"/>
  <c r="B31" i="5" s="1"/>
  <c r="J21" i="5"/>
  <c r="I21" i="5"/>
  <c r="H21" i="5"/>
  <c r="G21" i="5"/>
  <c r="F21" i="5"/>
  <c r="J20" i="5"/>
  <c r="I20" i="5"/>
  <c r="H20" i="5"/>
  <c r="G20" i="5"/>
  <c r="F20" i="5"/>
  <c r="J19" i="5"/>
  <c r="I19" i="5"/>
  <c r="H19" i="5"/>
  <c r="G19" i="5"/>
  <c r="F19" i="5"/>
  <c r="J18" i="5"/>
  <c r="I18" i="5"/>
  <c r="H18" i="5"/>
  <c r="G18" i="5"/>
  <c r="F18" i="5"/>
  <c r="J17" i="5"/>
  <c r="I17" i="5"/>
  <c r="H17" i="5"/>
  <c r="G17" i="5"/>
  <c r="F17" i="5"/>
  <c r="J16" i="5"/>
  <c r="I16" i="5"/>
  <c r="H16" i="5"/>
  <c r="G16" i="5"/>
  <c r="F16" i="5"/>
  <c r="J15" i="5"/>
  <c r="I15" i="5"/>
  <c r="H15" i="5"/>
  <c r="G15" i="5"/>
  <c r="F15" i="5"/>
  <c r="J14" i="5"/>
  <c r="I14" i="5"/>
  <c r="H14" i="5"/>
  <c r="G14" i="5"/>
  <c r="F14" i="5"/>
  <c r="J13" i="5"/>
  <c r="I13" i="5"/>
  <c r="H13" i="5"/>
  <c r="G13" i="5"/>
  <c r="F13" i="5"/>
  <c r="L55" i="4"/>
  <c r="Q21" i="4" s="1"/>
  <c r="C55" i="4"/>
  <c r="H23" i="4" s="1"/>
  <c r="K36" i="4"/>
  <c r="M24" i="4"/>
  <c r="N36" i="4" s="1"/>
  <c r="L24" i="4"/>
  <c r="K37" i="4" s="1"/>
  <c r="D24" i="4"/>
  <c r="E36" i="4" s="1"/>
  <c r="C24" i="4"/>
  <c r="C36" i="4" s="1"/>
  <c r="O23" i="4"/>
  <c r="N23" i="4"/>
  <c r="F23" i="4"/>
  <c r="E23" i="4"/>
  <c r="O22" i="4"/>
  <c r="N22" i="4"/>
  <c r="F22" i="4"/>
  <c r="E22" i="4"/>
  <c r="O21" i="4"/>
  <c r="N21" i="4"/>
  <c r="F21" i="4"/>
  <c r="E21" i="4"/>
  <c r="O20" i="4"/>
  <c r="N20" i="4"/>
  <c r="F20" i="4"/>
  <c r="E20" i="4"/>
  <c r="O19" i="4"/>
  <c r="N19" i="4"/>
  <c r="F19" i="4"/>
  <c r="E19" i="4"/>
  <c r="O18" i="4"/>
  <c r="N18" i="4"/>
  <c r="F18" i="4"/>
  <c r="E18" i="4"/>
  <c r="O17" i="4"/>
  <c r="N17" i="4"/>
  <c r="F17" i="4"/>
  <c r="E17" i="4"/>
  <c r="O16" i="4"/>
  <c r="N16" i="4"/>
  <c r="F16" i="4"/>
  <c r="E16" i="4"/>
  <c r="O15" i="4"/>
  <c r="N15" i="4"/>
  <c r="F15" i="4"/>
  <c r="E15" i="4"/>
  <c r="O14" i="4"/>
  <c r="N14" i="4"/>
  <c r="F14" i="4"/>
  <c r="E14" i="4"/>
  <c r="I51" i="3"/>
  <c r="C51" i="3"/>
  <c r="M14" i="3" s="1"/>
  <c r="D18" i="3"/>
  <c r="L29" i="3" s="1"/>
  <c r="C18" i="3"/>
  <c r="I29" i="3" s="1"/>
  <c r="H17" i="3"/>
  <c r="G17" i="3"/>
  <c r="F17" i="3"/>
  <c r="E17" i="3"/>
  <c r="I17" i="3" s="1"/>
  <c r="H16" i="3"/>
  <c r="G16" i="3"/>
  <c r="F16" i="3"/>
  <c r="E16" i="3"/>
  <c r="I16" i="3" s="1"/>
  <c r="H15" i="3"/>
  <c r="G15" i="3"/>
  <c r="F15" i="3"/>
  <c r="E15" i="3"/>
  <c r="I15" i="3" s="1"/>
  <c r="H14" i="3"/>
  <c r="G14" i="3"/>
  <c r="F14" i="3"/>
  <c r="E14" i="3"/>
  <c r="I14" i="3" s="1"/>
  <c r="H13" i="3"/>
  <c r="G13" i="3"/>
  <c r="F13" i="3"/>
  <c r="E13" i="3"/>
  <c r="I13" i="3" s="1"/>
  <c r="H12" i="3"/>
  <c r="G12" i="3"/>
  <c r="F12" i="3"/>
  <c r="E12" i="3"/>
  <c r="I12" i="3" s="1"/>
  <c r="H11" i="3"/>
  <c r="G11" i="3"/>
  <c r="F11" i="3"/>
  <c r="E11" i="3"/>
  <c r="I11" i="3" s="1"/>
  <c r="Q32" i="1"/>
  <c r="L18" i="1" s="1"/>
  <c r="B54" i="1" a="1"/>
  <c r="B54" i="1" s="1"/>
  <c r="E54" i="1" s="1" a="1"/>
  <c r="E54" i="1" s="1"/>
  <c r="B42" i="1" a="1"/>
  <c r="B42" i="1" s="1"/>
  <c r="D23" i="1"/>
  <c r="F37" i="1" s="1"/>
  <c r="C23" i="1"/>
  <c r="F21" i="1"/>
  <c r="H19" i="1"/>
  <c r="H20" i="1"/>
  <c r="H21" i="1"/>
  <c r="H22" i="1"/>
  <c r="H18" i="1"/>
  <c r="G19" i="1"/>
  <c r="G20" i="1"/>
  <c r="G21" i="1"/>
  <c r="G22" i="1"/>
  <c r="G18" i="1"/>
  <c r="F19" i="1"/>
  <c r="F20" i="1"/>
  <c r="F22" i="1"/>
  <c r="F18" i="1"/>
  <c r="E19" i="1"/>
  <c r="I19" i="1" s="1"/>
  <c r="E20" i="1"/>
  <c r="I20" i="1" s="1"/>
  <c r="E21" i="1"/>
  <c r="I21" i="1" s="1"/>
  <c r="E22" i="1"/>
  <c r="I22" i="1" s="1"/>
  <c r="E18" i="1"/>
  <c r="D33" i="11" l="1"/>
  <c r="F25" i="11"/>
  <c r="D34" i="11" s="1"/>
  <c r="C37" i="11" s="1" a="1"/>
  <c r="G25" i="11"/>
  <c r="F34" i="11" s="1"/>
  <c r="I24" i="11"/>
  <c r="I22" i="11"/>
  <c r="I20" i="11"/>
  <c r="I23" i="11"/>
  <c r="J59" i="10"/>
  <c r="L29" i="10"/>
  <c r="B44" i="10"/>
  <c r="C44" i="10"/>
  <c r="C43" i="10"/>
  <c r="H29" i="10"/>
  <c r="G29" i="10"/>
  <c r="F29" i="10"/>
  <c r="I29" i="10"/>
  <c r="E29" i="10"/>
  <c r="F28" i="9"/>
  <c r="D39" i="9" s="1"/>
  <c r="I21" i="9"/>
  <c r="I23" i="9"/>
  <c r="G28" i="9"/>
  <c r="F39" i="9" s="1"/>
  <c r="C39" i="9"/>
  <c r="I26" i="9"/>
  <c r="I24" i="9"/>
  <c r="I27" i="9"/>
  <c r="I19" i="9"/>
  <c r="I22" i="9"/>
  <c r="I25" i="9"/>
  <c r="G28" i="8"/>
  <c r="F38" i="8" s="1"/>
  <c r="F28" i="8"/>
  <c r="D38" i="8" s="1"/>
  <c r="C38" i="8"/>
  <c r="I22" i="8"/>
  <c r="I25" i="8"/>
  <c r="I23" i="8"/>
  <c r="I26" i="8"/>
  <c r="I18" i="8"/>
  <c r="I21" i="8"/>
  <c r="I24" i="8"/>
  <c r="I20" i="8"/>
  <c r="I27" i="8"/>
  <c r="K13" i="7"/>
  <c r="K18" i="7"/>
  <c r="K17" i="7"/>
  <c r="K16" i="7"/>
  <c r="K15" i="7"/>
  <c r="K14" i="7"/>
  <c r="M22" i="6"/>
  <c r="M21" i="6"/>
  <c r="M20" i="6"/>
  <c r="M19" i="6"/>
  <c r="M18" i="6"/>
  <c r="M17" i="6"/>
  <c r="M16" i="6"/>
  <c r="M15" i="6"/>
  <c r="M16" i="5"/>
  <c r="M15" i="5"/>
  <c r="M14" i="5"/>
  <c r="M20" i="5"/>
  <c r="M19" i="5"/>
  <c r="M18" i="5"/>
  <c r="M17" i="5"/>
  <c r="M21" i="5"/>
  <c r="H19" i="7"/>
  <c r="F32" i="7" s="1"/>
  <c r="I19" i="7"/>
  <c r="F33" i="7" s="1"/>
  <c r="G19" i="7"/>
  <c r="D33" i="7" s="1"/>
  <c r="F19" i="7"/>
  <c r="C33" i="7" s="1"/>
  <c r="E19" i="7"/>
  <c r="B32" i="7"/>
  <c r="Q20" i="4"/>
  <c r="F23" i="6"/>
  <c r="C32" i="6" s="1"/>
  <c r="I23" i="6"/>
  <c r="F32" i="6" s="1"/>
  <c r="G23" i="6"/>
  <c r="D32" i="6" s="1"/>
  <c r="H23" i="6"/>
  <c r="D33" i="6" s="1"/>
  <c r="J23" i="6"/>
  <c r="F33" i="6" s="1"/>
  <c r="B33" i="6"/>
  <c r="C31" i="6"/>
  <c r="H16" i="4"/>
  <c r="Q14" i="4"/>
  <c r="Q17" i="4"/>
  <c r="Q19" i="4"/>
  <c r="H20" i="4"/>
  <c r="Q16" i="4"/>
  <c r="Q15" i="4"/>
  <c r="Q18" i="4"/>
  <c r="Q23" i="4"/>
  <c r="H15" i="4"/>
  <c r="H19" i="4"/>
  <c r="F22" i="5"/>
  <c r="C31" i="5" s="1"/>
  <c r="H22" i="4"/>
  <c r="G22" i="5"/>
  <c r="D31" i="5" s="1"/>
  <c r="H14" i="4"/>
  <c r="H18" i="4"/>
  <c r="H22" i="5"/>
  <c r="D32" i="5" s="1"/>
  <c r="I22" i="5"/>
  <c r="F31" i="5" s="1"/>
  <c r="H17" i="4"/>
  <c r="H21" i="4"/>
  <c r="J22" i="5"/>
  <c r="F32" i="5" s="1"/>
  <c r="B32" i="5"/>
  <c r="C30" i="5"/>
  <c r="Q22" i="4"/>
  <c r="N24" i="4"/>
  <c r="L37" i="4" s="1"/>
  <c r="E24" i="4"/>
  <c r="C37" i="4" s="1"/>
  <c r="M11" i="3"/>
  <c r="F24" i="4"/>
  <c r="E37" i="4" s="1"/>
  <c r="L36" i="4"/>
  <c r="M15" i="3"/>
  <c r="O24" i="4"/>
  <c r="N37" i="4" s="1"/>
  <c r="B37" i="4"/>
  <c r="F18" i="3"/>
  <c r="J30" i="3" s="1"/>
  <c r="M17" i="3"/>
  <c r="M16" i="3"/>
  <c r="M13" i="3"/>
  <c r="E29" i="3"/>
  <c r="M12" i="3"/>
  <c r="H30" i="3"/>
  <c r="G18" i="3"/>
  <c r="J31" i="3" s="1"/>
  <c r="H18" i="3"/>
  <c r="L30" i="3" s="1"/>
  <c r="I18" i="3"/>
  <c r="L31" i="3" s="1"/>
  <c r="B30" i="3"/>
  <c r="E18" i="3"/>
  <c r="C29" i="3"/>
  <c r="H23" i="1"/>
  <c r="F38" i="1" s="1"/>
  <c r="L19" i="1"/>
  <c r="J32" i="1"/>
  <c r="J20" i="1"/>
  <c r="J19" i="1"/>
  <c r="J21" i="1"/>
  <c r="J18" i="1"/>
  <c r="J22" i="1"/>
  <c r="L20" i="1"/>
  <c r="L22" i="1"/>
  <c r="L21" i="1"/>
  <c r="G23" i="1"/>
  <c r="F23" i="1"/>
  <c r="E23" i="1"/>
  <c r="I18" i="1"/>
  <c r="I23" i="1" s="1"/>
  <c r="F39" i="1" s="1"/>
  <c r="C38" i="11" l="1"/>
  <c r="D38" i="11"/>
  <c r="D37" i="11"/>
  <c r="C37" i="11"/>
  <c r="I25" i="11"/>
  <c r="E43" i="10" a="1"/>
  <c r="E43" i="10" s="1"/>
  <c r="C59" i="10" s="1"/>
  <c r="C42" i="9" a="1"/>
  <c r="C42" i="9" s="1"/>
  <c r="I28" i="9"/>
  <c r="C41" i="8" a="1"/>
  <c r="C42" i="8" s="1"/>
  <c r="I28" i="8"/>
  <c r="K19" i="7"/>
  <c r="M22" i="5"/>
  <c r="D32" i="7"/>
  <c r="B33" i="7"/>
  <c r="D31" i="7"/>
  <c r="C32" i="7"/>
  <c r="C33" i="6"/>
  <c r="B36" i="6" s="1" a="1"/>
  <c r="C32" i="5"/>
  <c r="B35" i="5" s="1" a="1"/>
  <c r="B37" i="5" s="1"/>
  <c r="B40" i="4" a="1"/>
  <c r="B40" i="4" s="1"/>
  <c r="Q24" i="4"/>
  <c r="H24" i="4"/>
  <c r="I31" i="3"/>
  <c r="E30" i="3"/>
  <c r="K40" i="4" a="1"/>
  <c r="K40" i="4" s="1"/>
  <c r="M18" i="3"/>
  <c r="F42" i="1" a="1"/>
  <c r="F42" i="1" s="1"/>
  <c r="K20" i="1" s="1"/>
  <c r="J29" i="3"/>
  <c r="I30" i="3"/>
  <c r="C30" i="3"/>
  <c r="B34" i="3" s="1" a="1"/>
  <c r="H31" i="3"/>
  <c r="L23" i="1"/>
  <c r="J23" i="1"/>
  <c r="O23" i="1" s="1"/>
  <c r="G37" i="11" l="1" a="1"/>
  <c r="D43" i="9"/>
  <c r="D42" i="9"/>
  <c r="C43" i="9"/>
  <c r="C41" i="8"/>
  <c r="D42" i="8"/>
  <c r="D41" i="8"/>
  <c r="B36" i="7" a="1"/>
  <c r="C37" i="7" s="1"/>
  <c r="C37" i="6"/>
  <c r="D36" i="6"/>
  <c r="B41" i="4"/>
  <c r="C38" i="6"/>
  <c r="B38" i="6"/>
  <c r="C36" i="6"/>
  <c r="B37" i="6"/>
  <c r="D37" i="6"/>
  <c r="C41" i="4"/>
  <c r="B36" i="6"/>
  <c r="D38" i="6"/>
  <c r="C40" i="4"/>
  <c r="C36" i="5"/>
  <c r="L40" i="4"/>
  <c r="K41" i="4"/>
  <c r="C37" i="5"/>
  <c r="L41" i="4"/>
  <c r="D37" i="5"/>
  <c r="B35" i="5"/>
  <c r="B36" i="5"/>
  <c r="C35" i="5"/>
  <c r="D36" i="5"/>
  <c r="D35" i="5"/>
  <c r="K22" i="1"/>
  <c r="K18" i="1"/>
  <c r="J28" i="1"/>
  <c r="K19" i="1"/>
  <c r="K21" i="1"/>
  <c r="H34" i="3" a="1"/>
  <c r="H35" i="3" s="1"/>
  <c r="B35" i="3"/>
  <c r="C34" i="3"/>
  <c r="B34" i="3"/>
  <c r="C35" i="3"/>
  <c r="Q34" i="1"/>
  <c r="G37" i="11" l="1"/>
  <c r="G38" i="11"/>
  <c r="G42" i="9" a="1"/>
  <c r="G43" i="9" s="1"/>
  <c r="G41" i="8" a="1"/>
  <c r="G42" i="8" s="1"/>
  <c r="C38" i="7"/>
  <c r="B36" i="7"/>
  <c r="D38" i="7"/>
  <c r="C36" i="7"/>
  <c r="D36" i="7"/>
  <c r="B37" i="7"/>
  <c r="B38" i="7"/>
  <c r="D37" i="7"/>
  <c r="E40" i="4" a="1"/>
  <c r="E40" i="4" s="1"/>
  <c r="F36" i="6" a="1"/>
  <c r="F38" i="6" s="1"/>
  <c r="N40" i="4" a="1"/>
  <c r="N41" i="4" s="1"/>
  <c r="F35" i="5" a="1"/>
  <c r="F35" i="5" s="1"/>
  <c r="K23" i="1"/>
  <c r="Q23" i="1" s="1"/>
  <c r="Q35" i="1" s="1"/>
  <c r="H36" i="3"/>
  <c r="J35" i="3"/>
  <c r="I36" i="3"/>
  <c r="H34" i="3"/>
  <c r="J36" i="3"/>
  <c r="I34" i="3"/>
  <c r="I35" i="3"/>
  <c r="J34" i="3"/>
  <c r="E34" i="3" a="1"/>
  <c r="J24" i="11" l="1"/>
  <c r="J21" i="11"/>
  <c r="H23" i="11"/>
  <c r="H20" i="11"/>
  <c r="J23" i="11"/>
  <c r="C49" i="11"/>
  <c r="J20" i="11"/>
  <c r="H22" i="11"/>
  <c r="C52" i="11"/>
  <c r="H21" i="11"/>
  <c r="J22" i="11"/>
  <c r="H24" i="11"/>
  <c r="G42" i="9"/>
  <c r="J23" i="9" s="1"/>
  <c r="G41" i="8"/>
  <c r="J21" i="8" s="1"/>
  <c r="F36" i="7" a="1"/>
  <c r="F37" i="7" s="1"/>
  <c r="E41" i="4"/>
  <c r="G23" i="4" s="1"/>
  <c r="F36" i="6"/>
  <c r="F37" i="6"/>
  <c r="F36" i="5"/>
  <c r="F37" i="5"/>
  <c r="N40" i="4"/>
  <c r="P16" i="4" s="1"/>
  <c r="L34" i="3" a="1"/>
  <c r="L35" i="3" s="1"/>
  <c r="E35" i="3"/>
  <c r="E34" i="3"/>
  <c r="H25" i="11" l="1"/>
  <c r="F68" i="9"/>
  <c r="H27" i="9"/>
  <c r="H26" i="9"/>
  <c r="H22" i="9"/>
  <c r="H19" i="9"/>
  <c r="J27" i="9"/>
  <c r="J26" i="9"/>
  <c r="H21" i="9"/>
  <c r="J20" i="9"/>
  <c r="J24" i="9"/>
  <c r="J25" i="9"/>
  <c r="H20" i="9"/>
  <c r="J19" i="9"/>
  <c r="D69" i="9"/>
  <c r="H23" i="9"/>
  <c r="H24" i="9"/>
  <c r="H25" i="9"/>
  <c r="J21" i="9"/>
  <c r="J22" i="9"/>
  <c r="H21" i="8"/>
  <c r="J18" i="8"/>
  <c r="J19" i="8"/>
  <c r="H23" i="8"/>
  <c r="H19" i="8"/>
  <c r="H27" i="8"/>
  <c r="J20" i="8"/>
  <c r="H26" i="8"/>
  <c r="D64" i="8"/>
  <c r="D62" i="8"/>
  <c r="C69" i="8" s="1"/>
  <c r="H22" i="8"/>
  <c r="H24" i="8"/>
  <c r="J24" i="8"/>
  <c r="J26" i="8"/>
  <c r="J25" i="8"/>
  <c r="J27" i="8"/>
  <c r="H18" i="8"/>
  <c r="J23" i="8"/>
  <c r="J22" i="8"/>
  <c r="H25" i="8"/>
  <c r="H20" i="8"/>
  <c r="K20" i="6"/>
  <c r="K21" i="6"/>
  <c r="K22" i="6"/>
  <c r="K19" i="6"/>
  <c r="K18" i="6"/>
  <c r="K17" i="6"/>
  <c r="K16" i="6"/>
  <c r="K15" i="6"/>
  <c r="K14" i="6"/>
  <c r="K18" i="5"/>
  <c r="K20" i="5"/>
  <c r="K17" i="5"/>
  <c r="K16" i="5"/>
  <c r="K15" i="5"/>
  <c r="K14" i="5"/>
  <c r="K21" i="5"/>
  <c r="K19" i="5"/>
  <c r="K13" i="5"/>
  <c r="F38" i="7"/>
  <c r="F36" i="7"/>
  <c r="G16" i="4"/>
  <c r="C62" i="4"/>
  <c r="G17" i="4"/>
  <c r="G18" i="4"/>
  <c r="G19" i="4"/>
  <c r="G21" i="4"/>
  <c r="G20" i="4"/>
  <c r="G14" i="4"/>
  <c r="G22" i="4"/>
  <c r="G15" i="4"/>
  <c r="P14" i="4"/>
  <c r="P15" i="4"/>
  <c r="P19" i="4"/>
  <c r="P20" i="4"/>
  <c r="P23" i="4"/>
  <c r="P18" i="4"/>
  <c r="P22" i="4"/>
  <c r="P17" i="4"/>
  <c r="P21" i="4"/>
  <c r="L36" i="3"/>
  <c r="L34" i="3"/>
  <c r="J17" i="3"/>
  <c r="J16" i="3"/>
  <c r="J15" i="3"/>
  <c r="J14" i="3"/>
  <c r="J13" i="3"/>
  <c r="J12" i="3"/>
  <c r="J11" i="3"/>
  <c r="D40" i="11" l="1"/>
  <c r="D43" i="11" s="1"/>
  <c r="D44" i="11" s="1"/>
  <c r="D47" i="11"/>
  <c r="C53" i="11" s="1"/>
  <c r="H28" i="9"/>
  <c r="D49" i="9" s="1"/>
  <c r="D66" i="9" s="1"/>
  <c r="D70" i="9" s="1"/>
  <c r="H28" i="8"/>
  <c r="D50" i="8" s="1"/>
  <c r="D58" i="8" s="1"/>
  <c r="D59" i="8" s="1"/>
  <c r="C68" i="8" s="1"/>
  <c r="J12" i="7"/>
  <c r="J15" i="7"/>
  <c r="J16" i="7"/>
  <c r="J17" i="7"/>
  <c r="J14" i="7"/>
  <c r="J13" i="7"/>
  <c r="J18" i="7"/>
  <c r="K23" i="6"/>
  <c r="C44" i="6" s="1"/>
  <c r="C59" i="6" s="1"/>
  <c r="K22" i="5"/>
  <c r="C44" i="5" s="1"/>
  <c r="G24" i="4"/>
  <c r="C47" i="4" s="1"/>
  <c r="C57" i="4" s="1"/>
  <c r="P24" i="4"/>
  <c r="L47" i="4" s="1"/>
  <c r="L57" i="4" s="1"/>
  <c r="K12" i="3"/>
  <c r="K11" i="3"/>
  <c r="K13" i="3"/>
  <c r="K17" i="3"/>
  <c r="K16" i="3"/>
  <c r="K14" i="3"/>
  <c r="K15" i="3"/>
  <c r="J18" i="3"/>
  <c r="C43" i="3" s="1"/>
  <c r="C53" i="3" s="1"/>
  <c r="D56" i="9" l="1"/>
  <c r="D57" i="9" s="1"/>
  <c r="D71" i="9"/>
  <c r="D72" i="9" s="1"/>
  <c r="C70" i="8"/>
  <c r="J19" i="7"/>
  <c r="L27" i="7" s="1"/>
  <c r="M23" i="6"/>
  <c r="C51" i="6" s="1"/>
  <c r="C52" i="6" s="1"/>
  <c r="F50" i="5"/>
  <c r="F51" i="5" s="1"/>
  <c r="K40" i="5"/>
  <c r="K18" i="3"/>
  <c r="I43" i="3" s="1"/>
  <c r="I53" i="3" s="1"/>
  <c r="L42" i="7" l="1"/>
  <c r="L34" i="7" l="1"/>
  <c r="L35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<sst xmlns="http://schemas.openxmlformats.org/spreadsheetml/2006/main" count="379" uniqueCount="140">
  <si>
    <t>i</t>
  </si>
  <si>
    <t>xi</t>
  </si>
  <si>
    <t>y1</t>
  </si>
  <si>
    <t>xi^2</t>
  </si>
  <si>
    <t>xi^3</t>
  </si>
  <si>
    <t>xi^4</t>
  </si>
  <si>
    <t>xi*yi</t>
  </si>
  <si>
    <t>xi^2*yi</t>
  </si>
  <si>
    <t>Q1 P1((xi)-yi)^2</t>
  </si>
  <si>
    <t>Q2  P2((xi)-yi)^2</t>
  </si>
  <si>
    <t>suma</t>
  </si>
  <si>
    <t>P2(x)=a0+a1*x+a2*x^2</t>
  </si>
  <si>
    <t>c</t>
  </si>
  <si>
    <t>b</t>
  </si>
  <si>
    <t>inv©</t>
  </si>
  <si>
    <t>inv (c)</t>
  </si>
  <si>
    <t>a</t>
  </si>
  <si>
    <t>a0</t>
  </si>
  <si>
    <t>a1</t>
  </si>
  <si>
    <t>a2</t>
  </si>
  <si>
    <t>P1(x)=a0+a1*x</t>
  </si>
  <si>
    <t>X=2.5</t>
  </si>
  <si>
    <t>P2(2.5)=</t>
  </si>
  <si>
    <t>(a0+a1*xi-yi)^2</t>
  </si>
  <si>
    <t>(a0+a1*xi+a2*xi^2-yi)^2</t>
  </si>
  <si>
    <t>RECTA</t>
  </si>
  <si>
    <t>Q1</t>
  </si>
  <si>
    <t>PARABOLA</t>
  </si>
  <si>
    <t>Q2</t>
  </si>
  <si>
    <t>MEDIA</t>
  </si>
  <si>
    <t>=</t>
  </si>
  <si>
    <t>(yi- MEDIA)^2</t>
  </si>
  <si>
    <t>r^2(Q1)</t>
  </si>
  <si>
    <t>r^2(Q2)</t>
  </si>
  <si>
    <t>P1(2.5)=</t>
  </si>
  <si>
    <t xml:space="preserve">P1(x)=a0+a1*x </t>
  </si>
  <si>
    <t>Al comparar los resultados, la parábola se ajusta mejor a los datos porque tiene un error menor que la recta. Para los 2 meses y medio, la pérdida de peso estimada es de 5.6625 kg.</t>
  </si>
  <si>
    <t>Recta</t>
  </si>
  <si>
    <t>Parabola</t>
  </si>
  <si>
    <t>P1(x)=a0+a1*xi</t>
  </si>
  <si>
    <t>P2(x)=a0+a1*xi+a2*xi^2</t>
  </si>
  <si>
    <t>inv(c)</t>
  </si>
  <si>
    <t>Q1=</t>
  </si>
  <si>
    <t>Q2=</t>
  </si>
  <si>
    <t>R^2=coeficiente de determinación</t>
  </si>
  <si>
    <t xml:space="preserve">MEDIA </t>
  </si>
  <si>
    <t>R^2=</t>
  </si>
  <si>
    <t>OBJETIVO: hallar Recta y Parabola</t>
  </si>
  <si>
    <t>(Q) = suma de los cuadrados de los errores o residuos</t>
  </si>
  <si>
    <t>i(nodos)</t>
  </si>
  <si>
    <t>yi</t>
  </si>
  <si>
    <t>Q1   (P(x)-yi)^2</t>
  </si>
  <si>
    <t>Q2       (P(x)-yi)^2</t>
  </si>
  <si>
    <t>Total</t>
  </si>
  <si>
    <t>Regresion Polinomial</t>
  </si>
  <si>
    <t>conoces matematicas y biologia no</t>
  </si>
  <si>
    <t>conoces biologia y matematicas no</t>
  </si>
  <si>
    <t>Alumnos</t>
  </si>
  <si>
    <t>Matematicas</t>
  </si>
  <si>
    <t>Biologia</t>
  </si>
  <si>
    <t>alumnos</t>
  </si>
  <si>
    <t>biologia</t>
  </si>
  <si>
    <t>matematicas</t>
  </si>
  <si>
    <t>Q  (P(x)-yi)^2</t>
  </si>
  <si>
    <t>(yi-     )^2</t>
  </si>
  <si>
    <t>total</t>
  </si>
  <si>
    <t>inc©</t>
  </si>
  <si>
    <t>Q=</t>
  </si>
  <si>
    <t>P1(8.3)=</t>
  </si>
  <si>
    <t>(a0+a1*x1+a2*x2-yi)^2</t>
  </si>
  <si>
    <t>x1i</t>
  </si>
  <si>
    <t>x2i</t>
  </si>
  <si>
    <t>x1i^2</t>
  </si>
  <si>
    <t>x1i*x2i</t>
  </si>
  <si>
    <t>x2i^2</t>
  </si>
  <si>
    <t>x1i*yi</t>
  </si>
  <si>
    <t>x2i*yi</t>
  </si>
  <si>
    <t xml:space="preserve"> Q=              (P(x)-yi)^2</t>
  </si>
  <si>
    <t>(yi-      )^2</t>
  </si>
  <si>
    <t>COEFICIENTES</t>
  </si>
  <si>
    <t>Objetivo: Y=a0+a1*x1+a2*x2</t>
  </si>
  <si>
    <t>SUMA DE LOS CUADRADOS DE LOS RESIDUOS</t>
  </si>
  <si>
    <t>COEFICIENTE DE DETERMINACION</t>
  </si>
  <si>
    <t>r=</t>
  </si>
  <si>
    <t>COEFICIENTE DE CORRELACION</t>
  </si>
  <si>
    <t>ERROR ESTANDAR</t>
  </si>
  <si>
    <t>S=</t>
  </si>
  <si>
    <t>m=</t>
  </si>
  <si>
    <t>variable independiente va hasta 2</t>
  </si>
  <si>
    <t>n=</t>
  </si>
  <si>
    <t>(cantidad de nodos)</t>
  </si>
  <si>
    <t>(P(x)-yi)^2</t>
  </si>
  <si>
    <t>(yi-  media  )^2</t>
  </si>
  <si>
    <t>La parábola es un poco más precisa porque tiene un error menor (91.6667) que la recta (94).</t>
  </si>
  <si>
    <t>Biología según Matemáticas</t>
  </si>
  <si>
    <t>Matemáticas según Biología</t>
  </si>
  <si>
    <t>Rectas de regresión</t>
  </si>
  <si>
    <t>Nota de Matemáticas = 8.3</t>
  </si>
  <si>
    <t>Biología estimada = 8.3841</t>
  </si>
  <si>
    <t>Si el alumno obtuvo 8.3 en Matemáticas, se estima una nota aproximada de 8.38 en Biología.</t>
  </si>
  <si>
    <t>(yi-   media   )^2</t>
  </si>
  <si>
    <t>El modelo de regresión múltiple presenta un buen ajuste a los datos, con un coeficiente de determinación de aproximadamente 99.55 % y un error estándar de 0.8888.</t>
  </si>
  <si>
    <t>(yi-MEDIA)^2</t>
  </si>
  <si>
    <t>Conclusión: La parábola se ajusta bien a los datos, con un coeficiente de determinación de 98.94 %.</t>
  </si>
  <si>
    <t>P1(xi)</t>
  </si>
  <si>
    <t>X=6.10</t>
  </si>
  <si>
    <t>P1(6.10)=</t>
  </si>
  <si>
    <t>Ecuacion</t>
  </si>
  <si>
    <t>Respuestas</t>
  </si>
  <si>
    <t>xi = T</t>
  </si>
  <si>
    <t>yi = Y</t>
  </si>
  <si>
    <t>P(xi)</t>
  </si>
  <si>
    <t>Y = b + m*T = a0 + a1*T</t>
  </si>
  <si>
    <t>a0 = b</t>
  </si>
  <si>
    <t>a1 = m</t>
  </si>
  <si>
    <t>(variable independiente)</t>
  </si>
  <si>
    <t>error estandar</t>
  </si>
  <si>
    <t>T=25</t>
  </si>
  <si>
    <t>Y(25)=</t>
  </si>
  <si>
    <t>Y(25)-S=</t>
  </si>
  <si>
    <t>Y(25)+S=</t>
  </si>
  <si>
    <t>longitud=</t>
  </si>
  <si>
    <t>Q1 (recta)</t>
  </si>
  <si>
    <t>Q2 (parabola)</t>
  </si>
  <si>
    <t>RECTA  P1(x)=a0+a1*x</t>
  </si>
  <si>
    <t>PARABOLA  P2(x)=a0+a1*x+a2*x^2</t>
  </si>
  <si>
    <t>R^2 recta=</t>
  </si>
  <si>
    <t>R^2 parabola=</t>
  </si>
  <si>
    <t>varianza explicada=</t>
  </si>
  <si>
    <t>porcentaje</t>
  </si>
  <si>
    <t>a) La recta obtenida es (Y = 67.503985 + 0.872069T). La pendiente es positiva, por lo que la solubilidad aumenta cuando sube la temperatura.</t>
  </si>
  <si>
    <t>b) El valor de (R^2 = 0.9973) indica que la recta se ajusta bastante bien a los datos.</t>
  </si>
  <si>
    <t>c) Para una temperatura de 25 °C, la solubilidad estimada es de 89.3057.</t>
  </si>
  <si>
    <t>d) El error estándar es 1.0868. El intervalo estimado para esa temperatura va de 88.2189 a 90.3925.</t>
  </si>
  <si>
    <t>La recta explica el 74.21 % de la variación de las compras, mientras que la parábola explica el 75.91 %. Esto quiere decir que la parábola se ajusta un poco mejor a los datos. Sin embargo, la diferencia es pequeña, por lo que ambos modelos pueden utilizarse para representar la relación entre los ingresos y las compras. Si tuviera que elegir uno, escogería la parábola porque presenta un mejor ajuste.</t>
  </si>
  <si>
    <t>P1(x) =</t>
  </si>
  <si>
    <t>P2(x)</t>
  </si>
  <si>
    <t>Regresion lineal de y en x:  P(x)=a0+a1*x     xi = fuerza de tension x     yi = deformacion t</t>
  </si>
  <si>
    <t>P(x)=a0+a1*x</t>
  </si>
  <si>
    <t>c) El 98 % de la variación de la deformación se explica por la fuerza de tensión aplicada.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</si>
</sst>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####"/>
    <numFmt numFmtId="170" formatCode="0.000000"/>
    <numFmt numFmtId="172" formatCode="0.000000000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charset val="134"/>
    </font>
    <font>
      <sz val="11"/>
      <name val="Calibri"/>
      <charset val="134"/>
    </font>
    <font>
      <b/>
      <sz val="11"/>
      <color indexed="8"/>
      <name val="Calibri"/>
      <charset val="134"/>
    </font>
    <font>
      <sz val="11"/>
      <color indexed="8"/>
      <name val="Calibri"/>
      <family val="2"/>
    </font>
    <font>
      <sz val="10"/>
      <color theme="1"/>
      <name val="Arial Unicode MS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righ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0" fillId="4" borderId="1" xfId="0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9" borderId="0" xfId="0" applyFill="1"/>
    <xf numFmtId="0" fontId="4" fillId="10" borderId="1" xfId="0" applyFon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0" xfId="0" applyFont="1"/>
    <xf numFmtId="0" fontId="5" fillId="0" borderId="6" xfId="0" applyFon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/>
    <xf numFmtId="0" fontId="4" fillId="0" borderId="1" xfId="0" applyFont="1" applyBorder="1" applyAlignment="1">
      <alignment horizontal="center"/>
    </xf>
    <xf numFmtId="0" fontId="4" fillId="0" borderId="2" xfId="0" applyFont="1" applyBorder="1"/>
    <xf numFmtId="0" fontId="0" fillId="0" borderId="0" xfId="0" applyAlignment="1">
      <alignment horizontal="center"/>
    </xf>
    <xf numFmtId="0" fontId="0" fillId="0" borderId="0" xfId="0"/>
    <xf numFmtId="0" fontId="0" fillId="8" borderId="0" xfId="0" applyFill="1" applyAlignment="1">
      <alignment horizontal="center" wrapText="1"/>
    </xf>
    <xf numFmtId="0" fontId="6" fillId="0" borderId="0" xfId="0" applyNumberFormat="1" applyFont="1" applyFill="1" applyBorder="1" applyAlignment="1" applyProtection="1"/>
    <xf numFmtId="0" fontId="7" fillId="0" borderId="7" xfId="0" applyNumberFormat="1" applyFont="1" applyFill="1" applyBorder="1" applyAlignment="1" applyProtection="1">
      <alignment wrapText="1"/>
    </xf>
    <xf numFmtId="0" fontId="7" fillId="0" borderId="0" xfId="0" applyNumberFormat="1" applyFont="1" applyFill="1" applyBorder="1" applyAlignment="1" applyProtection="1"/>
    <xf numFmtId="0" fontId="7" fillId="0" borderId="7" xfId="0" applyNumberFormat="1" applyFont="1" applyFill="1" applyBorder="1" applyAlignment="1" applyProtection="1"/>
    <xf numFmtId="164" fontId="7" fillId="0" borderId="7" xfId="0" applyNumberFormat="1" applyFont="1" applyFill="1" applyBorder="1" applyAlignment="1" applyProtection="1"/>
    <xf numFmtId="170" fontId="7" fillId="0" borderId="7" xfId="0" applyNumberFormat="1" applyFont="1" applyFill="1" applyBorder="1" applyAlignment="1" applyProtection="1"/>
    <xf numFmtId="170" fontId="7" fillId="0" borderId="0" xfId="0" applyNumberFormat="1" applyFont="1" applyFill="1" applyBorder="1" applyAlignment="1" applyProtection="1"/>
    <xf numFmtId="164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wrapText="1"/>
    </xf>
    <xf numFmtId="0" fontId="6" fillId="0" borderId="7" xfId="0" applyNumberFormat="1" applyFont="1" applyFill="1" applyBorder="1" applyAlignment="1" applyProtection="1"/>
    <xf numFmtId="164" fontId="6" fillId="0" borderId="7" xfId="0" applyNumberFormat="1" applyFont="1" applyFill="1" applyBorder="1" applyAlignment="1" applyProtection="1"/>
    <xf numFmtId="0" fontId="8" fillId="0" borderId="7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/>
    <xf numFmtId="170" fontId="6" fillId="0" borderId="7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>
      <alignment wrapText="1"/>
    </xf>
    <xf numFmtId="0" fontId="8" fillId="0" borderId="7" xfId="0" applyNumberFormat="1" applyFont="1" applyFill="1" applyBorder="1" applyAlignment="1" applyProtection="1">
      <alignment wrapText="1"/>
    </xf>
    <xf numFmtId="164" fontId="6" fillId="0" borderId="0" xfId="0" applyNumberFormat="1" applyFont="1" applyFill="1" applyBorder="1" applyAlignment="1" applyProtection="1"/>
    <xf numFmtId="170" fontId="6" fillId="0" borderId="0" xfId="0" applyNumberFormat="1" applyFont="1" applyFill="1" applyBorder="1" applyAlignment="1" applyProtection="1"/>
    <xf numFmtId="0" fontId="9" fillId="0" borderId="7" xfId="0" applyNumberFormat="1" applyFont="1" applyFill="1" applyBorder="1" applyAlignment="1" applyProtection="1">
      <alignment wrapText="1"/>
    </xf>
    <xf numFmtId="0" fontId="9" fillId="0" borderId="0" xfId="0" applyNumberFormat="1" applyFont="1" applyFill="1" applyBorder="1" applyAlignment="1" applyProtection="1"/>
    <xf numFmtId="0" fontId="9" fillId="0" borderId="7" xfId="0" applyNumberFormat="1" applyFont="1" applyFill="1" applyBorder="1" applyAlignment="1" applyProtection="1"/>
    <xf numFmtId="164" fontId="9" fillId="0" borderId="7" xfId="0" applyNumberFormat="1" applyFont="1" applyFill="1" applyBorder="1" applyAlignment="1" applyProtection="1"/>
    <xf numFmtId="170" fontId="9" fillId="0" borderId="7" xfId="0" applyNumberFormat="1" applyFont="1" applyFill="1" applyBorder="1" applyAlignment="1" applyProtection="1"/>
    <xf numFmtId="164" fontId="9" fillId="0" borderId="0" xfId="0" applyNumberFormat="1" applyFont="1" applyFill="1" applyBorder="1" applyAlignment="1" applyProtection="1"/>
    <xf numFmtId="10" fontId="9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wrapText="1"/>
    </xf>
    <xf numFmtId="170" fontId="9" fillId="0" borderId="0" xfId="0" applyNumberFormat="1" applyFont="1" applyFill="1" applyBorder="1" applyAlignment="1" applyProtection="1"/>
    <xf numFmtId="0" fontId="10" fillId="0" borderId="0" xfId="0" applyFont="1" applyAlignment="1">
      <alignment vertical="center"/>
    </xf>
    <xf numFmtId="172" fontId="9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0.png"/><Relationship Id="rId1" Type="http://schemas.openxmlformats.org/officeDocument/2006/relationships/image" Target="../media/image11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3.png"/><Relationship Id="rId1" Type="http://schemas.openxmlformats.org/officeDocument/2006/relationships/image" Target="../media/image16.png"/><Relationship Id="rId6" Type="http://schemas.openxmlformats.org/officeDocument/2006/relationships/image" Target="../media/image17.png"/><Relationship Id="rId5" Type="http://schemas.openxmlformats.org/officeDocument/2006/relationships/image" Target="../media/image14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0.png"/><Relationship Id="rId1" Type="http://schemas.openxmlformats.org/officeDocument/2006/relationships/image" Target="../media/image18.png"/><Relationship Id="rId6" Type="http://schemas.openxmlformats.org/officeDocument/2006/relationships/image" Target="../media/image19.png"/><Relationship Id="rId5" Type="http://schemas.openxmlformats.org/officeDocument/2006/relationships/image" Target="../media/image14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20.png"/><Relationship Id="rId5" Type="http://schemas.openxmlformats.org/officeDocument/2006/relationships/image" Target="../media/image21.png"/><Relationship Id="rId4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3" Type="http://schemas.openxmlformats.org/officeDocument/2006/relationships/image" Target="../media/image5.png"/><Relationship Id="rId7" Type="http://schemas.openxmlformats.org/officeDocument/2006/relationships/image" Target="../media/image24.png"/><Relationship Id="rId2" Type="http://schemas.openxmlformats.org/officeDocument/2006/relationships/image" Target="../media/image4.png"/><Relationship Id="rId1" Type="http://schemas.openxmlformats.org/officeDocument/2006/relationships/image" Target="../media/image22.png"/><Relationship Id="rId6" Type="http://schemas.openxmlformats.org/officeDocument/2006/relationships/image" Target="../media/image23.png"/><Relationship Id="rId5" Type="http://schemas.openxmlformats.org/officeDocument/2006/relationships/image" Target="../media/image10.png"/><Relationship Id="rId10" Type="http://schemas.openxmlformats.org/officeDocument/2006/relationships/image" Target="../media/image27.png"/><Relationship Id="rId4" Type="http://schemas.openxmlformats.org/officeDocument/2006/relationships/image" Target="../media/image14.png"/><Relationship Id="rId9" Type="http://schemas.openxmlformats.org/officeDocument/2006/relationships/image" Target="../media/image2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png"/><Relationship Id="rId1" Type="http://schemas.openxmlformats.org/officeDocument/2006/relationships/image" Target="../media/image31.png"/><Relationship Id="rId6" Type="http://schemas.openxmlformats.org/officeDocument/2006/relationships/image" Target="../media/image32.png"/><Relationship Id="rId5" Type="http://schemas.openxmlformats.org/officeDocument/2006/relationships/image" Target="../media/image14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304800</xdr:colOff>
      <xdr:row>12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86BA5F-FFFA-1D24-475A-A12713B61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4572000" cy="2057400"/>
        </a:xfrm>
        <a:prstGeom prst="rect">
          <a:avLst/>
        </a:prstGeom>
      </xdr:spPr>
    </xdr:pic>
    <xdr:clientData/>
  </xdr:twoCellAnchor>
  <xdr:twoCellAnchor editAs="oneCell">
    <xdr:from>
      <xdr:col>0</xdr:col>
      <xdr:colOff>507149</xdr:colOff>
      <xdr:row>26</xdr:row>
      <xdr:rowOff>55756</xdr:rowOff>
    </xdr:from>
    <xdr:to>
      <xdr:col>7</xdr:col>
      <xdr:colOff>520391</xdr:colOff>
      <xdr:row>32</xdr:row>
      <xdr:rowOff>92926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AC811E9-2863-393A-974B-724A20E798A7}"/>
            </a:ext>
            <a:ext uri="{147F2762-F138-4A5C-976F-8EAC2B608ADB}">
              <a16:predDERef xmlns:a16="http://schemas.microsoft.com/office/drawing/2014/main" pred="{FB9458FC-F850-B5C1-032D-1DC6CFCEBC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3749" b="8751"/>
        <a:stretch/>
      </xdr:blipFill>
      <xdr:spPr>
        <a:xfrm>
          <a:off x="507149" y="4887951"/>
          <a:ext cx="4306462" cy="1152292"/>
        </a:xfrm>
        <a:prstGeom prst="rect">
          <a:avLst/>
        </a:prstGeom>
      </xdr:spPr>
    </xdr:pic>
    <xdr:clientData/>
  </xdr:twoCellAnchor>
  <xdr:twoCellAnchor editAs="oneCell">
    <xdr:from>
      <xdr:col>3</xdr:col>
      <xdr:colOff>74343</xdr:colOff>
      <xdr:row>33</xdr:row>
      <xdr:rowOff>37171</xdr:rowOff>
    </xdr:from>
    <xdr:to>
      <xdr:col>5</xdr:col>
      <xdr:colOff>42771</xdr:colOff>
      <xdr:row>35</xdr:row>
      <xdr:rowOff>65050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050F439-48DA-AEF6-A2C5-248F197B4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4294" y="6170342"/>
          <a:ext cx="1195062" cy="39958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17</xdr:col>
      <xdr:colOff>239807</xdr:colOff>
      <xdr:row>18</xdr:row>
      <xdr:rowOff>177534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2F19D1E-2115-49E8-8F33-15CAD2F1D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84229" y="2775857"/>
          <a:ext cx="2068606" cy="73270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18</xdr:col>
      <xdr:colOff>435815</xdr:colOff>
      <xdr:row>29</xdr:row>
      <xdr:rowOff>61871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C488AD0-3CD6-4F1D-B208-DFA1BE9F1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84229" y="4626429"/>
          <a:ext cx="2874215" cy="802099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56</xdr:row>
      <xdr:rowOff>15240</xdr:rowOff>
    </xdr:from>
    <xdr:to>
      <xdr:col>12</xdr:col>
      <xdr:colOff>328435</xdr:colOff>
      <xdr:row>83</xdr:row>
      <xdr:rowOff>84254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73C7519-252F-F0ED-0175-7D0C3231F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0080" y="10256520"/>
          <a:ext cx="8939035" cy="5006774"/>
        </a:xfrm>
        <a:prstGeom prst="rect">
          <a:avLst/>
        </a:prstGeom>
      </xdr:spPr>
    </xdr:pic>
    <xdr:clientData/>
  </xdr:twoCellAnchor>
  <xdr:twoCellAnchor editAs="oneCell">
    <xdr:from>
      <xdr:col>12</xdr:col>
      <xdr:colOff>335280</xdr:colOff>
      <xdr:row>73</xdr:row>
      <xdr:rowOff>137160</xdr:rowOff>
    </xdr:from>
    <xdr:to>
      <xdr:col>18</xdr:col>
      <xdr:colOff>548975</xdr:colOff>
      <xdr:row>108</xdr:row>
      <xdr:rowOff>114853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973B1A7-7773-F957-87A7-DFBC397D3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85960" y="13487400"/>
          <a:ext cx="3871295" cy="6378493"/>
        </a:xfrm>
        <a:prstGeom prst="rect">
          <a:avLst/>
        </a:prstGeom>
      </xdr:spPr>
    </xdr:pic>
    <xdr:clientData/>
  </xdr:twoCellAnchor>
  <xdr:twoCellAnchor editAs="oneCell">
    <xdr:from>
      <xdr:col>6</xdr:col>
      <xdr:colOff>167640</xdr:colOff>
      <xdr:row>98</xdr:row>
      <xdr:rowOff>152400</xdr:rowOff>
    </xdr:from>
    <xdr:to>
      <xdr:col>22</xdr:col>
      <xdr:colOff>61964</xdr:colOff>
      <xdr:row>130</xdr:row>
      <xdr:rowOff>91942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09471E3-31D6-BE38-9656-E362C4F95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25240" y="18074640"/>
          <a:ext cx="11583404" cy="57917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347382</xdr:colOff>
      <xdr:row>0</xdr:row>
      <xdr:rowOff>1</xdr:rowOff>
    </xdr:from>
    <xdr:to>
      <xdr:col>7</xdr:col>
      <xdr:colOff>83820</xdr:colOff>
      <xdr:row>8</xdr:row>
      <xdr:rowOff>76253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10FEAB-27D8-43E6-A981-118C40DEB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382" y="1"/>
          <a:ext cx="5305762" cy="151060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15240</xdr:colOff>
      <xdr:row>23</xdr:row>
      <xdr:rowOff>30480</xdr:rowOff>
    </xdr:from>
    <xdr:to>
      <xdr:col>3</xdr:col>
      <xdr:colOff>222337</xdr:colOff>
      <xdr:row>26</xdr:row>
      <xdr:rowOff>106680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795540-3690-40B1-B7B8-71FB1DB0E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" y="4236720"/>
          <a:ext cx="1792057" cy="62484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15240</xdr:colOff>
      <xdr:row>22</xdr:row>
      <xdr:rowOff>175260</xdr:rowOff>
    </xdr:from>
    <xdr:to>
      <xdr:col>9</xdr:col>
      <xdr:colOff>222337</xdr:colOff>
      <xdr:row>26</xdr:row>
      <xdr:rowOff>68580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E3BB409-D03D-41B1-8D1D-4ABC875EF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70120" y="4198620"/>
          <a:ext cx="1792057" cy="62484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15240</xdr:colOff>
      <xdr:row>38</xdr:row>
      <xdr:rowOff>60960</xdr:rowOff>
    </xdr:from>
    <xdr:to>
      <xdr:col>3</xdr:col>
      <xdr:colOff>0</xdr:colOff>
      <xdr:row>41</xdr:row>
      <xdr:rowOff>42801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2613E8C-D5C8-4B28-AAF0-A6EF07B5D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" y="7010400"/>
          <a:ext cx="1569720" cy="5304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45720</xdr:colOff>
      <xdr:row>38</xdr:row>
      <xdr:rowOff>121920</xdr:rowOff>
    </xdr:from>
    <xdr:to>
      <xdr:col>9</xdr:col>
      <xdr:colOff>30480</xdr:colOff>
      <xdr:row>41</xdr:row>
      <xdr:rowOff>103761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3C82145-96D5-4195-8F50-C295A7949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00600" y="7071360"/>
          <a:ext cx="1569720" cy="5304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46</xdr:row>
      <xdr:rowOff>53340</xdr:rowOff>
    </xdr:from>
    <xdr:to>
      <xdr:col>3</xdr:col>
      <xdr:colOff>601980</xdr:colOff>
      <xdr:row>49</xdr:row>
      <xdr:rowOff>99271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21FD36B-EA1B-47FB-8837-605F14EBF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465820"/>
          <a:ext cx="2186940" cy="594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15240</xdr:colOff>
      <xdr:row>46</xdr:row>
      <xdr:rowOff>60960</xdr:rowOff>
    </xdr:from>
    <xdr:to>
      <xdr:col>9</xdr:col>
      <xdr:colOff>617220</xdr:colOff>
      <xdr:row>49</xdr:row>
      <xdr:rowOff>106891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E4FA21E-759C-4A19-B932-F71296AC6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70120" y="8473440"/>
          <a:ext cx="2186940" cy="5945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5</xdr:col>
      <xdr:colOff>622058</xdr:colOff>
      <xdr:row>8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87E360-FB3F-48A9-892B-C74B71735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3852938" cy="144779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29</xdr:row>
      <xdr:rowOff>167640</xdr:rowOff>
    </xdr:from>
    <xdr:to>
      <xdr:col>3</xdr:col>
      <xdr:colOff>180971</xdr:colOff>
      <xdr:row>33</xdr:row>
      <xdr:rowOff>67492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FA7F19-E61E-4739-8A1A-0C7AFC759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88280"/>
          <a:ext cx="1796411" cy="631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0</xdr:colOff>
      <xdr:row>29</xdr:row>
      <xdr:rowOff>38100</xdr:rowOff>
    </xdr:from>
    <xdr:to>
      <xdr:col>12</xdr:col>
      <xdr:colOff>180971</xdr:colOff>
      <xdr:row>32</xdr:row>
      <xdr:rowOff>120832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143B63A-56EF-4011-878B-A06B15582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62800" y="5158740"/>
          <a:ext cx="1796411" cy="631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22860</xdr:colOff>
      <xdr:row>43</xdr:row>
      <xdr:rowOff>15240</xdr:rowOff>
    </xdr:from>
    <xdr:to>
      <xdr:col>2</xdr:col>
      <xdr:colOff>789214</xdr:colOff>
      <xdr:row>46</xdr:row>
      <xdr:rowOff>3613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295BCE7-FD72-4595-9E6B-7957F3423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" y="7696200"/>
          <a:ext cx="1574074" cy="53701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60960</xdr:colOff>
      <xdr:row>43</xdr:row>
      <xdr:rowOff>30480</xdr:rowOff>
    </xdr:from>
    <xdr:to>
      <xdr:col>11</xdr:col>
      <xdr:colOff>617219</xdr:colOff>
      <xdr:row>45</xdr:row>
      <xdr:rowOff>130057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D36D1F0-6FEB-439C-8341-4F4309E3A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23760" y="7711440"/>
          <a:ext cx="1363980" cy="4653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50</xdr:row>
      <xdr:rowOff>22860</xdr:rowOff>
    </xdr:from>
    <xdr:to>
      <xdr:col>3</xdr:col>
      <xdr:colOff>575854</xdr:colOff>
      <xdr:row>53</xdr:row>
      <xdr:rowOff>75322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A1C50B4-68B7-4137-B78B-EED8B8CA7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983980"/>
          <a:ext cx="2191294" cy="60110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30480</xdr:colOff>
      <xdr:row>50</xdr:row>
      <xdr:rowOff>0</xdr:rowOff>
    </xdr:from>
    <xdr:to>
      <xdr:col>12</xdr:col>
      <xdr:colOff>606334</xdr:colOff>
      <xdr:row>53</xdr:row>
      <xdr:rowOff>52462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6D6DCE7-757E-4ADB-B424-71B49DB27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93280" y="8961120"/>
          <a:ext cx="2191294" cy="60110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343273</xdr:colOff>
      <xdr:row>10</xdr:row>
      <xdr:rowOff>45867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6385AB2-499C-4658-AC5B-028A48391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05673" cy="16917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22</xdr:row>
      <xdr:rowOff>129540</xdr:rowOff>
    </xdr:from>
    <xdr:to>
      <xdr:col>4</xdr:col>
      <xdr:colOff>198120</xdr:colOff>
      <xdr:row>26</xdr:row>
      <xdr:rowOff>167343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099B43-B30B-427D-8F1F-D107DABC6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70020"/>
          <a:ext cx="2575560" cy="76932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39</xdr:row>
      <xdr:rowOff>175260</xdr:rowOff>
    </xdr:from>
    <xdr:to>
      <xdr:col>3</xdr:col>
      <xdr:colOff>76200</xdr:colOff>
      <xdr:row>43</xdr:row>
      <xdr:rowOff>354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9F5C807-39B8-4C74-8A22-AE5236790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124700"/>
          <a:ext cx="1661160" cy="55661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45</xdr:row>
      <xdr:rowOff>45720</xdr:rowOff>
    </xdr:from>
    <xdr:to>
      <xdr:col>3</xdr:col>
      <xdr:colOff>599162</xdr:colOff>
      <xdr:row>48</xdr:row>
      <xdr:rowOff>87424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E387B19-612E-4B9C-B17E-4873A454F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092440"/>
          <a:ext cx="2184122" cy="59034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9</xdr:col>
      <xdr:colOff>0</xdr:colOff>
      <xdr:row>32</xdr:row>
      <xdr:rowOff>174172</xdr:rowOff>
    </xdr:from>
    <xdr:ext cx="2124659" cy="781791"/>
    <xdr:pic>
      <xdr:nvPicPr>
        <xdr:cNvPr id="8" name="Imagen 7">
          <a:extLst>
            <a:ext uri="{FF2B5EF4-FFF2-40B4-BE49-F238E27FC236}">
              <a16:creationId xmlns:a16="http://schemas.microsoft.com/office/drawing/2014/main" id="{516BC5FF-31C4-49FC-8231-D3C0B49F93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1526" t="19944"/>
        <a:stretch>
          <a:fillRect/>
        </a:stretch>
      </xdr:blipFill>
      <xdr:spPr>
        <a:xfrm>
          <a:off x="791688" y="9615055"/>
          <a:ext cx="2124659" cy="781791"/>
        </a:xfrm>
        <a:prstGeom prst="rect">
          <a:avLst/>
        </a:prstGeom>
        <a:ln>
          <a:prstDash val="solid"/>
        </a:ln>
      </xdr:spPr>
    </xdr:pic>
    <xdr:clientData/>
  </xdr:oneCellAnchor>
  <xdr:twoCellAnchor editAs="oneCell">
    <xdr:from>
      <xdr:col>0</xdr:col>
      <xdr:colOff>661359</xdr:colOff>
      <xdr:row>55</xdr:row>
      <xdr:rowOff>172528</xdr:rowOff>
    </xdr:from>
    <xdr:to>
      <xdr:col>13</xdr:col>
      <xdr:colOff>257924</xdr:colOff>
      <xdr:row>79</xdr:row>
      <xdr:rowOff>144878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4714F8E-B44A-5EAA-0BB5-8225393FD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1359" y="10452339"/>
          <a:ext cx="9876376" cy="44580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0</xdr:rowOff>
    </xdr:from>
    <xdr:to>
      <xdr:col>5</xdr:col>
      <xdr:colOff>617221</xdr:colOff>
      <xdr:row>11</xdr:row>
      <xdr:rowOff>68729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FA4A73-46CA-4477-B0DC-B3B992E6F5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457"/>
        <a:stretch>
          <a:fillRect/>
        </a:stretch>
      </xdr:blipFill>
      <xdr:spPr>
        <a:xfrm>
          <a:off x="1" y="0"/>
          <a:ext cx="3787140" cy="17146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24</xdr:row>
      <xdr:rowOff>30480</xdr:rowOff>
    </xdr:from>
    <xdr:to>
      <xdr:col>4</xdr:col>
      <xdr:colOff>189807</xdr:colOff>
      <xdr:row>28</xdr:row>
      <xdr:rowOff>57199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6F14A5-8BEB-4DEF-A7C5-D39270BEF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53840"/>
          <a:ext cx="2567247" cy="7582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39</xdr:row>
      <xdr:rowOff>83820</xdr:rowOff>
    </xdr:from>
    <xdr:to>
      <xdr:col>3</xdr:col>
      <xdr:colOff>69028</xdr:colOff>
      <xdr:row>42</xdr:row>
      <xdr:rowOff>77451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602D444-F9C5-402F-9418-F06A3ED66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850380"/>
          <a:ext cx="1653988" cy="5422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44</xdr:row>
      <xdr:rowOff>137160</xdr:rowOff>
    </xdr:from>
    <xdr:to>
      <xdr:col>3</xdr:col>
      <xdr:colOff>591990</xdr:colOff>
      <xdr:row>47</xdr:row>
      <xdr:rowOff>168107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18AF696-12F2-4024-816B-7EFAE385A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818120"/>
          <a:ext cx="2176950" cy="5795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53</xdr:row>
      <xdr:rowOff>22860</xdr:rowOff>
    </xdr:from>
    <xdr:to>
      <xdr:col>3</xdr:col>
      <xdr:colOff>534110</xdr:colOff>
      <xdr:row>57</xdr:row>
      <xdr:rowOff>78953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9528620-8C0C-425B-B9A1-BEB2174163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1526" t="19944"/>
        <a:stretch>
          <a:fillRect/>
        </a:stretch>
      </xdr:blipFill>
      <xdr:spPr>
        <a:xfrm>
          <a:off x="0" y="9349740"/>
          <a:ext cx="2119070" cy="78761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206644</xdr:colOff>
      <xdr:row>72</xdr:row>
      <xdr:rowOff>116237</xdr:rowOff>
    </xdr:from>
    <xdr:to>
      <xdr:col>13</xdr:col>
      <xdr:colOff>217538</xdr:colOff>
      <xdr:row>99</xdr:row>
      <xdr:rowOff>119114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6873BD3-6BFC-3B22-AC4F-60D2B4E44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4475" y="13134813"/>
          <a:ext cx="9464860" cy="48848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207818</xdr:colOff>
      <xdr:row>1</xdr:row>
      <xdr:rowOff>0</xdr:rowOff>
    </xdr:from>
    <xdr:to>
      <xdr:col>7</xdr:col>
      <xdr:colOff>342900</xdr:colOff>
      <xdr:row>8</xdr:row>
      <xdr:rowOff>7620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77CCCC-DC59-4ACC-86E5-C0930687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7236" y="180109"/>
          <a:ext cx="4083628" cy="126838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24</xdr:row>
      <xdr:rowOff>22860</xdr:rowOff>
    </xdr:from>
    <xdr:to>
      <xdr:col>3</xdr:col>
      <xdr:colOff>199925</xdr:colOff>
      <xdr:row>27</xdr:row>
      <xdr:rowOff>84716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8562864-0BE7-4B25-B94D-205723D53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29100"/>
          <a:ext cx="1784885" cy="6104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0</xdr:colOff>
      <xdr:row>22</xdr:row>
      <xdr:rowOff>83820</xdr:rowOff>
    </xdr:from>
    <xdr:to>
      <xdr:col>11</xdr:col>
      <xdr:colOff>499723</xdr:colOff>
      <xdr:row>25</xdr:row>
      <xdr:rowOff>77451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E169212-7F7C-42A5-8C3A-21BE96423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" y="7216140"/>
          <a:ext cx="1653988" cy="5422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0</xdr:colOff>
      <xdr:row>27</xdr:row>
      <xdr:rowOff>137160</xdr:rowOff>
    </xdr:from>
    <xdr:to>
      <xdr:col>12</xdr:col>
      <xdr:colOff>227555</xdr:colOff>
      <xdr:row>30</xdr:row>
      <xdr:rowOff>168107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A64A406-25AC-45B7-9E13-041D995DE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" y="8183880"/>
          <a:ext cx="2176950" cy="5795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0</xdr:colOff>
      <xdr:row>36</xdr:row>
      <xdr:rowOff>22860</xdr:rowOff>
    </xdr:from>
    <xdr:to>
      <xdr:col>12</xdr:col>
      <xdr:colOff>169675</xdr:colOff>
      <xdr:row>40</xdr:row>
      <xdr:rowOff>78953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B3BA5B9-4294-4515-B9D1-7CB72E4452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1526" t="19944"/>
        <a:stretch>
          <a:fillRect/>
        </a:stretch>
      </xdr:blipFill>
      <xdr:spPr>
        <a:xfrm>
          <a:off x="792480" y="9715500"/>
          <a:ext cx="2119070" cy="78761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24984</xdr:colOff>
      <xdr:row>53</xdr:row>
      <xdr:rowOff>37475</xdr:rowOff>
    </xdr:from>
    <xdr:to>
      <xdr:col>14</xdr:col>
      <xdr:colOff>274813</xdr:colOff>
      <xdr:row>79</xdr:row>
      <xdr:rowOff>134343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413BE4-3007-7B82-6650-169805F9B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5935" y="9968459"/>
          <a:ext cx="10005927" cy="496867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769620</xdr:colOff>
      <xdr:row>1</xdr:row>
      <xdr:rowOff>7620</xdr:rowOff>
    </xdr:from>
    <xdr:to>
      <xdr:col>8</xdr:col>
      <xdr:colOff>2405</xdr:colOff>
      <xdr:row>14</xdr:row>
      <xdr:rowOff>53340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F0E1F3-519B-4195-95E4-F4189320C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9620" y="190500"/>
          <a:ext cx="5569359" cy="2423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52552</xdr:colOff>
      <xdr:row>44</xdr:row>
      <xdr:rowOff>13138</xdr:rowOff>
    </xdr:from>
    <xdr:to>
      <xdr:col>4</xdr:col>
      <xdr:colOff>137161</xdr:colOff>
      <xdr:row>47</xdr:row>
      <xdr:rowOff>16970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85F2F2-A9BF-4BDE-2806-28ECDD944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9104" y="7370379"/>
          <a:ext cx="1661160" cy="555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0</xdr:colOff>
      <xdr:row>51</xdr:row>
      <xdr:rowOff>131379</xdr:rowOff>
    </xdr:from>
    <xdr:to>
      <xdr:col>4</xdr:col>
      <xdr:colOff>599594</xdr:colOff>
      <xdr:row>54</xdr:row>
      <xdr:rowOff>172041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F06E6E-AE3F-4875-5A05-EF48B4AD4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6552" y="8776138"/>
          <a:ext cx="2176145" cy="59245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10438</xdr:colOff>
      <xdr:row>30</xdr:row>
      <xdr:rowOff>41753</xdr:rowOff>
    </xdr:from>
    <xdr:to>
      <xdr:col>5</xdr:col>
      <xdr:colOff>250520</xdr:colOff>
      <xdr:row>34</xdr:row>
      <xdr:rowOff>20645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17CC7D5-D263-2404-5B1E-F10CC9BC4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7068" y="5855917"/>
          <a:ext cx="2620027" cy="9287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762000</xdr:colOff>
      <xdr:row>21</xdr:row>
      <xdr:rowOff>27214</xdr:rowOff>
    </xdr:from>
    <xdr:to>
      <xdr:col>23</xdr:col>
      <xdr:colOff>729140</xdr:colOff>
      <xdr:row>47</xdr:row>
      <xdr:rowOff>78254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23C1D81-E882-EFAD-8948-EB9098761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54143" y="3932464"/>
          <a:ext cx="10226926" cy="48543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1</xdr:row>
      <xdr:rowOff>45720</xdr:rowOff>
    </xdr:from>
    <xdr:to>
      <xdr:col>5</xdr:col>
      <xdr:colOff>518544</xdr:colOff>
      <xdr:row>15</xdr:row>
      <xdr:rowOff>7839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72BC40-FBAA-B6B0-B065-5422BC89B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228600"/>
          <a:ext cx="4435224" cy="2522439"/>
        </a:xfrm>
        <a:prstGeom prst="rect">
          <a:avLst/>
        </a:prstGeom>
      </xdr:spPr>
    </xdr:pic>
    <xdr:clientData/>
  </xdr:twoCellAnchor>
  <xdr:twoCellAnchor editAs="oneCell">
    <xdr:from>
      <xdr:col>2</xdr:col>
      <xdr:colOff>7470</xdr:colOff>
      <xdr:row>44</xdr:row>
      <xdr:rowOff>104588</xdr:rowOff>
    </xdr:from>
    <xdr:to>
      <xdr:col>4</xdr:col>
      <xdr:colOff>85166</xdr:colOff>
      <xdr:row>47</xdr:row>
      <xdr:rowOff>122468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1A08D6-D19F-443D-B01A-01D5F4E40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1235" y="7821706"/>
          <a:ext cx="1661460" cy="5557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784411</xdr:colOff>
      <xdr:row>50</xdr:row>
      <xdr:rowOff>37354</xdr:rowOff>
    </xdr:from>
    <xdr:to>
      <xdr:col>4</xdr:col>
      <xdr:colOff>585040</xdr:colOff>
      <xdr:row>53</xdr:row>
      <xdr:rowOff>92550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F617A0B-01AC-41B9-A5DD-A244B1AF6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6293" y="8830236"/>
          <a:ext cx="2176276" cy="59307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754529</xdr:colOff>
      <xdr:row>59</xdr:row>
      <xdr:rowOff>149412</xdr:rowOff>
    </xdr:from>
    <xdr:to>
      <xdr:col>4</xdr:col>
      <xdr:colOff>497278</xdr:colOff>
      <xdr:row>64</xdr:row>
      <xdr:rowOff>58542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91CE149-48A9-49D9-9019-F148AC8F13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26" t="19944"/>
        <a:stretch>
          <a:fillRect/>
        </a:stretch>
      </xdr:blipFill>
      <xdr:spPr>
        <a:xfrm>
          <a:off x="1546411" y="10555941"/>
          <a:ext cx="2118396" cy="80560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748145</xdr:colOff>
      <xdr:row>30</xdr:row>
      <xdr:rowOff>41564</xdr:rowOff>
    </xdr:from>
    <xdr:to>
      <xdr:col>5</xdr:col>
      <xdr:colOff>209336</xdr:colOff>
      <xdr:row>35</xdr:row>
      <xdr:rowOff>69802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4F53F64-7E33-4ACC-A769-496D2F9ED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37854" y="5624946"/>
          <a:ext cx="2620027" cy="9287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14</xdr:col>
      <xdr:colOff>313583</xdr:colOff>
      <xdr:row>63</xdr:row>
      <xdr:rowOff>122842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30161CB-111A-E2B0-D030-6E59F9322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33309" y="9005455"/>
          <a:ext cx="5425910" cy="2644369"/>
        </a:xfrm>
        <a:prstGeom prst="rect">
          <a:avLst/>
        </a:prstGeom>
      </xdr:spPr>
    </xdr:pic>
    <xdr:clientData/>
  </xdr:twoCellAnchor>
  <xdr:twoCellAnchor editAs="oneCell">
    <xdr:from>
      <xdr:col>8</xdr:col>
      <xdr:colOff>41564</xdr:colOff>
      <xdr:row>64</xdr:row>
      <xdr:rowOff>41563</xdr:rowOff>
    </xdr:from>
    <xdr:to>
      <xdr:col>14</xdr:col>
      <xdr:colOff>50321</xdr:colOff>
      <xdr:row>91</xdr:row>
      <xdr:rowOff>63461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E4C1FAA-49E9-76C2-AAD2-A43CD954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74873" y="11748654"/>
          <a:ext cx="5121084" cy="4884843"/>
        </a:xfrm>
        <a:prstGeom prst="rect">
          <a:avLst/>
        </a:prstGeom>
      </xdr:spPr>
    </xdr:pic>
    <xdr:clientData/>
  </xdr:twoCellAnchor>
  <xdr:twoCellAnchor editAs="oneCell">
    <xdr:from>
      <xdr:col>10</xdr:col>
      <xdr:colOff>651163</xdr:colOff>
      <xdr:row>96</xdr:row>
      <xdr:rowOff>110836</xdr:rowOff>
    </xdr:from>
    <xdr:to>
      <xdr:col>17</xdr:col>
      <xdr:colOff>343351</xdr:colOff>
      <xdr:row>124</xdr:row>
      <xdr:rowOff>44073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27E22A7-82C9-08C7-68C4-672F35C9A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37963" y="17581418"/>
          <a:ext cx="5220152" cy="4976291"/>
        </a:xfrm>
        <a:prstGeom prst="rect">
          <a:avLst/>
        </a:prstGeom>
      </xdr:spPr>
    </xdr:pic>
    <xdr:clientData/>
  </xdr:twoCellAnchor>
  <xdr:twoCellAnchor editAs="oneCell">
    <xdr:from>
      <xdr:col>3</xdr:col>
      <xdr:colOff>55418</xdr:colOff>
      <xdr:row>96</xdr:row>
      <xdr:rowOff>13853</xdr:rowOff>
    </xdr:from>
    <xdr:to>
      <xdr:col>10</xdr:col>
      <xdr:colOff>382961</xdr:colOff>
      <xdr:row>130</xdr:row>
      <xdr:rowOff>62879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C8A638B-EA77-C20B-EC2C-8FE5B992F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24545" y="17484435"/>
          <a:ext cx="6645216" cy="6172735"/>
        </a:xfrm>
        <a:prstGeom prst="rect">
          <a:avLst/>
        </a:prstGeom>
      </xdr:spPr>
    </xdr:pic>
    <xdr:clientData/>
  </xdr:twoCellAnchor>
  <xdr:twoCellAnchor editAs="oneCell">
    <xdr:from>
      <xdr:col>10</xdr:col>
      <xdr:colOff>609600</xdr:colOff>
      <xdr:row>126</xdr:row>
      <xdr:rowOff>41563</xdr:rowOff>
    </xdr:from>
    <xdr:to>
      <xdr:col>17</xdr:col>
      <xdr:colOff>423719</xdr:colOff>
      <xdr:row>154</xdr:row>
      <xdr:rowOff>104351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5C178FB-6392-137F-9190-BFA500BCA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96400" y="22915418"/>
          <a:ext cx="5342083" cy="510584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1</xdr:row>
      <xdr:rowOff>38100</xdr:rowOff>
    </xdr:from>
    <xdr:to>
      <xdr:col>6</xdr:col>
      <xdr:colOff>808013</xdr:colOff>
      <xdr:row>15</xdr:row>
      <xdr:rowOff>7839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168079-7E20-4DB6-E367-67340C87B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340" y="220980"/>
          <a:ext cx="4816257" cy="2530059"/>
        </a:xfrm>
        <a:prstGeom prst="rect">
          <a:avLst/>
        </a:prstGeom>
      </xdr:spPr>
    </xdr:pic>
    <xdr:clientData/>
  </xdr:twoCellAnchor>
  <xdr:twoCellAnchor editAs="oneCell">
    <xdr:from>
      <xdr:col>15</xdr:col>
      <xdr:colOff>524656</xdr:colOff>
      <xdr:row>47</xdr:row>
      <xdr:rowOff>62459</xdr:rowOff>
    </xdr:from>
    <xdr:to>
      <xdr:col>22</xdr:col>
      <xdr:colOff>693163</xdr:colOff>
      <xdr:row>62</xdr:row>
      <xdr:rowOff>51726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6D6928-09AB-4A57-4BEF-2D1C6E10D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66820" y="9044066"/>
          <a:ext cx="5677392" cy="2987299"/>
        </a:xfrm>
        <a:prstGeom prst="rect">
          <a:avLst/>
        </a:prstGeom>
      </xdr:spPr>
    </xdr:pic>
    <xdr:clientData/>
  </xdr:twoCellAnchor>
  <xdr:twoCellAnchor editAs="oneCell">
    <xdr:from>
      <xdr:col>15</xdr:col>
      <xdr:colOff>399738</xdr:colOff>
      <xdr:row>64</xdr:row>
      <xdr:rowOff>37476</xdr:rowOff>
    </xdr:from>
    <xdr:to>
      <xdr:col>22</xdr:col>
      <xdr:colOff>164350</xdr:colOff>
      <xdr:row>91</xdr:row>
      <xdr:rowOff>15552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49EBBA7-E048-9705-37E5-257D115A6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41902" y="12204492"/>
          <a:ext cx="5273497" cy="5037257"/>
        </a:xfrm>
        <a:prstGeom prst="rect">
          <a:avLst/>
        </a:prstGeom>
      </xdr:spPr>
    </xdr:pic>
    <xdr:clientData/>
  </xdr:twoCellAnchor>
  <xdr:twoCellAnchor editAs="oneCell">
    <xdr:from>
      <xdr:col>1</xdr:col>
      <xdr:colOff>87442</xdr:colOff>
      <xdr:row>32</xdr:row>
      <xdr:rowOff>0</xdr:rowOff>
    </xdr:from>
    <xdr:to>
      <xdr:col>3</xdr:col>
      <xdr:colOff>638372</xdr:colOff>
      <xdr:row>36</xdr:row>
      <xdr:rowOff>24984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8DBB82E-0354-DD51-DD05-5661228E3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4426" y="6170951"/>
          <a:ext cx="2184784" cy="77449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774491</xdr:colOff>
      <xdr:row>31</xdr:row>
      <xdr:rowOff>129789</xdr:rowOff>
    </xdr:from>
    <xdr:to>
      <xdr:col>10</xdr:col>
      <xdr:colOff>367575</xdr:colOff>
      <xdr:row>36</xdr:row>
      <xdr:rowOff>124918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9A634AA-496A-0CEC-32F2-B1029E77D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3376" y="6113363"/>
          <a:ext cx="2534847" cy="93201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2</xdr:col>
      <xdr:colOff>699066</xdr:colOff>
      <xdr:row>49</xdr:row>
      <xdr:rowOff>155471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CEDEE76-A9DF-9D4E-0479-62A647E11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984" y="8981607"/>
          <a:ext cx="1493520" cy="5302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62459</xdr:colOff>
      <xdr:row>47</xdr:row>
      <xdr:rowOff>149901</xdr:rowOff>
    </xdr:from>
    <xdr:to>
      <xdr:col>9</xdr:col>
      <xdr:colOff>761524</xdr:colOff>
      <xdr:row>50</xdr:row>
      <xdr:rowOff>117995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8B202D5-8DB3-79A3-4626-AA91B54B6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58328" y="9131508"/>
          <a:ext cx="1493520" cy="5302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724526</xdr:colOff>
      <xdr:row>53</xdr:row>
      <xdr:rowOff>0</xdr:rowOff>
    </xdr:from>
    <xdr:to>
      <xdr:col>9</xdr:col>
      <xdr:colOff>1253150</xdr:colOff>
      <xdr:row>55</xdr:row>
      <xdr:rowOff>219606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E842DD7-B093-45D8-11C2-1CD108401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33411" y="10105869"/>
          <a:ext cx="2110740" cy="5943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649574</xdr:colOff>
      <xdr:row>52</xdr:row>
      <xdr:rowOff>174885</xdr:rowOff>
    </xdr:from>
    <xdr:to>
      <xdr:col>3</xdr:col>
      <xdr:colOff>339476</xdr:colOff>
      <xdr:row>55</xdr:row>
      <xdr:rowOff>207114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56660F6-8F26-57E9-8849-40C53EE8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9574" y="10093377"/>
          <a:ext cx="2110740" cy="59436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472440</xdr:colOff>
      <xdr:row>1</xdr:row>
      <xdr:rowOff>137160</xdr:rowOff>
    </xdr:from>
    <xdr:to>
      <xdr:col>6</xdr:col>
      <xdr:colOff>709093</xdr:colOff>
      <xdr:row>14</xdr:row>
      <xdr:rowOff>7815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4E2332-87D5-EEB3-E553-A70ECD8C2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" y="320040"/>
          <a:ext cx="4991533" cy="224809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762001</xdr:colOff>
      <xdr:row>40</xdr:row>
      <xdr:rowOff>181970</xdr:rowOff>
    </xdr:from>
    <xdr:to>
      <xdr:col>4</xdr:col>
      <xdr:colOff>549152</xdr:colOff>
      <xdr:row>40</xdr:row>
      <xdr:rowOff>782680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04D01D-D090-6BF3-38E2-830663B3A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8120" y="8438866"/>
          <a:ext cx="2175510" cy="6007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736516</xdr:colOff>
      <xdr:row>38</xdr:row>
      <xdr:rowOff>49074</xdr:rowOff>
    </xdr:from>
    <xdr:to>
      <xdr:col>4</xdr:col>
      <xdr:colOff>671505</xdr:colOff>
      <xdr:row>38</xdr:row>
      <xdr:rowOff>845193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F54FD03-3620-E635-3131-B2152C469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6738" y="7203407"/>
          <a:ext cx="2305656" cy="7961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4</xdr:col>
      <xdr:colOff>188301</xdr:colOff>
      <xdr:row>30</xdr:row>
      <xdr:rowOff>85279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EF2DA14-3BE0-5FED-6091-FA51983EF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2239" y="5095164"/>
          <a:ext cx="1780540" cy="6311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68238</xdr:colOff>
      <xdr:row>45</xdr:row>
      <xdr:rowOff>318447</xdr:rowOff>
    </xdr:from>
    <xdr:to>
      <xdr:col>4</xdr:col>
      <xdr:colOff>600074</xdr:colOff>
      <xdr:row>45</xdr:row>
      <xdr:rowOff>1100132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F8F7FCA-945F-9469-6C13-F497E92A8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11526" t="19944"/>
        <a:stretch>
          <a:fillRect/>
        </a:stretch>
      </xdr:blipFill>
      <xdr:spPr>
        <a:xfrm>
          <a:off x="1660477" y="10304059"/>
          <a:ext cx="2124075" cy="78168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733777</xdr:colOff>
      <xdr:row>27</xdr:row>
      <xdr:rowOff>84667</xdr:rowOff>
    </xdr:from>
    <xdr:to>
      <xdr:col>22</xdr:col>
      <xdr:colOff>392935</xdr:colOff>
      <xdr:row>44</xdr:row>
      <xdr:rowOff>13667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F1CF88D-47B9-32D1-97B2-800479E84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55555" y="5221111"/>
          <a:ext cx="10722269" cy="4656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6:Q55"/>
  <sheetViews>
    <sheetView topLeftCell="A11" zoomScale="62" zoomScaleNormal="115" workbookViewId="0">
      <selection activeCell="P56" sqref="P56"/>
    </sheetView>
  </sheetViews>
  <sheetFormatPr baseColWidth="10" defaultColWidth="8.88671875" defaultRowHeight="14.4"/>
  <cols>
    <col min="10" max="10" width="16.5546875" customWidth="1"/>
    <col min="11" max="11" width="23.5546875" customWidth="1"/>
    <col min="12" max="12" width="14.6640625" customWidth="1"/>
  </cols>
  <sheetData>
    <row r="16" spans="10:11">
      <c r="J16" t="s">
        <v>23</v>
      </c>
      <c r="K16" t="s">
        <v>24</v>
      </c>
    </row>
    <row r="17" spans="2:17">
      <c r="B17" s="2" t="s">
        <v>0</v>
      </c>
      <c r="C17" s="2" t="s">
        <v>1</v>
      </c>
      <c r="D17" s="2" t="s">
        <v>2</v>
      </c>
      <c r="E17" s="3" t="s">
        <v>3</v>
      </c>
      <c r="F17" s="3" t="s">
        <v>4</v>
      </c>
      <c r="G17" s="3" t="s">
        <v>5</v>
      </c>
      <c r="H17" s="2" t="s">
        <v>6</v>
      </c>
      <c r="I17" s="2" t="s">
        <v>7</v>
      </c>
      <c r="J17" s="2" t="s">
        <v>8</v>
      </c>
      <c r="K17" s="2" t="s">
        <v>9</v>
      </c>
      <c r="L17" s="2" t="s">
        <v>31</v>
      </c>
    </row>
    <row r="18" spans="2:17">
      <c r="B18" s="2">
        <v>1</v>
      </c>
      <c r="C18" s="2">
        <v>1</v>
      </c>
      <c r="D18" s="4">
        <v>9</v>
      </c>
      <c r="E18" s="3">
        <f>C18^2</f>
        <v>1</v>
      </c>
      <c r="F18" s="3">
        <f>C18^3</f>
        <v>1</v>
      </c>
      <c r="G18" s="3">
        <f>C18^4</f>
        <v>1</v>
      </c>
      <c r="H18" s="2">
        <f>C18*D18</f>
        <v>9</v>
      </c>
      <c r="I18" s="2">
        <f>E18*D18</f>
        <v>9</v>
      </c>
      <c r="J18" s="2">
        <f>(E54+E55*C18-D18)^2</f>
        <v>3.2399999999998617E-2</v>
      </c>
      <c r="K18" s="2">
        <f>(F42+F43*C18+F44*C18^2-D18)^2</f>
        <v>8.4930612244944775E-2</v>
      </c>
      <c r="L18" s="2">
        <f>(D18-Q32)^2</f>
        <v>14.7456</v>
      </c>
    </row>
    <row r="19" spans="2:17">
      <c r="B19" s="2">
        <v>2</v>
      </c>
      <c r="C19" s="2">
        <v>2</v>
      </c>
      <c r="D19" s="4">
        <v>7.5</v>
      </c>
      <c r="E19" s="3">
        <f t="shared" ref="E19:E22" si="0">C19^2</f>
        <v>4</v>
      </c>
      <c r="F19" s="3">
        <f t="shared" ref="F19:F22" si="1">C19^3</f>
        <v>8</v>
      </c>
      <c r="G19" s="3">
        <f t="shared" ref="G19:G22" si="2">C19^4</f>
        <v>16</v>
      </c>
      <c r="H19" s="2">
        <f t="shared" ref="H19:H22" si="3">C19*D19</f>
        <v>15</v>
      </c>
      <c r="I19" s="2">
        <f t="shared" ref="I19:I22" si="4">E19*D19</f>
        <v>30</v>
      </c>
      <c r="J19" s="2">
        <f>(E54+E55*C19-D19)^2</f>
        <v>0.26009999999999617</v>
      </c>
      <c r="K19" s="2">
        <f>($F$42+$F$43*$C$19+$F$44*C19^2-D19)^2</f>
        <v>0.55608979591820817</v>
      </c>
      <c r="L19" s="2">
        <f>(D19-Q32)^2</f>
        <v>5.4755999999999991</v>
      </c>
    </row>
    <row r="20" spans="2:17">
      <c r="B20" s="2">
        <v>3</v>
      </c>
      <c r="C20" s="2">
        <v>3</v>
      </c>
      <c r="D20" s="4">
        <v>4.2</v>
      </c>
      <c r="E20" s="3">
        <f t="shared" si="0"/>
        <v>9</v>
      </c>
      <c r="F20" s="3">
        <f t="shared" si="1"/>
        <v>27</v>
      </c>
      <c r="G20" s="3">
        <f t="shared" si="2"/>
        <v>81</v>
      </c>
      <c r="H20" s="2">
        <f t="shared" si="3"/>
        <v>12.600000000000001</v>
      </c>
      <c r="I20" s="2">
        <f t="shared" si="4"/>
        <v>37.800000000000004</v>
      </c>
      <c r="J20" s="2">
        <f>(E54+E55*C20-D20)^2</f>
        <v>0.92160000000000508</v>
      </c>
      <c r="K20" s="2">
        <f>($F$42+$F$43*$C$20+$F$44*C20^2-D20)^2</f>
        <v>0.2387020408164427</v>
      </c>
      <c r="L20" s="2">
        <f>(D20-Q32)^2</f>
        <v>0.92159999999999997</v>
      </c>
    </row>
    <row r="21" spans="2:17">
      <c r="B21" s="2">
        <v>4</v>
      </c>
      <c r="C21" s="2">
        <v>4</v>
      </c>
      <c r="D21" s="4">
        <v>3</v>
      </c>
      <c r="E21" s="3">
        <f t="shared" si="0"/>
        <v>16</v>
      </c>
      <c r="F21" s="3">
        <f>C21^3</f>
        <v>64</v>
      </c>
      <c r="G21" s="3">
        <f t="shared" si="2"/>
        <v>256</v>
      </c>
      <c r="H21" s="2">
        <f t="shared" si="3"/>
        <v>12</v>
      </c>
      <c r="I21" s="2">
        <f t="shared" si="4"/>
        <v>48</v>
      </c>
      <c r="J21" s="2">
        <f>(E54+E55*C21-D21)^2</f>
        <v>0.10890000000000122</v>
      </c>
      <c r="K21" s="2">
        <f>($F$42+$F$43*$C$21+$F$44*C21^2-D21)^2</f>
        <v>8.8897959183894589E-3</v>
      </c>
      <c r="L21" s="2">
        <f>(D21-Q32)^2</f>
        <v>4.6656000000000004</v>
      </c>
      <c r="O21" t="s">
        <v>25</v>
      </c>
      <c r="Q21" t="s">
        <v>27</v>
      </c>
    </row>
    <row r="22" spans="2:17">
      <c r="B22" s="2">
        <v>5</v>
      </c>
      <c r="C22" s="2">
        <v>5</v>
      </c>
      <c r="D22" s="4">
        <v>2.1</v>
      </c>
      <c r="E22" s="3">
        <f t="shared" si="0"/>
        <v>25</v>
      </c>
      <c r="F22" s="3">
        <f t="shared" si="1"/>
        <v>125</v>
      </c>
      <c r="G22" s="3">
        <f t="shared" si="2"/>
        <v>625</v>
      </c>
      <c r="H22" s="2">
        <f t="shared" si="3"/>
        <v>10.5</v>
      </c>
      <c r="I22" s="2">
        <f t="shared" si="4"/>
        <v>52.5</v>
      </c>
      <c r="J22" s="2">
        <f>(E54+E55*C22-D22)^2</f>
        <v>0.3600000000000001</v>
      </c>
      <c r="K22" s="2">
        <f>($F$42+$F$43*$C$22+$F$44*C22^2-D22)^2</f>
        <v>1.6530612244871918E-2</v>
      </c>
      <c r="L22" s="2">
        <f>(D22-Q32)^2</f>
        <v>9.3635999999999999</v>
      </c>
      <c r="O22" t="s">
        <v>26</v>
      </c>
      <c r="Q22" t="s">
        <v>28</v>
      </c>
    </row>
    <row r="23" spans="2:17">
      <c r="B23" s="2" t="s">
        <v>10</v>
      </c>
      <c r="C23" s="2">
        <f t="shared" ref="C23:I23" si="5">SUM(C18:C22)</f>
        <v>15</v>
      </c>
      <c r="D23" s="2">
        <f t="shared" si="5"/>
        <v>25.8</v>
      </c>
      <c r="E23" s="2">
        <f t="shared" si="5"/>
        <v>55</v>
      </c>
      <c r="F23" s="2">
        <f t="shared" si="5"/>
        <v>225</v>
      </c>
      <c r="G23" s="2">
        <f t="shared" si="5"/>
        <v>979</v>
      </c>
      <c r="H23" s="2">
        <f t="shared" si="5"/>
        <v>59.1</v>
      </c>
      <c r="I23" s="2">
        <f t="shared" si="5"/>
        <v>177.3</v>
      </c>
      <c r="J23" s="2">
        <f>SUM(J18:J22)</f>
        <v>1.6830000000000009</v>
      </c>
      <c r="K23" s="2">
        <f>SUM(K18:K22)</f>
        <v>0.90514285714285703</v>
      </c>
      <c r="L23" s="2">
        <f>SUM(L18:L22)</f>
        <v>35.172000000000004</v>
      </c>
      <c r="O23">
        <f>J23</f>
        <v>1.6830000000000009</v>
      </c>
      <c r="Q23">
        <f>K23</f>
        <v>0.90514285714285703</v>
      </c>
    </row>
    <row r="26" spans="2:17">
      <c r="B26" t="s">
        <v>11</v>
      </c>
      <c r="I26" t="s">
        <v>21</v>
      </c>
    </row>
    <row r="27" spans="2:17">
      <c r="I27" t="s">
        <v>11</v>
      </c>
    </row>
    <row r="28" spans="2:17">
      <c r="I28" t="s">
        <v>22</v>
      </c>
      <c r="J28">
        <f>F42+F43*(2.5)+F44*(2.5)^2</f>
        <v>5.6625000000001151</v>
      </c>
    </row>
    <row r="30" spans="2:17">
      <c r="I30" t="s">
        <v>21</v>
      </c>
    </row>
    <row r="31" spans="2:17">
      <c r="I31" t="s">
        <v>35</v>
      </c>
    </row>
    <row r="32" spans="2:17">
      <c r="I32" t="s">
        <v>34</v>
      </c>
      <c r="J32">
        <f>E54+E55*(2.5)</f>
        <v>6.0750000000000028</v>
      </c>
      <c r="O32" t="s">
        <v>29</v>
      </c>
      <c r="P32" t="s">
        <v>30</v>
      </c>
      <c r="Q32">
        <f>AVERAGE(D18:D22)</f>
        <v>5.16</v>
      </c>
    </row>
    <row r="34" spans="2:17">
      <c r="O34" t="s">
        <v>32</v>
      </c>
      <c r="P34" t="s">
        <v>30</v>
      </c>
      <c r="Q34">
        <f>(L23-O23)/L23</f>
        <v>0.95214943705220068</v>
      </c>
    </row>
    <row r="35" spans="2:17">
      <c r="I35" s="30" t="s">
        <v>36</v>
      </c>
      <c r="J35" s="30"/>
      <c r="K35" s="30"/>
      <c r="L35" s="30"/>
      <c r="O35" t="s">
        <v>33</v>
      </c>
      <c r="Q35">
        <f>(L23-Q23)/L23</f>
        <v>0.97426524345664578</v>
      </c>
    </row>
    <row r="36" spans="2:17">
      <c r="B36" t="s">
        <v>12</v>
      </c>
      <c r="F36" t="s">
        <v>13</v>
      </c>
      <c r="I36" s="30"/>
      <c r="J36" s="30"/>
      <c r="K36" s="30"/>
      <c r="L36" s="30"/>
    </row>
    <row r="37" spans="2:17">
      <c r="B37" s="5">
        <v>5</v>
      </c>
      <c r="C37" s="5">
        <v>15</v>
      </c>
      <c r="D37" s="5">
        <v>55</v>
      </c>
      <c r="F37" s="9">
        <f>D23</f>
        <v>25.8</v>
      </c>
      <c r="I37" s="30"/>
      <c r="J37" s="30"/>
      <c r="K37" s="30"/>
      <c r="L37" s="30"/>
    </row>
    <row r="38" spans="2:17">
      <c r="B38" s="5">
        <v>15</v>
      </c>
      <c r="C38" s="5">
        <v>55</v>
      </c>
      <c r="D38" s="5">
        <v>225</v>
      </c>
      <c r="F38" s="9">
        <f>H23</f>
        <v>59.1</v>
      </c>
    </row>
    <row r="39" spans="2:17">
      <c r="B39" s="5">
        <v>55</v>
      </c>
      <c r="C39" s="5">
        <v>225</v>
      </c>
      <c r="D39" s="5">
        <v>979</v>
      </c>
      <c r="F39" s="9">
        <f>I23</f>
        <v>177.3</v>
      </c>
    </row>
    <row r="41" spans="2:17">
      <c r="B41" t="s">
        <v>15</v>
      </c>
      <c r="F41" t="s">
        <v>16</v>
      </c>
    </row>
    <row r="42" spans="2:17">
      <c r="B42" s="9" cm="1">
        <f t="array" ref="B42:D44">MINVERSE(B37:D39)</f>
        <v>4.5999999999999268</v>
      </c>
      <c r="C42" s="9">
        <v>-3.299999999999939</v>
      </c>
      <c r="D42" s="9">
        <v>0.49999999999999045</v>
      </c>
      <c r="F42" s="8" cm="1">
        <f t="array" ref="F42:F44">MMULT(_xlfn.ANCHORARRAY(B42),F37:F39)</f>
        <v>12.30000000000004</v>
      </c>
      <c r="G42" s="8" t="s">
        <v>17</v>
      </c>
    </row>
    <row r="43" spans="2:17">
      <c r="B43" s="9">
        <v>-3.2999999999999434</v>
      </c>
      <c r="C43" s="9">
        <v>2.6714285714285255</v>
      </c>
      <c r="D43" s="9">
        <v>-0.42857142857142122</v>
      </c>
      <c r="F43" s="8">
        <v>-3.2442857142856667</v>
      </c>
      <c r="G43" s="8" t="s">
        <v>18</v>
      </c>
    </row>
    <row r="44" spans="2:17">
      <c r="B44" s="9">
        <v>0.49999999999999112</v>
      </c>
      <c r="C44" s="9">
        <v>-0.42857142857142139</v>
      </c>
      <c r="D44" s="9">
        <v>7.1428571428570273E-2</v>
      </c>
      <c r="F44" s="8">
        <v>0.23571428571427866</v>
      </c>
      <c r="G44" s="8" t="s">
        <v>19</v>
      </c>
    </row>
    <row r="47" spans="2:17">
      <c r="B47" t="s">
        <v>20</v>
      </c>
    </row>
    <row r="49" spans="2:6">
      <c r="B49" t="s">
        <v>12</v>
      </c>
      <c r="E49" t="s">
        <v>13</v>
      </c>
    </row>
    <row r="50" spans="2:6">
      <c r="B50" s="6">
        <v>5</v>
      </c>
      <c r="C50" s="6">
        <v>15</v>
      </c>
      <c r="E50" s="2">
        <v>25.8</v>
      </c>
    </row>
    <row r="51" spans="2:6">
      <c r="B51" s="6">
        <v>15</v>
      </c>
      <c r="C51" s="6">
        <v>55</v>
      </c>
      <c r="E51" s="2">
        <v>59.1</v>
      </c>
    </row>
    <row r="53" spans="2:6">
      <c r="B53" t="s">
        <v>14</v>
      </c>
      <c r="E53" t="s">
        <v>16</v>
      </c>
    </row>
    <row r="54" spans="2:6">
      <c r="B54" s="7" cm="1">
        <f t="array" ref="B54:C55">MINVERSE(B50:C51)</f>
        <v>1.1000000000000005</v>
      </c>
      <c r="C54" s="7">
        <v>-0.3000000000000001</v>
      </c>
      <c r="E54" s="2" cm="1">
        <f t="array" ref="E54:E55">MMULT(_xlfn.ANCHORARRAY(B54),E50:E51)</f>
        <v>10.650000000000006</v>
      </c>
      <c r="F54" s="2" t="s">
        <v>17</v>
      </c>
    </row>
    <row r="55" spans="2:6">
      <c r="B55" s="7">
        <v>-0.3000000000000001</v>
      </c>
      <c r="C55" s="7">
        <v>0.10000000000000003</v>
      </c>
      <c r="E55" s="2">
        <v>-1.830000000000001</v>
      </c>
      <c r="F55" s="2" t="s">
        <v>18</v>
      </c>
    </row>
  </sheetData>
  <mergeCells count="1">
    <mergeCell ref="I35:L3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9CCB-2AE5-4CA6-94EE-090CD10D7269}">
  <dimension ref="B9:N53"/>
  <sheetViews>
    <sheetView zoomScale="60" workbookViewId="0">
      <selection activeCell="E10" sqref="E10:G17"/>
    </sheetView>
  </sheetViews>
  <sheetFormatPr baseColWidth="10" defaultRowHeight="14.4"/>
  <sheetData>
    <row r="9" spans="2:13">
      <c r="J9" t="s">
        <v>23</v>
      </c>
      <c r="K9" s="35" t="s">
        <v>24</v>
      </c>
      <c r="L9" s="36"/>
    </row>
    <row r="10" spans="2:13">
      <c r="B10" s="11" t="s">
        <v>49</v>
      </c>
      <c r="C10" s="11" t="s">
        <v>1</v>
      </c>
      <c r="D10" s="11" t="s">
        <v>50</v>
      </c>
      <c r="E10" s="14" t="s">
        <v>3</v>
      </c>
      <c r="F10" s="14" t="s">
        <v>4</v>
      </c>
      <c r="G10" s="14" t="s">
        <v>5</v>
      </c>
      <c r="H10" s="11" t="s">
        <v>6</v>
      </c>
      <c r="I10" s="11" t="s">
        <v>7</v>
      </c>
      <c r="J10" s="11" t="s">
        <v>51</v>
      </c>
      <c r="K10" s="31" t="s">
        <v>52</v>
      </c>
      <c r="L10" s="32"/>
      <c r="M10" s="11" t="s">
        <v>92</v>
      </c>
    </row>
    <row r="11" spans="2:13">
      <c r="B11" s="11">
        <v>1</v>
      </c>
      <c r="C11" s="11">
        <v>50</v>
      </c>
      <c r="D11" s="11">
        <v>31</v>
      </c>
      <c r="E11" s="6">
        <f t="shared" ref="E11:E17" si="0">C11^2</f>
        <v>2500</v>
      </c>
      <c r="F11" s="6">
        <f t="shared" ref="F11:F17" si="1">C11^3</f>
        <v>125000</v>
      </c>
      <c r="G11" s="6">
        <f t="shared" ref="G11:G17" si="2">C11^4</f>
        <v>6250000</v>
      </c>
      <c r="H11" s="2">
        <f t="shared" ref="H11:H17" si="3">C11*D11</f>
        <v>1550</v>
      </c>
      <c r="I11" s="2">
        <f t="shared" ref="I11:I17" si="4">E11*D11</f>
        <v>77500</v>
      </c>
      <c r="J11" s="2">
        <f t="shared" ref="J11:J17" si="5">($E$34+$E$35*C11-D11)^2</f>
        <v>0</v>
      </c>
      <c r="K11" s="31">
        <f t="shared" ref="K11:K17" si="6">($L$34+$L$35*C11+$L$36*E11-D11)^2</f>
        <v>0.69444444300542174</v>
      </c>
      <c r="L11" s="32"/>
      <c r="M11" s="2">
        <f t="shared" ref="M11:M17" si="7">(D11-$C$51)^2</f>
        <v>3969</v>
      </c>
    </row>
    <row r="12" spans="2:13">
      <c r="B12" s="11">
        <v>2</v>
      </c>
      <c r="C12" s="11">
        <v>52</v>
      </c>
      <c r="D12" s="11">
        <v>50</v>
      </c>
      <c r="E12" s="6">
        <f t="shared" si="0"/>
        <v>2704</v>
      </c>
      <c r="F12" s="6">
        <f t="shared" si="1"/>
        <v>140608</v>
      </c>
      <c r="G12" s="6">
        <f t="shared" si="2"/>
        <v>7311616</v>
      </c>
      <c r="H12" s="2">
        <f t="shared" si="3"/>
        <v>2600</v>
      </c>
      <c r="I12" s="2">
        <f t="shared" si="4"/>
        <v>135200</v>
      </c>
      <c r="J12" s="2">
        <f t="shared" si="5"/>
        <v>4</v>
      </c>
      <c r="K12" s="31">
        <f t="shared" si="6"/>
        <v>3.999999996740371</v>
      </c>
      <c r="L12" s="32"/>
      <c r="M12" s="2">
        <f t="shared" si="7"/>
        <v>1936</v>
      </c>
    </row>
    <row r="13" spans="2:13">
      <c r="B13" s="11">
        <v>3</v>
      </c>
      <c r="C13" s="11">
        <v>54</v>
      </c>
      <c r="D13" s="11">
        <v>77</v>
      </c>
      <c r="E13" s="6">
        <f t="shared" si="0"/>
        <v>2916</v>
      </c>
      <c r="F13" s="6">
        <f t="shared" si="1"/>
        <v>157464</v>
      </c>
      <c r="G13" s="6">
        <f t="shared" si="2"/>
        <v>8503056</v>
      </c>
      <c r="H13" s="2">
        <f t="shared" si="3"/>
        <v>4158</v>
      </c>
      <c r="I13" s="2">
        <f t="shared" si="4"/>
        <v>224532</v>
      </c>
      <c r="J13" s="2">
        <f t="shared" si="5"/>
        <v>16</v>
      </c>
      <c r="K13" s="31">
        <f t="shared" si="6"/>
        <v>20.250000007072231</v>
      </c>
      <c r="L13" s="32"/>
      <c r="M13" s="2">
        <f t="shared" si="7"/>
        <v>289</v>
      </c>
    </row>
    <row r="14" spans="2:13">
      <c r="B14" s="11">
        <v>4</v>
      </c>
      <c r="C14" s="11">
        <v>56</v>
      </c>
      <c r="D14" s="11">
        <v>96</v>
      </c>
      <c r="E14" s="6">
        <f t="shared" si="0"/>
        <v>3136</v>
      </c>
      <c r="F14" s="6">
        <f t="shared" si="1"/>
        <v>175616</v>
      </c>
      <c r="G14" s="6">
        <f t="shared" si="2"/>
        <v>9834496</v>
      </c>
      <c r="H14" s="2">
        <f t="shared" si="3"/>
        <v>5376</v>
      </c>
      <c r="I14" s="2">
        <f t="shared" si="4"/>
        <v>301056</v>
      </c>
      <c r="J14" s="2">
        <f t="shared" si="5"/>
        <v>4</v>
      </c>
      <c r="K14" s="31">
        <f t="shared" si="6"/>
        <v>7.1111111152503224</v>
      </c>
      <c r="L14" s="32"/>
      <c r="M14" s="2">
        <f t="shared" si="7"/>
        <v>4</v>
      </c>
    </row>
    <row r="15" spans="2:13">
      <c r="B15" s="11">
        <v>5</v>
      </c>
      <c r="C15" s="11">
        <v>58</v>
      </c>
      <c r="D15" s="11">
        <v>112</v>
      </c>
      <c r="E15" s="6">
        <f t="shared" si="0"/>
        <v>3364</v>
      </c>
      <c r="F15" s="6">
        <f t="shared" si="1"/>
        <v>195112</v>
      </c>
      <c r="G15" s="6">
        <f t="shared" si="2"/>
        <v>11316496</v>
      </c>
      <c r="H15" s="2">
        <f t="shared" si="3"/>
        <v>6496</v>
      </c>
      <c r="I15" s="2">
        <f t="shared" si="4"/>
        <v>376768</v>
      </c>
      <c r="J15" s="2">
        <f t="shared" si="5"/>
        <v>9</v>
      </c>
      <c r="K15" s="31">
        <f t="shared" si="6"/>
        <v>6.2499999960709829</v>
      </c>
      <c r="L15" s="32"/>
      <c r="M15" s="2">
        <f t="shared" si="7"/>
        <v>324</v>
      </c>
    </row>
    <row r="16" spans="2:13">
      <c r="B16" s="11">
        <v>6</v>
      </c>
      <c r="C16" s="11">
        <v>60</v>
      </c>
      <c r="D16" s="11">
        <v>130</v>
      </c>
      <c r="E16" s="6">
        <f t="shared" si="0"/>
        <v>3600</v>
      </c>
      <c r="F16" s="6">
        <f t="shared" si="1"/>
        <v>216000</v>
      </c>
      <c r="G16" s="6">
        <f t="shared" si="2"/>
        <v>12960000</v>
      </c>
      <c r="H16" s="2">
        <f t="shared" si="3"/>
        <v>7800</v>
      </c>
      <c r="I16" s="2">
        <f t="shared" si="4"/>
        <v>468000</v>
      </c>
      <c r="J16" s="2">
        <f t="shared" si="5"/>
        <v>36</v>
      </c>
      <c r="K16" s="31">
        <f t="shared" si="6"/>
        <v>35.999999990221113</v>
      </c>
      <c r="L16" s="32"/>
      <c r="M16" s="2">
        <f t="shared" si="7"/>
        <v>1296</v>
      </c>
    </row>
    <row r="17" spans="2:13">
      <c r="B17" s="11">
        <v>7</v>
      </c>
      <c r="C17" s="11">
        <v>62</v>
      </c>
      <c r="D17" s="11">
        <v>162</v>
      </c>
      <c r="E17" s="6">
        <f t="shared" si="0"/>
        <v>3844</v>
      </c>
      <c r="F17" s="6">
        <f t="shared" si="1"/>
        <v>238328</v>
      </c>
      <c r="G17" s="6">
        <f t="shared" si="2"/>
        <v>14776336</v>
      </c>
      <c r="H17" s="2">
        <f t="shared" si="3"/>
        <v>10044</v>
      </c>
      <c r="I17" s="2">
        <f t="shared" si="4"/>
        <v>622728</v>
      </c>
      <c r="J17" s="2">
        <f t="shared" si="5"/>
        <v>25</v>
      </c>
      <c r="K17" s="31">
        <f t="shared" si="6"/>
        <v>17.361111118306226</v>
      </c>
      <c r="L17" s="32"/>
      <c r="M17" s="2">
        <f t="shared" si="7"/>
        <v>4624</v>
      </c>
    </row>
    <row r="18" spans="2:13">
      <c r="B18" s="2" t="s">
        <v>53</v>
      </c>
      <c r="C18" s="15">
        <f t="shared" ref="C18:K18" si="8">SUM(C11:C17)</f>
        <v>392</v>
      </c>
      <c r="D18" s="15">
        <f t="shared" si="8"/>
        <v>658</v>
      </c>
      <c r="E18" s="15">
        <f t="shared" si="8"/>
        <v>22064</v>
      </c>
      <c r="F18" s="15">
        <f t="shared" si="8"/>
        <v>1248128</v>
      </c>
      <c r="G18" s="15">
        <f t="shared" si="8"/>
        <v>70952000</v>
      </c>
      <c r="H18" s="15">
        <f t="shared" si="8"/>
        <v>38024</v>
      </c>
      <c r="I18" s="15">
        <f t="shared" si="8"/>
        <v>2205784</v>
      </c>
      <c r="J18" s="15">
        <f t="shared" si="8"/>
        <v>94</v>
      </c>
      <c r="K18" s="33">
        <f t="shared" si="8"/>
        <v>91.666666666666671</v>
      </c>
      <c r="L18" s="34"/>
      <c r="M18" s="18">
        <f>SUM(M11:M17)</f>
        <v>12442</v>
      </c>
    </row>
    <row r="20" spans="2:13">
      <c r="C20" s="35" t="s">
        <v>47</v>
      </c>
      <c r="D20" s="36"/>
      <c r="E20" s="36"/>
    </row>
    <row r="21" spans="2:13">
      <c r="C21" s="1"/>
      <c r="D21" s="1"/>
      <c r="E21" s="1"/>
    </row>
    <row r="22" spans="2:13">
      <c r="B22" s="10" t="s">
        <v>37</v>
      </c>
      <c r="H22" s="10" t="s">
        <v>38</v>
      </c>
    </row>
    <row r="23" spans="2:13">
      <c r="B23" t="s">
        <v>39</v>
      </c>
      <c r="H23" t="s">
        <v>40</v>
      </c>
    </row>
    <row r="28" spans="2:13">
      <c r="B28" t="s">
        <v>12</v>
      </c>
      <c r="E28" t="s">
        <v>13</v>
      </c>
      <c r="H28" t="s">
        <v>12</v>
      </c>
      <c r="L28" t="s">
        <v>13</v>
      </c>
    </row>
    <row r="29" spans="2:13">
      <c r="B29" s="11">
        <v>7</v>
      </c>
      <c r="C29" s="11">
        <f>C18</f>
        <v>392</v>
      </c>
      <c r="D29" s="1"/>
      <c r="E29" s="11">
        <f>D18</f>
        <v>658</v>
      </c>
      <c r="H29" s="11">
        <f>7</f>
        <v>7</v>
      </c>
      <c r="I29" s="11">
        <f>C18</f>
        <v>392</v>
      </c>
      <c r="J29" s="11">
        <f>E18</f>
        <v>22064</v>
      </c>
      <c r="L29" s="11">
        <f>D18</f>
        <v>658</v>
      </c>
    </row>
    <row r="30" spans="2:13">
      <c r="B30" s="11">
        <f>C18</f>
        <v>392</v>
      </c>
      <c r="C30" s="11">
        <f>E18</f>
        <v>22064</v>
      </c>
      <c r="D30" s="1"/>
      <c r="E30" s="11">
        <f>H18</f>
        <v>38024</v>
      </c>
      <c r="H30" s="11">
        <f>C18</f>
        <v>392</v>
      </c>
      <c r="I30" s="11">
        <f>E18</f>
        <v>22064</v>
      </c>
      <c r="J30" s="11">
        <f>F18</f>
        <v>1248128</v>
      </c>
      <c r="L30" s="11">
        <f>H18</f>
        <v>38024</v>
      </c>
    </row>
    <row r="31" spans="2:13">
      <c r="H31" s="11">
        <f>E18</f>
        <v>22064</v>
      </c>
      <c r="I31" s="11">
        <f>F18</f>
        <v>1248128</v>
      </c>
      <c r="J31" s="11">
        <f>G18</f>
        <v>70952000</v>
      </c>
      <c r="L31" s="11">
        <f>I18</f>
        <v>2205784</v>
      </c>
    </row>
    <row r="32" spans="2:13">
      <c r="H32" s="1"/>
      <c r="I32" s="1"/>
      <c r="J32" s="1"/>
      <c r="L32" s="1"/>
    </row>
    <row r="33" spans="2:14">
      <c r="B33" t="s">
        <v>41</v>
      </c>
      <c r="E33" t="s">
        <v>16</v>
      </c>
      <c r="H33" t="s">
        <v>41</v>
      </c>
      <c r="L33" t="s">
        <v>16</v>
      </c>
    </row>
    <row r="34" spans="2:14">
      <c r="B34" s="11">
        <f t="array" ref="B34:C35">MINVERSE(B29:C30)</f>
        <v>28.142857142857142</v>
      </c>
      <c r="C34" s="11">
        <v>-0.5</v>
      </c>
      <c r="D34" s="1"/>
      <c r="E34" s="11">
        <f t="array" ref="E34:E35">MMULT(B34:C35,E29:E30)</f>
        <v>-494</v>
      </c>
      <c r="F34" s="11" t="s">
        <v>17</v>
      </c>
      <c r="H34" s="11">
        <f t="array" ref="H34:J36">MINVERSE(H29:J31)</f>
        <v>7271.0000001323879</v>
      </c>
      <c r="I34" s="11">
        <v>-260.5000000047437</v>
      </c>
      <c r="J34" s="11">
        <v>2.3214285714708489</v>
      </c>
      <c r="L34" s="11">
        <f t="array" ref="L34:L36">MMULT(H34:J36,L29:L31)</f>
        <v>-364.0000000083819</v>
      </c>
      <c r="M34" s="11" t="s">
        <v>17</v>
      </c>
    </row>
    <row r="35" spans="2:14">
      <c r="B35" s="11">
        <v>-0.5</v>
      </c>
      <c r="C35" s="11">
        <v>8.9285714285714281E-3</v>
      </c>
      <c r="D35" s="1"/>
      <c r="E35" s="11">
        <v>10.5</v>
      </c>
      <c r="F35" s="11" t="s">
        <v>18</v>
      </c>
      <c r="H35" s="11">
        <v>-260.50000000474824</v>
      </c>
      <c r="I35" s="11">
        <v>9.3422619049320446</v>
      </c>
      <c r="J35" s="11">
        <v>-8.3333333334849699E-2</v>
      </c>
      <c r="L35" s="11">
        <v>5.8333333336049691</v>
      </c>
      <c r="M35" s="11" t="s">
        <v>18</v>
      </c>
    </row>
    <row r="36" spans="2:14">
      <c r="H36" s="11">
        <v>2.3214285714709297</v>
      </c>
      <c r="I36" s="11">
        <v>-8.3333333334851128E-2</v>
      </c>
      <c r="J36" s="11">
        <v>7.4404761906114649E-4</v>
      </c>
      <c r="L36" s="11">
        <v>4.1666666664241347E-2</v>
      </c>
      <c r="M36" s="11" t="s">
        <v>19</v>
      </c>
    </row>
    <row r="38" spans="2:14">
      <c r="B38" s="10" t="s">
        <v>48</v>
      </c>
      <c r="H38" s="10" t="s">
        <v>48</v>
      </c>
    </row>
    <row r="40" spans="2:14">
      <c r="L40" s="37" t="s">
        <v>93</v>
      </c>
      <c r="M40" s="37"/>
      <c r="N40" s="37"/>
    </row>
    <row r="41" spans="2:14">
      <c r="L41" s="37"/>
      <c r="M41" s="37"/>
      <c r="N41" s="37"/>
    </row>
    <row r="42" spans="2:14">
      <c r="L42" s="37"/>
      <c r="M42" s="37"/>
      <c r="N42" s="37"/>
    </row>
    <row r="43" spans="2:14">
      <c r="B43" t="s">
        <v>42</v>
      </c>
      <c r="C43" s="17">
        <f>J18</f>
        <v>94</v>
      </c>
      <c r="H43" t="s">
        <v>43</v>
      </c>
      <c r="I43" s="17">
        <f>K18</f>
        <v>91.666666666666671</v>
      </c>
    </row>
    <row r="46" spans="2:14">
      <c r="B46" s="10" t="s">
        <v>44</v>
      </c>
      <c r="H46" s="10" t="s">
        <v>44</v>
      </c>
    </row>
    <row r="51" spans="2:9">
      <c r="B51" t="s">
        <v>45</v>
      </c>
      <c r="C51">
        <f>AVERAGE(D11:D17)</f>
        <v>94</v>
      </c>
      <c r="H51" t="s">
        <v>29</v>
      </c>
      <c r="I51">
        <f>AVERAGE(D11:D17)</f>
        <v>94</v>
      </c>
    </row>
    <row r="53" spans="2:9">
      <c r="B53" t="s">
        <v>46</v>
      </c>
      <c r="C53">
        <f>(M18-C43)/M18</f>
        <v>0.99244494454267806</v>
      </c>
      <c r="H53" t="s">
        <v>46</v>
      </c>
      <c r="I53">
        <f>(M18-I43)/M18</f>
        <v>0.99263248138027116</v>
      </c>
    </row>
  </sheetData>
  <mergeCells count="12">
    <mergeCell ref="L40:N42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C20:E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A1D2-7DD0-494C-B33C-8B078D10632E}">
  <dimension ref="A4:R69"/>
  <sheetViews>
    <sheetView tabSelected="1" zoomScale="63" zoomScaleNormal="93" workbookViewId="0">
      <selection activeCell="F32" sqref="F32"/>
    </sheetView>
  </sheetViews>
  <sheetFormatPr baseColWidth="10" defaultRowHeight="14.4"/>
  <cols>
    <col min="2" max="6" width="11.6640625" bestFit="1" customWidth="1"/>
    <col min="7" max="7" width="13.6640625" bestFit="1" customWidth="1"/>
    <col min="8" max="8" width="11.6640625" bestFit="1" customWidth="1"/>
    <col min="11" max="17" width="11.6640625" bestFit="1" customWidth="1"/>
  </cols>
  <sheetData>
    <row r="4" spans="1:18">
      <c r="K4" t="s">
        <v>54</v>
      </c>
    </row>
    <row r="7" spans="1:18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>
      <c r="A10" s="19"/>
      <c r="B10" t="s">
        <v>94</v>
      </c>
      <c r="C10" s="19"/>
      <c r="D10" s="19"/>
      <c r="E10" s="19" t="s">
        <v>55</v>
      </c>
      <c r="F10" s="19"/>
      <c r="G10" s="19"/>
      <c r="H10" s="19"/>
      <c r="I10" s="19"/>
      <c r="J10" s="19"/>
      <c r="K10" s="19" t="s">
        <v>95</v>
      </c>
      <c r="L10" s="19"/>
      <c r="M10" s="19"/>
      <c r="N10" s="19" t="s">
        <v>56</v>
      </c>
      <c r="O10" s="19"/>
      <c r="P10" s="19"/>
      <c r="Q10" s="19"/>
      <c r="R10" s="19"/>
    </row>
    <row r="11" spans="1:18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>
      <c r="A12" s="19"/>
      <c r="B12" s="20" t="s">
        <v>57</v>
      </c>
      <c r="C12" s="20" t="s">
        <v>58</v>
      </c>
      <c r="D12" s="20" t="s">
        <v>59</v>
      </c>
      <c r="E12" s="20"/>
      <c r="F12" s="19"/>
      <c r="G12" s="19" t="s">
        <v>23</v>
      </c>
      <c r="H12" s="19"/>
      <c r="I12" s="19"/>
      <c r="J12" s="19"/>
      <c r="K12" s="21" t="s">
        <v>60</v>
      </c>
      <c r="L12" s="19" t="s">
        <v>61</v>
      </c>
      <c r="M12" s="19" t="s">
        <v>62</v>
      </c>
      <c r="N12" s="19"/>
      <c r="O12" s="19"/>
      <c r="P12" s="19" t="s">
        <v>23</v>
      </c>
      <c r="Q12" s="19"/>
      <c r="R12" s="19"/>
    </row>
    <row r="13" spans="1:18">
      <c r="A13" s="19"/>
      <c r="B13" s="16" t="s">
        <v>49</v>
      </c>
      <c r="C13" s="16" t="s">
        <v>1</v>
      </c>
      <c r="D13" s="22" t="s">
        <v>50</v>
      </c>
      <c r="E13" s="23" t="s">
        <v>3</v>
      </c>
      <c r="F13" s="16" t="s">
        <v>6</v>
      </c>
      <c r="G13" s="16" t="s">
        <v>63</v>
      </c>
      <c r="H13" s="16" t="s">
        <v>64</v>
      </c>
      <c r="I13" s="20"/>
      <c r="J13" s="19"/>
      <c r="K13" s="24" t="s">
        <v>49</v>
      </c>
      <c r="L13" s="16" t="s">
        <v>1</v>
      </c>
      <c r="M13" s="16" t="s">
        <v>50</v>
      </c>
      <c r="N13" s="16" t="s">
        <v>3</v>
      </c>
      <c r="O13" s="16" t="s">
        <v>6</v>
      </c>
      <c r="P13" s="16" t="s">
        <v>63</v>
      </c>
      <c r="Q13" s="16" t="s">
        <v>64</v>
      </c>
      <c r="R13" s="19"/>
    </row>
    <row r="14" spans="1:18">
      <c r="A14" s="19"/>
      <c r="B14" s="16">
        <v>1</v>
      </c>
      <c r="C14" s="16">
        <v>6</v>
      </c>
      <c r="D14" s="22">
        <v>6.5</v>
      </c>
      <c r="E14" s="18">
        <f t="shared" ref="E14:E23" si="0">C14^2</f>
        <v>36</v>
      </c>
      <c r="F14" s="15">
        <f t="shared" ref="F14:F23" si="1">C14*D14</f>
        <v>39</v>
      </c>
      <c r="G14" s="15">
        <f t="shared" ref="G14:G23" si="2">($E$40+$E$41*C14-D14)^2</f>
        <v>1.865321574820503E-5</v>
      </c>
      <c r="H14" s="15">
        <f t="shared" ref="H14:H23" si="3">(D14-$C$55)^2</f>
        <v>4.000000000000007E-2</v>
      </c>
      <c r="I14" s="19"/>
      <c r="J14" s="19"/>
      <c r="K14" s="16">
        <v>1</v>
      </c>
      <c r="L14" s="16">
        <v>6.5</v>
      </c>
      <c r="M14" s="16">
        <v>6</v>
      </c>
      <c r="N14" s="16">
        <f t="shared" ref="N14:N23" si="4">L14^2</f>
        <v>42.25</v>
      </c>
      <c r="O14" s="16">
        <f t="shared" ref="O14:O23" si="5">L14*M14</f>
        <v>39</v>
      </c>
      <c r="P14" s="15">
        <f t="shared" ref="P14:P23" si="6">($N$40+$N$41*L14-M14)^2</f>
        <v>1.7833500730455019E-3</v>
      </c>
      <c r="Q14" s="15">
        <f t="shared" ref="Q14:Q23" si="7">(M14-$L$55)^2</f>
        <v>6.25E-2</v>
      </c>
      <c r="R14" s="19"/>
    </row>
    <row r="15" spans="1:18">
      <c r="A15" s="19"/>
      <c r="B15" s="16">
        <v>2</v>
      </c>
      <c r="C15" s="16">
        <v>4</v>
      </c>
      <c r="D15" s="22">
        <v>4.5</v>
      </c>
      <c r="E15" s="18">
        <f t="shared" si="0"/>
        <v>16</v>
      </c>
      <c r="F15" s="15">
        <f t="shared" si="1"/>
        <v>18</v>
      </c>
      <c r="G15" s="15">
        <f t="shared" si="2"/>
        <v>0.13672796106003438</v>
      </c>
      <c r="H15" s="15">
        <f t="shared" si="3"/>
        <v>3.2399999999999993</v>
      </c>
      <c r="I15" s="19"/>
      <c r="J15" s="19"/>
      <c r="K15" s="16">
        <v>2</v>
      </c>
      <c r="L15" s="16">
        <v>4.5</v>
      </c>
      <c r="M15" s="16">
        <v>4</v>
      </c>
      <c r="N15" s="16">
        <f t="shared" si="4"/>
        <v>20.25</v>
      </c>
      <c r="O15" s="16">
        <f t="shared" si="5"/>
        <v>18</v>
      </c>
      <c r="P15" s="15">
        <f t="shared" si="6"/>
        <v>1.4383788349159125E-2</v>
      </c>
      <c r="Q15" s="15">
        <f t="shared" si="7"/>
        <v>3.0625</v>
      </c>
      <c r="R15" s="19"/>
    </row>
    <row r="16" spans="1:18">
      <c r="A16" s="19"/>
      <c r="B16" s="16">
        <v>3</v>
      </c>
      <c r="C16" s="16">
        <v>8</v>
      </c>
      <c r="D16" s="22">
        <v>7</v>
      </c>
      <c r="E16" s="18">
        <f t="shared" si="0"/>
        <v>64</v>
      </c>
      <c r="F16" s="15">
        <f t="shared" si="1"/>
        <v>56</v>
      </c>
      <c r="G16" s="15">
        <f t="shared" si="2"/>
        <v>1.2970258606417271</v>
      </c>
      <c r="H16" s="15">
        <f t="shared" si="3"/>
        <v>0.49000000000000027</v>
      </c>
      <c r="I16" s="19"/>
      <c r="J16" s="19"/>
      <c r="K16" s="16">
        <v>3</v>
      </c>
      <c r="L16" s="16">
        <v>7</v>
      </c>
      <c r="M16" s="16">
        <v>8</v>
      </c>
      <c r="N16" s="16">
        <f t="shared" si="4"/>
        <v>49</v>
      </c>
      <c r="O16" s="16">
        <f t="shared" si="5"/>
        <v>56</v>
      </c>
      <c r="P16" s="15">
        <f t="shared" si="6"/>
        <v>2.3189321870434418</v>
      </c>
      <c r="Q16" s="15">
        <f t="shared" si="7"/>
        <v>5.0625</v>
      </c>
      <c r="R16" s="19"/>
    </row>
    <row r="17" spans="1:18">
      <c r="A17" s="19"/>
      <c r="B17" s="16">
        <v>4</v>
      </c>
      <c r="C17" s="16">
        <v>5</v>
      </c>
      <c r="D17" s="22">
        <v>5</v>
      </c>
      <c r="E17" s="18">
        <f t="shared" si="0"/>
        <v>25</v>
      </c>
      <c r="F17" s="15">
        <f t="shared" si="1"/>
        <v>25</v>
      </c>
      <c r="G17" s="15">
        <f t="shared" si="2"/>
        <v>0.47202834405801714</v>
      </c>
      <c r="H17" s="15">
        <f t="shared" si="3"/>
        <v>1.6899999999999995</v>
      </c>
      <c r="I17" s="19"/>
      <c r="J17" s="19"/>
      <c r="K17" s="16">
        <v>4</v>
      </c>
      <c r="L17" s="16">
        <v>5</v>
      </c>
      <c r="M17" s="16">
        <v>5</v>
      </c>
      <c r="N17" s="16">
        <f t="shared" si="4"/>
        <v>25</v>
      </c>
      <c r="O17" s="16">
        <f t="shared" si="5"/>
        <v>25</v>
      </c>
      <c r="P17" s="15">
        <f t="shared" si="6"/>
        <v>0.36060836491051362</v>
      </c>
      <c r="Q17" s="15">
        <f t="shared" si="7"/>
        <v>0.5625</v>
      </c>
      <c r="R17" s="19"/>
    </row>
    <row r="18" spans="1:18">
      <c r="A18" s="19"/>
      <c r="B18" s="16">
        <v>5</v>
      </c>
      <c r="C18" s="16">
        <v>3.5</v>
      </c>
      <c r="D18" s="22">
        <v>4</v>
      </c>
      <c r="E18" s="18">
        <f t="shared" si="0"/>
        <v>12.25</v>
      </c>
      <c r="F18" s="15">
        <f t="shared" si="1"/>
        <v>14</v>
      </c>
      <c r="G18" s="15">
        <f t="shared" si="2"/>
        <v>0.2126404785819162</v>
      </c>
      <c r="H18" s="15">
        <f t="shared" si="3"/>
        <v>5.2899999999999991</v>
      </c>
      <c r="I18" s="19"/>
      <c r="J18" s="19"/>
      <c r="K18" s="16">
        <v>5</v>
      </c>
      <c r="L18" s="16">
        <v>4</v>
      </c>
      <c r="M18" s="16">
        <v>3.5</v>
      </c>
      <c r="N18" s="16">
        <f t="shared" si="4"/>
        <v>16</v>
      </c>
      <c r="O18" s="16">
        <f t="shared" si="5"/>
        <v>14</v>
      </c>
      <c r="P18" s="15">
        <f t="shared" si="6"/>
        <v>1.9420682295470344E-2</v>
      </c>
      <c r="Q18" s="15">
        <f t="shared" si="7"/>
        <v>5.0625</v>
      </c>
      <c r="R18" s="19"/>
    </row>
    <row r="19" spans="1:18">
      <c r="A19" s="19"/>
      <c r="B19" s="16">
        <v>6</v>
      </c>
      <c r="C19" s="16">
        <v>7</v>
      </c>
      <c r="D19" s="22">
        <v>8</v>
      </c>
      <c r="E19" s="18">
        <f t="shared" si="0"/>
        <v>49</v>
      </c>
      <c r="F19" s="15">
        <f t="shared" si="1"/>
        <v>56</v>
      </c>
      <c r="G19" s="15">
        <f t="shared" si="2"/>
        <v>0.46023377225416301</v>
      </c>
      <c r="H19" s="15">
        <f t="shared" si="3"/>
        <v>2.8900000000000006</v>
      </c>
      <c r="I19" s="19"/>
      <c r="J19" s="19"/>
      <c r="K19" s="16">
        <v>6</v>
      </c>
      <c r="L19" s="16">
        <v>8</v>
      </c>
      <c r="M19" s="16">
        <v>7</v>
      </c>
      <c r="N19" s="16">
        <f t="shared" si="4"/>
        <v>64</v>
      </c>
      <c r="O19" s="16">
        <f t="shared" si="5"/>
        <v>56</v>
      </c>
      <c r="P19" s="15">
        <f t="shared" si="6"/>
        <v>0.26630481304785347</v>
      </c>
      <c r="Q19" s="15">
        <f t="shared" si="7"/>
        <v>1.5625</v>
      </c>
      <c r="R19" s="19"/>
    </row>
    <row r="20" spans="1:18">
      <c r="A20" s="19"/>
      <c r="B20" s="16">
        <v>7</v>
      </c>
      <c r="C20" s="16">
        <v>5</v>
      </c>
      <c r="D20" s="22">
        <v>7</v>
      </c>
      <c r="E20" s="18">
        <f t="shared" si="0"/>
        <v>25</v>
      </c>
      <c r="F20" s="15">
        <f t="shared" si="1"/>
        <v>35</v>
      </c>
      <c r="G20" s="15">
        <f t="shared" si="2"/>
        <v>1.7238555865829208</v>
      </c>
      <c r="H20" s="15">
        <f t="shared" si="3"/>
        <v>0.49000000000000027</v>
      </c>
      <c r="I20" s="19"/>
      <c r="J20" s="19"/>
      <c r="K20" s="16">
        <v>7</v>
      </c>
      <c r="L20" s="16">
        <v>7</v>
      </c>
      <c r="M20" s="16">
        <v>5</v>
      </c>
      <c r="N20" s="16">
        <f t="shared" si="4"/>
        <v>49</v>
      </c>
      <c r="O20" s="16">
        <f t="shared" si="5"/>
        <v>35</v>
      </c>
      <c r="P20" s="15">
        <f t="shared" si="6"/>
        <v>2.1821078627191581</v>
      </c>
      <c r="Q20" s="15">
        <f t="shared" si="7"/>
        <v>0.5625</v>
      </c>
      <c r="R20" s="19"/>
    </row>
    <row r="21" spans="1:18">
      <c r="A21" s="19"/>
      <c r="B21" s="16">
        <v>8</v>
      </c>
      <c r="C21" s="16">
        <v>10</v>
      </c>
      <c r="D21" s="22">
        <v>10</v>
      </c>
      <c r="E21" s="18">
        <f t="shared" si="0"/>
        <v>100</v>
      </c>
      <c r="F21" s="15">
        <f t="shared" si="1"/>
        <v>100</v>
      </c>
      <c r="G21" s="15">
        <f t="shared" si="2"/>
        <v>5.1337623205038825E-2</v>
      </c>
      <c r="H21" s="15">
        <f t="shared" si="3"/>
        <v>13.690000000000001</v>
      </c>
      <c r="I21" s="19"/>
      <c r="J21" s="19"/>
      <c r="K21" s="16">
        <v>8</v>
      </c>
      <c r="L21" s="16">
        <v>10</v>
      </c>
      <c r="M21" s="16">
        <v>10</v>
      </c>
      <c r="N21" s="16">
        <f t="shared" si="4"/>
        <v>100</v>
      </c>
      <c r="O21" s="16">
        <f t="shared" si="5"/>
        <v>100</v>
      </c>
      <c r="P21" s="15">
        <f t="shared" si="6"/>
        <v>0.16503906249999134</v>
      </c>
      <c r="Q21" s="15">
        <f t="shared" si="7"/>
        <v>18.0625</v>
      </c>
      <c r="R21" s="19"/>
    </row>
    <row r="22" spans="1:18">
      <c r="A22" s="19"/>
      <c r="B22" s="16">
        <v>9</v>
      </c>
      <c r="C22" s="16">
        <v>5</v>
      </c>
      <c r="D22" s="22">
        <v>6</v>
      </c>
      <c r="E22" s="18">
        <f t="shared" si="0"/>
        <v>25</v>
      </c>
      <c r="F22" s="15">
        <f t="shared" si="1"/>
        <v>30</v>
      </c>
      <c r="G22" s="15">
        <f t="shared" si="2"/>
        <v>9.7941965320469004E-2</v>
      </c>
      <c r="H22" s="15">
        <f t="shared" si="3"/>
        <v>8.99999999999999E-2</v>
      </c>
      <c r="I22" s="19"/>
      <c r="J22" s="19"/>
      <c r="K22" s="16">
        <v>9</v>
      </c>
      <c r="L22" s="16">
        <v>6</v>
      </c>
      <c r="M22" s="16">
        <v>5</v>
      </c>
      <c r="N22" s="16">
        <f t="shared" si="4"/>
        <v>36</v>
      </c>
      <c r="O22" s="16">
        <f t="shared" si="5"/>
        <v>30</v>
      </c>
      <c r="P22" s="15">
        <f t="shared" si="6"/>
        <v>0.1921459836103043</v>
      </c>
      <c r="Q22" s="15">
        <f t="shared" si="7"/>
        <v>0.5625</v>
      </c>
      <c r="R22" s="19"/>
    </row>
    <row r="23" spans="1:18">
      <c r="A23" s="19"/>
      <c r="B23" s="16">
        <v>10</v>
      </c>
      <c r="C23" s="16">
        <v>4</v>
      </c>
      <c r="D23" s="16">
        <v>5</v>
      </c>
      <c r="E23" s="18">
        <f t="shared" si="0"/>
        <v>16</v>
      </c>
      <c r="F23" s="15">
        <f t="shared" si="1"/>
        <v>20</v>
      </c>
      <c r="G23" s="15">
        <f t="shared" si="2"/>
        <v>1.6960519199566655E-2</v>
      </c>
      <c r="H23" s="15">
        <f t="shared" si="3"/>
        <v>1.6899999999999995</v>
      </c>
      <c r="I23" s="19"/>
      <c r="J23" s="19"/>
      <c r="K23" s="16">
        <v>10</v>
      </c>
      <c r="L23" s="16">
        <v>5</v>
      </c>
      <c r="M23" s="16">
        <v>4</v>
      </c>
      <c r="N23" s="16">
        <f t="shared" si="4"/>
        <v>25</v>
      </c>
      <c r="O23" s="16">
        <f t="shared" si="5"/>
        <v>20</v>
      </c>
      <c r="P23" s="15">
        <f t="shared" si="6"/>
        <v>0.15959485139700846</v>
      </c>
      <c r="Q23" s="15">
        <f t="shared" si="7"/>
        <v>3.0625</v>
      </c>
      <c r="R23" s="19"/>
    </row>
    <row r="24" spans="1:18">
      <c r="A24" s="19"/>
      <c r="B24" s="15" t="s">
        <v>65</v>
      </c>
      <c r="C24" s="15">
        <f t="shared" ref="C24:H24" si="8">SUM(C14:C23)</f>
        <v>57.5</v>
      </c>
      <c r="D24" s="15">
        <f t="shared" si="8"/>
        <v>63</v>
      </c>
      <c r="E24" s="15">
        <f t="shared" si="8"/>
        <v>368.25</v>
      </c>
      <c r="F24" s="15">
        <f t="shared" si="8"/>
        <v>393</v>
      </c>
      <c r="G24" s="15">
        <f t="shared" si="8"/>
        <v>4.4687707641196024</v>
      </c>
      <c r="H24" s="15">
        <f t="shared" si="8"/>
        <v>29.6</v>
      </c>
      <c r="I24" s="19"/>
      <c r="J24" s="19"/>
      <c r="K24" s="15" t="s">
        <v>65</v>
      </c>
      <c r="L24" s="16">
        <f t="shared" ref="L24:Q24" si="9">SUM(L14:L23)</f>
        <v>63</v>
      </c>
      <c r="M24" s="16">
        <f t="shared" si="9"/>
        <v>57.5</v>
      </c>
      <c r="N24" s="16">
        <f t="shared" si="9"/>
        <v>426.5</v>
      </c>
      <c r="O24" s="16">
        <f t="shared" si="9"/>
        <v>393</v>
      </c>
      <c r="P24" s="16">
        <f t="shared" si="9"/>
        <v>5.6803209459459456</v>
      </c>
      <c r="Q24" s="16">
        <f t="shared" si="9"/>
        <v>37.625</v>
      </c>
      <c r="R24" s="19"/>
    </row>
    <row r="25" spans="1:18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spans="1:18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 spans="1:18">
      <c r="A27" s="19"/>
      <c r="B27" s="19"/>
      <c r="C27" t="s">
        <v>96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 spans="1:18">
      <c r="A28" s="19"/>
      <c r="B28" s="19" t="s">
        <v>37</v>
      </c>
      <c r="C28" s="19"/>
      <c r="D28" s="19"/>
      <c r="E28" s="19"/>
      <c r="F28" s="19"/>
      <c r="G28" s="19"/>
      <c r="H28" s="19"/>
      <c r="I28" s="19"/>
      <c r="J28" s="19"/>
      <c r="K28" s="19" t="s">
        <v>37</v>
      </c>
      <c r="L28" s="19"/>
      <c r="M28" s="19"/>
      <c r="N28" s="19"/>
      <c r="O28" s="19"/>
      <c r="P28" s="19"/>
      <c r="Q28" s="19"/>
      <c r="R28" s="19"/>
    </row>
    <row r="29" spans="1:18">
      <c r="A29" s="19"/>
      <c r="B29" s="19" t="s">
        <v>39</v>
      </c>
      <c r="C29" s="19"/>
      <c r="D29" s="19"/>
      <c r="E29" s="19"/>
      <c r="F29" s="19"/>
      <c r="G29" s="19"/>
      <c r="H29" s="19"/>
      <c r="I29" s="19"/>
      <c r="J29" s="19"/>
      <c r="K29" s="19" t="s">
        <v>39</v>
      </c>
      <c r="L29" s="19"/>
      <c r="M29" s="19"/>
      <c r="N29" s="19"/>
      <c r="O29" s="19"/>
      <c r="P29" s="19"/>
      <c r="Q29" s="19"/>
      <c r="R29" s="19"/>
    </row>
    <row r="30" spans="1:18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</row>
    <row r="31" spans="1:18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</row>
    <row r="32" spans="1:18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</row>
    <row r="33" spans="1:18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</row>
    <row r="34" spans="1:18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</row>
    <row r="35" spans="1:18">
      <c r="A35" s="19"/>
      <c r="B35" s="19" t="s">
        <v>12</v>
      </c>
      <c r="C35" s="19"/>
      <c r="D35" s="19"/>
      <c r="E35" s="19" t="s">
        <v>13</v>
      </c>
      <c r="F35" s="19"/>
      <c r="G35" s="19"/>
      <c r="H35" s="19"/>
      <c r="I35" s="19"/>
      <c r="J35" s="19"/>
      <c r="K35" s="19" t="s">
        <v>12</v>
      </c>
      <c r="L35" s="19"/>
      <c r="M35" s="19"/>
      <c r="N35" s="19" t="s">
        <v>13</v>
      </c>
      <c r="O35" s="19"/>
      <c r="P35" s="19"/>
      <c r="Q35" s="19"/>
      <c r="R35" s="19"/>
    </row>
    <row r="36" spans="1:18">
      <c r="A36" s="19"/>
      <c r="B36" s="16">
        <v>10</v>
      </c>
      <c r="C36" s="16">
        <f>C24</f>
        <v>57.5</v>
      </c>
      <c r="D36" s="20"/>
      <c r="E36" s="16">
        <f>D24</f>
        <v>63</v>
      </c>
      <c r="F36" s="19"/>
      <c r="G36" s="19"/>
      <c r="H36" s="19"/>
      <c r="I36" s="19"/>
      <c r="J36" s="19"/>
      <c r="K36" s="16">
        <f>10</f>
        <v>10</v>
      </c>
      <c r="L36" s="16">
        <f>L24</f>
        <v>63</v>
      </c>
      <c r="M36" s="19"/>
      <c r="N36" s="16">
        <f>M24</f>
        <v>57.5</v>
      </c>
      <c r="O36" s="19"/>
      <c r="P36" s="19"/>
      <c r="Q36" s="19"/>
      <c r="R36" s="19"/>
    </row>
    <row r="37" spans="1:18">
      <c r="A37" s="19"/>
      <c r="B37" s="16">
        <f>C24</f>
        <v>57.5</v>
      </c>
      <c r="C37" s="16">
        <f>E24</f>
        <v>368.25</v>
      </c>
      <c r="D37" s="20"/>
      <c r="E37" s="16">
        <f>F24</f>
        <v>393</v>
      </c>
      <c r="F37" s="19"/>
      <c r="G37" s="19"/>
      <c r="H37" s="19"/>
      <c r="I37" s="19"/>
      <c r="J37" s="19"/>
      <c r="K37" s="16">
        <f>L24</f>
        <v>63</v>
      </c>
      <c r="L37" s="16">
        <f>N24</f>
        <v>426.5</v>
      </c>
      <c r="M37" s="19"/>
      <c r="N37" s="16">
        <f>O24</f>
        <v>393</v>
      </c>
      <c r="O37" s="19"/>
      <c r="P37" s="19"/>
      <c r="Q37" s="19"/>
      <c r="R37" s="19"/>
    </row>
    <row r="38" spans="1:1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</row>
    <row r="39" spans="1:18">
      <c r="A39" s="19"/>
      <c r="B39" s="19" t="s">
        <v>14</v>
      </c>
      <c r="C39" s="19"/>
      <c r="D39" s="19"/>
      <c r="E39" s="19" t="s">
        <v>16</v>
      </c>
      <c r="F39" s="19"/>
      <c r="G39" s="19"/>
      <c r="H39" s="19"/>
      <c r="I39" s="19"/>
      <c r="J39" s="19"/>
      <c r="K39" s="19" t="s">
        <v>66</v>
      </c>
      <c r="L39" s="19"/>
      <c r="M39" s="19"/>
      <c r="N39" s="19" t="s">
        <v>16</v>
      </c>
      <c r="O39" s="19"/>
      <c r="P39" s="19"/>
      <c r="Q39" s="19"/>
      <c r="R39" s="19"/>
    </row>
    <row r="40" spans="1:18">
      <c r="A40" s="19"/>
      <c r="B40" s="15">
        <f t="array" ref="B40:C41">MINVERSE(B36:C37)</f>
        <v>0.97873754152823955</v>
      </c>
      <c r="C40" s="15">
        <v>-0.15282392026578079</v>
      </c>
      <c r="D40" s="19"/>
      <c r="E40" s="16">
        <f t="array" ref="E40:E41">MMULT(B40:C41,E36:E37)</f>
        <v>1.6006644518272424</v>
      </c>
      <c r="F40" s="16" t="s">
        <v>17</v>
      </c>
      <c r="G40" s="20"/>
      <c r="H40" s="20"/>
      <c r="I40" s="20"/>
      <c r="J40" s="19"/>
      <c r="K40" s="15">
        <f t="array" ref="K40:L41">MINVERSE(K36:L37)</f>
        <v>1.4408783783783792</v>
      </c>
      <c r="L40" s="15">
        <v>-0.21283783783783797</v>
      </c>
      <c r="M40" s="19"/>
      <c r="N40" s="16">
        <f t="array" ref="N40:N41">MMULT(K40:L41,N36:N37)</f>
        <v>-0.79476351351351582</v>
      </c>
      <c r="O40" s="16" t="s">
        <v>17</v>
      </c>
      <c r="P40" s="19"/>
      <c r="Q40" s="19"/>
      <c r="R40" s="19"/>
    </row>
    <row r="41" spans="1:18">
      <c r="A41" s="19"/>
      <c r="B41" s="15">
        <v>-0.15282392026578079</v>
      </c>
      <c r="C41" s="15">
        <v>2.6578073089701008E-2</v>
      </c>
      <c r="D41" s="19"/>
      <c r="E41" s="16">
        <v>0.81727574750830634</v>
      </c>
      <c r="F41" s="16" t="s">
        <v>18</v>
      </c>
      <c r="G41" s="20"/>
      <c r="H41" s="20"/>
      <c r="I41" s="20"/>
      <c r="J41" s="19"/>
      <c r="K41" s="15">
        <v>-0.21283783783783794</v>
      </c>
      <c r="L41" s="15">
        <v>3.37837837837838E-2</v>
      </c>
      <c r="M41" s="19"/>
      <c r="N41" s="16">
        <v>1.0388513513513526</v>
      </c>
      <c r="O41" s="16" t="s">
        <v>18</v>
      </c>
      <c r="P41" s="19"/>
      <c r="Q41" s="19"/>
      <c r="R41" s="19"/>
    </row>
    <row r="42" spans="1:18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</row>
    <row r="43" spans="1:18">
      <c r="A43" s="19"/>
      <c r="B43" s="19" t="s">
        <v>48</v>
      </c>
      <c r="C43" s="19"/>
      <c r="D43" s="19"/>
      <c r="E43" s="19"/>
      <c r="F43" s="19"/>
      <c r="G43" s="19"/>
      <c r="H43" s="19"/>
      <c r="I43" s="19"/>
      <c r="J43" s="19"/>
      <c r="K43" s="19" t="s">
        <v>48</v>
      </c>
      <c r="L43" s="19"/>
      <c r="M43" s="19"/>
      <c r="N43" s="19"/>
      <c r="O43" s="19"/>
      <c r="P43" s="19"/>
      <c r="Q43" s="19"/>
      <c r="R43" s="19"/>
    </row>
    <row r="44" spans="1:18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</row>
    <row r="45" spans="1:18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</row>
    <row r="46" spans="1:18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</row>
    <row r="47" spans="1:18">
      <c r="A47" s="19"/>
      <c r="B47" s="19" t="s">
        <v>67</v>
      </c>
      <c r="C47" s="19">
        <f>G24</f>
        <v>4.4687707641196024</v>
      </c>
      <c r="D47" s="19"/>
      <c r="E47" s="19"/>
      <c r="F47" s="19"/>
      <c r="G47" s="19"/>
      <c r="H47" s="19"/>
      <c r="I47" s="19"/>
      <c r="J47" s="19"/>
      <c r="K47" s="19" t="s">
        <v>67</v>
      </c>
      <c r="L47" s="19">
        <f>P24</f>
        <v>5.6803209459459456</v>
      </c>
      <c r="M47" s="19"/>
      <c r="N47" s="19"/>
      <c r="O47" s="19"/>
      <c r="P47" s="19"/>
      <c r="Q47" s="19"/>
      <c r="R47" s="19"/>
    </row>
    <row r="48" spans="1:1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</row>
    <row r="49" spans="1:18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</row>
    <row r="50" spans="1:18">
      <c r="A50" s="19"/>
      <c r="B50" s="19" t="s">
        <v>44</v>
      </c>
      <c r="C50" s="19"/>
      <c r="D50" s="19"/>
      <c r="E50" s="19"/>
      <c r="F50" s="19"/>
      <c r="G50" s="19"/>
      <c r="H50" s="19"/>
      <c r="I50" s="19"/>
      <c r="J50" s="19"/>
      <c r="K50" s="19" t="s">
        <v>44</v>
      </c>
      <c r="L50" s="19"/>
      <c r="M50" s="19"/>
      <c r="N50" s="19"/>
      <c r="O50" s="19"/>
      <c r="P50" s="19"/>
      <c r="Q50" s="19"/>
      <c r="R50" s="19"/>
    </row>
    <row r="51" spans="1:18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</row>
    <row r="52" spans="1:18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1:18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</row>
    <row r="54" spans="1:18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</row>
    <row r="55" spans="1:18">
      <c r="A55" s="19"/>
      <c r="B55" s="19" t="s">
        <v>45</v>
      </c>
      <c r="C55" s="19">
        <f>AVERAGE(D14:D23)</f>
        <v>6.3</v>
      </c>
      <c r="D55" s="19"/>
      <c r="E55" s="19"/>
      <c r="F55" s="19"/>
      <c r="G55" s="19"/>
      <c r="H55" s="19"/>
      <c r="I55" s="19"/>
      <c r="J55" s="19"/>
      <c r="K55" s="19" t="s">
        <v>29</v>
      </c>
      <c r="L55" s="19">
        <f>AVERAGE(M14:M23)</f>
        <v>5.75</v>
      </c>
      <c r="M55" s="19"/>
      <c r="N55" s="19"/>
      <c r="O55" s="19"/>
      <c r="P55" s="19"/>
      <c r="Q55" s="19"/>
      <c r="R55" s="19"/>
    </row>
    <row r="56" spans="1:18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</row>
    <row r="57" spans="1:18">
      <c r="A57" s="19"/>
      <c r="B57" s="19" t="s">
        <v>46</v>
      </c>
      <c r="C57" s="19">
        <f>(H24-C47)/H24</f>
        <v>0.84902801472568901</v>
      </c>
      <c r="D57" s="19"/>
      <c r="E57" s="19"/>
      <c r="F57" s="19"/>
      <c r="G57" s="19"/>
      <c r="H57" s="19"/>
      <c r="I57" s="19"/>
      <c r="J57" s="19"/>
      <c r="K57" s="19" t="s">
        <v>46</v>
      </c>
      <c r="L57" s="19">
        <f>(Q24-L47)/Q24</f>
        <v>0.84902801472568923</v>
      </c>
      <c r="M57" s="19"/>
      <c r="N57" s="19"/>
      <c r="O57" s="19"/>
      <c r="P57" s="19"/>
      <c r="Q57" s="19"/>
      <c r="R57" s="19"/>
    </row>
    <row r="58" spans="1:1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</row>
    <row r="59" spans="1:18">
      <c r="A59" s="19"/>
      <c r="B59" s="19" t="s">
        <v>97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</row>
    <row r="60" spans="1:18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</row>
    <row r="61" spans="1:18">
      <c r="A61" s="19"/>
      <c r="B61" s="19" t="s">
        <v>39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 spans="1:18">
      <c r="A62" s="19"/>
      <c r="B62" s="19" t="s">
        <v>68</v>
      </c>
      <c r="C62" s="19">
        <f>E40+E41*8.3</f>
        <v>8.3840531561461855</v>
      </c>
      <c r="D62" s="19"/>
      <c r="E62" s="19"/>
      <c r="F62" t="s">
        <v>99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</row>
    <row r="63" spans="1:18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</row>
    <row r="64" spans="1:18">
      <c r="A64" s="19"/>
      <c r="B64" t="s">
        <v>98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</row>
    <row r="65" spans="1:18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</row>
    <row r="66" spans="1:18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</row>
    <row r="67" spans="1:18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</row>
    <row r="68" spans="1:1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</row>
    <row r="69" spans="1:18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2555-370A-40AB-8FE4-3D0E4E25E15B}">
  <dimension ref="B11:M66"/>
  <sheetViews>
    <sheetView topLeftCell="A50" zoomScale="53" zoomScaleNormal="147" workbookViewId="0">
      <selection activeCell="E71" sqref="E71"/>
    </sheetView>
  </sheetViews>
  <sheetFormatPr baseColWidth="10" defaultRowHeight="14.4"/>
  <sheetData>
    <row r="11" spans="2:13">
      <c r="K11" s="35" t="s">
        <v>69</v>
      </c>
      <c r="L11" s="36"/>
    </row>
    <row r="12" spans="2:13">
      <c r="B12" s="11" t="s">
        <v>0</v>
      </c>
      <c r="C12" s="11" t="s">
        <v>70</v>
      </c>
      <c r="D12" s="11" t="s">
        <v>71</v>
      </c>
      <c r="E12" s="11" t="s">
        <v>50</v>
      </c>
      <c r="F12" s="11" t="s">
        <v>72</v>
      </c>
      <c r="G12" s="11" t="s">
        <v>73</v>
      </c>
      <c r="H12" s="11" t="s">
        <v>74</v>
      </c>
      <c r="I12" s="11" t="s">
        <v>75</v>
      </c>
      <c r="J12" s="11" t="s">
        <v>76</v>
      </c>
      <c r="K12" s="31" t="s">
        <v>77</v>
      </c>
      <c r="L12" s="32"/>
      <c r="M12" s="11" t="s">
        <v>100</v>
      </c>
    </row>
    <row r="13" spans="2:13">
      <c r="B13" s="11">
        <v>1</v>
      </c>
      <c r="C13" s="11">
        <v>0</v>
      </c>
      <c r="D13" s="11">
        <v>0</v>
      </c>
      <c r="E13" s="11">
        <v>15.1</v>
      </c>
      <c r="F13" s="2">
        <f t="shared" ref="F13:F21" si="0">C13^2</f>
        <v>0</v>
      </c>
      <c r="G13" s="2">
        <f t="shared" ref="G13:G21" si="1">C13*D13</f>
        <v>0</v>
      </c>
      <c r="H13" s="2">
        <f t="shared" ref="H13:H21" si="2">D13^2</f>
        <v>0</v>
      </c>
      <c r="I13" s="2">
        <f t="shared" ref="I13:I21" si="3">C13*E13</f>
        <v>0</v>
      </c>
      <c r="J13" s="2">
        <f t="shared" ref="J13:J21" si="4">D13*E13</f>
        <v>0</v>
      </c>
      <c r="K13" s="31">
        <f t="shared" ref="K13:K19" si="5">($F$35+$F$36*C13+$F$37*D13-E13)^2</f>
        <v>0.40848771266543948</v>
      </c>
      <c r="L13" s="32"/>
      <c r="M13" s="2">
        <f>(E13-C50)^2</f>
        <v>139.50234567901236</v>
      </c>
    </row>
    <row r="14" spans="2:13">
      <c r="B14" s="11">
        <v>2</v>
      </c>
      <c r="C14" s="11">
        <v>1</v>
      </c>
      <c r="D14" s="11">
        <v>1</v>
      </c>
      <c r="E14" s="11">
        <v>17.899999999999999</v>
      </c>
      <c r="F14" s="2">
        <f t="shared" si="0"/>
        <v>1</v>
      </c>
      <c r="G14" s="2">
        <f t="shared" si="1"/>
        <v>1</v>
      </c>
      <c r="H14" s="2">
        <f t="shared" si="2"/>
        <v>1</v>
      </c>
      <c r="I14" s="2">
        <f t="shared" si="3"/>
        <v>17.899999999999999</v>
      </c>
      <c r="J14" s="2">
        <f t="shared" si="4"/>
        <v>17.899999999999999</v>
      </c>
      <c r="K14" s="31">
        <f t="shared" si="5"/>
        <v>1.3985633270325148E-2</v>
      </c>
      <c r="L14" s="32"/>
      <c r="M14" s="2">
        <f>(E14-C50)^2</f>
        <v>81.200123456790152</v>
      </c>
    </row>
    <row r="15" spans="2:13">
      <c r="B15" s="11">
        <v>3</v>
      </c>
      <c r="C15" s="11">
        <v>1</v>
      </c>
      <c r="D15" s="11">
        <v>2</v>
      </c>
      <c r="E15" s="11">
        <v>12.7</v>
      </c>
      <c r="F15" s="2">
        <f t="shared" si="0"/>
        <v>1</v>
      </c>
      <c r="G15" s="2">
        <f t="shared" si="1"/>
        <v>2</v>
      </c>
      <c r="H15" s="2">
        <f t="shared" si="2"/>
        <v>4</v>
      </c>
      <c r="I15" s="2">
        <f t="shared" si="3"/>
        <v>12.7</v>
      </c>
      <c r="J15" s="2">
        <f t="shared" si="4"/>
        <v>25.4</v>
      </c>
      <c r="K15" s="31">
        <f t="shared" si="5"/>
        <v>0.38764158790172537</v>
      </c>
      <c r="L15" s="32"/>
      <c r="M15" s="2">
        <f>(E15-C50)^2</f>
        <v>201.95567901234571</v>
      </c>
    </row>
    <row r="16" spans="2:13">
      <c r="B16" s="11">
        <v>4</v>
      </c>
      <c r="C16" s="11">
        <v>2</v>
      </c>
      <c r="D16" s="11">
        <v>1</v>
      </c>
      <c r="E16" s="11">
        <v>25.6</v>
      </c>
      <c r="F16" s="2">
        <f t="shared" si="0"/>
        <v>4</v>
      </c>
      <c r="G16" s="2">
        <f t="shared" si="1"/>
        <v>2</v>
      </c>
      <c r="H16" s="2">
        <f t="shared" si="2"/>
        <v>1</v>
      </c>
      <c r="I16" s="2">
        <f t="shared" si="3"/>
        <v>51.2</v>
      </c>
      <c r="J16" s="2">
        <f t="shared" si="4"/>
        <v>25.6</v>
      </c>
      <c r="K16" s="31">
        <f t="shared" si="5"/>
        <v>1.456744045368602</v>
      </c>
      <c r="L16" s="32"/>
      <c r="M16" s="2">
        <f>(E16-C50)^2</f>
        <v>1.7190123456790094</v>
      </c>
    </row>
    <row r="17" spans="2:13">
      <c r="B17" s="11">
        <v>5</v>
      </c>
      <c r="C17" s="11">
        <v>2</v>
      </c>
      <c r="D17" s="11">
        <v>2</v>
      </c>
      <c r="E17" s="11">
        <v>20.5</v>
      </c>
      <c r="F17" s="2">
        <f t="shared" si="0"/>
        <v>4</v>
      </c>
      <c r="G17" s="2">
        <f t="shared" si="1"/>
        <v>4</v>
      </c>
      <c r="H17" s="2">
        <f t="shared" si="2"/>
        <v>4</v>
      </c>
      <c r="I17" s="2">
        <f t="shared" si="3"/>
        <v>41</v>
      </c>
      <c r="J17" s="2">
        <f t="shared" si="4"/>
        <v>41</v>
      </c>
      <c r="K17" s="31">
        <f t="shared" si="5"/>
        <v>0.36313724007560388</v>
      </c>
      <c r="L17" s="32"/>
      <c r="M17" s="2">
        <f>(E17-C50)^2</f>
        <v>41.102345679012352</v>
      </c>
    </row>
    <row r="18" spans="2:13">
      <c r="B18" s="11">
        <v>6</v>
      </c>
      <c r="C18" s="11">
        <v>3</v>
      </c>
      <c r="D18" s="11">
        <v>1</v>
      </c>
      <c r="E18" s="11">
        <v>35.1</v>
      </c>
      <c r="F18" s="2">
        <f t="shared" si="0"/>
        <v>9</v>
      </c>
      <c r="G18" s="2">
        <f t="shared" si="1"/>
        <v>3</v>
      </c>
      <c r="H18" s="2">
        <f t="shared" si="2"/>
        <v>1</v>
      </c>
      <c r="I18" s="2">
        <f t="shared" si="3"/>
        <v>105.30000000000001</v>
      </c>
      <c r="J18" s="2">
        <f t="shared" si="4"/>
        <v>35.1</v>
      </c>
      <c r="K18" s="31">
        <f t="shared" si="5"/>
        <v>0.53607863894140451</v>
      </c>
      <c r="L18" s="32"/>
      <c r="M18" s="2">
        <f>(E18-C50)^2</f>
        <v>67.057901234567922</v>
      </c>
    </row>
    <row r="19" spans="2:13">
      <c r="B19" s="11">
        <v>7</v>
      </c>
      <c r="C19" s="11">
        <v>3</v>
      </c>
      <c r="D19" s="11">
        <v>2</v>
      </c>
      <c r="E19" s="11">
        <v>29.7</v>
      </c>
      <c r="F19" s="2">
        <f t="shared" si="0"/>
        <v>9</v>
      </c>
      <c r="G19" s="2">
        <f t="shared" si="1"/>
        <v>6</v>
      </c>
      <c r="H19" s="2">
        <f t="shared" si="2"/>
        <v>4</v>
      </c>
      <c r="I19" s="2">
        <f t="shared" si="3"/>
        <v>89.1</v>
      </c>
      <c r="J19" s="2">
        <f t="shared" si="4"/>
        <v>59.4</v>
      </c>
      <c r="K19" s="31">
        <f t="shared" si="5"/>
        <v>0.18303516068053222</v>
      </c>
      <c r="L19" s="32"/>
      <c r="M19" s="2">
        <f>(E19-C50)^2</f>
        <v>7.7779012345678957</v>
      </c>
    </row>
    <row r="20" spans="2:13">
      <c r="B20" s="11">
        <v>8</v>
      </c>
      <c r="C20" s="11">
        <v>4</v>
      </c>
      <c r="D20" s="11">
        <v>1</v>
      </c>
      <c r="E20" s="11">
        <v>45.4</v>
      </c>
      <c r="F20" s="2">
        <f t="shared" si="0"/>
        <v>16</v>
      </c>
      <c r="G20" s="2">
        <f t="shared" si="1"/>
        <v>4</v>
      </c>
      <c r="H20" s="2">
        <f t="shared" si="2"/>
        <v>1</v>
      </c>
      <c r="I20" s="2">
        <f t="shared" si="3"/>
        <v>181.6</v>
      </c>
      <c r="J20" s="2">
        <f t="shared" si="4"/>
        <v>45.4</v>
      </c>
      <c r="K20" s="31">
        <f>(F35+$F$36*C20+$F$37*D20-E20)^2</f>
        <v>0.29442419659733393</v>
      </c>
      <c r="L20" s="32"/>
      <c r="M20" s="2">
        <f>(E20-C50)^2</f>
        <v>341.83901234567895</v>
      </c>
    </row>
    <row r="21" spans="2:13">
      <c r="B21" s="11">
        <v>9</v>
      </c>
      <c r="C21" s="11">
        <v>4</v>
      </c>
      <c r="D21" s="11">
        <v>2</v>
      </c>
      <c r="E21" s="11">
        <v>40.200000000000003</v>
      </c>
      <c r="F21" s="2">
        <f t="shared" si="0"/>
        <v>16</v>
      </c>
      <c r="G21" s="2">
        <f t="shared" si="1"/>
        <v>8</v>
      </c>
      <c r="H21" s="2">
        <f t="shared" si="2"/>
        <v>4</v>
      </c>
      <c r="I21" s="2">
        <f t="shared" si="3"/>
        <v>160.80000000000001</v>
      </c>
      <c r="J21" s="2">
        <f t="shared" si="4"/>
        <v>80.400000000000006</v>
      </c>
      <c r="K21" s="31">
        <f>($F$35+$F$36*C21+$F$37*D21-E21)^2</f>
        <v>1.0961179584120748</v>
      </c>
      <c r="L21" s="32"/>
      <c r="M21" s="2">
        <f>(E21-C50)^2</f>
        <v>176.59456790123463</v>
      </c>
    </row>
    <row r="22" spans="2:13">
      <c r="B22" s="11" t="s">
        <v>65</v>
      </c>
      <c r="C22" s="11">
        <f t="shared" ref="C22:K22" si="6">SUM(C13:C21)</f>
        <v>20</v>
      </c>
      <c r="D22" s="11">
        <f t="shared" si="6"/>
        <v>12</v>
      </c>
      <c r="E22" s="11">
        <f t="shared" si="6"/>
        <v>242.2</v>
      </c>
      <c r="F22" s="2">
        <f t="shared" si="6"/>
        <v>60</v>
      </c>
      <c r="G22" s="11">
        <f t="shared" si="6"/>
        <v>30</v>
      </c>
      <c r="H22" s="11">
        <f t="shared" si="6"/>
        <v>20</v>
      </c>
      <c r="I22" s="11">
        <f t="shared" si="6"/>
        <v>659.60000000000014</v>
      </c>
      <c r="J22" s="11">
        <f t="shared" si="6"/>
        <v>330.20000000000005</v>
      </c>
      <c r="K22" s="31">
        <f t="shared" si="6"/>
        <v>4.7396521739130417</v>
      </c>
      <c r="L22" s="32"/>
      <c r="M22" s="2">
        <f>SUM(M13:M21)</f>
        <v>1058.748888888889</v>
      </c>
    </row>
    <row r="25" spans="2:13">
      <c r="F25" s="12"/>
      <c r="J25" s="1" t="s">
        <v>87</v>
      </c>
      <c r="K25" s="1">
        <v>2</v>
      </c>
      <c r="L25" s="13" t="s">
        <v>88</v>
      </c>
      <c r="M25" s="1"/>
    </row>
    <row r="26" spans="2:13">
      <c r="J26" s="1" t="s">
        <v>89</v>
      </c>
      <c r="K26" s="1">
        <v>9</v>
      </c>
      <c r="L26" t="s">
        <v>90</v>
      </c>
    </row>
    <row r="28" spans="2:13">
      <c r="B28" t="s">
        <v>80</v>
      </c>
    </row>
    <row r="29" spans="2:13">
      <c r="B29" t="s">
        <v>12</v>
      </c>
      <c r="F29" t="s">
        <v>13</v>
      </c>
    </row>
    <row r="30" spans="2:13">
      <c r="B30" s="11">
        <f>B21</f>
        <v>9</v>
      </c>
      <c r="C30" s="11">
        <f>C22</f>
        <v>20</v>
      </c>
      <c r="D30" s="11">
        <f>D22</f>
        <v>12</v>
      </c>
      <c r="F30" s="2">
        <f>E22</f>
        <v>242.2</v>
      </c>
    </row>
    <row r="31" spans="2:13">
      <c r="B31" s="11">
        <f>C22</f>
        <v>20</v>
      </c>
      <c r="C31" s="11">
        <f>F22</f>
        <v>60</v>
      </c>
      <c r="D31" s="11">
        <f>G22</f>
        <v>30</v>
      </c>
      <c r="F31" s="2">
        <f>I22</f>
        <v>659.60000000000014</v>
      </c>
    </row>
    <row r="32" spans="2:13">
      <c r="B32" s="11">
        <f>D22</f>
        <v>12</v>
      </c>
      <c r="C32" s="11">
        <f>G22</f>
        <v>30</v>
      </c>
      <c r="D32" s="11">
        <f>H22</f>
        <v>20</v>
      </c>
      <c r="F32" s="2">
        <f>J22</f>
        <v>330.20000000000005</v>
      </c>
      <c r="K32" t="s">
        <v>85</v>
      </c>
    </row>
    <row r="34" spans="2:12">
      <c r="B34" t="s">
        <v>14</v>
      </c>
      <c r="F34" t="s">
        <v>16</v>
      </c>
    </row>
    <row r="35" spans="2:12">
      <c r="B35" s="11">
        <f t="array" ref="B35:D37">MINVERSE(B30:D32)</f>
        <v>0.65217391304347827</v>
      </c>
      <c r="C35" s="11">
        <v>-8.6956521739130446E-2</v>
      </c>
      <c r="D35" s="11">
        <v>-0.2608695652173913</v>
      </c>
      <c r="F35" s="11">
        <f t="array" ref="F35:F37">MMULT(B35:D37,F30:F32)</f>
        <v>14.460869565217365</v>
      </c>
      <c r="G35" s="11" t="s">
        <v>17</v>
      </c>
    </row>
    <row r="36" spans="2:12">
      <c r="B36" s="11">
        <v>-8.6956521739130446E-2</v>
      </c>
      <c r="C36" s="11">
        <v>7.8260869565217397E-2</v>
      </c>
      <c r="D36" s="11">
        <v>-6.5217391304347824E-2</v>
      </c>
      <c r="F36" s="11">
        <v>9.0252173913043592</v>
      </c>
      <c r="G36" s="11" t="s">
        <v>18</v>
      </c>
    </row>
    <row r="37" spans="2:12">
      <c r="B37" s="11">
        <v>-0.2608695652173913</v>
      </c>
      <c r="C37" s="11">
        <v>-6.5217391304347838E-2</v>
      </c>
      <c r="D37" s="11">
        <v>0.30434782608695654</v>
      </c>
      <c r="F37" s="11">
        <v>-5.7043478260869591</v>
      </c>
      <c r="G37" s="11" t="s">
        <v>19</v>
      </c>
    </row>
    <row r="40" spans="2:12">
      <c r="J40" t="s">
        <v>86</v>
      </c>
      <c r="K40">
        <f>SQRT(C44/(9-3))</f>
        <v>0.88878682988976998</v>
      </c>
    </row>
    <row r="42" spans="2:12">
      <c r="E42" s="25" t="s">
        <v>81</v>
      </c>
      <c r="F42" s="12"/>
    </row>
    <row r="44" spans="2:12">
      <c r="B44" t="s">
        <v>67</v>
      </c>
      <c r="C44">
        <f>K22</f>
        <v>4.7396521739130417</v>
      </c>
    </row>
    <row r="45" spans="2:12">
      <c r="L45" t="s">
        <v>101</v>
      </c>
    </row>
    <row r="50" spans="2:7">
      <c r="B50" t="s">
        <v>45</v>
      </c>
      <c r="C50">
        <f>AVERAGE(E13:E21)</f>
        <v>26.911111111111111</v>
      </c>
      <c r="E50" t="s">
        <v>46</v>
      </c>
      <c r="F50">
        <f>(M22-C44)/M22</f>
        <v>0.99552334625929373</v>
      </c>
      <c r="G50" t="s">
        <v>82</v>
      </c>
    </row>
    <row r="51" spans="2:7">
      <c r="E51" t="s">
        <v>83</v>
      </c>
      <c r="F51">
        <f>SQRT(F50)</f>
        <v>0.9977591624531913</v>
      </c>
      <c r="G51" t="s">
        <v>84</v>
      </c>
    </row>
    <row r="65" spans="2:5">
      <c r="B65" s="1"/>
      <c r="C65" s="1"/>
      <c r="D65" s="13"/>
      <c r="E65" s="1"/>
    </row>
    <row r="66" spans="2:5">
      <c r="B66" s="1"/>
      <c r="C66" s="1"/>
    </row>
  </sheetData>
  <mergeCells count="12">
    <mergeCell ref="K22:L22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1F432-E016-40D7-A51E-162B5ACF704A}">
  <dimension ref="B7:M63"/>
  <sheetViews>
    <sheetView topLeftCell="A50" zoomScale="59" workbookViewId="0">
      <selection activeCell="E76" sqref="E76"/>
    </sheetView>
  </sheetViews>
  <sheetFormatPr baseColWidth="10" defaultRowHeight="14.4"/>
  <sheetData>
    <row r="7" spans="2:13">
      <c r="G7" t="s">
        <v>80</v>
      </c>
    </row>
    <row r="12" spans="2:13">
      <c r="K12" s="35" t="s">
        <v>69</v>
      </c>
      <c r="L12" s="36"/>
    </row>
    <row r="13" spans="2:13">
      <c r="B13" s="11" t="s">
        <v>0</v>
      </c>
      <c r="C13" s="11" t="s">
        <v>70</v>
      </c>
      <c r="D13" s="11" t="s">
        <v>71</v>
      </c>
      <c r="E13" s="11" t="s">
        <v>50</v>
      </c>
      <c r="F13" s="11" t="s">
        <v>72</v>
      </c>
      <c r="G13" s="11" t="s">
        <v>73</v>
      </c>
      <c r="H13" s="11" t="s">
        <v>74</v>
      </c>
      <c r="I13" s="11" t="s">
        <v>75</v>
      </c>
      <c r="J13" s="11" t="s">
        <v>76</v>
      </c>
      <c r="K13" s="31" t="s">
        <v>91</v>
      </c>
      <c r="L13" s="32"/>
      <c r="M13" s="11" t="s">
        <v>78</v>
      </c>
    </row>
    <row r="14" spans="2:13">
      <c r="B14" s="11">
        <v>1</v>
      </c>
      <c r="C14" s="11">
        <v>0</v>
      </c>
      <c r="D14" s="11">
        <v>0</v>
      </c>
      <c r="E14" s="11">
        <v>14</v>
      </c>
      <c r="F14" s="11">
        <f t="shared" ref="F14:F22" si="0">C14^2</f>
        <v>0</v>
      </c>
      <c r="G14" s="11">
        <f t="shared" ref="G14:G22" si="1">C14*D14</f>
        <v>0</v>
      </c>
      <c r="H14" s="11">
        <f t="shared" ref="H14:H22" si="2">D14^2</f>
        <v>0</v>
      </c>
      <c r="I14" s="11">
        <f t="shared" ref="I14:I22" si="3">C14*E14</f>
        <v>0</v>
      </c>
      <c r="J14" s="11">
        <f t="shared" ref="J14:J22" si="4">D14*E14</f>
        <v>0</v>
      </c>
      <c r="K14" s="31">
        <f>($F$36+$F$37*C14+$F$38*D14-E14)^2</f>
        <v>0.4444444444444271</v>
      </c>
      <c r="L14" s="32"/>
      <c r="M14" s="11">
        <f>(E14-$C$49)^2</f>
        <v>1</v>
      </c>
    </row>
    <row r="15" spans="2:13">
      <c r="B15" s="11">
        <v>2</v>
      </c>
      <c r="C15" s="11">
        <v>0</v>
      </c>
      <c r="D15" s="11">
        <v>2</v>
      </c>
      <c r="E15" s="11">
        <v>21</v>
      </c>
      <c r="F15" s="11">
        <f t="shared" si="0"/>
        <v>0</v>
      </c>
      <c r="G15" s="11">
        <f t="shared" si="1"/>
        <v>0</v>
      </c>
      <c r="H15" s="11">
        <f t="shared" si="2"/>
        <v>4</v>
      </c>
      <c r="I15" s="11">
        <f t="shared" si="3"/>
        <v>0</v>
      </c>
      <c r="J15" s="11">
        <f t="shared" si="4"/>
        <v>42</v>
      </c>
      <c r="K15" s="31">
        <f>($F$36+$F$37*C15+$F$38*D15-E15)^2</f>
        <v>2.7777777777778172</v>
      </c>
      <c r="L15" s="32"/>
      <c r="M15" s="11">
        <f t="shared" ref="M15:M22" si="5">(E15-$C$49)^2</f>
        <v>36</v>
      </c>
    </row>
    <row r="16" spans="2:13">
      <c r="B16" s="11">
        <v>3</v>
      </c>
      <c r="C16" s="11">
        <v>1</v>
      </c>
      <c r="D16" s="11">
        <v>2</v>
      </c>
      <c r="E16" s="11">
        <v>11</v>
      </c>
      <c r="F16" s="11">
        <f t="shared" si="0"/>
        <v>1</v>
      </c>
      <c r="G16" s="11">
        <f t="shared" si="1"/>
        <v>2</v>
      </c>
      <c r="H16" s="11">
        <f t="shared" si="2"/>
        <v>4</v>
      </c>
      <c r="I16" s="11">
        <f t="shared" si="3"/>
        <v>11</v>
      </c>
      <c r="J16" s="11">
        <f t="shared" si="4"/>
        <v>22</v>
      </c>
      <c r="K16" s="31">
        <f>($F$36+$F$37*C16+$F$38*D16-E16)^2</f>
        <v>2.7777777777777519</v>
      </c>
      <c r="L16" s="32"/>
      <c r="M16" s="11">
        <f t="shared" si="5"/>
        <v>16</v>
      </c>
    </row>
    <row r="17" spans="2:13">
      <c r="B17" s="11">
        <v>4</v>
      </c>
      <c r="C17" s="11">
        <v>2</v>
      </c>
      <c r="D17" s="11">
        <v>4</v>
      </c>
      <c r="E17" s="11">
        <v>12</v>
      </c>
      <c r="F17" s="11">
        <f t="shared" si="0"/>
        <v>4</v>
      </c>
      <c r="G17" s="11">
        <f t="shared" si="1"/>
        <v>8</v>
      </c>
      <c r="H17" s="11">
        <f t="shared" si="2"/>
        <v>16</v>
      </c>
      <c r="I17" s="11">
        <f t="shared" si="3"/>
        <v>24</v>
      </c>
      <c r="J17" s="11">
        <f t="shared" si="4"/>
        <v>48</v>
      </c>
      <c r="K17" s="31">
        <f>($F$36+$F$37*C17+$F$38*D17-E17)^2</f>
        <v>1.7777777777777841</v>
      </c>
      <c r="L17" s="32"/>
      <c r="M17" s="11">
        <f t="shared" si="5"/>
        <v>9</v>
      </c>
    </row>
    <row r="18" spans="2:13">
      <c r="B18" s="11">
        <v>5</v>
      </c>
      <c r="C18" s="11">
        <v>0</v>
      </c>
      <c r="D18" s="11">
        <v>4</v>
      </c>
      <c r="E18" s="11">
        <v>23</v>
      </c>
      <c r="F18" s="11">
        <f t="shared" si="0"/>
        <v>0</v>
      </c>
      <c r="G18" s="11">
        <f t="shared" si="1"/>
        <v>0</v>
      </c>
      <c r="H18" s="11">
        <f t="shared" si="2"/>
        <v>16</v>
      </c>
      <c r="I18" s="11">
        <f t="shared" si="3"/>
        <v>0</v>
      </c>
      <c r="J18" s="11">
        <f t="shared" si="4"/>
        <v>92</v>
      </c>
      <c r="K18" s="31">
        <f>($F$36+$F$37*C18+F38*D18-E18)^2</f>
        <v>0.99999999999997868</v>
      </c>
      <c r="L18" s="32"/>
      <c r="M18" s="11">
        <f t="shared" si="5"/>
        <v>64</v>
      </c>
    </row>
    <row r="19" spans="2:13">
      <c r="B19" s="11">
        <v>6</v>
      </c>
      <c r="C19" s="11">
        <v>1</v>
      </c>
      <c r="D19" s="11">
        <v>6</v>
      </c>
      <c r="E19" s="11">
        <v>23</v>
      </c>
      <c r="F19" s="11">
        <f t="shared" si="0"/>
        <v>1</v>
      </c>
      <c r="G19" s="11">
        <f t="shared" si="1"/>
        <v>6</v>
      </c>
      <c r="H19" s="11">
        <f t="shared" si="2"/>
        <v>36</v>
      </c>
      <c r="I19" s="11">
        <f t="shared" si="3"/>
        <v>23</v>
      </c>
      <c r="J19" s="11">
        <f t="shared" si="4"/>
        <v>138</v>
      </c>
      <c r="K19" s="31">
        <f>($F$36+$F$37*C19+F38*D19-E19)^2</f>
        <v>1.0000000000000142</v>
      </c>
      <c r="L19" s="32"/>
      <c r="M19" s="11">
        <f t="shared" si="5"/>
        <v>64</v>
      </c>
    </row>
    <row r="20" spans="2:13">
      <c r="B20" s="11">
        <v>7</v>
      </c>
      <c r="C20" s="11">
        <v>2</v>
      </c>
      <c r="D20" s="11">
        <v>6</v>
      </c>
      <c r="E20" s="11">
        <v>14</v>
      </c>
      <c r="F20" s="11">
        <f t="shared" si="0"/>
        <v>4</v>
      </c>
      <c r="G20" s="11">
        <f t="shared" si="1"/>
        <v>12</v>
      </c>
      <c r="H20" s="11">
        <f t="shared" si="2"/>
        <v>36</v>
      </c>
      <c r="I20" s="11">
        <f t="shared" si="3"/>
        <v>28</v>
      </c>
      <c r="J20" s="11">
        <f t="shared" si="4"/>
        <v>84</v>
      </c>
      <c r="K20" s="31">
        <f>($F$36+$F$37*C20+F38*D20-E20)^2</f>
        <v>1.7777777777777746</v>
      </c>
      <c r="L20" s="32"/>
      <c r="M20" s="11">
        <f t="shared" si="5"/>
        <v>1</v>
      </c>
    </row>
    <row r="21" spans="2:13">
      <c r="B21" s="11">
        <v>8</v>
      </c>
      <c r="C21" s="11">
        <v>2</v>
      </c>
      <c r="D21" s="11">
        <v>2</v>
      </c>
      <c r="E21" s="11">
        <v>6</v>
      </c>
      <c r="F21" s="11">
        <f t="shared" si="0"/>
        <v>4</v>
      </c>
      <c r="G21" s="11">
        <f t="shared" si="1"/>
        <v>4</v>
      </c>
      <c r="H21" s="11">
        <f t="shared" si="2"/>
        <v>4</v>
      </c>
      <c r="I21" s="11">
        <f t="shared" si="3"/>
        <v>12</v>
      </c>
      <c r="J21" s="11">
        <f t="shared" si="4"/>
        <v>12</v>
      </c>
      <c r="K21" s="31">
        <f>($F$36+$F$37*C21+F38*D21-E21)^2</f>
        <v>1.2621774483536189E-29</v>
      </c>
      <c r="L21" s="32"/>
      <c r="M21" s="11">
        <f t="shared" si="5"/>
        <v>81</v>
      </c>
    </row>
    <row r="22" spans="2:13">
      <c r="B22" s="11">
        <v>9</v>
      </c>
      <c r="C22" s="11">
        <v>1</v>
      </c>
      <c r="D22" s="11">
        <v>1</v>
      </c>
      <c r="E22" s="11">
        <v>11</v>
      </c>
      <c r="F22" s="11">
        <f t="shared" si="0"/>
        <v>1</v>
      </c>
      <c r="G22" s="11">
        <f t="shared" si="1"/>
        <v>1</v>
      </c>
      <c r="H22" s="11">
        <f t="shared" si="2"/>
        <v>1</v>
      </c>
      <c r="I22" s="11">
        <f t="shared" si="3"/>
        <v>11</v>
      </c>
      <c r="J22" s="11">
        <f t="shared" si="4"/>
        <v>11</v>
      </c>
      <c r="K22" s="31">
        <f>($F$36+$F$37*C22+F38*D22-E22)^2</f>
        <v>0.44444444444445552</v>
      </c>
      <c r="L22" s="32"/>
      <c r="M22" s="11">
        <f t="shared" si="5"/>
        <v>16</v>
      </c>
    </row>
    <row r="23" spans="2:13">
      <c r="B23" s="11" t="s">
        <v>65</v>
      </c>
      <c r="C23" s="11">
        <f t="shared" ref="C23:K23" si="6">SUM(C14:C22)</f>
        <v>9</v>
      </c>
      <c r="D23" s="11">
        <f t="shared" si="6"/>
        <v>27</v>
      </c>
      <c r="E23" s="11">
        <f t="shared" si="6"/>
        <v>135</v>
      </c>
      <c r="F23" s="11">
        <f t="shared" si="6"/>
        <v>15</v>
      </c>
      <c r="G23" s="11">
        <f t="shared" si="6"/>
        <v>33</v>
      </c>
      <c r="H23" s="11">
        <f t="shared" si="6"/>
        <v>117</v>
      </c>
      <c r="I23" s="11">
        <f t="shared" si="6"/>
        <v>109</v>
      </c>
      <c r="J23" s="11">
        <f t="shared" si="6"/>
        <v>449</v>
      </c>
      <c r="K23" s="31">
        <f t="shared" si="6"/>
        <v>12.000000000000004</v>
      </c>
      <c r="L23" s="32"/>
      <c r="M23" s="11">
        <f>SUM(M14:M22)</f>
        <v>288</v>
      </c>
    </row>
    <row r="26" spans="2:13">
      <c r="F26" s="10" t="s">
        <v>79</v>
      </c>
    </row>
    <row r="30" spans="2:13">
      <c r="B30" t="s">
        <v>12</v>
      </c>
      <c r="F30" t="s">
        <v>13</v>
      </c>
    </row>
    <row r="31" spans="2:13">
      <c r="B31" s="11">
        <f>B22</f>
        <v>9</v>
      </c>
      <c r="C31" s="11">
        <f>C23</f>
        <v>9</v>
      </c>
      <c r="D31" s="11">
        <f>D23</f>
        <v>27</v>
      </c>
      <c r="F31" s="2">
        <f>E23</f>
        <v>135</v>
      </c>
    </row>
    <row r="32" spans="2:13">
      <c r="B32" s="11">
        <f>C23</f>
        <v>9</v>
      </c>
      <c r="C32" s="11">
        <f>F23</f>
        <v>15</v>
      </c>
      <c r="D32" s="11">
        <f>G23</f>
        <v>33</v>
      </c>
      <c r="F32" s="2">
        <f>I23</f>
        <v>109</v>
      </c>
    </row>
    <row r="33" spans="2:7">
      <c r="B33" s="11">
        <f>D23</f>
        <v>27</v>
      </c>
      <c r="C33" s="11">
        <f>G23</f>
        <v>33</v>
      </c>
      <c r="D33" s="11">
        <f>H23</f>
        <v>117</v>
      </c>
      <c r="F33" s="2">
        <f>J23</f>
        <v>449</v>
      </c>
    </row>
    <row r="35" spans="2:7">
      <c r="B35" t="s">
        <v>14</v>
      </c>
      <c r="F35" t="s">
        <v>16</v>
      </c>
    </row>
    <row r="36" spans="2:7">
      <c r="B36" s="11">
        <f t="array" ref="B36:D38">MINVERSE(B31:D33)</f>
        <v>0.41111111111111109</v>
      </c>
      <c r="C36" s="11">
        <v>-0.10000000000000002</v>
      </c>
      <c r="D36" s="11">
        <v>-6.666666666666668E-2</v>
      </c>
      <c r="F36" s="11">
        <f t="array" ref="F36:F38">MMULT(B36:D38,F31:F33)</f>
        <v>14.666666666666654</v>
      </c>
      <c r="G36" s="11" t="s">
        <v>17</v>
      </c>
    </row>
    <row r="37" spans="2:7">
      <c r="B37" s="11">
        <v>-0.1</v>
      </c>
      <c r="C37" s="11">
        <v>0.2</v>
      </c>
      <c r="D37" s="11">
        <v>-3.3333333333333326E-2</v>
      </c>
      <c r="F37" s="11">
        <v>-6.6666666666666625</v>
      </c>
      <c r="G37" s="11" t="s">
        <v>18</v>
      </c>
    </row>
    <row r="38" spans="2:7">
      <c r="B38" s="11">
        <v>-6.6666666666666666E-2</v>
      </c>
      <c r="C38" s="11">
        <v>-3.3333333333333333E-2</v>
      </c>
      <c r="D38" s="11">
        <v>3.3333333333333333E-2</v>
      </c>
      <c r="F38" s="11">
        <v>2.3333333333333339</v>
      </c>
      <c r="G38" s="11" t="s">
        <v>19</v>
      </c>
    </row>
    <row r="41" spans="2:7">
      <c r="E41" t="s">
        <v>81</v>
      </c>
    </row>
    <row r="44" spans="2:7">
      <c r="B44" t="s">
        <v>67</v>
      </c>
      <c r="C44">
        <f>K23</f>
        <v>12.000000000000004</v>
      </c>
    </row>
    <row r="49" spans="2:9">
      <c r="B49" t="s">
        <v>29</v>
      </c>
      <c r="C49">
        <f>AVERAGE(E14:E22)</f>
        <v>15</v>
      </c>
    </row>
    <row r="51" spans="2:9">
      <c r="B51" t="s">
        <v>46</v>
      </c>
      <c r="C51">
        <f>(M23-C44)/M23</f>
        <v>0.95833333333333337</v>
      </c>
      <c r="D51" t="s">
        <v>82</v>
      </c>
    </row>
    <row r="52" spans="2:9">
      <c r="B52" t="s">
        <v>83</v>
      </c>
      <c r="C52">
        <f>SQRT(C51)</f>
        <v>0.97894501037256088</v>
      </c>
      <c r="D52" t="s">
        <v>84</v>
      </c>
    </row>
    <row r="55" spans="2:9">
      <c r="E55" t="s">
        <v>85</v>
      </c>
      <c r="I55" t="s">
        <v>101</v>
      </c>
    </row>
    <row r="59" spans="2:9">
      <c r="B59" t="s">
        <v>86</v>
      </c>
      <c r="C59">
        <f>SQRT(C44/(9-3))</f>
        <v>1.4142135623730951</v>
      </c>
    </row>
    <row r="62" spans="2:9">
      <c r="B62" s="1" t="s">
        <v>87</v>
      </c>
      <c r="C62" s="1">
        <v>2</v>
      </c>
      <c r="D62" s="13" t="s">
        <v>88</v>
      </c>
      <c r="E62" s="1"/>
    </row>
    <row r="63" spans="2:9">
      <c r="B63" s="1" t="s">
        <v>89</v>
      </c>
      <c r="C63" s="1">
        <v>9</v>
      </c>
      <c r="D63" t="s">
        <v>90</v>
      </c>
    </row>
  </sheetData>
  <mergeCells count="12">
    <mergeCell ref="K23:L23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A3D0-C84F-4F1B-8F32-6D4899C911DE}">
  <dimension ref="B11:N48"/>
  <sheetViews>
    <sheetView topLeftCell="A29" zoomScale="61" zoomScaleNormal="55" workbookViewId="0">
      <selection activeCell="F56" sqref="F56"/>
    </sheetView>
  </sheetViews>
  <sheetFormatPr baseColWidth="10" defaultRowHeight="14.4"/>
  <cols>
    <col min="10" max="10" width="22" customWidth="1"/>
    <col min="11" max="11" width="16.88671875" customWidth="1"/>
  </cols>
  <sheetData>
    <row r="11" spans="2:11">
      <c r="B11" s="11" t="s">
        <v>0</v>
      </c>
      <c r="C11" s="11" t="s">
        <v>1</v>
      </c>
      <c r="D11" s="11" t="s">
        <v>50</v>
      </c>
      <c r="E11" s="11" t="s">
        <v>3</v>
      </c>
      <c r="F11" s="11" t="s">
        <v>4</v>
      </c>
      <c r="G11" s="11" t="s">
        <v>5</v>
      </c>
      <c r="H11" s="11" t="s">
        <v>6</v>
      </c>
      <c r="I11" s="11" t="s">
        <v>7</v>
      </c>
      <c r="J11" s="26" t="s">
        <v>24</v>
      </c>
      <c r="K11" s="26" t="s">
        <v>102</v>
      </c>
    </row>
    <row r="12" spans="2:11">
      <c r="B12" s="11">
        <v>1</v>
      </c>
      <c r="C12" s="11">
        <v>0.2</v>
      </c>
      <c r="D12" s="11">
        <v>500</v>
      </c>
      <c r="E12" s="11">
        <f t="shared" ref="E12:E18" si="0">C12^2</f>
        <v>4.0000000000000008E-2</v>
      </c>
      <c r="F12" s="11">
        <f t="shared" ref="F12:F18" si="1">C12^3</f>
        <v>8.0000000000000019E-3</v>
      </c>
      <c r="G12" s="11">
        <f t="shared" ref="G12:G18" si="2">C12^4</f>
        <v>1.6000000000000007E-3</v>
      </c>
      <c r="H12" s="2">
        <f t="shared" ref="H12:H18" si="3">C12*D12</f>
        <v>100</v>
      </c>
      <c r="I12" s="2">
        <f t="shared" ref="I12:I18" si="4">E12*D12</f>
        <v>20.000000000000004</v>
      </c>
      <c r="J12" s="27">
        <f>(F36+$F$37*C12+$F$38*C12^2-D12)^2</f>
        <v>7100.1308023171496</v>
      </c>
      <c r="K12" s="27">
        <f>(D12-$L$32)^2</f>
        <v>1474489.7959183671</v>
      </c>
    </row>
    <row r="13" spans="2:11">
      <c r="B13" s="11">
        <v>2</v>
      </c>
      <c r="C13" s="11">
        <v>0.5</v>
      </c>
      <c r="D13" s="11">
        <v>700</v>
      </c>
      <c r="E13" s="11">
        <f t="shared" si="0"/>
        <v>0.25</v>
      </c>
      <c r="F13" s="11">
        <f t="shared" si="1"/>
        <v>0.125</v>
      </c>
      <c r="G13" s="11">
        <f t="shared" si="2"/>
        <v>6.25E-2</v>
      </c>
      <c r="H13" s="2">
        <f t="shared" si="3"/>
        <v>350</v>
      </c>
      <c r="I13" s="2">
        <f t="shared" si="4"/>
        <v>175</v>
      </c>
      <c r="J13" s="27">
        <f>(F36+$F$37*C13+$F$38*C13^2-D13)^2</f>
        <v>1969.9871460802447</v>
      </c>
      <c r="K13" s="27">
        <f>(D13-$L$32)^2</f>
        <v>1028775.5102040815</v>
      </c>
    </row>
    <row r="14" spans="2:11">
      <c r="B14" s="11">
        <v>3</v>
      </c>
      <c r="C14" s="11">
        <v>0.8</v>
      </c>
      <c r="D14" s="11">
        <v>1000</v>
      </c>
      <c r="E14" s="11">
        <f t="shared" si="0"/>
        <v>0.64000000000000012</v>
      </c>
      <c r="F14" s="11">
        <f t="shared" si="1"/>
        <v>0.51200000000000012</v>
      </c>
      <c r="G14" s="11">
        <f t="shared" si="2"/>
        <v>0.40960000000000019</v>
      </c>
      <c r="H14" s="2">
        <f t="shared" si="3"/>
        <v>800</v>
      </c>
      <c r="I14" s="2">
        <f t="shared" si="4"/>
        <v>640.00000000000011</v>
      </c>
      <c r="J14" s="27">
        <f>(F36+$F$37*C14+F38*C14^2-D14)^2</f>
        <v>23015.956677101796</v>
      </c>
      <c r="K14" s="27">
        <f t="shared" ref="K14:K18" si="5">(D14-$L$32)^2</f>
        <v>510204.08163265296</v>
      </c>
    </row>
    <row r="15" spans="2:11">
      <c r="B15" s="11">
        <v>4</v>
      </c>
      <c r="C15" s="11">
        <v>1.2</v>
      </c>
      <c r="D15" s="11">
        <v>1200</v>
      </c>
      <c r="E15" s="11">
        <f t="shared" si="0"/>
        <v>1.44</v>
      </c>
      <c r="F15" s="11">
        <f t="shared" si="1"/>
        <v>1.728</v>
      </c>
      <c r="G15" s="11">
        <f t="shared" si="2"/>
        <v>2.0735999999999999</v>
      </c>
      <c r="H15" s="2">
        <f t="shared" si="3"/>
        <v>1440</v>
      </c>
      <c r="I15" s="2">
        <f t="shared" si="4"/>
        <v>1728</v>
      </c>
      <c r="J15" s="27">
        <f>(F36+$F$37*C15+$F$38*C15^2-D15)^2</f>
        <v>8819.2877406583193</v>
      </c>
      <c r="K15" s="27">
        <f t="shared" si="5"/>
        <v>264489.79591836728</v>
      </c>
    </row>
    <row r="16" spans="2:11">
      <c r="B16" s="11">
        <v>5</v>
      </c>
      <c r="C16" s="11">
        <v>1.7</v>
      </c>
      <c r="D16" s="11">
        <v>2200</v>
      </c>
      <c r="E16" s="11">
        <f t="shared" si="0"/>
        <v>2.8899999999999997</v>
      </c>
      <c r="F16" s="11">
        <f t="shared" si="1"/>
        <v>4.9129999999999994</v>
      </c>
      <c r="G16" s="11">
        <f t="shared" si="2"/>
        <v>8.3520999999999983</v>
      </c>
      <c r="H16" s="2">
        <f t="shared" si="3"/>
        <v>3740</v>
      </c>
      <c r="I16" s="2">
        <f t="shared" si="4"/>
        <v>6357.9999999999991</v>
      </c>
      <c r="J16" s="27">
        <f>(F36+$F$37*C16+$F$38*C16^2-D16)^2</f>
        <v>2093.9200954814864</v>
      </c>
      <c r="K16" s="27">
        <f t="shared" si="5"/>
        <v>235918.36734693885</v>
      </c>
    </row>
    <row r="17" spans="2:14">
      <c r="B17" s="11">
        <v>6</v>
      </c>
      <c r="C17" s="11">
        <v>2</v>
      </c>
      <c r="D17" s="11">
        <v>2650</v>
      </c>
      <c r="E17" s="11">
        <f t="shared" si="0"/>
        <v>4</v>
      </c>
      <c r="F17" s="11">
        <f t="shared" si="1"/>
        <v>8</v>
      </c>
      <c r="G17" s="11">
        <f t="shared" si="2"/>
        <v>16</v>
      </c>
      <c r="H17" s="2">
        <f t="shared" si="3"/>
        <v>5300</v>
      </c>
      <c r="I17" s="2">
        <f t="shared" si="4"/>
        <v>10600</v>
      </c>
      <c r="J17" s="27">
        <f>(F36+$F$37*C17+$F$38*C17^2-D17)^2</f>
        <v>33196.848110026578</v>
      </c>
      <c r="K17" s="27">
        <f t="shared" si="5"/>
        <v>875561.22448979609</v>
      </c>
    </row>
    <row r="18" spans="2:14">
      <c r="B18" s="11">
        <v>7</v>
      </c>
      <c r="C18" s="11">
        <v>2.2999999999999998</v>
      </c>
      <c r="D18" s="11">
        <v>3750</v>
      </c>
      <c r="E18" s="11">
        <f t="shared" si="0"/>
        <v>5.2899999999999991</v>
      </c>
      <c r="F18" s="11">
        <f t="shared" si="1"/>
        <v>12.166999999999996</v>
      </c>
      <c r="G18" s="11">
        <f t="shared" si="2"/>
        <v>27.984099999999991</v>
      </c>
      <c r="H18" s="2">
        <f t="shared" si="3"/>
        <v>8625</v>
      </c>
      <c r="I18" s="2">
        <f t="shared" si="4"/>
        <v>19837.499999999996</v>
      </c>
      <c r="J18" s="27">
        <f>(F36+F37*C18+$F$38*C18^2-D18)^2</f>
        <v>14046.83461953699</v>
      </c>
      <c r="K18" s="27">
        <f t="shared" si="5"/>
        <v>4144132.6530612246</v>
      </c>
    </row>
    <row r="19" spans="2:14">
      <c r="B19" s="2" t="s">
        <v>65</v>
      </c>
      <c r="C19" s="11">
        <f t="shared" ref="C19:I19" si="6">SUM(C12:C18)</f>
        <v>8.6999999999999993</v>
      </c>
      <c r="D19" s="11">
        <f t="shared" si="6"/>
        <v>12000</v>
      </c>
      <c r="E19" s="11">
        <f t="shared" si="6"/>
        <v>14.549999999999999</v>
      </c>
      <c r="F19" s="11">
        <f t="shared" si="6"/>
        <v>27.452999999999996</v>
      </c>
      <c r="G19" s="11">
        <f t="shared" si="6"/>
        <v>54.883499999999991</v>
      </c>
      <c r="H19" s="11">
        <f t="shared" si="6"/>
        <v>20355</v>
      </c>
      <c r="I19" s="11">
        <f t="shared" si="6"/>
        <v>39358.5</v>
      </c>
      <c r="J19" s="28">
        <f t="shared" ref="J19:K19" si="7">SUM(J12:J18)</f>
        <v>90242.965191202573</v>
      </c>
      <c r="K19" s="28">
        <f t="shared" si="7"/>
        <v>8533571.4285714291</v>
      </c>
    </row>
    <row r="23" spans="2:14">
      <c r="B23" s="10" t="s">
        <v>38</v>
      </c>
    </row>
    <row r="24" spans="2:14">
      <c r="B24" t="s">
        <v>40</v>
      </c>
      <c r="N24" t="s">
        <v>81</v>
      </c>
    </row>
    <row r="27" spans="2:14">
      <c r="K27" t="s">
        <v>67</v>
      </c>
      <c r="L27" s="29">
        <f>J19</f>
        <v>90242.965191202573</v>
      </c>
    </row>
    <row r="30" spans="2:14">
      <c r="B30" t="s">
        <v>12</v>
      </c>
      <c r="F30" t="s">
        <v>13</v>
      </c>
    </row>
    <row r="31" spans="2:14">
      <c r="B31" s="11">
        <v>7</v>
      </c>
      <c r="C31" s="11">
        <f>C19</f>
        <v>8.6999999999999993</v>
      </c>
      <c r="D31" s="11">
        <f>E19</f>
        <v>14.549999999999999</v>
      </c>
      <c r="F31" s="11">
        <f>D19</f>
        <v>12000</v>
      </c>
    </row>
    <row r="32" spans="2:14">
      <c r="B32" s="11">
        <f>C19</f>
        <v>8.6999999999999993</v>
      </c>
      <c r="C32" s="11">
        <f>E19</f>
        <v>14.549999999999999</v>
      </c>
      <c r="D32" s="11">
        <f>F19</f>
        <v>27.452999999999996</v>
      </c>
      <c r="F32" s="11">
        <f>H19</f>
        <v>20355</v>
      </c>
      <c r="K32" t="s">
        <v>29</v>
      </c>
      <c r="L32">
        <f>AVERAGE(D12:D18)</f>
        <v>1714.2857142857142</v>
      </c>
    </row>
    <row r="33" spans="2:14">
      <c r="B33" s="11">
        <f>E19</f>
        <v>14.549999999999999</v>
      </c>
      <c r="C33" s="11">
        <f>F19</f>
        <v>27.452999999999996</v>
      </c>
      <c r="D33" s="11">
        <f>G19</f>
        <v>54.883499999999991</v>
      </c>
      <c r="F33" s="11">
        <f>I19</f>
        <v>39358.5</v>
      </c>
    </row>
    <row r="34" spans="2:14">
      <c r="K34" t="s">
        <v>46</v>
      </c>
      <c r="L34">
        <f>(K19-L27)/K19</f>
        <v>0.9894249475795025</v>
      </c>
      <c r="M34" t="s">
        <v>82</v>
      </c>
    </row>
    <row r="35" spans="2:14">
      <c r="B35" t="s">
        <v>14</v>
      </c>
      <c r="F35" t="s">
        <v>16</v>
      </c>
      <c r="K35" t="s">
        <v>83</v>
      </c>
      <c r="L35">
        <f>SQRT(L34)</f>
        <v>0.9946984204167123</v>
      </c>
      <c r="M35" t="s">
        <v>84</v>
      </c>
    </row>
    <row r="36" spans="2:14">
      <c r="B36" s="11">
        <f t="array" ref="B36:D38">MINVERSE(B31:D33)</f>
        <v>1.4919538084349433</v>
      </c>
      <c r="C36" s="11">
        <v>-2.5940277862533185</v>
      </c>
      <c r="D36" s="11">
        <v>0.90201821865012044</v>
      </c>
      <c r="F36" s="11">
        <f t="array" ref="F36:F38">MMULT(B36:D38,F31:F33)</f>
        <v>604.09417077378748</v>
      </c>
      <c r="G36" s="11" t="s">
        <v>17</v>
      </c>
    </row>
    <row r="37" spans="2:14">
      <c r="B37" s="11">
        <v>-2.5940277862533163</v>
      </c>
      <c r="C37" s="11">
        <v>5.7328641267128813</v>
      </c>
      <c r="D37" s="11">
        <v>-2.1799122610741475</v>
      </c>
      <c r="F37" s="11">
        <v>-233.96086328591628</v>
      </c>
      <c r="G37" s="11" t="s">
        <v>18</v>
      </c>
    </row>
    <row r="38" spans="2:14">
      <c r="B38" s="11">
        <v>0.90201821865012011</v>
      </c>
      <c r="C38" s="11">
        <v>-2.179912261074147</v>
      </c>
      <c r="D38" s="11">
        <v>0.86949203716798884</v>
      </c>
      <c r="F38" s="11">
        <v>674.00689451346989</v>
      </c>
      <c r="G38" s="11" t="s">
        <v>19</v>
      </c>
      <c r="N38" t="s">
        <v>85</v>
      </c>
    </row>
    <row r="42" spans="2:14">
      <c r="K42" t="s">
        <v>86</v>
      </c>
      <c r="L42">
        <f>SQRT(L27/(7-(2+1)))</f>
        <v>150.20233452846412</v>
      </c>
    </row>
    <row r="45" spans="2:14">
      <c r="K45" s="1" t="s">
        <v>87</v>
      </c>
      <c r="L45" s="1">
        <v>2</v>
      </c>
      <c r="M45" s="13" t="s">
        <v>88</v>
      </c>
      <c r="N45" s="1"/>
    </row>
    <row r="46" spans="2:14">
      <c r="K46" s="1" t="s">
        <v>89</v>
      </c>
      <c r="L46" s="1">
        <v>7</v>
      </c>
      <c r="M46" t="s">
        <v>90</v>
      </c>
    </row>
    <row r="48" spans="2:14">
      <c r="D48" t="s">
        <v>103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1D91-56F5-49EC-9780-067483B37C80}">
  <dimension ref="C17:M72"/>
  <sheetViews>
    <sheetView topLeftCell="F3" zoomScale="56" zoomScaleNormal="100" workbookViewId="0">
      <selection activeCell="N10" sqref="N10"/>
    </sheetView>
  </sheetViews>
  <sheetFormatPr baseColWidth="10" defaultRowHeight="14.4"/>
  <cols>
    <col min="2" max="2" width="11.5546875" customWidth="1"/>
  </cols>
  <sheetData>
    <row r="17" spans="3:13" ht="28.8">
      <c r="C17" s="39" t="s">
        <v>0</v>
      </c>
      <c r="D17" s="39" t="s">
        <v>1</v>
      </c>
      <c r="E17" s="39" t="s">
        <v>50</v>
      </c>
      <c r="F17" s="39" t="s">
        <v>3</v>
      </c>
      <c r="G17" s="39" t="s">
        <v>6</v>
      </c>
      <c r="H17" s="39" t="s">
        <v>23</v>
      </c>
      <c r="I17" s="39" t="s">
        <v>102</v>
      </c>
      <c r="J17" s="39" t="s">
        <v>104</v>
      </c>
      <c r="K17" s="40"/>
      <c r="L17" s="40"/>
      <c r="M17" s="38"/>
    </row>
    <row r="18" spans="3:13">
      <c r="C18" s="41">
        <v>1</v>
      </c>
      <c r="D18" s="41">
        <v>5.12</v>
      </c>
      <c r="E18" s="41">
        <v>2.2999999999999998</v>
      </c>
      <c r="F18" s="41">
        <f>D18^2</f>
        <v>26.214400000000001</v>
      </c>
      <c r="G18" s="41">
        <f>D18*E18</f>
        <v>11.776</v>
      </c>
      <c r="H18" s="42">
        <f>($G$41+$G$42*D18-E18)^2</f>
        <v>1.1014459466334452</v>
      </c>
      <c r="I18" s="42">
        <f>(E18-$D$57)^2</f>
        <v>13.024881000000006</v>
      </c>
      <c r="J18" s="42">
        <f>$G$41+$G$42*D18</f>
        <v>3.3494979497995434</v>
      </c>
      <c r="K18" s="40"/>
      <c r="L18" s="40"/>
      <c r="M18" s="38"/>
    </row>
    <row r="19" spans="3:13">
      <c r="C19" s="41">
        <v>2</v>
      </c>
      <c r="D19" s="41">
        <v>6.18</v>
      </c>
      <c r="E19" s="41">
        <v>2.54</v>
      </c>
      <c r="F19" s="41">
        <f>D19^2</f>
        <v>38.192399999999999</v>
      </c>
      <c r="G19" s="41">
        <f>D19*E19</f>
        <v>15.697199999999999</v>
      </c>
      <c r="H19" s="42">
        <f>($G$41+$G$42*D19-E19)^2</f>
        <v>6.2075811046031086</v>
      </c>
      <c r="I19" s="42">
        <f>(E19-$D$57)^2</f>
        <v>11.350161000000005</v>
      </c>
      <c r="J19" s="42">
        <f>$G$41+$G$42*D19</f>
        <v>5.0315017769616599</v>
      </c>
      <c r="K19" s="40"/>
      <c r="L19" s="40"/>
      <c r="M19" s="38"/>
    </row>
    <row r="20" spans="3:13">
      <c r="C20" s="41">
        <v>3</v>
      </c>
      <c r="D20" s="41">
        <v>6.77</v>
      </c>
      <c r="E20" s="41">
        <v>2.95</v>
      </c>
      <c r="F20" s="41">
        <f>D20^2</f>
        <v>45.832899999999995</v>
      </c>
      <c r="G20" s="41">
        <f>D20*E20</f>
        <v>19.971499999999999</v>
      </c>
      <c r="H20" s="42">
        <f>($G$41+$G$42*D20-E20)^2</f>
        <v>9.1065824216810807</v>
      </c>
      <c r="I20" s="42">
        <f>(E20-$D$57)^2</f>
        <v>8.7556810000000027</v>
      </c>
      <c r="J20" s="42">
        <f>$G$41+$G$42*D20</f>
        <v>5.9677114543443484</v>
      </c>
      <c r="K20" s="40"/>
      <c r="L20" s="40"/>
      <c r="M20" s="38"/>
    </row>
    <row r="21" spans="3:13">
      <c r="C21" s="41">
        <v>4</v>
      </c>
      <c r="D21" s="41">
        <v>6.65</v>
      </c>
      <c r="E21" s="41">
        <v>3.77</v>
      </c>
      <c r="F21" s="41">
        <f>D21^2</f>
        <v>44.222500000000004</v>
      </c>
      <c r="G21" s="41">
        <f>D21*E21</f>
        <v>25.070500000000003</v>
      </c>
      <c r="H21" s="42">
        <f>($G$41+$G$42*D21-E21)^2</f>
        <v>4.029236937511377</v>
      </c>
      <c r="I21" s="42">
        <f>(E21-$D$57)^2</f>
        <v>4.5753210000000033</v>
      </c>
      <c r="J21" s="42">
        <f>$G$41+$G$42*D21</f>
        <v>5.7772959267410915</v>
      </c>
      <c r="K21" s="40"/>
      <c r="L21" s="40"/>
      <c r="M21" s="38"/>
    </row>
    <row r="22" spans="3:13">
      <c r="C22" s="41">
        <v>5</v>
      </c>
      <c r="D22" s="41">
        <v>6.36</v>
      </c>
      <c r="E22" s="41">
        <v>4.18</v>
      </c>
      <c r="F22" s="41">
        <f>D22^2</f>
        <v>40.449600000000004</v>
      </c>
      <c r="G22" s="41">
        <f>D22*E22</f>
        <v>26.584799999999998</v>
      </c>
      <c r="H22" s="42">
        <f>($G$41+$G$42*D22-E22)^2</f>
        <v>1.2930534211076288</v>
      </c>
      <c r="I22" s="42">
        <f>(E22-$D$57)^2</f>
        <v>2.9894410000000033</v>
      </c>
      <c r="J22" s="42">
        <f>$G$41+$G$42*D22</f>
        <v>5.3171250683665487</v>
      </c>
      <c r="K22" s="40"/>
      <c r="L22" s="40"/>
      <c r="M22" s="38"/>
    </row>
    <row r="23" spans="3:13">
      <c r="C23" s="41">
        <v>6</v>
      </c>
      <c r="D23" s="41">
        <v>5.9</v>
      </c>
      <c r="E23" s="41">
        <v>5.31</v>
      </c>
      <c r="F23" s="41">
        <f>D23^2</f>
        <v>34.81</v>
      </c>
      <c r="G23" s="41">
        <f>D23*E23</f>
        <v>31.329000000000001</v>
      </c>
      <c r="H23" s="42">
        <f>($G$41+$G$42*D23-E23)^2</f>
        <v>0.52244146019977489</v>
      </c>
      <c r="I23" s="42">
        <f>(E23-$D$57)^2</f>
        <v>0.35880100000000131</v>
      </c>
      <c r="J23" s="42">
        <f>$G$41+$G$42*D23</f>
        <v>4.5871988792207254</v>
      </c>
      <c r="K23" s="40"/>
      <c r="L23" s="40"/>
      <c r="M23" s="38"/>
    </row>
    <row r="24" spans="3:13">
      <c r="C24" s="41">
        <v>7</v>
      </c>
      <c r="D24" s="41">
        <v>5.48</v>
      </c>
      <c r="E24" s="41">
        <v>5.53</v>
      </c>
      <c r="F24" s="41">
        <f>D24^2</f>
        <v>30.030400000000004</v>
      </c>
      <c r="G24" s="41">
        <f>D24*E24</f>
        <v>30.304400000000005</v>
      </c>
      <c r="H24" s="42">
        <f>($G$41+$G$42*D24-E24)^2</f>
        <v>2.589703159326799</v>
      </c>
      <c r="I24" s="42">
        <f>(E24-$D$57)^2</f>
        <v>0.14364100000000035</v>
      </c>
      <c r="J24" s="42">
        <f>$G$41+$G$42*D24</f>
        <v>3.9207445326093193</v>
      </c>
      <c r="K24" s="40"/>
      <c r="L24" s="40"/>
      <c r="M24" s="38"/>
    </row>
    <row r="25" spans="3:13">
      <c r="C25" s="41">
        <v>8</v>
      </c>
      <c r="D25" s="41">
        <v>6.02</v>
      </c>
      <c r="E25" s="41">
        <v>8.83</v>
      </c>
      <c r="F25" s="41">
        <f>D25^2</f>
        <v>36.240399999999994</v>
      </c>
      <c r="G25" s="41">
        <f>D25*E25</f>
        <v>53.156599999999997</v>
      </c>
      <c r="H25" s="42">
        <f>($G$41+$G$42*D25-E25)^2</f>
        <v>16.421828995780544</v>
      </c>
      <c r="I25" s="42">
        <f>(E25-$D$57)^2</f>
        <v>8.5322409999999955</v>
      </c>
      <c r="J25" s="42">
        <f>$G$41+$G$42*D25</f>
        <v>4.7776144068239823</v>
      </c>
      <c r="K25" s="40"/>
      <c r="L25" s="40"/>
      <c r="M25" s="38"/>
    </row>
    <row r="26" spans="3:13">
      <c r="C26" s="41">
        <v>9</v>
      </c>
      <c r="D26" s="41">
        <v>10.34</v>
      </c>
      <c r="E26" s="41">
        <v>9.48</v>
      </c>
      <c r="F26" s="41">
        <f>D26^2</f>
        <v>106.9156</v>
      </c>
      <c r="G26" s="41">
        <f>D26*E26</f>
        <v>98.023200000000003</v>
      </c>
      <c r="H26" s="42">
        <f>($G$41+$G$42*D26-E26)^2</f>
        <v>4.6335722447178895</v>
      </c>
      <c r="I26" s="42">
        <f>(E26-$D$57)^2</f>
        <v>12.752040999999998</v>
      </c>
      <c r="J26" s="42">
        <f>$G$41+$G$42*D26</f>
        <v>11.63257340054129</v>
      </c>
      <c r="K26" s="40"/>
      <c r="L26" s="40"/>
      <c r="M26" s="38"/>
    </row>
    <row r="27" spans="3:13">
      <c r="C27" s="41">
        <v>10</v>
      </c>
      <c r="D27" s="41">
        <v>8.51</v>
      </c>
      <c r="E27" s="41">
        <v>14.2</v>
      </c>
      <c r="F27" s="41">
        <f>D27^2</f>
        <v>72.420099999999991</v>
      </c>
      <c r="G27" s="41">
        <f>D27*E27</f>
        <v>120.84199999999998</v>
      </c>
      <c r="H27" s="42">
        <f>($G$41+$G$42*D27-E27)^2</f>
        <v>29.934723141935873</v>
      </c>
      <c r="I27" s="42">
        <f>(E27-$D$57)^2</f>
        <v>68.740680999999981</v>
      </c>
      <c r="J27" s="42">
        <f>$G$41+$G$42*D27</f>
        <v>8.7287366045915977</v>
      </c>
      <c r="K27" s="40"/>
      <c r="L27" s="40"/>
      <c r="M27" s="38"/>
    </row>
    <row r="28" spans="3:13">
      <c r="C28" s="41" t="s">
        <v>10</v>
      </c>
      <c r="D28" s="41">
        <f>SUM(D18:D27)</f>
        <v>67.33</v>
      </c>
      <c r="E28" s="41">
        <f>SUM(E18:E27)</f>
        <v>59.09</v>
      </c>
      <c r="F28" s="41">
        <f>SUM(F18:F27)</f>
        <v>475.32830000000001</v>
      </c>
      <c r="G28" s="41">
        <f>SUM(G18:G27)</f>
        <v>432.7552</v>
      </c>
      <c r="H28" s="41">
        <f>SUM(H18:H27)</f>
        <v>75.840168833497515</v>
      </c>
      <c r="I28" s="41">
        <f>SUM(I18:I27)</f>
        <v>131.22289000000001</v>
      </c>
      <c r="J28" s="41"/>
      <c r="K28" s="40"/>
      <c r="L28" s="40"/>
      <c r="M28" s="38"/>
    </row>
    <row r="29" spans="3:13"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38"/>
    </row>
    <row r="30" spans="3:13">
      <c r="C30" s="40" t="s">
        <v>20</v>
      </c>
      <c r="D30" s="40"/>
      <c r="E30" s="40"/>
      <c r="F30" s="40"/>
      <c r="G30" s="40"/>
      <c r="H30" s="40"/>
      <c r="I30" s="40"/>
      <c r="J30" s="40"/>
      <c r="K30" s="40"/>
      <c r="L30" s="40"/>
      <c r="M30" s="38"/>
    </row>
    <row r="31" spans="3:13" ht="30" customHeight="1"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38"/>
    </row>
    <row r="32" spans="3:13"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38"/>
    </row>
    <row r="33" spans="3:13"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38"/>
    </row>
    <row r="34" spans="3:13"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38"/>
    </row>
    <row r="35" spans="3:13"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38"/>
    </row>
    <row r="36" spans="3:13">
      <c r="C36" s="40" t="s">
        <v>12</v>
      </c>
      <c r="D36" s="40"/>
      <c r="E36" s="40"/>
      <c r="F36" s="40" t="s">
        <v>13</v>
      </c>
      <c r="G36" s="40"/>
      <c r="H36" s="40"/>
      <c r="I36" s="40"/>
      <c r="J36" s="40"/>
      <c r="K36" s="40"/>
      <c r="L36" s="40"/>
      <c r="M36" s="38"/>
    </row>
    <row r="37" spans="3:13">
      <c r="C37" s="41">
        <f>COUNT(D18:D27)</f>
        <v>10</v>
      </c>
      <c r="D37" s="41">
        <f>D28</f>
        <v>67.33</v>
      </c>
      <c r="E37" s="40"/>
      <c r="F37" s="41">
        <f>E28</f>
        <v>59.09</v>
      </c>
      <c r="G37" s="40"/>
      <c r="H37" s="40"/>
      <c r="I37" s="40"/>
      <c r="J37" s="40"/>
      <c r="K37" s="40"/>
      <c r="L37" s="40"/>
      <c r="M37" s="38"/>
    </row>
    <row r="38" spans="3:13">
      <c r="C38" s="41">
        <f>D28</f>
        <v>67.33</v>
      </c>
      <c r="D38" s="41">
        <f>F28</f>
        <v>475.32830000000001</v>
      </c>
      <c r="E38" s="40"/>
      <c r="F38" s="41">
        <f>G28</f>
        <v>432.7552</v>
      </c>
      <c r="G38" s="40"/>
      <c r="H38" s="40"/>
      <c r="I38" s="40"/>
      <c r="J38" s="40"/>
      <c r="K38" s="40"/>
      <c r="L38" s="40"/>
      <c r="M38" s="38"/>
    </row>
    <row r="39" spans="3:13"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38"/>
    </row>
    <row r="40" spans="3:13">
      <c r="C40" s="40" t="s">
        <v>41</v>
      </c>
      <c r="D40" s="40"/>
      <c r="E40" s="40"/>
      <c r="F40" s="40"/>
      <c r="G40" s="40" t="s">
        <v>16</v>
      </c>
      <c r="H40" s="40"/>
      <c r="I40" s="40"/>
      <c r="J40" s="40"/>
      <c r="K40" s="40"/>
      <c r="L40" s="40"/>
      <c r="M40" s="38"/>
    </row>
    <row r="41" spans="3:13">
      <c r="C41" s="43">
        <f t="array" ref="C41:D42">MINVERSE(C37:D38)</f>
        <v>2.1610340521045033</v>
      </c>
      <c r="D41" s="43">
        <v>-0.30610932008087083</v>
      </c>
      <c r="E41" s="40"/>
      <c r="F41" s="40"/>
      <c r="G41" s="43">
        <f t="array" ref="G41:G42">MMULT(_xlfn.ANCHORARRAY(C41),F37:F38)</f>
        <v>-4.7748978946061555</v>
      </c>
      <c r="H41" s="40" t="s">
        <v>17</v>
      </c>
      <c r="I41" s="40"/>
      <c r="J41" s="40"/>
      <c r="K41" s="40"/>
      <c r="L41" s="40"/>
      <c r="M41" s="38"/>
    </row>
    <row r="42" spans="3:13">
      <c r="C42" s="43">
        <v>-0.30610932008087083</v>
      </c>
      <c r="D42" s="43">
        <v>4.5464030904629561E-2</v>
      </c>
      <c r="E42" s="40"/>
      <c r="F42" s="40"/>
      <c r="G42" s="43">
        <v>1.5867960633604881</v>
      </c>
      <c r="H42" s="40" t="s">
        <v>18</v>
      </c>
      <c r="I42" s="40"/>
      <c r="J42" s="40"/>
      <c r="K42" s="40"/>
      <c r="L42" s="40"/>
      <c r="M42" s="38"/>
    </row>
    <row r="43" spans="3:13">
      <c r="C43" s="44"/>
      <c r="D43" s="44"/>
      <c r="E43" s="40"/>
      <c r="F43" s="40"/>
      <c r="G43" s="44"/>
      <c r="H43" s="40"/>
      <c r="I43" s="40"/>
      <c r="J43" s="40"/>
      <c r="K43" s="40"/>
      <c r="L43" s="40"/>
      <c r="M43" s="38"/>
    </row>
    <row r="44" spans="3:13"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38"/>
    </row>
    <row r="45" spans="3:13"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38"/>
    </row>
    <row r="46" spans="3:13"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38"/>
    </row>
    <row r="47" spans="3:13"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38"/>
    </row>
    <row r="48" spans="3:13"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38"/>
    </row>
    <row r="49" spans="3:13"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38"/>
    </row>
    <row r="50" spans="3:13">
      <c r="C50" s="40" t="s">
        <v>67</v>
      </c>
      <c r="D50" s="45">
        <f>H28</f>
        <v>75.840168833497515</v>
      </c>
      <c r="E50" s="40"/>
      <c r="F50" s="40"/>
      <c r="G50" s="40"/>
      <c r="H50" s="40"/>
      <c r="I50" s="40"/>
      <c r="J50" s="40"/>
      <c r="K50" s="40"/>
      <c r="L50" s="40"/>
      <c r="M50" s="38"/>
    </row>
    <row r="51" spans="3:13">
      <c r="C51" s="40"/>
      <c r="D51" s="45"/>
      <c r="E51" s="40"/>
      <c r="F51" s="40"/>
      <c r="G51" s="40"/>
      <c r="H51" s="40"/>
      <c r="I51" s="40"/>
      <c r="J51" s="40"/>
      <c r="K51" s="40"/>
      <c r="L51" s="40"/>
      <c r="M51" s="38"/>
    </row>
    <row r="52" spans="3:13">
      <c r="C52" s="40"/>
      <c r="D52" s="45"/>
      <c r="E52" s="40"/>
      <c r="F52" s="40"/>
      <c r="G52" s="40"/>
      <c r="H52" s="40"/>
      <c r="I52" s="40"/>
      <c r="J52" s="40"/>
      <c r="K52" s="40"/>
      <c r="L52" s="40"/>
      <c r="M52" s="38"/>
    </row>
    <row r="53" spans="3:13">
      <c r="C53" s="40"/>
      <c r="D53" s="45"/>
      <c r="E53" s="40"/>
      <c r="F53" s="40"/>
      <c r="G53" s="40"/>
      <c r="H53" s="40"/>
      <c r="I53" s="40"/>
      <c r="J53" s="40"/>
      <c r="K53" s="40"/>
      <c r="L53" s="40"/>
      <c r="M53" s="38"/>
    </row>
    <row r="54" spans="3:13">
      <c r="C54" s="40"/>
      <c r="D54" s="45"/>
      <c r="E54" s="40"/>
      <c r="F54" s="40"/>
      <c r="G54" s="40"/>
      <c r="H54" s="40"/>
      <c r="I54" s="40"/>
      <c r="J54" s="40"/>
      <c r="K54" s="40"/>
      <c r="L54" s="40"/>
      <c r="M54" s="38"/>
    </row>
    <row r="55" spans="3:13">
      <c r="C55" s="40"/>
      <c r="D55" s="45"/>
      <c r="E55" s="40"/>
      <c r="F55" s="40"/>
      <c r="G55" s="40"/>
      <c r="H55" s="40"/>
      <c r="I55" s="40"/>
      <c r="J55" s="40"/>
      <c r="K55" s="40"/>
      <c r="L55" s="40"/>
      <c r="M55" s="38"/>
    </row>
    <row r="56" spans="3:13">
      <c r="C56" s="40"/>
      <c r="D56" s="45"/>
      <c r="E56" s="40"/>
      <c r="F56" s="40"/>
      <c r="G56" s="40"/>
      <c r="H56" s="40"/>
      <c r="I56" s="40"/>
      <c r="J56" s="40"/>
      <c r="K56" s="40"/>
      <c r="L56" s="40"/>
      <c r="M56" s="38"/>
    </row>
    <row r="57" spans="3:13">
      <c r="C57" s="40" t="s">
        <v>29</v>
      </c>
      <c r="D57" s="45">
        <f>AVERAGE(E18:E27)</f>
        <v>5.9090000000000007</v>
      </c>
      <c r="E57" s="40"/>
      <c r="F57" s="40"/>
      <c r="G57" s="40"/>
      <c r="H57" s="40"/>
      <c r="I57" s="40"/>
      <c r="J57" s="40"/>
      <c r="K57" s="40"/>
      <c r="L57" s="40"/>
      <c r="M57" s="38"/>
    </row>
    <row r="58" spans="3:13">
      <c r="C58" s="40" t="s">
        <v>46</v>
      </c>
      <c r="D58" s="45">
        <f>(I28-D50)/I28</f>
        <v>0.42205076543050141</v>
      </c>
      <c r="E58" s="40"/>
      <c r="F58" s="40"/>
      <c r="G58" s="40"/>
      <c r="H58" s="40"/>
      <c r="I58" s="40"/>
      <c r="J58" s="40"/>
      <c r="K58" s="40"/>
      <c r="L58" s="40"/>
      <c r="M58" s="38"/>
    </row>
    <row r="59" spans="3:13">
      <c r="C59" s="40" t="s">
        <v>83</v>
      </c>
      <c r="D59" s="45">
        <f>SIGN(G42)*SQRT(D58)</f>
        <v>0.64965434303982095</v>
      </c>
      <c r="E59" s="40"/>
      <c r="F59" s="40"/>
      <c r="G59" s="40"/>
      <c r="H59" s="40"/>
      <c r="I59" s="40"/>
      <c r="J59" s="40"/>
      <c r="K59" s="40"/>
      <c r="L59" s="40"/>
      <c r="M59" s="38"/>
    </row>
    <row r="60" spans="3:13"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38"/>
    </row>
    <row r="61" spans="3:13">
      <c r="C61" s="40" t="s">
        <v>105</v>
      </c>
      <c r="D61" s="40"/>
      <c r="E61" s="40"/>
      <c r="F61" s="40"/>
      <c r="G61" s="40"/>
      <c r="H61" s="40"/>
      <c r="I61" s="40"/>
      <c r="J61" s="40"/>
      <c r="K61" s="40"/>
      <c r="L61" s="40"/>
      <c r="M61" s="38"/>
    </row>
    <row r="62" spans="3:13">
      <c r="C62" s="40" t="s">
        <v>106</v>
      </c>
      <c r="D62" s="45">
        <f>G41+G42*6.1</f>
        <v>4.9045580918928202</v>
      </c>
      <c r="E62" s="40"/>
      <c r="F62" s="40"/>
      <c r="G62" s="40"/>
      <c r="H62" s="40"/>
      <c r="I62" s="40"/>
      <c r="J62" s="40"/>
      <c r="K62" s="40"/>
      <c r="L62" s="40"/>
      <c r="M62" s="38"/>
    </row>
    <row r="63" spans="3:13"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38"/>
    </row>
    <row r="64" spans="3:13">
      <c r="C64" s="40" t="s">
        <v>107</v>
      </c>
      <c r="D64" s="40" t="str">
        <f>"P1(x) = "&amp;TEXT(G41,"0.0000")&amp;" + "&amp;TEXT(G42,"0.0000")&amp;" x"</f>
        <v>P1(x) = -4.7749 + 1.5868 x</v>
      </c>
      <c r="E64" s="40"/>
      <c r="F64" s="40"/>
      <c r="G64" s="40"/>
      <c r="H64" s="40"/>
      <c r="I64" s="40"/>
      <c r="J64" s="40"/>
      <c r="K64" s="40"/>
      <c r="L64" s="40"/>
      <c r="M64" s="38"/>
    </row>
    <row r="65" spans="3:13"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38"/>
    </row>
    <row r="66" spans="3:13">
      <c r="C66" s="40" t="s">
        <v>108</v>
      </c>
      <c r="D66" s="40"/>
      <c r="E66" s="40"/>
      <c r="F66" s="40"/>
      <c r="G66" s="40"/>
      <c r="H66" s="40"/>
      <c r="I66" s="40"/>
      <c r="J66" s="40"/>
      <c r="K66" s="40"/>
      <c r="L66" s="40"/>
      <c r="M66" s="38"/>
    </row>
    <row r="67" spans="3:13">
      <c r="C67" s="46" t="str">
        <f>"a) El diagrama de dispersion esta en el grafico. La nube de puntos sube, con bastante dispersion."</f>
        <v>a) El diagrama de dispersion esta en el grafico. La nube de puntos sube, con bastante dispersion.</v>
      </c>
      <c r="D67" s="46"/>
      <c r="E67" s="46"/>
      <c r="F67" s="46"/>
      <c r="G67" s="46"/>
      <c r="H67" s="46"/>
      <c r="I67" s="46"/>
      <c r="J67" s="46"/>
      <c r="K67" s="40"/>
      <c r="L67" s="40"/>
      <c r="M67" s="38"/>
    </row>
    <row r="68" spans="3:13">
      <c r="C68" s="46" t="str">
        <f>"b) Si hay evidencia de relacion lineal positiva, pero moderada. r = "&amp;TEXT(D59,"0.0000")&amp;" y R^2 = "&amp;TEXT(D58,"0.0000")&amp;". La pendiente a1 = "&amp;TEXT(G42,"0.0000")&amp;" es positiva: al subir el colesterol tienden a subir los trigliceridos. El ajuste no es fuerte."</f>
        <v>b) Si hay evidencia de relacion lineal positiva, pero moderada. r = 0.6497 y R^2 = 0.4221. La pendiente a1 = 1.5868 es positiva: al subir el colesterol tienden a subir los trigliceridos. El ajuste no es fuerte.</v>
      </c>
      <c r="D68" s="46"/>
      <c r="E68" s="46"/>
      <c r="F68" s="46"/>
      <c r="G68" s="46"/>
      <c r="H68" s="46"/>
      <c r="I68" s="46"/>
      <c r="J68" s="46"/>
      <c r="K68" s="40"/>
      <c r="L68" s="40"/>
      <c r="M68" s="38"/>
    </row>
    <row r="69" spans="3:13">
      <c r="C69" s="46" t="str">
        <f>"c) Si el colesterol es 6,10 mmol/l, los trigliceridos estimados son "&amp;TEXT(D62,"0.0000")&amp;" mmol/l."</f>
        <v>c) Si el colesterol es 6,10 mmol/l, los trigliceridos estimados son 4.9046 mmol/l.</v>
      </c>
      <c r="D69" s="46"/>
      <c r="E69" s="46"/>
      <c r="F69" s="46"/>
      <c r="G69" s="46"/>
      <c r="H69" s="46"/>
      <c r="I69" s="46"/>
      <c r="J69" s="46"/>
      <c r="K69" s="40"/>
      <c r="L69" s="40"/>
      <c r="M69" s="38"/>
    </row>
    <row r="70" spans="3:13">
      <c r="C70" s="46" t="str">
        <f>"d) El porcentaje de variacion de trigliceridos explicada por el colesterol es "&amp;TEXT(D58*100,"0.00")&amp;" %."</f>
        <v>d) El porcentaje de variacion de trigliceridos explicada por el colesterol es 42.21 %.</v>
      </c>
      <c r="D70" s="46"/>
      <c r="E70" s="46"/>
      <c r="F70" s="46"/>
      <c r="G70" s="46"/>
      <c r="H70" s="46"/>
      <c r="I70" s="46"/>
      <c r="J70" s="46"/>
      <c r="K70" s="40"/>
      <c r="L70" s="40"/>
      <c r="M70" s="38"/>
    </row>
    <row r="71" spans="3:13"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38"/>
    </row>
    <row r="72" spans="3:13"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38"/>
    </row>
  </sheetData>
  <mergeCells count="4">
    <mergeCell ref="C67:J67"/>
    <mergeCell ref="C68:J68"/>
    <mergeCell ref="C69:J69"/>
    <mergeCell ref="C70:J7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72E10-D904-453A-829D-5463DA08F109}">
  <dimension ref="B18:J78"/>
  <sheetViews>
    <sheetView topLeftCell="C94" zoomScale="55" zoomScaleNormal="55" workbookViewId="0">
      <selection activeCell="K142" sqref="K142"/>
    </sheetView>
  </sheetViews>
  <sheetFormatPr baseColWidth="10" defaultRowHeight="14.4"/>
  <cols>
    <col min="8" max="8" width="17.6640625" customWidth="1"/>
    <col min="9" max="9" width="17" customWidth="1"/>
  </cols>
  <sheetData>
    <row r="18" spans="2:10" ht="28.8">
      <c r="B18" s="38"/>
      <c r="C18" s="53" t="s">
        <v>0</v>
      </c>
      <c r="D18" s="53" t="s">
        <v>109</v>
      </c>
      <c r="E18" s="53" t="s">
        <v>110</v>
      </c>
      <c r="F18" s="53" t="s">
        <v>3</v>
      </c>
      <c r="G18" s="53" t="s">
        <v>6</v>
      </c>
      <c r="H18" s="53" t="s">
        <v>23</v>
      </c>
      <c r="I18" s="53" t="s">
        <v>102</v>
      </c>
      <c r="J18" s="53" t="s">
        <v>111</v>
      </c>
    </row>
    <row r="19" spans="2:10">
      <c r="B19" s="38"/>
      <c r="C19" s="47">
        <v>1</v>
      </c>
      <c r="D19" s="47">
        <v>0</v>
      </c>
      <c r="E19" s="47">
        <v>66.7</v>
      </c>
      <c r="F19" s="47">
        <f>D19^2</f>
        <v>0</v>
      </c>
      <c r="G19" s="47">
        <f>D19*E19</f>
        <v>0</v>
      </c>
      <c r="H19" s="48">
        <f>($G$42+$G$43*D19-E19)^2</f>
        <v>0.64639135655666446</v>
      </c>
      <c r="I19" s="48">
        <f>(E19-$D$55)^2</f>
        <v>551.20604938271583</v>
      </c>
      <c r="J19" s="48">
        <f>$G$42+$G$43*D19</f>
        <v>67.503984674329473</v>
      </c>
    </row>
    <row r="20" spans="2:10">
      <c r="B20" s="38"/>
      <c r="C20" s="47">
        <v>2</v>
      </c>
      <c r="D20" s="47">
        <v>4</v>
      </c>
      <c r="E20" s="47">
        <v>71</v>
      </c>
      <c r="F20" s="47">
        <f>D20^2</f>
        <v>16</v>
      </c>
      <c r="G20" s="47">
        <f>D20*E20</f>
        <v>284</v>
      </c>
      <c r="H20" s="48">
        <f>($G$42+$G$43*D20-E20)^2</f>
        <v>5.9899296839758208E-5</v>
      </c>
      <c r="I20" s="48">
        <f>(E20-$D$55)^2</f>
        <v>367.78716049382712</v>
      </c>
      <c r="J20" s="48">
        <f>$G$42+$G$43*D20</f>
        <v>70.992260536398447</v>
      </c>
    </row>
    <row r="21" spans="2:10">
      <c r="B21" s="38"/>
      <c r="C21" s="47">
        <v>3</v>
      </c>
      <c r="D21" s="47">
        <v>10</v>
      </c>
      <c r="E21" s="47">
        <v>76.3</v>
      </c>
      <c r="F21" s="47">
        <f>D21^2</f>
        <v>100</v>
      </c>
      <c r="G21" s="47">
        <f>D21*E21</f>
        <v>763</v>
      </c>
      <c r="H21" s="48">
        <f>($G$42+$G$43*D21-E21)^2</f>
        <v>5.6739566359887365E-3</v>
      </c>
      <c r="I21" s="48">
        <f>(E21-$D$55)^2</f>
        <v>192.59271604938277</v>
      </c>
      <c r="J21" s="48">
        <f>$G$42+$G$43*D21</f>
        <v>76.224674329501894</v>
      </c>
    </row>
    <row r="22" spans="2:10">
      <c r="B22" s="38"/>
      <c r="C22" s="47">
        <v>4</v>
      </c>
      <c r="D22" s="47">
        <v>15</v>
      </c>
      <c r="E22" s="47">
        <v>80.599999999999994</v>
      </c>
      <c r="F22" s="47">
        <f>D22^2</f>
        <v>225</v>
      </c>
      <c r="G22" s="47">
        <f>D22*E22</f>
        <v>1209</v>
      </c>
      <c r="H22" s="48">
        <f>($G$42+$G$43*D22-E22)^2</f>
        <v>2.2442565435048709E-4</v>
      </c>
      <c r="I22" s="48">
        <f>(E22-$D$55)^2</f>
        <v>91.733827160493931</v>
      </c>
      <c r="J22" s="48">
        <f>$G$42+$G$43*D22</f>
        <v>80.585019157088112</v>
      </c>
    </row>
    <row r="23" spans="2:10">
      <c r="B23" s="38"/>
      <c r="C23" s="47">
        <v>5</v>
      </c>
      <c r="D23" s="47">
        <v>21</v>
      </c>
      <c r="E23" s="47">
        <v>85.7</v>
      </c>
      <c r="F23" s="47">
        <f>D23^2</f>
        <v>441</v>
      </c>
      <c r="G23" s="47">
        <f>D23*E23</f>
        <v>1799.7</v>
      </c>
      <c r="H23" s="48">
        <f>($G$42+$G$43*D23-E23)^2</f>
        <v>1.3790497790695935E-2</v>
      </c>
      <c r="I23" s="48">
        <f>(E23-$D$55)^2</f>
        <v>20.050493827160462</v>
      </c>
      <c r="J23" s="48">
        <f>$G$42+$G$43*D23</f>
        <v>85.817432950191574</v>
      </c>
    </row>
    <row r="24" spans="2:10">
      <c r="B24" s="38"/>
      <c r="C24" s="47">
        <v>6</v>
      </c>
      <c r="D24" s="47">
        <v>29</v>
      </c>
      <c r="E24" s="47">
        <v>92.9</v>
      </c>
      <c r="F24" s="47">
        <f>D24^2</f>
        <v>841</v>
      </c>
      <c r="G24" s="47">
        <f>D24*E24</f>
        <v>2694.1000000000004</v>
      </c>
      <c r="H24" s="48">
        <f>($G$42+$G$43*D24-E24)^2</f>
        <v>1.1239249277021725E-2</v>
      </c>
      <c r="I24" s="48">
        <f>(E24-$D$55)^2</f>
        <v>7.4104938271605283</v>
      </c>
      <c r="J24" s="48">
        <f>$G$42+$G$43*D24</f>
        <v>92.793984674329508</v>
      </c>
    </row>
    <row r="25" spans="2:10">
      <c r="B25" s="38"/>
      <c r="C25" s="47">
        <v>7</v>
      </c>
      <c r="D25" s="47">
        <v>36</v>
      </c>
      <c r="E25" s="47">
        <v>99.4</v>
      </c>
      <c r="F25" s="47">
        <f>D25^2</f>
        <v>1296</v>
      </c>
      <c r="G25" s="47">
        <f>D25*E25</f>
        <v>3578.4</v>
      </c>
      <c r="H25" s="48">
        <f>($G$42+$G$43*D25-E25)^2</f>
        <v>0.25153491581155513</v>
      </c>
      <c r="I25" s="48">
        <f>(E25-$D$55)^2</f>
        <v>85.049382716049493</v>
      </c>
      <c r="J25" s="48">
        <f>$G$42+$G$43*D25</f>
        <v>98.898467432950213</v>
      </c>
    </row>
    <row r="26" spans="2:10">
      <c r="B26" s="38"/>
      <c r="C26" s="47">
        <v>8</v>
      </c>
      <c r="D26" s="47">
        <v>51</v>
      </c>
      <c r="E26" s="47">
        <v>114</v>
      </c>
      <c r="F26" s="47">
        <f>D26^2</f>
        <v>2601</v>
      </c>
      <c r="G26" s="47">
        <f>D26*E26</f>
        <v>5814</v>
      </c>
      <c r="H26" s="48">
        <f>($G$42+$G$43*D26-E26)^2</f>
        <v>4.0824125086241994</v>
      </c>
      <c r="I26" s="48">
        <f>(E26-$D$55)^2</f>
        <v>567.49827160493828</v>
      </c>
      <c r="J26" s="48">
        <f>$G$42+$G$43*D26</f>
        <v>111.97950191570885</v>
      </c>
    </row>
    <row r="27" spans="2:10">
      <c r="B27" s="38"/>
      <c r="C27" s="47">
        <v>9</v>
      </c>
      <c r="D27" s="47">
        <v>68</v>
      </c>
      <c r="E27" s="47">
        <v>125</v>
      </c>
      <c r="F27" s="47">
        <f>D27^2</f>
        <v>4624</v>
      </c>
      <c r="G27" s="47">
        <f>D27*E27</f>
        <v>8500</v>
      </c>
      <c r="H27" s="48">
        <f>($G$42+$G$43*D27-E27)^2</f>
        <v>3.2568494355634141</v>
      </c>
      <c r="I27" s="48">
        <f>(E27-$D$55)^2</f>
        <v>1212.5871604938272</v>
      </c>
      <c r="J27" s="48">
        <f>$G$42+$G$43*D27</f>
        <v>126.80467432950198</v>
      </c>
    </row>
    <row r="28" spans="2:10">
      <c r="B28" s="38"/>
      <c r="C28" s="49" t="s">
        <v>10</v>
      </c>
      <c r="D28" s="49">
        <f>SUM(D19:D27)</f>
        <v>234</v>
      </c>
      <c r="E28" s="49">
        <f>SUM(E19:E27)</f>
        <v>811.6</v>
      </c>
      <c r="F28" s="49">
        <f>SUM(F19:F27)</f>
        <v>10144</v>
      </c>
      <c r="G28" s="49">
        <f>SUM(G19:G27)</f>
        <v>24642.2</v>
      </c>
      <c r="H28" s="49">
        <f>SUM(H19:H27)</f>
        <v>8.2681762452107304</v>
      </c>
      <c r="I28" s="49">
        <f>SUM(I19:I27)</f>
        <v>3095.9155555555553</v>
      </c>
      <c r="J28" s="49"/>
    </row>
    <row r="29" spans="2:10">
      <c r="B29" s="38"/>
      <c r="C29" s="38"/>
      <c r="D29" s="38"/>
      <c r="E29" s="38"/>
      <c r="F29" s="38"/>
      <c r="G29" s="38"/>
      <c r="H29" s="38"/>
      <c r="I29" s="38"/>
      <c r="J29" s="38"/>
    </row>
    <row r="30" spans="2:10">
      <c r="B30" s="38"/>
      <c r="C30" s="50" t="s">
        <v>112</v>
      </c>
      <c r="D30" s="38"/>
      <c r="E30" s="38"/>
      <c r="F30" s="38"/>
      <c r="G30" s="38"/>
      <c r="H30" s="38"/>
      <c r="I30" s="38"/>
      <c r="J30" s="38"/>
    </row>
    <row r="31" spans="2:10">
      <c r="B31" s="38"/>
      <c r="C31" s="50"/>
      <c r="D31" s="38"/>
      <c r="E31" s="38"/>
      <c r="F31" s="38"/>
      <c r="G31" s="38"/>
      <c r="H31" s="38"/>
      <c r="I31" s="38"/>
      <c r="J31" s="38"/>
    </row>
    <row r="32" spans="2:10">
      <c r="B32" s="38"/>
      <c r="C32" s="50"/>
      <c r="D32" s="38"/>
      <c r="E32" s="38"/>
      <c r="F32" s="38"/>
      <c r="G32" s="38"/>
      <c r="H32" s="38"/>
      <c r="I32" s="38"/>
      <c r="J32" s="38"/>
    </row>
    <row r="33" spans="2:10">
      <c r="B33" s="38"/>
      <c r="C33" s="50"/>
      <c r="D33" s="38"/>
      <c r="E33" s="38"/>
      <c r="F33" s="38"/>
      <c r="G33" s="38"/>
      <c r="H33" s="38"/>
      <c r="I33" s="38"/>
      <c r="J33" s="38"/>
    </row>
    <row r="34" spans="2:10">
      <c r="B34" s="38"/>
      <c r="C34" s="50"/>
      <c r="D34" s="38"/>
      <c r="E34" s="38"/>
      <c r="F34" s="38"/>
      <c r="G34" s="38"/>
      <c r="H34" s="38"/>
      <c r="I34" s="38"/>
      <c r="J34" s="38"/>
    </row>
    <row r="35" spans="2:10">
      <c r="B35" s="38"/>
      <c r="C35" s="50"/>
      <c r="D35" s="38"/>
      <c r="E35" s="38"/>
      <c r="F35" s="38"/>
      <c r="G35" s="38"/>
      <c r="H35" s="38"/>
      <c r="I35" s="10" t="s">
        <v>108</v>
      </c>
      <c r="J35" s="38"/>
    </row>
    <row r="36" spans="2:10">
      <c r="B36" s="38"/>
      <c r="C36" s="50"/>
      <c r="D36" s="38"/>
      <c r="E36" s="38"/>
      <c r="F36" s="38"/>
      <c r="G36" s="38"/>
      <c r="H36" s="38"/>
      <c r="J36" s="38"/>
    </row>
    <row r="37" spans="2:10">
      <c r="B37" s="38"/>
      <c r="C37" s="38" t="s">
        <v>12</v>
      </c>
      <c r="D37" s="38"/>
      <c r="E37" s="38"/>
      <c r="F37" s="38" t="s">
        <v>13</v>
      </c>
      <c r="G37" s="38"/>
      <c r="H37" s="38"/>
      <c r="I37" t="s">
        <v>130</v>
      </c>
      <c r="J37" s="38"/>
    </row>
    <row r="38" spans="2:10">
      <c r="B38" s="38"/>
      <c r="C38" s="47">
        <f>COUNT(D19:D27)</f>
        <v>9</v>
      </c>
      <c r="D38" s="47">
        <f>D28</f>
        <v>234</v>
      </c>
      <c r="E38" s="38"/>
      <c r="F38" s="47">
        <f>E28</f>
        <v>811.6</v>
      </c>
      <c r="G38" s="38"/>
      <c r="H38" s="38"/>
      <c r="J38" s="38"/>
    </row>
    <row r="39" spans="2:10">
      <c r="B39" s="38"/>
      <c r="C39" s="47">
        <f>D28</f>
        <v>234</v>
      </c>
      <c r="D39" s="47">
        <f>F28</f>
        <v>10144</v>
      </c>
      <c r="E39" s="38"/>
      <c r="F39" s="47">
        <f>G28</f>
        <v>24642.2</v>
      </c>
      <c r="G39" s="38"/>
      <c r="H39" s="38"/>
      <c r="I39" t="s">
        <v>131</v>
      </c>
      <c r="J39" s="38"/>
    </row>
    <row r="40" spans="2:10">
      <c r="B40" s="38"/>
      <c r="C40" s="38"/>
      <c r="D40" s="38"/>
      <c r="E40" s="38"/>
      <c r="F40" s="38"/>
      <c r="G40" s="38"/>
      <c r="H40" s="38"/>
      <c r="J40" s="38"/>
    </row>
    <row r="41" spans="2:10">
      <c r="B41" s="38"/>
      <c r="C41" s="38" t="s">
        <v>41</v>
      </c>
      <c r="D41" s="38"/>
      <c r="E41" s="38"/>
      <c r="F41" s="38"/>
      <c r="G41" s="38" t="s">
        <v>16</v>
      </c>
      <c r="H41" s="38"/>
      <c r="I41" t="s">
        <v>132</v>
      </c>
      <c r="J41" s="38"/>
    </row>
    <row r="42" spans="2:10">
      <c r="B42" s="38"/>
      <c r="C42" s="51">
        <f t="array" ref="C42:D43">MINVERSE(C38:D39)</f>
        <v>0.27761357416529825</v>
      </c>
      <c r="D42" s="51">
        <v>-6.4039408866995067E-3</v>
      </c>
      <c r="E42" s="38"/>
      <c r="F42" s="38"/>
      <c r="G42" s="51">
        <f t="array" ref="G42:G43">MMULT(_xlfn.ANCHORARRAY(C42),F38:F39)</f>
        <v>67.503984674329473</v>
      </c>
      <c r="H42" s="50" t="s">
        <v>113</v>
      </c>
      <c r="J42" s="38"/>
    </row>
    <row r="43" spans="2:10">
      <c r="B43" s="38"/>
      <c r="C43" s="51">
        <v>-6.4039408866995058E-3</v>
      </c>
      <c r="D43" s="51">
        <v>2.463054187192118E-4</v>
      </c>
      <c r="E43" s="38"/>
      <c r="F43" s="38"/>
      <c r="G43" s="51">
        <v>0.87206896551724267</v>
      </c>
      <c r="H43" s="50" t="s">
        <v>114</v>
      </c>
      <c r="I43" t="s">
        <v>133</v>
      </c>
      <c r="J43" s="38"/>
    </row>
    <row r="44" spans="2:10">
      <c r="B44" s="38"/>
      <c r="C44" s="55"/>
      <c r="D44" s="55"/>
      <c r="E44" s="38"/>
      <c r="F44" s="38"/>
      <c r="G44" s="55"/>
      <c r="H44" s="50"/>
      <c r="I44" s="38"/>
      <c r="J44" s="38"/>
    </row>
    <row r="45" spans="2:10">
      <c r="B45" s="38"/>
      <c r="C45" s="55"/>
      <c r="D45" s="55"/>
      <c r="E45" s="38"/>
      <c r="F45" s="38"/>
      <c r="G45" s="55"/>
      <c r="H45" s="50"/>
      <c r="I45" s="38"/>
      <c r="J45" s="38"/>
    </row>
    <row r="46" spans="2:10">
      <c r="B46" s="38"/>
      <c r="C46" s="55"/>
      <c r="D46" s="55"/>
      <c r="E46" s="38"/>
      <c r="F46" s="38"/>
      <c r="G46" s="55"/>
      <c r="H46" s="50"/>
      <c r="I46" s="38"/>
      <c r="J46" s="38"/>
    </row>
    <row r="47" spans="2:10">
      <c r="B47" s="38"/>
      <c r="C47" s="55"/>
      <c r="D47" s="55"/>
      <c r="E47" s="38"/>
      <c r="F47" s="38"/>
      <c r="G47" s="55"/>
      <c r="H47" s="50"/>
      <c r="I47" s="38"/>
      <c r="J47" s="38"/>
    </row>
    <row r="48" spans="2:10">
      <c r="B48" s="38"/>
      <c r="C48" s="38"/>
      <c r="D48" s="38"/>
      <c r="E48" s="38"/>
      <c r="F48" s="38"/>
      <c r="G48" s="38"/>
      <c r="H48" s="38"/>
      <c r="I48" s="38"/>
      <c r="J48" s="38"/>
    </row>
    <row r="49" spans="2:10">
      <c r="B49" s="38"/>
      <c r="C49" s="38" t="s">
        <v>67</v>
      </c>
      <c r="D49" s="54">
        <f>H28</f>
        <v>8.2681762452107304</v>
      </c>
      <c r="E49" s="38"/>
      <c r="F49" s="38"/>
      <c r="G49" s="38"/>
      <c r="H49" s="38"/>
      <c r="I49" s="38"/>
      <c r="J49" s="38"/>
    </row>
    <row r="50" spans="2:10">
      <c r="B50" s="38"/>
      <c r="C50" s="38"/>
      <c r="D50" s="54"/>
      <c r="E50" s="38"/>
      <c r="F50" s="38"/>
      <c r="G50" s="38"/>
      <c r="H50" s="38"/>
      <c r="I50" s="38"/>
      <c r="J50" s="38"/>
    </row>
    <row r="51" spans="2:10">
      <c r="B51" s="38"/>
      <c r="C51" s="38"/>
      <c r="D51" s="54"/>
      <c r="E51" s="38"/>
      <c r="F51" s="38"/>
      <c r="G51" s="38"/>
      <c r="H51" s="38"/>
      <c r="I51" s="38"/>
      <c r="J51" s="38"/>
    </row>
    <row r="52" spans="2:10">
      <c r="B52" s="38"/>
      <c r="C52" s="38"/>
      <c r="D52" s="54"/>
      <c r="E52" s="38"/>
      <c r="F52" s="38"/>
      <c r="G52" s="38"/>
      <c r="H52" s="38"/>
      <c r="I52" s="38"/>
      <c r="J52" s="38"/>
    </row>
    <row r="53" spans="2:10">
      <c r="B53" s="38"/>
      <c r="C53" s="38"/>
      <c r="D53" s="54"/>
      <c r="E53" s="38"/>
      <c r="F53" s="38"/>
      <c r="G53" s="38"/>
      <c r="H53" s="38"/>
      <c r="I53" s="38"/>
      <c r="J53" s="38"/>
    </row>
    <row r="54" spans="2:10">
      <c r="B54" s="38"/>
      <c r="C54" s="38"/>
      <c r="D54" s="54"/>
      <c r="E54" s="38"/>
      <c r="F54" s="38"/>
      <c r="G54" s="38"/>
      <c r="H54" s="38"/>
      <c r="I54" s="38"/>
      <c r="J54" s="38"/>
    </row>
    <row r="55" spans="2:10">
      <c r="B55" s="38"/>
      <c r="C55" s="38" t="s">
        <v>29</v>
      </c>
      <c r="D55" s="54">
        <f>AVERAGE(E19:E27)</f>
        <v>90.177777777777777</v>
      </c>
      <c r="E55" s="38"/>
      <c r="F55" s="38"/>
      <c r="G55" s="38"/>
      <c r="H55" s="38"/>
      <c r="I55" s="38"/>
      <c r="J55" s="38"/>
    </row>
    <row r="56" spans="2:10">
      <c r="B56" s="38"/>
      <c r="C56" s="38" t="s">
        <v>46</v>
      </c>
      <c r="D56" s="54">
        <f>(I28-D49)/I28</f>
        <v>0.99732932759410264</v>
      </c>
      <c r="E56" s="38"/>
      <c r="F56" s="38"/>
      <c r="G56" s="38"/>
      <c r="H56" s="38"/>
      <c r="I56" s="38"/>
      <c r="J56" s="38"/>
    </row>
    <row r="57" spans="2:10">
      <c r="B57" s="38"/>
      <c r="C57" s="38" t="s">
        <v>83</v>
      </c>
      <c r="D57" s="54">
        <f>SIGN(G43)*SQRT(D56)</f>
        <v>0.99866377104313875</v>
      </c>
      <c r="E57" s="38"/>
      <c r="F57" s="38"/>
      <c r="G57" s="38"/>
      <c r="H57" s="38"/>
      <c r="I57" s="38"/>
      <c r="J57" s="38"/>
    </row>
    <row r="58" spans="2:10">
      <c r="B58" s="38"/>
      <c r="C58" s="38"/>
      <c r="D58" s="54"/>
      <c r="E58" s="38"/>
      <c r="F58" s="38"/>
      <c r="G58" s="38"/>
      <c r="H58" s="38"/>
      <c r="I58" s="38"/>
      <c r="J58" s="38"/>
    </row>
    <row r="59" spans="2:10">
      <c r="B59" s="38"/>
      <c r="C59" s="38" t="s">
        <v>89</v>
      </c>
      <c r="D59" s="54">
        <f>C38</f>
        <v>9</v>
      </c>
      <c r="E59" s="38" t="s">
        <v>87</v>
      </c>
      <c r="F59" s="38">
        <v>1</v>
      </c>
      <c r="G59" s="38" t="s">
        <v>115</v>
      </c>
      <c r="H59" s="38"/>
      <c r="I59" s="38"/>
      <c r="J59" s="38"/>
    </row>
    <row r="60" spans="2:10">
      <c r="B60" s="38"/>
      <c r="C60" s="38"/>
      <c r="D60" s="54"/>
      <c r="E60" s="38"/>
      <c r="F60" s="38"/>
      <c r="G60" s="38"/>
      <c r="H60" s="38"/>
      <c r="I60" s="38"/>
      <c r="J60" s="38"/>
    </row>
    <row r="61" spans="2:10">
      <c r="B61" s="38"/>
      <c r="C61" s="38"/>
      <c r="D61" s="54"/>
      <c r="E61" s="38"/>
      <c r="F61" s="38"/>
      <c r="G61" s="38"/>
      <c r="H61" s="38"/>
      <c r="I61" s="38"/>
      <c r="J61" s="38"/>
    </row>
    <row r="62" spans="2:10">
      <c r="B62" s="38"/>
      <c r="C62" s="38"/>
      <c r="D62" s="54"/>
      <c r="E62" s="38"/>
      <c r="F62" s="38"/>
      <c r="G62" s="38"/>
      <c r="H62" s="38"/>
      <c r="I62" s="38"/>
      <c r="J62" s="38"/>
    </row>
    <row r="63" spans="2:10">
      <c r="B63" s="38"/>
      <c r="C63" s="38"/>
      <c r="D63" s="54"/>
      <c r="E63" s="38"/>
      <c r="F63" s="38"/>
      <c r="G63" s="38"/>
      <c r="H63" s="38"/>
      <c r="I63" s="38"/>
      <c r="J63" s="38"/>
    </row>
    <row r="64" spans="2:10">
      <c r="B64" s="38"/>
      <c r="C64" s="38"/>
      <c r="D64" s="54"/>
      <c r="E64" s="38"/>
      <c r="F64" s="38"/>
      <c r="G64" s="38"/>
      <c r="H64" s="38"/>
      <c r="I64" s="38"/>
      <c r="J64" s="38"/>
    </row>
    <row r="65" spans="2:10">
      <c r="B65" s="38"/>
      <c r="C65" s="38"/>
      <c r="D65" s="54"/>
      <c r="E65" s="38"/>
      <c r="F65" s="38"/>
      <c r="G65" s="38"/>
      <c r="H65" s="38"/>
      <c r="I65" s="38"/>
      <c r="J65" s="38"/>
    </row>
    <row r="66" spans="2:10">
      <c r="B66" s="38"/>
      <c r="C66" s="38" t="s">
        <v>86</v>
      </c>
      <c r="D66" s="54">
        <f>SQRT(D49/(D59-(F59+1)))</f>
        <v>1.0868155478415389</v>
      </c>
      <c r="E66" s="38" t="s">
        <v>116</v>
      </c>
      <c r="F66" s="38"/>
      <c r="G66" s="38"/>
      <c r="H66" s="38"/>
      <c r="I66" s="38"/>
      <c r="J66" s="38"/>
    </row>
    <row r="67" spans="2:10">
      <c r="B67" s="38"/>
      <c r="C67" s="38"/>
      <c r="D67" s="38"/>
      <c r="E67" s="38"/>
      <c r="F67" s="38"/>
      <c r="G67" s="38"/>
      <c r="H67" s="38"/>
      <c r="I67" s="38"/>
      <c r="J67" s="38"/>
    </row>
    <row r="68" spans="2:10">
      <c r="B68" s="38"/>
      <c r="C68" s="38" t="s">
        <v>117</v>
      </c>
      <c r="D68" s="38"/>
      <c r="E68" s="38"/>
      <c r="F68" s="38" t="str">
        <f>"Y = "&amp;TEXT(G43,"0.000000")&amp;" T + "&amp;TEXT(G42,"0.000000")</f>
        <v>Y = 0.872069 T + 67.503985</v>
      </c>
      <c r="G68" s="38"/>
      <c r="H68" s="38"/>
      <c r="I68" s="38"/>
      <c r="J68" s="38"/>
    </row>
    <row r="69" spans="2:10">
      <c r="B69" s="38"/>
      <c r="C69" s="38" t="s">
        <v>118</v>
      </c>
      <c r="D69" s="54">
        <f>G42+G43*25</f>
        <v>89.305708812260548</v>
      </c>
      <c r="E69" s="38"/>
      <c r="F69" s="38"/>
      <c r="G69" s="38"/>
      <c r="H69" s="38"/>
      <c r="I69" s="38"/>
      <c r="J69" s="38"/>
    </row>
    <row r="70" spans="2:10">
      <c r="B70" s="38"/>
      <c r="C70" s="38" t="s">
        <v>119</v>
      </c>
      <c r="D70" s="54">
        <f>D69-D66</f>
        <v>88.218893264419009</v>
      </c>
      <c r="E70" s="38"/>
      <c r="F70" s="38"/>
      <c r="G70" s="38"/>
      <c r="H70" s="38"/>
      <c r="I70" s="38"/>
      <c r="J70" s="38"/>
    </row>
    <row r="71" spans="2:10">
      <c r="B71" s="38"/>
      <c r="C71" s="38" t="s">
        <v>120</v>
      </c>
      <c r="D71" s="54">
        <f>D69+D66</f>
        <v>90.392524360102087</v>
      </c>
      <c r="E71" s="38"/>
      <c r="F71" s="38"/>
      <c r="G71" s="38"/>
      <c r="H71" s="38"/>
      <c r="I71" s="38"/>
      <c r="J71" s="38"/>
    </row>
    <row r="72" spans="2:10">
      <c r="B72" s="38"/>
      <c r="C72" s="38" t="s">
        <v>121</v>
      </c>
      <c r="D72" s="54">
        <f>D71-D70</f>
        <v>2.1736310956830778</v>
      </c>
      <c r="E72" s="38"/>
      <c r="F72" s="38"/>
      <c r="G72" s="38"/>
      <c r="H72" s="38"/>
      <c r="I72" s="38"/>
      <c r="J72" s="38"/>
    </row>
    <row r="73" spans="2:10">
      <c r="B73" s="38"/>
      <c r="C73" s="38"/>
      <c r="D73" s="38"/>
      <c r="E73" s="38"/>
      <c r="F73" s="38"/>
      <c r="G73" s="38"/>
      <c r="H73" s="38"/>
      <c r="I73" s="38"/>
      <c r="J73" s="38"/>
    </row>
    <row r="74" spans="2:10">
      <c r="B74" s="38"/>
      <c r="C74" s="50"/>
      <c r="D74" s="38"/>
      <c r="E74" s="38"/>
      <c r="F74" s="38"/>
      <c r="G74" s="38"/>
      <c r="H74" s="38"/>
      <c r="I74" s="38"/>
      <c r="J74" s="38"/>
    </row>
    <row r="75" spans="2:10">
      <c r="B75" s="38"/>
      <c r="C75" s="52"/>
      <c r="D75" s="52"/>
      <c r="E75" s="52"/>
      <c r="F75" s="52"/>
      <c r="G75" s="52"/>
      <c r="H75" s="52"/>
      <c r="I75" s="52"/>
      <c r="J75" s="52"/>
    </row>
    <row r="76" spans="2:10">
      <c r="B76" s="38"/>
      <c r="C76" s="52"/>
      <c r="D76" s="52"/>
      <c r="E76" s="52"/>
      <c r="F76" s="52"/>
      <c r="G76" s="52"/>
      <c r="H76" s="52"/>
      <c r="I76" s="52"/>
      <c r="J76" s="52"/>
    </row>
    <row r="77" spans="2:10">
      <c r="B77" s="38"/>
      <c r="C77" s="52"/>
      <c r="D77" s="52"/>
      <c r="E77" s="52"/>
      <c r="F77" s="52"/>
      <c r="G77" s="52"/>
      <c r="H77" s="52"/>
      <c r="I77" s="52"/>
      <c r="J77" s="52"/>
    </row>
    <row r="78" spans="2:10">
      <c r="B78" s="38"/>
      <c r="C78" s="52"/>
      <c r="D78" s="52"/>
      <c r="E78" s="52"/>
      <c r="F78" s="52"/>
      <c r="G78" s="52"/>
      <c r="H78" s="52"/>
      <c r="I78" s="52"/>
      <c r="J78" s="52"/>
    </row>
  </sheetData>
  <mergeCells count="4">
    <mergeCell ref="C75:J75"/>
    <mergeCell ref="C76:J76"/>
    <mergeCell ref="C77:J77"/>
    <mergeCell ref="C78:J7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BF37-CFC8-408C-AB42-C7545EAE13D1}">
  <dimension ref="B18:X60"/>
  <sheetViews>
    <sheetView topLeftCell="F15" zoomScale="41" zoomScaleNormal="55" workbookViewId="0">
      <selection activeCell="M78" sqref="M78"/>
    </sheetView>
  </sheetViews>
  <sheetFormatPr baseColWidth="10" defaultRowHeight="14.4"/>
  <cols>
    <col min="2" max="2" width="11.77734375" bestFit="1" customWidth="1"/>
    <col min="3" max="3" width="12.44140625" bestFit="1" customWidth="1"/>
    <col min="4" max="6" width="11.77734375" bestFit="1" customWidth="1"/>
    <col min="7" max="7" width="12.44140625" bestFit="1" customWidth="1"/>
    <col min="8" max="9" width="11.77734375" bestFit="1" customWidth="1"/>
    <col min="10" max="10" width="19.77734375" bestFit="1" customWidth="1"/>
    <col min="11" max="11" width="14.44140625" bestFit="1" customWidth="1"/>
    <col min="12" max="12" width="13.6640625" bestFit="1" customWidth="1"/>
    <col min="13" max="13" width="22.6640625" bestFit="1" customWidth="1"/>
  </cols>
  <sheetData>
    <row r="18" spans="2:13" ht="28.8">
      <c r="B18" s="56" t="s">
        <v>0</v>
      </c>
      <c r="C18" s="56" t="s">
        <v>1</v>
      </c>
      <c r="D18" s="56" t="s">
        <v>50</v>
      </c>
      <c r="E18" s="56" t="s">
        <v>3</v>
      </c>
      <c r="F18" s="56" t="s">
        <v>4</v>
      </c>
      <c r="G18" s="56" t="s">
        <v>5</v>
      </c>
      <c r="H18" s="56" t="s">
        <v>6</v>
      </c>
      <c r="I18" s="56" t="s">
        <v>7</v>
      </c>
      <c r="J18" s="56" t="s">
        <v>122</v>
      </c>
      <c r="K18" s="56" t="s">
        <v>123</v>
      </c>
      <c r="L18" s="56" t="s">
        <v>102</v>
      </c>
    </row>
    <row r="19" spans="2:13">
      <c r="B19" s="58">
        <v>1</v>
      </c>
      <c r="C19" s="58">
        <v>176</v>
      </c>
      <c r="D19" s="58">
        <v>448</v>
      </c>
      <c r="E19" s="58">
        <f>C19^2</f>
        <v>30976</v>
      </c>
      <c r="F19" s="58">
        <f>C19^3</f>
        <v>5451776</v>
      </c>
      <c r="G19" s="58">
        <f>C19^4</f>
        <v>959512576</v>
      </c>
      <c r="H19" s="58">
        <f>C19*D19</f>
        <v>78848</v>
      </c>
      <c r="I19" s="58">
        <f>E19*D19</f>
        <v>13877248</v>
      </c>
      <c r="J19" s="59">
        <v>5974.9959315067799</v>
      </c>
      <c r="K19" s="59">
        <v>2884.12302620115</v>
      </c>
      <c r="L19" s="59">
        <f>(D19-$C$60)^2</f>
        <v>2043.0399999999991</v>
      </c>
    </row>
    <row r="20" spans="2:13">
      <c r="B20" s="58">
        <v>2</v>
      </c>
      <c r="C20" s="58">
        <v>168</v>
      </c>
      <c r="D20" s="58">
        <v>556</v>
      </c>
      <c r="E20" s="58">
        <f>C20^2</f>
        <v>28224</v>
      </c>
      <c r="F20" s="58">
        <f>C20^3</f>
        <v>4741632</v>
      </c>
      <c r="G20" s="58">
        <f>C20^4</f>
        <v>796594176</v>
      </c>
      <c r="H20" s="58">
        <f>C20*D20</f>
        <v>93408</v>
      </c>
      <c r="I20" s="58">
        <f>E20*D20</f>
        <v>15692544</v>
      </c>
      <c r="J20" s="59">
        <v>6569.4039385863498</v>
      </c>
      <c r="K20" s="59">
        <v>11406.2784398564</v>
      </c>
      <c r="L20" s="59">
        <f t="shared" ref="L20:L28" si="0">(D20-$C$60)^2</f>
        <v>3943.8400000000015</v>
      </c>
    </row>
    <row r="21" spans="2:13">
      <c r="B21" s="58">
        <v>3</v>
      </c>
      <c r="C21" s="58">
        <v>202</v>
      </c>
      <c r="D21" s="58">
        <v>844</v>
      </c>
      <c r="E21" s="58">
        <f>C21^2</f>
        <v>40804</v>
      </c>
      <c r="F21" s="58">
        <f>C21^3</f>
        <v>8242408</v>
      </c>
      <c r="G21" s="58">
        <f>C21^4</f>
        <v>1664966416</v>
      </c>
      <c r="H21" s="58">
        <f>C21*D21</f>
        <v>170488</v>
      </c>
      <c r="I21" s="58">
        <f>E21*D21</f>
        <v>34438576</v>
      </c>
      <c r="J21" s="59">
        <v>24045.011736221801</v>
      </c>
      <c r="K21" s="59">
        <v>19940.283176522698</v>
      </c>
      <c r="L21" s="59">
        <f t="shared" si="0"/>
        <v>123060.64000000001</v>
      </c>
    </row>
    <row r="22" spans="2:13">
      <c r="B22" s="58">
        <v>4</v>
      </c>
      <c r="C22" s="58">
        <v>138</v>
      </c>
      <c r="D22" s="58">
        <v>427</v>
      </c>
      <c r="E22" s="58">
        <f>C22^2</f>
        <v>19044</v>
      </c>
      <c r="F22" s="58">
        <f>C22^3</f>
        <v>2628072</v>
      </c>
      <c r="G22" s="58">
        <f>C22^4</f>
        <v>362673936</v>
      </c>
      <c r="H22" s="58">
        <f>C22*D22</f>
        <v>58926</v>
      </c>
      <c r="I22" s="58">
        <f>E22*D22</f>
        <v>8131788</v>
      </c>
      <c r="J22" s="59">
        <v>19842.722804314901</v>
      </c>
      <c r="K22" s="59">
        <v>18340.328476491799</v>
      </c>
      <c r="L22" s="59">
        <f t="shared" si="0"/>
        <v>4382.4399999999987</v>
      </c>
    </row>
    <row r="23" spans="2:13">
      <c r="B23" s="58">
        <v>5</v>
      </c>
      <c r="C23" s="58">
        <v>213</v>
      </c>
      <c r="D23" s="58">
        <v>811</v>
      </c>
      <c r="E23" s="58">
        <f>C23^2</f>
        <v>45369</v>
      </c>
      <c r="F23" s="58">
        <f>C23^3</f>
        <v>9663597</v>
      </c>
      <c r="G23" s="58">
        <f>C23^4</f>
        <v>2058346161</v>
      </c>
      <c r="H23" s="58">
        <f>C23*D23</f>
        <v>172743</v>
      </c>
      <c r="I23" s="58">
        <f>E23*D23</f>
        <v>36794259</v>
      </c>
      <c r="J23" s="59">
        <v>2791.3627777254101</v>
      </c>
      <c r="K23" s="59">
        <v>83.1223561252487</v>
      </c>
      <c r="L23" s="59">
        <f t="shared" si="0"/>
        <v>100996.84000000001</v>
      </c>
    </row>
    <row r="24" spans="2:13">
      <c r="B24" s="58">
        <v>6</v>
      </c>
      <c r="C24" s="58">
        <v>159</v>
      </c>
      <c r="D24" s="58">
        <v>398</v>
      </c>
      <c r="E24" s="58">
        <f>C24^2</f>
        <v>25281</v>
      </c>
      <c r="F24" s="58">
        <f>C24^3</f>
        <v>4019679</v>
      </c>
      <c r="G24" s="58">
        <f>C24^4</f>
        <v>639128961</v>
      </c>
      <c r="H24" s="58">
        <f>C24*D24</f>
        <v>63282</v>
      </c>
      <c r="I24" s="58">
        <f>E24*D24</f>
        <v>10061838</v>
      </c>
      <c r="J24" s="59">
        <v>412.27021653808401</v>
      </c>
      <c r="K24" s="59">
        <v>6.7480881900288701</v>
      </c>
      <c r="L24" s="59">
        <f t="shared" si="0"/>
        <v>9063.0399999999972</v>
      </c>
    </row>
    <row r="25" spans="2:13">
      <c r="B25" s="58">
        <v>7</v>
      </c>
      <c r="C25" s="58">
        <v>193</v>
      </c>
      <c r="D25" s="58">
        <v>447</v>
      </c>
      <c r="E25" s="58">
        <f>C25^2</f>
        <v>37249</v>
      </c>
      <c r="F25" s="58">
        <f>C25^3</f>
        <v>7189057</v>
      </c>
      <c r="G25" s="58">
        <f>C25^4</f>
        <v>1387488001</v>
      </c>
      <c r="H25" s="58">
        <f>C25*D25</f>
        <v>86271</v>
      </c>
      <c r="I25" s="58">
        <f>E25*D25</f>
        <v>16650303</v>
      </c>
      <c r="J25" s="59">
        <v>34333.035344746299</v>
      </c>
      <c r="K25" s="59">
        <v>32729.7178698485</v>
      </c>
      <c r="L25" s="59">
        <f t="shared" si="0"/>
        <v>2134.4399999999991</v>
      </c>
    </row>
    <row r="26" spans="2:13">
      <c r="B26" s="58">
        <v>8</v>
      </c>
      <c r="C26" s="58">
        <v>122</v>
      </c>
      <c r="D26" s="58">
        <v>154</v>
      </c>
      <c r="E26" s="58">
        <f>C26^2</f>
        <v>14884</v>
      </c>
      <c r="F26" s="58">
        <f>C26^3</f>
        <v>1815848</v>
      </c>
      <c r="G26" s="58">
        <f>C26^4</f>
        <v>221533456</v>
      </c>
      <c r="H26" s="58">
        <f>C26*D26</f>
        <v>18788</v>
      </c>
      <c r="I26" s="58">
        <f>E26*D26</f>
        <v>2292136</v>
      </c>
      <c r="J26" s="59">
        <v>988.21488480226003</v>
      </c>
      <c r="K26" s="59">
        <v>6218.2517841395802</v>
      </c>
      <c r="L26" s="59">
        <f t="shared" si="0"/>
        <v>115056.64</v>
      </c>
    </row>
    <row r="27" spans="2:13">
      <c r="B27" s="58">
        <v>9</v>
      </c>
      <c r="C27" s="58">
        <v>185</v>
      </c>
      <c r="D27" s="58">
        <v>534</v>
      </c>
      <c r="E27" s="58">
        <f>C27^2</f>
        <v>34225</v>
      </c>
      <c r="F27" s="58">
        <f>C27^3</f>
        <v>6331625</v>
      </c>
      <c r="G27" s="58">
        <f>C27^4</f>
        <v>1171350625</v>
      </c>
      <c r="H27" s="58">
        <f>C27*D27</f>
        <v>98790</v>
      </c>
      <c r="I27" s="58">
        <f>E27*D27</f>
        <v>18276150</v>
      </c>
      <c r="J27" s="59">
        <v>2298.4161817956501</v>
      </c>
      <c r="K27" s="59">
        <v>1026.6243869083801</v>
      </c>
      <c r="L27" s="59">
        <f t="shared" si="0"/>
        <v>1664.640000000001</v>
      </c>
    </row>
    <row r="28" spans="2:13">
      <c r="B28" s="58">
        <v>10</v>
      </c>
      <c r="C28" s="58">
        <v>153</v>
      </c>
      <c r="D28" s="58">
        <v>313</v>
      </c>
      <c r="E28" s="58">
        <f>C28^2</f>
        <v>23409</v>
      </c>
      <c r="F28" s="58">
        <f>C28^3</f>
        <v>3581577</v>
      </c>
      <c r="G28" s="58">
        <f>C28^4</f>
        <v>547981281</v>
      </c>
      <c r="H28" s="58">
        <f>C28*D28</f>
        <v>47889</v>
      </c>
      <c r="I28" s="58">
        <f>E28*D28</f>
        <v>7327017</v>
      </c>
      <c r="J28" s="59">
        <v>4561.9177499592497</v>
      </c>
      <c r="K28" s="59">
        <v>2463.84191681927</v>
      </c>
      <c r="L28" s="59">
        <f t="shared" si="0"/>
        <v>32472.039999999997</v>
      </c>
    </row>
    <row r="29" spans="2:13">
      <c r="B29" s="58" t="s">
        <v>10</v>
      </c>
      <c r="C29" s="58">
        <f>SUM(C19:C28)</f>
        <v>1709</v>
      </c>
      <c r="D29" s="58">
        <f>SUM(D19:D28)</f>
        <v>4932</v>
      </c>
      <c r="E29" s="58">
        <f>SUM(E19:E28)</f>
        <v>299465</v>
      </c>
      <c r="F29" s="58">
        <f>SUM(F19:F28)</f>
        <v>53665271</v>
      </c>
      <c r="G29" s="58">
        <f>SUM(G19:G28)</f>
        <v>9809575589</v>
      </c>
      <c r="H29" s="58">
        <f>SUM(H19:H28)</f>
        <v>889433</v>
      </c>
      <c r="I29" s="58">
        <f>SUM(I19:I28)</f>
        <v>163541859</v>
      </c>
      <c r="J29" s="58">
        <f>SUM(J19:J28)</f>
        <v>101817.35156619677</v>
      </c>
      <c r="K29" s="58">
        <f>SUM(K19:K28)</f>
        <v>95099.319521103054</v>
      </c>
      <c r="L29" s="58">
        <f>SUM(L19:L28)</f>
        <v>394817.60000000003</v>
      </c>
    </row>
    <row r="31" spans="2:13">
      <c r="B31" s="57" t="s">
        <v>124</v>
      </c>
      <c r="C31" s="57"/>
      <c r="D31" s="57"/>
      <c r="E31" s="57"/>
      <c r="F31" s="57"/>
      <c r="G31" s="57"/>
      <c r="I31" s="57" t="s">
        <v>125</v>
      </c>
      <c r="J31" s="57"/>
      <c r="K31" s="57"/>
      <c r="L31" s="57"/>
      <c r="M31" s="57"/>
    </row>
    <row r="32" spans="2:13">
      <c r="B32" s="57"/>
      <c r="C32" s="57"/>
      <c r="D32" s="57"/>
      <c r="E32" s="57"/>
      <c r="F32" s="57"/>
      <c r="G32" s="57"/>
      <c r="I32" s="57"/>
      <c r="J32" s="57"/>
      <c r="K32" s="57"/>
      <c r="L32" s="57"/>
      <c r="M32" s="57"/>
    </row>
    <row r="33" spans="2:24">
      <c r="B33" s="57"/>
      <c r="C33" s="57"/>
      <c r="D33" s="57"/>
      <c r="E33" s="57"/>
      <c r="F33" s="57"/>
      <c r="G33" s="57"/>
      <c r="I33" s="57"/>
      <c r="J33" s="57"/>
      <c r="K33" s="57"/>
      <c r="L33" s="57"/>
      <c r="M33" s="57"/>
    </row>
    <row r="34" spans="2:24">
      <c r="B34" s="57"/>
      <c r="C34" s="57"/>
      <c r="D34" s="57"/>
      <c r="E34" s="57"/>
      <c r="F34" s="57"/>
      <c r="G34" s="57"/>
      <c r="I34" s="57"/>
      <c r="J34" s="57"/>
      <c r="K34" s="57"/>
      <c r="L34" s="57"/>
      <c r="M34" s="57"/>
    </row>
    <row r="35" spans="2:24">
      <c r="B35" s="57"/>
      <c r="C35" s="57"/>
      <c r="D35" s="57"/>
      <c r="E35" s="57"/>
      <c r="F35" s="57"/>
      <c r="G35" s="57"/>
      <c r="I35" s="57"/>
      <c r="J35" s="57"/>
      <c r="K35" s="57"/>
      <c r="L35" s="57"/>
      <c r="M35" s="57"/>
    </row>
    <row r="36" spans="2:24">
      <c r="B36" s="57"/>
      <c r="C36" s="57"/>
      <c r="D36" s="57"/>
      <c r="E36" s="57"/>
      <c r="F36" s="57"/>
      <c r="G36" s="57"/>
      <c r="I36" s="57"/>
      <c r="J36" s="57"/>
      <c r="K36" s="57"/>
      <c r="L36" s="57"/>
      <c r="M36" s="57"/>
    </row>
    <row r="37" spans="2:24">
      <c r="B37" s="57"/>
      <c r="C37" s="57"/>
      <c r="D37" s="57"/>
      <c r="E37" s="57"/>
      <c r="F37" s="57"/>
      <c r="G37" s="57"/>
      <c r="I37" s="57"/>
      <c r="J37" s="57"/>
      <c r="K37" s="57"/>
      <c r="L37" s="57"/>
      <c r="M37" s="57"/>
    </row>
    <row r="38" spans="2:24">
      <c r="B38" s="57" t="s">
        <v>12</v>
      </c>
      <c r="C38" s="57"/>
      <c r="D38" s="57"/>
      <c r="E38" s="57" t="s">
        <v>13</v>
      </c>
      <c r="F38" s="57"/>
      <c r="G38" s="57"/>
      <c r="I38" s="57" t="s">
        <v>12</v>
      </c>
      <c r="J38" s="57"/>
      <c r="K38" s="57"/>
      <c r="L38" s="57"/>
      <c r="M38" s="57" t="s">
        <v>13</v>
      </c>
    </row>
    <row r="39" spans="2:24">
      <c r="B39" s="58">
        <v>10</v>
      </c>
      <c r="C39" s="58">
        <v>1709</v>
      </c>
      <c r="D39" s="57"/>
      <c r="E39" s="58">
        <v>4932</v>
      </c>
      <c r="F39" s="57"/>
      <c r="G39" s="57"/>
      <c r="I39" s="58">
        <v>10</v>
      </c>
      <c r="J39" s="58">
        <v>1709</v>
      </c>
      <c r="K39" s="58">
        <v>299465</v>
      </c>
      <c r="L39" s="57"/>
      <c r="M39" s="58">
        <v>4932</v>
      </c>
      <c r="P39" s="30" t="s">
        <v>134</v>
      </c>
      <c r="Q39" s="30"/>
      <c r="R39" s="30"/>
      <c r="S39" s="30"/>
      <c r="T39" s="30"/>
      <c r="U39" s="30"/>
      <c r="V39" s="30"/>
      <c r="W39" s="30"/>
      <c r="X39" s="30"/>
    </row>
    <row r="40" spans="2:24">
      <c r="B40" s="58">
        <v>1709</v>
      </c>
      <c r="C40" s="58">
        <v>299465</v>
      </c>
      <c r="D40" s="57"/>
      <c r="E40" s="58">
        <v>889433</v>
      </c>
      <c r="F40" s="57"/>
      <c r="G40" s="57"/>
      <c r="I40" s="58">
        <v>1709</v>
      </c>
      <c r="J40" s="58">
        <v>299465</v>
      </c>
      <c r="K40" s="58">
        <v>53665271</v>
      </c>
      <c r="L40" s="57"/>
      <c r="M40" s="58">
        <v>889433</v>
      </c>
      <c r="P40" s="30"/>
      <c r="Q40" s="30"/>
      <c r="R40" s="30"/>
      <c r="S40" s="30"/>
      <c r="T40" s="30"/>
      <c r="U40" s="30"/>
      <c r="V40" s="30"/>
      <c r="W40" s="30"/>
      <c r="X40" s="30"/>
    </row>
    <row r="41" spans="2:24">
      <c r="B41" s="57"/>
      <c r="C41" s="57"/>
      <c r="D41" s="57"/>
      <c r="E41" s="57"/>
      <c r="F41" s="57"/>
      <c r="G41" s="57"/>
      <c r="I41" s="58">
        <v>299465</v>
      </c>
      <c r="J41" s="58">
        <v>53665271</v>
      </c>
      <c r="K41" s="58">
        <v>9809575589</v>
      </c>
      <c r="L41" s="57"/>
      <c r="M41" s="58">
        <v>163541859</v>
      </c>
      <c r="P41" s="30"/>
      <c r="Q41" s="30"/>
      <c r="R41" s="30"/>
      <c r="S41" s="30"/>
      <c r="T41" s="30"/>
      <c r="U41" s="30"/>
      <c r="V41" s="30"/>
      <c r="W41" s="30"/>
      <c r="X41" s="30"/>
    </row>
    <row r="42" spans="2:24">
      <c r="B42" s="57" t="s">
        <v>41</v>
      </c>
      <c r="C42" s="57"/>
      <c r="D42" s="57"/>
      <c r="E42" s="57"/>
      <c r="G42" s="57"/>
      <c r="H42" s="57"/>
      <c r="I42" s="57"/>
      <c r="J42" s="57"/>
      <c r="K42" s="57"/>
      <c r="P42" s="30"/>
      <c r="Q42" s="30"/>
      <c r="R42" s="30"/>
      <c r="S42" s="30"/>
      <c r="T42" s="30"/>
      <c r="U42" s="30"/>
      <c r="V42" s="30"/>
      <c r="W42" s="30"/>
      <c r="X42" s="30"/>
    </row>
    <row r="43" spans="2:24">
      <c r="B43" s="60">
        <f t="array" ref="B43:C44">MINVERSE(B39:C40)</f>
        <v>4.0485203260825608</v>
      </c>
      <c r="C43" s="60">
        <v>-2.3104273411834766E-2</v>
      </c>
      <c r="D43" s="57"/>
      <c r="E43" s="57" cm="1">
        <f t="array" ref="E43:E44">MMULT(B43:C44,E39:E40)</f>
        <v>-582.40096526924026</v>
      </c>
      <c r="F43" s="57" t="s">
        <v>17</v>
      </c>
      <c r="P43" s="30"/>
      <c r="Q43" s="30"/>
      <c r="R43" s="30"/>
      <c r="S43" s="30"/>
      <c r="T43" s="30"/>
      <c r="U43" s="30"/>
      <c r="V43" s="30"/>
      <c r="W43" s="30"/>
      <c r="X43" s="30"/>
    </row>
    <row r="44" spans="2:24">
      <c r="B44" s="60">
        <v>-2.3104273411834762E-2</v>
      </c>
      <c r="C44" s="60">
        <v>1.3519176952507176E-4</v>
      </c>
      <c r="D44" s="57"/>
      <c r="E44" s="57">
        <v>6.2937446768241045</v>
      </c>
      <c r="F44" s="57" t="s">
        <v>18</v>
      </c>
      <c r="I44" t="s">
        <v>14</v>
      </c>
      <c r="K44" s="57"/>
      <c r="L44" s="57"/>
      <c r="M44" t="s">
        <v>16</v>
      </c>
      <c r="P44" s="30"/>
      <c r="Q44" s="30"/>
      <c r="R44" s="30"/>
      <c r="S44" s="30"/>
      <c r="T44" s="30"/>
      <c r="U44" s="30"/>
      <c r="V44" s="30"/>
      <c r="W44" s="30"/>
      <c r="X44" s="30"/>
    </row>
    <row r="45" spans="2:24">
      <c r="B45" s="57"/>
      <c r="C45" s="57"/>
      <c r="D45" s="57"/>
      <c r="E45" s="57"/>
      <c r="F45" s="57"/>
      <c r="G45" s="57"/>
      <c r="I45" cm="1">
        <f t="array" ref="I45:K47">MINVERSE(I39:K41)</f>
        <v>137.65683817187087</v>
      </c>
      <c r="J45">
        <v>-1.6560248865212106</v>
      </c>
      <c r="K45">
        <v>4.8572559375754769E-3</v>
      </c>
      <c r="M45" s="60" cm="1">
        <f t="array" ref="M45:M47">MMULT(_xlfn.ANCHORARRAY($I$45),M39:M41)</f>
        <v>365.00864032865502</v>
      </c>
      <c r="N45" s="57" t="s">
        <v>17</v>
      </c>
      <c r="P45" s="30"/>
      <c r="Q45" s="30"/>
      <c r="R45" s="30"/>
      <c r="S45" s="30"/>
      <c r="T45" s="30"/>
      <c r="U45" s="30"/>
      <c r="V45" s="30"/>
      <c r="W45" s="30"/>
      <c r="X45" s="30"/>
    </row>
    <row r="46" spans="2:24">
      <c r="B46" s="57"/>
      <c r="C46" s="57"/>
      <c r="D46" s="57"/>
      <c r="E46" s="57"/>
      <c r="F46" s="57"/>
      <c r="G46" s="57"/>
      <c r="I46">
        <v>-1.6560248865212126</v>
      </c>
      <c r="J46">
        <v>2.0092255608882108E-2</v>
      </c>
      <c r="K46">
        <v>-5.9363918889911644E-5</v>
      </c>
      <c r="M46" s="60">
        <v>-5.2852101291464351</v>
      </c>
      <c r="N46" s="57" t="s">
        <v>18</v>
      </c>
    </row>
    <row r="47" spans="2:24">
      <c r="B47" s="57"/>
      <c r="C47" s="57"/>
      <c r="D47" s="57"/>
      <c r="E47" s="57"/>
      <c r="F47" s="57"/>
      <c r="G47" s="57"/>
      <c r="I47">
        <v>4.8572559375754882E-3</v>
      </c>
      <c r="J47">
        <v>-5.9363918889911712E-5</v>
      </c>
      <c r="K47">
        <v>1.7658283274207078E-7</v>
      </c>
      <c r="M47" s="60">
        <v>3.444254823578774E-2</v>
      </c>
      <c r="N47" s="57" t="s">
        <v>19</v>
      </c>
    </row>
    <row r="48" spans="2:24">
      <c r="B48" s="57"/>
      <c r="C48" s="57"/>
      <c r="D48" s="57"/>
      <c r="E48" s="57"/>
      <c r="F48" s="57"/>
      <c r="G48" s="57"/>
      <c r="M48" s="64"/>
      <c r="N48" s="57"/>
    </row>
    <row r="49" spans="2:14">
      <c r="B49" s="57"/>
      <c r="C49" s="57"/>
      <c r="D49" s="57"/>
      <c r="E49" s="57"/>
      <c r="F49" s="57"/>
      <c r="G49" s="57"/>
      <c r="M49" s="64"/>
      <c r="N49" s="57"/>
    </row>
    <row r="50" spans="2:14">
      <c r="B50" s="57"/>
      <c r="C50" s="57"/>
      <c r="D50" s="57"/>
      <c r="E50" s="57"/>
      <c r="F50" s="57"/>
      <c r="G50" s="57"/>
    </row>
    <row r="51" spans="2:14">
      <c r="B51" s="57"/>
      <c r="C51" s="57"/>
      <c r="D51" s="57"/>
      <c r="E51" s="57"/>
      <c r="F51" s="57"/>
      <c r="G51" s="57"/>
    </row>
    <row r="52" spans="2:14">
      <c r="B52" s="57" t="s">
        <v>42</v>
      </c>
      <c r="C52" s="61">
        <f>J29</f>
        <v>101817.35156619677</v>
      </c>
      <c r="D52" s="57"/>
      <c r="E52" s="57"/>
      <c r="F52" s="57"/>
      <c r="G52" s="57"/>
      <c r="I52" s="57" t="s">
        <v>43</v>
      </c>
      <c r="J52" s="61">
        <f>K29</f>
        <v>95099.319521103054</v>
      </c>
      <c r="K52" s="57"/>
      <c r="L52" s="57"/>
    </row>
    <row r="53" spans="2:14">
      <c r="B53" s="57"/>
      <c r="C53" s="61"/>
      <c r="D53" s="57"/>
      <c r="E53" s="57"/>
      <c r="F53" s="57"/>
      <c r="G53" s="57"/>
      <c r="I53" s="57"/>
      <c r="J53" s="61"/>
      <c r="K53" s="57"/>
      <c r="L53" s="57"/>
    </row>
    <row r="54" spans="2:14">
      <c r="B54" s="57"/>
      <c r="C54" s="61"/>
      <c r="D54" s="57"/>
      <c r="E54" s="57"/>
      <c r="F54" s="57"/>
      <c r="G54" s="57"/>
      <c r="I54" s="57"/>
      <c r="J54" s="61"/>
      <c r="K54" s="57"/>
      <c r="L54" s="57"/>
    </row>
    <row r="55" spans="2:14">
      <c r="B55" s="57"/>
      <c r="C55" s="61"/>
      <c r="D55" s="57"/>
      <c r="E55" s="57"/>
      <c r="F55" s="57"/>
      <c r="G55" s="57"/>
      <c r="I55" s="57"/>
      <c r="J55" s="61"/>
      <c r="K55" s="57"/>
      <c r="L55" s="57"/>
    </row>
    <row r="56" spans="2:14" ht="29.4" customHeight="1">
      <c r="B56" s="57"/>
      <c r="C56" s="61"/>
      <c r="D56" s="57"/>
      <c r="E56" s="57"/>
      <c r="F56" s="57"/>
      <c r="G56" s="57"/>
      <c r="I56" s="57"/>
      <c r="J56" s="61"/>
      <c r="K56" s="57"/>
      <c r="L56" s="57"/>
    </row>
    <row r="57" spans="2:14">
      <c r="B57" s="57" t="s">
        <v>126</v>
      </c>
      <c r="C57" s="61">
        <v>0.74211546910219595</v>
      </c>
      <c r="D57" s="57"/>
      <c r="E57" s="57"/>
      <c r="F57" s="57"/>
      <c r="G57" s="57"/>
      <c r="I57" s="57" t="s">
        <v>127</v>
      </c>
      <c r="J57" s="61">
        <v>0.75913100246518095</v>
      </c>
      <c r="K57" s="57"/>
      <c r="L57" s="57"/>
    </row>
    <row r="58" spans="2:14">
      <c r="B58" s="57" t="s">
        <v>128</v>
      </c>
      <c r="C58" s="61">
        <f>C57</f>
        <v>0.74211546910219595</v>
      </c>
      <c r="D58" s="57" t="s">
        <v>129</v>
      </c>
      <c r="E58" s="62">
        <f>C57</f>
        <v>0.74211546910219595</v>
      </c>
      <c r="F58" s="57"/>
      <c r="G58" s="57"/>
      <c r="I58" s="57" t="s">
        <v>128</v>
      </c>
      <c r="J58" s="61">
        <f>J57</f>
        <v>0.75913100246518095</v>
      </c>
      <c r="K58" s="57" t="s">
        <v>129</v>
      </c>
      <c r="L58" s="62">
        <f>J57</f>
        <v>0.75913100246518095</v>
      </c>
    </row>
    <row r="59" spans="2:14">
      <c r="B59" s="57" t="s">
        <v>135</v>
      </c>
      <c r="C59" s="65" t="str">
        <f>E43+E44&amp;"x"</f>
        <v>-576.107220592416x</v>
      </c>
      <c r="D59" s="57"/>
      <c r="E59" s="57"/>
      <c r="F59" s="57"/>
      <c r="G59" s="57"/>
      <c r="I59" s="57" t="s">
        <v>136</v>
      </c>
      <c r="J59" s="66" t="str">
        <f>M45&amp;" + "&amp;M46&amp;"x + "&amp;M47&amp;"x^2"</f>
        <v>365.008640328655 + -5.28521012914644x + 0.0344425482357877x^2</v>
      </c>
      <c r="K59" s="57"/>
      <c r="L59" s="57"/>
    </row>
    <row r="60" spans="2:14">
      <c r="B60" s="57" t="s">
        <v>29</v>
      </c>
      <c r="C60" s="61">
        <v>493.2</v>
      </c>
      <c r="D60" s="57"/>
      <c r="E60" s="57"/>
      <c r="F60" s="57"/>
      <c r="G60" s="57"/>
    </row>
  </sheetData>
  <mergeCells count="1">
    <mergeCell ref="P39:X4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38A0-DE13-408A-A49F-6C15B23BE13A}">
  <dimension ref="B17:J54"/>
  <sheetViews>
    <sheetView zoomScale="54" workbookViewId="0">
      <selection activeCell="J39" sqref="J39"/>
    </sheetView>
  </sheetViews>
  <sheetFormatPr baseColWidth="10" defaultRowHeight="14.4"/>
  <sheetData>
    <row r="17" spans="2:10">
      <c r="B17" s="57"/>
      <c r="C17" s="57"/>
      <c r="D17" s="57"/>
      <c r="E17" s="57"/>
      <c r="F17" s="57"/>
      <c r="G17" s="57"/>
      <c r="H17" s="57"/>
      <c r="I17" s="57"/>
      <c r="J17" s="57"/>
    </row>
    <row r="18" spans="2:10">
      <c r="B18" s="57"/>
      <c r="C18" s="67" t="s">
        <v>137</v>
      </c>
      <c r="D18" s="67"/>
      <c r="E18" s="67"/>
      <c r="F18" s="67"/>
      <c r="G18" s="67"/>
      <c r="H18" s="67"/>
      <c r="I18" s="67"/>
      <c r="J18" s="67"/>
    </row>
    <row r="19" spans="2:10" ht="28.8">
      <c r="B19" s="57"/>
      <c r="C19" s="56" t="s">
        <v>0</v>
      </c>
      <c r="D19" s="56" t="s">
        <v>1</v>
      </c>
      <c r="E19" s="56" t="s">
        <v>50</v>
      </c>
      <c r="F19" s="56" t="s">
        <v>3</v>
      </c>
      <c r="G19" s="56" t="s">
        <v>6</v>
      </c>
      <c r="H19" s="56" t="s">
        <v>23</v>
      </c>
      <c r="I19" s="56" t="s">
        <v>102</v>
      </c>
      <c r="J19" s="56" t="s">
        <v>111</v>
      </c>
    </row>
    <row r="20" spans="2:10">
      <c r="B20" s="57"/>
      <c r="C20" s="58">
        <v>1</v>
      </c>
      <c r="D20" s="58">
        <v>1</v>
      </c>
      <c r="E20" s="58">
        <v>2</v>
      </c>
      <c r="F20" s="58">
        <f>D20^2</f>
        <v>1</v>
      </c>
      <c r="G20" s="58">
        <f>D20*E20</f>
        <v>2</v>
      </c>
      <c r="H20" s="59">
        <f>($G$37+$G$38*D20-E20)^2</f>
        <v>4.0000000000001493E-2</v>
      </c>
      <c r="I20" s="59">
        <f>(E20-$D$42)^2</f>
        <v>9</v>
      </c>
      <c r="J20" s="59">
        <f>$G$37+$G$38*D20</f>
        <v>2.2000000000000037</v>
      </c>
    </row>
    <row r="21" spans="2:10">
      <c r="B21" s="57"/>
      <c r="C21" s="58">
        <v>2</v>
      </c>
      <c r="D21" s="58">
        <v>2</v>
      </c>
      <c r="E21" s="58">
        <v>4</v>
      </c>
      <c r="F21" s="58">
        <f>D21^2</f>
        <v>4</v>
      </c>
      <c r="G21" s="58">
        <f>D21*E21</f>
        <v>8</v>
      </c>
      <c r="H21" s="59">
        <f>($G$37+$G$38*D21-E21)^2</f>
        <v>0.15999999999999745</v>
      </c>
      <c r="I21" s="59">
        <f>(E21-$D$42)^2</f>
        <v>1</v>
      </c>
      <c r="J21" s="59">
        <f>$G$37+$G$38*D21</f>
        <v>3.6000000000000032</v>
      </c>
    </row>
    <row r="22" spans="2:10">
      <c r="B22" s="57"/>
      <c r="C22" s="58">
        <v>3</v>
      </c>
      <c r="D22" s="58">
        <v>3</v>
      </c>
      <c r="E22" s="58">
        <v>5</v>
      </c>
      <c r="F22" s="58">
        <f>D22^2</f>
        <v>9</v>
      </c>
      <c r="G22" s="58">
        <f>D22*E22</f>
        <v>15</v>
      </c>
      <c r="H22" s="59">
        <f>($G$37+$G$38*D22-E22)^2</f>
        <v>7.0997481469891062E-30</v>
      </c>
      <c r="I22" s="59">
        <f>(E22-$D$42)^2</f>
        <v>0</v>
      </c>
      <c r="J22" s="59">
        <f>$G$37+$G$38*D22</f>
        <v>5.0000000000000027</v>
      </c>
    </row>
    <row r="23" spans="2:10">
      <c r="B23" s="57"/>
      <c r="C23" s="58">
        <v>4</v>
      </c>
      <c r="D23" s="58">
        <v>4</v>
      </c>
      <c r="E23" s="58">
        <v>6</v>
      </c>
      <c r="F23" s="58">
        <f>D23^2</f>
        <v>16</v>
      </c>
      <c r="G23" s="58">
        <f>D23*E23</f>
        <v>24</v>
      </c>
      <c r="H23" s="59">
        <f>($G$37+$G$38*D23-E23)^2</f>
        <v>0.1600000000000017</v>
      </c>
      <c r="I23" s="59">
        <f>(E23-$D$42)^2</f>
        <v>1</v>
      </c>
      <c r="J23" s="59">
        <f>$G$37+$G$38*D23</f>
        <v>6.4000000000000021</v>
      </c>
    </row>
    <row r="24" spans="2:10">
      <c r="B24" s="57"/>
      <c r="C24" s="58">
        <v>5</v>
      </c>
      <c r="D24" s="58">
        <v>5</v>
      </c>
      <c r="E24" s="58">
        <v>8</v>
      </c>
      <c r="F24" s="58">
        <f>D24^2</f>
        <v>25</v>
      </c>
      <c r="G24" s="58">
        <f>D24*E24</f>
        <v>40</v>
      </c>
      <c r="H24" s="59">
        <f>($G$37+$G$38*D24-E24)^2</f>
        <v>3.9999999999999362E-2</v>
      </c>
      <c r="I24" s="59">
        <f>(E24-$D$42)^2</f>
        <v>9</v>
      </c>
      <c r="J24" s="59">
        <f>$G$37+$G$38*D24</f>
        <v>7.8000000000000016</v>
      </c>
    </row>
    <row r="25" spans="2:10">
      <c r="B25" s="57"/>
      <c r="C25" s="58" t="s">
        <v>10</v>
      </c>
      <c r="D25" s="58">
        <f>SUM(D20:D24)</f>
        <v>15</v>
      </c>
      <c r="E25" s="58">
        <f>SUM(E20:E24)</f>
        <v>25</v>
      </c>
      <c r="F25" s="58">
        <f>SUM(F20:F24)</f>
        <v>55</v>
      </c>
      <c r="G25" s="58">
        <f>SUM(G20:G24)</f>
        <v>89</v>
      </c>
      <c r="H25" s="58">
        <f>SUM(H20:H24)</f>
        <v>0.4</v>
      </c>
      <c r="I25" s="58">
        <f>SUM(I20:I24)</f>
        <v>20</v>
      </c>
      <c r="J25" s="58"/>
    </row>
    <row r="26" spans="2:10">
      <c r="B26" s="57"/>
      <c r="C26" s="57"/>
      <c r="D26" s="57"/>
      <c r="E26" s="57"/>
      <c r="F26" s="57"/>
      <c r="G26" s="57"/>
      <c r="H26" s="57"/>
      <c r="I26" s="57"/>
      <c r="J26" s="57"/>
    </row>
    <row r="27" spans="2:10">
      <c r="B27" s="57"/>
      <c r="C27" s="57" t="s">
        <v>138</v>
      </c>
      <c r="D27" s="57"/>
      <c r="E27" s="57"/>
      <c r="F27" s="57"/>
      <c r="G27" s="57"/>
      <c r="H27" s="57"/>
      <c r="I27" s="57"/>
      <c r="J27" s="57"/>
    </row>
    <row r="28" spans="2:10">
      <c r="B28" s="57"/>
      <c r="C28" s="57"/>
      <c r="D28" s="57"/>
      <c r="E28" s="57"/>
      <c r="F28" s="57"/>
      <c r="G28" s="57"/>
      <c r="H28" s="57"/>
      <c r="I28" s="57"/>
      <c r="J28" s="57"/>
    </row>
    <row r="29" spans="2:10">
      <c r="B29" s="57"/>
      <c r="C29" s="57"/>
      <c r="D29" s="57"/>
      <c r="E29" s="57"/>
      <c r="F29" s="57"/>
      <c r="G29" s="57"/>
      <c r="H29" s="57"/>
      <c r="I29" s="57"/>
      <c r="J29" s="57"/>
    </row>
    <row r="30" spans="2:10">
      <c r="B30" s="57"/>
      <c r="C30" s="57"/>
      <c r="D30" s="57"/>
      <c r="E30" s="57"/>
      <c r="F30" s="57"/>
      <c r="G30" s="57"/>
      <c r="H30" s="57"/>
      <c r="I30" s="57"/>
      <c r="J30" s="57"/>
    </row>
    <row r="31" spans="2:10">
      <c r="B31" s="57"/>
      <c r="C31" s="57"/>
      <c r="D31" s="57"/>
      <c r="E31" s="57"/>
      <c r="F31" s="57"/>
      <c r="G31" s="57"/>
      <c r="H31" s="57"/>
      <c r="I31" s="57"/>
      <c r="J31" s="57"/>
    </row>
    <row r="32" spans="2:10">
      <c r="B32" s="57"/>
      <c r="C32" s="57" t="s">
        <v>12</v>
      </c>
      <c r="D32" s="57"/>
      <c r="E32" s="57"/>
      <c r="F32" s="57" t="s">
        <v>13</v>
      </c>
      <c r="G32" s="57"/>
      <c r="H32" s="57"/>
      <c r="I32" s="57"/>
      <c r="J32" s="57"/>
    </row>
    <row r="33" spans="2:10">
      <c r="B33" s="57"/>
      <c r="C33" s="58">
        <f>COUNT(D20:D24)</f>
        <v>5</v>
      </c>
      <c r="D33" s="58">
        <f>D25</f>
        <v>15</v>
      </c>
      <c r="E33" s="57"/>
      <c r="F33" s="58">
        <f>E25</f>
        <v>25</v>
      </c>
      <c r="G33" s="57"/>
      <c r="H33" s="57"/>
      <c r="I33" s="57"/>
      <c r="J33" s="57"/>
    </row>
    <row r="34" spans="2:10">
      <c r="B34" s="57"/>
      <c r="C34" s="58">
        <f>D25</f>
        <v>15</v>
      </c>
      <c r="D34" s="58">
        <f>F25</f>
        <v>55</v>
      </c>
      <c r="E34" s="57"/>
      <c r="F34" s="58">
        <f>G25</f>
        <v>89</v>
      </c>
      <c r="G34" s="57"/>
      <c r="H34" s="57"/>
      <c r="I34" s="57"/>
      <c r="J34" s="57"/>
    </row>
    <row r="35" spans="2:10">
      <c r="B35" s="57"/>
      <c r="C35" s="57"/>
      <c r="D35" s="57"/>
      <c r="E35" s="57"/>
      <c r="F35" s="57"/>
      <c r="G35" s="57"/>
      <c r="H35" s="57"/>
      <c r="I35" s="57"/>
      <c r="J35" s="57"/>
    </row>
    <row r="36" spans="2:10">
      <c r="B36" s="57"/>
      <c r="C36" s="57" t="s">
        <v>41</v>
      </c>
      <c r="D36" s="57"/>
      <c r="E36" s="57"/>
      <c r="F36" s="57"/>
      <c r="G36" s="57" t="s">
        <v>16</v>
      </c>
      <c r="H36" s="57"/>
      <c r="I36" s="57"/>
      <c r="J36" s="57"/>
    </row>
    <row r="37" spans="2:10">
      <c r="B37" s="57"/>
      <c r="C37" s="60">
        <f t="array" ref="C37:D38">MINVERSE(C33:D34)</f>
        <v>1.1000000000000005</v>
      </c>
      <c r="D37" s="60">
        <v>-0.3000000000000001</v>
      </c>
      <c r="E37" s="57"/>
      <c r="F37" s="57"/>
      <c r="G37" s="60">
        <f t="array" ref="G37:G38">MMULT(_xlfn.ANCHORARRAY(C37),F33:F34)</f>
        <v>0.80000000000000426</v>
      </c>
      <c r="H37" s="57" t="s">
        <v>17</v>
      </c>
      <c r="I37" s="57"/>
      <c r="J37" s="57"/>
    </row>
    <row r="38" spans="2:10">
      <c r="B38" s="57"/>
      <c r="C38" s="60">
        <v>-0.3000000000000001</v>
      </c>
      <c r="D38" s="60">
        <v>0.10000000000000003</v>
      </c>
      <c r="E38" s="57"/>
      <c r="F38" s="57"/>
      <c r="G38" s="60">
        <v>1.3999999999999995</v>
      </c>
      <c r="H38" s="57" t="s">
        <v>18</v>
      </c>
      <c r="I38" s="57"/>
      <c r="J38" s="57"/>
    </row>
    <row r="39" spans="2:10" ht="76.8" customHeight="1">
      <c r="B39" s="57"/>
      <c r="C39" s="57"/>
      <c r="D39" s="57"/>
      <c r="E39" s="57"/>
      <c r="F39" s="57"/>
      <c r="G39" s="57"/>
      <c r="H39" s="57"/>
      <c r="I39" s="57"/>
      <c r="J39" s="57"/>
    </row>
    <row r="40" spans="2:10">
      <c r="B40" s="57"/>
      <c r="C40" s="57" t="s">
        <v>67</v>
      </c>
      <c r="D40" s="61">
        <f>H25</f>
        <v>0.4</v>
      </c>
      <c r="E40" s="57"/>
      <c r="F40" s="57"/>
      <c r="G40" s="57"/>
      <c r="H40" s="57"/>
      <c r="I40" s="57"/>
      <c r="J40" s="57"/>
    </row>
    <row r="41" spans="2:10" ht="78.599999999999994" customHeight="1">
      <c r="B41" s="57"/>
      <c r="C41" s="57"/>
      <c r="D41" s="61"/>
      <c r="E41" s="57"/>
      <c r="F41" s="57"/>
      <c r="G41" s="57"/>
      <c r="H41" s="57"/>
      <c r="I41" s="57"/>
      <c r="J41" s="57"/>
    </row>
    <row r="42" spans="2:10">
      <c r="B42" s="57"/>
      <c r="C42" s="57" t="s">
        <v>29</v>
      </c>
      <c r="D42" s="61">
        <f>AVERAGE(E20:E24)</f>
        <v>5</v>
      </c>
      <c r="E42" s="57"/>
      <c r="F42" s="57"/>
      <c r="G42" s="57"/>
      <c r="H42" s="57"/>
      <c r="I42" s="57"/>
      <c r="J42" s="57"/>
    </row>
    <row r="43" spans="2:10">
      <c r="B43" s="57"/>
      <c r="C43" s="57" t="s">
        <v>46</v>
      </c>
      <c r="D43" s="61">
        <f>(I25-D40)/I25</f>
        <v>0.98000000000000009</v>
      </c>
      <c r="E43" s="57"/>
      <c r="F43" s="57"/>
      <c r="G43" s="57"/>
      <c r="H43" s="57"/>
      <c r="I43" s="57"/>
      <c r="J43" s="57"/>
    </row>
    <row r="44" spans="2:10">
      <c r="B44" s="57"/>
      <c r="C44" s="57" t="s">
        <v>83</v>
      </c>
      <c r="D44" s="61">
        <f>SIGN(G38)*SQRT(D43)</f>
        <v>0.98994949366116658</v>
      </c>
      <c r="E44" s="57"/>
      <c r="F44" s="57"/>
      <c r="G44" s="57"/>
      <c r="H44" s="57"/>
      <c r="I44" s="57"/>
      <c r="J44" s="57"/>
    </row>
    <row r="45" spans="2:10">
      <c r="B45" s="57"/>
      <c r="C45" s="57" t="s">
        <v>89</v>
      </c>
      <c r="D45" s="61">
        <f>C33</f>
        <v>5</v>
      </c>
      <c r="E45" s="57" t="s">
        <v>87</v>
      </c>
      <c r="F45" s="57">
        <v>1</v>
      </c>
      <c r="G45" s="57" t="s">
        <v>115</v>
      </c>
      <c r="H45" s="57"/>
      <c r="I45" s="57"/>
      <c r="J45" s="57"/>
    </row>
    <row r="46" spans="2:10" ht="92.4" customHeight="1">
      <c r="B46" s="57"/>
      <c r="C46" s="57"/>
      <c r="D46" s="61"/>
      <c r="E46" s="57"/>
      <c r="F46" s="57"/>
      <c r="G46" s="57"/>
      <c r="H46" s="57"/>
      <c r="I46" s="57"/>
      <c r="J46" s="57"/>
    </row>
    <row r="47" spans="2:10">
      <c r="B47" s="57"/>
      <c r="C47" s="57" t="s">
        <v>86</v>
      </c>
      <c r="D47" s="61">
        <f>SQRT(D40/(D45-(F45+1)))</f>
        <v>0.36514837167011072</v>
      </c>
      <c r="E47" s="57" t="s">
        <v>116</v>
      </c>
      <c r="F47" s="57"/>
      <c r="G47" s="57"/>
      <c r="H47" s="57"/>
      <c r="I47" s="57"/>
      <c r="J47" s="57"/>
    </row>
    <row r="48" spans="2:10">
      <c r="B48" s="57"/>
      <c r="C48" s="57"/>
      <c r="D48" s="57"/>
      <c r="E48" s="57"/>
      <c r="F48" s="57"/>
      <c r="G48" s="57"/>
      <c r="H48" s="57"/>
      <c r="I48" s="57"/>
      <c r="J48" s="57"/>
    </row>
    <row r="49" spans="2:10">
      <c r="B49" s="57"/>
      <c r="C49" s="57" t="str">
        <f>"Recta: y = "&amp;TEXT(G37,"0.0000")&amp;" + "&amp;TEXT(G38,"0.0000")&amp;" x"</f>
        <v>Recta: y = 0.8000 + 1.4000 x</v>
      </c>
      <c r="D49" s="57"/>
      <c r="E49" s="57"/>
      <c r="F49" s="57"/>
      <c r="G49" s="57"/>
      <c r="H49" s="57"/>
      <c r="I49" s="57"/>
      <c r="J49" s="57"/>
    </row>
    <row r="50" spans="2:10">
      <c r="B50" s="57"/>
      <c r="C50" s="57"/>
      <c r="D50" s="57"/>
      <c r="E50" s="57"/>
      <c r="F50" s="57"/>
      <c r="G50" s="57"/>
      <c r="H50" s="57"/>
      <c r="I50" s="57"/>
      <c r="J50" s="57"/>
    </row>
    <row r="51" spans="2:10">
      <c r="B51" s="57"/>
      <c r="C51" s="57" t="s">
        <v>108</v>
      </c>
      <c r="D51" s="57"/>
      <c r="E51" s="57"/>
      <c r="F51" s="57"/>
      <c r="G51" s="57"/>
      <c r="H51" s="57"/>
      <c r="I51" s="57"/>
      <c r="J51" s="57"/>
    </row>
    <row r="52" spans="2:10">
      <c r="B52" s="57"/>
      <c r="C52" s="63" t="str">
        <f>"a) La recta de minimos cuadrados es y = "&amp;TEXT(G37,"0.0000")&amp;" + "&amp;TEXT(G38,"0.0000")&amp;" x"</f>
        <v>a) La recta de minimos cuadrados es y = 0.8000 + 1.4000 x</v>
      </c>
      <c r="D52" s="63"/>
      <c r="E52" s="63"/>
      <c r="F52" s="63"/>
      <c r="G52" s="63"/>
      <c r="H52" s="63"/>
      <c r="I52" s="63"/>
      <c r="J52" s="63"/>
    </row>
    <row r="53" spans="2:10">
      <c r="B53" s="57"/>
      <c r="C53" s="63" t="str">
        <f>"b) El error estandar de estimacion es S = "&amp;TEXT(D47,"0.0000")&amp;"   (Q = "&amp;TEXT(D40,"0.0000")&amp;", n = 5, m = 1)."</f>
        <v>b) El error estandar de estimacion es S = 0.3651   (Q = 0.4000, n = 5, m = 1).</v>
      </c>
      <c r="D53" s="63"/>
      <c r="E53" s="63"/>
      <c r="F53" s="63"/>
      <c r="G53" s="63"/>
      <c r="H53" s="63"/>
      <c r="I53" s="63"/>
      <c r="J53" s="63"/>
    </row>
    <row r="54" spans="2:10">
      <c r="B54" s="57"/>
      <c r="C54" s="63" t="s">
        <v>139</v>
      </c>
      <c r="D54" s="63"/>
      <c r="E54" s="63"/>
      <c r="F54" s="63"/>
      <c r="G54" s="63"/>
      <c r="H54" s="63"/>
      <c r="I54" s="63"/>
      <c r="J54" s="63"/>
    </row>
  </sheetData>
  <mergeCells count="4">
    <mergeCell ref="C18:J18"/>
    <mergeCell ref="C52:J52"/>
    <mergeCell ref="C53:J53"/>
    <mergeCell ref="C54:J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Ejercicio1</vt:lpstr>
      <vt:lpstr>Ejercicio2</vt:lpstr>
      <vt:lpstr>Ejercicio3</vt:lpstr>
      <vt:lpstr>Ejercicio4</vt:lpstr>
      <vt:lpstr>Ejercicio5</vt:lpstr>
      <vt:lpstr>Ejercicio6</vt:lpstr>
      <vt:lpstr>Ejercicio7</vt:lpstr>
      <vt:lpstr>Ejercicio8</vt:lpstr>
      <vt:lpstr>Ejercicio9</vt:lpstr>
      <vt:lpstr>Ejercicio10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yasen cutipa mayhua</dc:creator>
  <cp:keywords/>
  <dc:description/>
  <cp:lastModifiedBy>ALICIA VIZCARRA RAMOS</cp:lastModifiedBy>
  <cp:revision/>
  <dcterms:created xsi:type="dcterms:W3CDTF">2026-10-13T13:40:36Z</dcterms:created>
  <dcterms:modified xsi:type="dcterms:W3CDTF">2026-10-14T02:26:29Z</dcterms:modified>
  <cp:category/>
  <cp:contentStatus/>
</cp:coreProperties>
</file>