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fubr-my.sharepoint.com/personal/josue_ufu_br/Documents/00 AulasUFU/Aulas_ININD2/Pratica/EININD01_TermistoresNTC/"/>
    </mc:Choice>
  </mc:AlternateContent>
  <xr:revisionPtr revIDLastSave="97" documentId="13_ncr:1_{B5B77D60-025A-46F6-8896-BE4B2E880648}" xr6:coauthVersionLast="47" xr6:coauthVersionMax="47" xr10:uidLastSave="{496CE4BB-FF88-4340-A813-58FE23A57AD3}"/>
  <bookViews>
    <workbookView xWindow="-120" yWindow="-120" windowWidth="29040" windowHeight="15840" xr2:uid="{00000000-000D-0000-FFFF-FFFF00000000}"/>
  </bookViews>
  <sheets>
    <sheet name="Termistor" sheetId="12" r:id="rId1"/>
    <sheet name="RTD-Platina" sheetId="13" r:id="rId2"/>
    <sheet name="E CrCo Graus" sheetId="1" r:id="rId3"/>
    <sheet name="E CrCo Miliv" sheetId="2" r:id="rId4"/>
    <sheet name="T CuCo Graus" sheetId="3" r:id="rId5"/>
    <sheet name="T CuCo Miliv" sheetId="4" r:id="rId6"/>
    <sheet name="J FeCo Graus" sheetId="5" r:id="rId7"/>
    <sheet name="J FeCo Miliv" sheetId="6" r:id="rId8"/>
    <sheet name="R PtRh Graus" sheetId="7" r:id="rId9"/>
    <sheet name="R PtRh Miliv" sheetId="8" r:id="rId10"/>
    <sheet name="S PtRh Graus" sheetId="9" r:id="rId11"/>
    <sheet name="S PtRh Miliv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2" l="1"/>
  <c r="J41" i="12"/>
  <c r="L6" i="12"/>
  <c r="C3" i="12"/>
  <c r="E47" i="4"/>
  <c r="S21" i="4"/>
  <c r="V20" i="4"/>
  <c r="S20" i="4"/>
  <c r="V19" i="4"/>
  <c r="S19" i="4"/>
  <c r="V18" i="4"/>
  <c r="S18" i="4"/>
  <c r="V17" i="4"/>
  <c r="S17" i="4"/>
  <c r="V16" i="4"/>
  <c r="S16" i="4"/>
  <c r="E16" i="4"/>
  <c r="V15" i="4"/>
  <c r="S15" i="4"/>
  <c r="V14" i="4"/>
  <c r="S14" i="4"/>
  <c r="U13" i="4"/>
  <c r="R13" i="4"/>
  <c r="R12" i="4"/>
  <c r="E46" i="1"/>
  <c r="E15" i="1"/>
  <c r="E47" i="2"/>
  <c r="E16" i="2"/>
  <c r="E46" i="3"/>
  <c r="E15" i="3"/>
  <c r="S27" i="3"/>
  <c r="S26" i="3"/>
  <c r="S25" i="3"/>
  <c r="S24" i="3"/>
  <c r="S23" i="3"/>
  <c r="S22" i="3"/>
  <c r="V21" i="3"/>
  <c r="S21" i="3"/>
  <c r="V20" i="3"/>
  <c r="S20" i="3"/>
  <c r="V19" i="3"/>
  <c r="S19" i="3"/>
  <c r="V18" i="3"/>
  <c r="S18" i="3"/>
  <c r="V17" i="3"/>
  <c r="S17" i="3"/>
  <c r="V16" i="3"/>
  <c r="S16" i="3"/>
  <c r="V15" i="3"/>
  <c r="S15" i="3"/>
  <c r="V14" i="3"/>
  <c r="S14" i="3"/>
  <c r="V13" i="3"/>
  <c r="S13" i="3"/>
  <c r="U12" i="3"/>
  <c r="R12" i="3"/>
  <c r="R11" i="3"/>
  <c r="G20" i="2"/>
  <c r="G29" i="4" l="1"/>
  <c r="G28" i="4"/>
  <c r="G27" i="4"/>
  <c r="G26" i="4"/>
  <c r="G25" i="4"/>
  <c r="G24" i="4"/>
  <c r="G23" i="4"/>
  <c r="E18" i="4" s="1"/>
  <c r="G59" i="4"/>
  <c r="G58" i="4"/>
  <c r="G57" i="4"/>
  <c r="G56" i="4"/>
  <c r="G55" i="4"/>
  <c r="G54" i="4"/>
  <c r="E49" i="4" s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E17" i="3" s="1"/>
  <c r="E18" i="3" s="1"/>
  <c r="G62" i="3"/>
  <c r="G61" i="3"/>
  <c r="G60" i="3"/>
  <c r="G59" i="3"/>
  <c r="G58" i="3"/>
  <c r="G57" i="3"/>
  <c r="G56" i="3"/>
  <c r="G55" i="3"/>
  <c r="G54" i="3"/>
  <c r="G53" i="3"/>
  <c r="E48" i="3" s="1"/>
  <c r="E49" i="3" s="1"/>
  <c r="H4" i="3" s="1"/>
  <c r="G30" i="2"/>
  <c r="G29" i="2"/>
  <c r="G28" i="2"/>
  <c r="G27" i="2"/>
  <c r="G26" i="2"/>
  <c r="G25" i="2"/>
  <c r="G24" i="2"/>
  <c r="G23" i="2"/>
  <c r="E18" i="2" s="1"/>
  <c r="G62" i="2"/>
  <c r="G61" i="2"/>
  <c r="G60" i="2"/>
  <c r="G59" i="2"/>
  <c r="G58" i="2"/>
  <c r="G57" i="2"/>
  <c r="G56" i="2"/>
  <c r="G55" i="2"/>
  <c r="G54" i="2"/>
  <c r="E49" i="2" s="1"/>
  <c r="Q8" i="13"/>
  <c r="Q7" i="13"/>
  <c r="Q6" i="13"/>
  <c r="C5" i="13"/>
  <c r="C4" i="13"/>
  <c r="C3" i="13"/>
  <c r="L8" i="12"/>
  <c r="J8" i="12"/>
  <c r="G8" i="12"/>
  <c r="L7" i="12"/>
  <c r="J7" i="12"/>
  <c r="G7" i="12"/>
  <c r="P6" i="12"/>
  <c r="O6" i="12"/>
  <c r="J6" i="12"/>
  <c r="G6" i="12"/>
  <c r="P5" i="12"/>
  <c r="O5" i="12"/>
  <c r="C5" i="12"/>
  <c r="P4" i="12"/>
  <c r="O4" i="12"/>
  <c r="C4" i="12"/>
  <c r="O3" i="12"/>
  <c r="E51" i="4" l="1"/>
  <c r="E50" i="4"/>
  <c r="H4" i="4"/>
  <c r="E20" i="4"/>
  <c r="E19" i="4"/>
  <c r="E51" i="2"/>
  <c r="E50" i="2"/>
  <c r="H4" i="2"/>
  <c r="E20" i="2"/>
  <c r="E19" i="2"/>
  <c r="O16" i="12"/>
  <c r="O10" i="12"/>
  <c r="T10" i="12"/>
  <c r="P10" i="12"/>
  <c r="P16" i="12"/>
  <c r="S10" i="12"/>
  <c r="N10" i="12"/>
  <c r="O17" i="12"/>
  <c r="O11" i="12"/>
  <c r="T11" i="12"/>
  <c r="P11" i="12"/>
  <c r="P17" i="12"/>
  <c r="S11" i="12"/>
  <c r="N11" i="12"/>
  <c r="O18" i="12"/>
  <c r="O12" i="12"/>
  <c r="T12" i="12"/>
  <c r="P12" i="12"/>
  <c r="P18" i="12"/>
  <c r="S12" i="12"/>
  <c r="N12" i="12"/>
  <c r="O6" i="13"/>
  <c r="L6" i="13"/>
  <c r="I6" i="13"/>
  <c r="O7" i="13"/>
  <c r="L7" i="13"/>
  <c r="I7" i="13"/>
  <c r="O8" i="13"/>
  <c r="L8" i="13"/>
  <c r="I8" i="13"/>
  <c r="U16" i="13"/>
  <c r="X10" i="13"/>
  <c r="S10" i="13"/>
  <c r="U17" i="13"/>
  <c r="X11" i="13"/>
  <c r="S11" i="13"/>
  <c r="U18" i="13"/>
  <c r="X12" i="13"/>
  <c r="S12" i="13"/>
  <c r="S18" i="13" l="1"/>
  <c r="W12" i="13"/>
  <c r="S6" i="13"/>
  <c r="T18" i="13"/>
  <c r="T12" i="13"/>
  <c r="T6" i="13"/>
  <c r="Y12" i="13"/>
  <c r="U12" i="13"/>
  <c r="U6" i="13"/>
  <c r="S17" i="13"/>
  <c r="W11" i="13"/>
  <c r="S5" i="13"/>
  <c r="T17" i="13"/>
  <c r="T11" i="13"/>
  <c r="T5" i="13"/>
  <c r="Y11" i="13"/>
  <c r="U11" i="13"/>
  <c r="U5" i="13"/>
  <c r="S16" i="13"/>
  <c r="W10" i="13"/>
  <c r="S4" i="13"/>
  <c r="T16" i="13"/>
  <c r="T10" i="13"/>
  <c r="T4" i="13"/>
  <c r="Y10" i="13"/>
  <c r="U10" i="13"/>
  <c r="U4" i="13"/>
  <c r="S9" i="12"/>
  <c r="G15" i="12" s="1"/>
  <c r="O15" i="12"/>
  <c r="G18" i="12" s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E17" i="1" s="1"/>
  <c r="E18" i="1" s="1"/>
  <c r="G62" i="1"/>
  <c r="G61" i="1"/>
  <c r="G60" i="1"/>
  <c r="G59" i="1"/>
  <c r="G58" i="1"/>
  <c r="G57" i="1"/>
  <c r="G56" i="1"/>
  <c r="G55" i="1"/>
  <c r="G54" i="1"/>
  <c r="G53" i="1"/>
  <c r="E48" i="1" s="1"/>
  <c r="E49" i="1" s="1"/>
  <c r="H4" i="1" s="1"/>
  <c r="T15" i="13" l="1"/>
  <c r="T3" i="13"/>
  <c r="L18" i="13"/>
  <c r="X9" i="13"/>
  <c r="L15" i="13"/>
  <c r="T9" i="13"/>
  <c r="L12" i="13"/>
  <c r="X16" i="13"/>
  <c r="X17" i="13"/>
  <c r="X18" i="13"/>
  <c r="O9" i="12"/>
  <c r="G12" i="12"/>
  <c r="S16" i="12"/>
  <c r="S17" i="12"/>
  <c r="S18" i="12"/>
  <c r="V27" i="12"/>
  <c r="V28" i="12"/>
</calcChain>
</file>

<file path=xl/sharedStrings.xml><?xml version="1.0" encoding="utf-8"?>
<sst xmlns="http://schemas.openxmlformats.org/spreadsheetml/2006/main" count="462" uniqueCount="108">
  <si>
    <t>TIPO E</t>
  </si>
  <si>
    <t>E (Valor mV Medição Laboratório) =</t>
  </si>
  <si>
    <t>Mv</t>
  </si>
  <si>
    <t>T (Temperatura) = Entre Valor</t>
  </si>
  <si>
    <t>°C</t>
  </si>
  <si>
    <t>TERMOPAR TIPO E Norma E230 - 02 Table 7</t>
  </si>
  <si>
    <t>Temperatura Range</t>
  </si>
  <si>
    <t>-270°C to 0,0°C</t>
  </si>
  <si>
    <t>0°C to 1000°C</t>
  </si>
  <si>
    <t>Milivoltagem</t>
  </si>
  <si>
    <t>c0</t>
  </si>
  <si>
    <t>c1</t>
  </si>
  <si>
    <t>T (Temperatura) =</t>
  </si>
  <si>
    <t>c2</t>
  </si>
  <si>
    <t>c3</t>
  </si>
  <si>
    <t>E =</t>
  </si>
  <si>
    <t>c4</t>
  </si>
  <si>
    <t>Etab =</t>
  </si>
  <si>
    <t>c5</t>
  </si>
  <si>
    <t>c6</t>
  </si>
  <si>
    <t>c7</t>
  </si>
  <si>
    <t>c8</t>
  </si>
  <si>
    <t>T^1</t>
  </si>
  <si>
    <t>c9</t>
  </si>
  <si>
    <t>T^2</t>
  </si>
  <si>
    <t>c10</t>
  </si>
  <si>
    <t>T^3</t>
  </si>
  <si>
    <t>c11</t>
  </si>
  <si>
    <t>T^4</t>
  </si>
  <si>
    <t>c12</t>
  </si>
  <si>
    <t>T^5</t>
  </si>
  <si>
    <t>c13</t>
  </si>
  <si>
    <t>T^6</t>
  </si>
  <si>
    <t>T^7</t>
  </si>
  <si>
    <t>T^8</t>
  </si>
  <si>
    <t>T^9</t>
  </si>
  <si>
    <t>T^10</t>
  </si>
  <si>
    <t>T^11</t>
  </si>
  <si>
    <t>T^12</t>
  </si>
  <si>
    <t>T^13</t>
  </si>
  <si>
    <t>Valores de Entrada</t>
  </si>
  <si>
    <t xml:space="preserve">T1 = </t>
  </si>
  <si>
    <t/>
  </si>
  <si>
    <t>Matriz D:</t>
  </si>
  <si>
    <t xml:space="preserve">T2 = </t>
  </si>
  <si>
    <t>Teorema de Cramer</t>
  </si>
  <si>
    <t xml:space="preserve">T3 = </t>
  </si>
  <si>
    <t>100(</t>
  </si>
  <si>
    <t>+</t>
  </si>
  <si>
    <t>A</t>
  </si>
  <si>
    <t>B</t>
  </si>
  <si>
    <t>C</t>
  </si>
  <si>
    <t>) =</t>
  </si>
  <si>
    <t xml:space="preserve">R1 = </t>
  </si>
  <si>
    <t xml:space="preserve">R2 = </t>
  </si>
  <si>
    <t xml:space="preserve">R3 = </t>
  </si>
  <si>
    <t>Matriz DA:</t>
  </si>
  <si>
    <t>Matriz DB:</t>
  </si>
  <si>
    <t xml:space="preserve">A = </t>
  </si>
  <si>
    <t>DA</t>
  </si>
  <si>
    <t>=</t>
  </si>
  <si>
    <t>(a)</t>
  </si>
  <si>
    <t>D</t>
  </si>
  <si>
    <t xml:space="preserve">B = </t>
  </si>
  <si>
    <t>DB</t>
  </si>
  <si>
    <t>(b)</t>
  </si>
  <si>
    <t>Matriz DC:</t>
  </si>
  <si>
    <t>Validação dos Resultados</t>
  </si>
  <si>
    <t>R1   =</t>
  </si>
  <si>
    <t>R2   =</t>
  </si>
  <si>
    <t xml:space="preserve">C = </t>
  </si>
  <si>
    <t>DC</t>
  </si>
  <si>
    <t>( C)</t>
  </si>
  <si>
    <t>R3   =</t>
  </si>
  <si>
    <t>Fórmula de Steinhart &amp; Hart</t>
  </si>
  <si>
    <t>Esta planilha foi utilizada para a determinação dos coeficientes a, b e c de um termistor qualquer.
Com base em três medições de temperatura e da resistência do termistor, podemos encontrar os seus coeficientes.
3 coeficientes =&gt; 3 equações
Utilizando o teorema de Cramer por exemplo, fazemos o equacionamento e encontramos os indices. Com o indice nas mãos, podemos utilizar a fórmula de Steinhart e conectar o NTC no arduino por exemplo.</t>
  </si>
  <si>
    <t>T1   =</t>
  </si>
  <si>
    <t>T2   =</t>
  </si>
  <si>
    <t>T3   =</t>
  </si>
  <si>
    <t xml:space="preserve">T (Temperatura) = Entre Valor </t>
  </si>
  <si>
    <t>TERMOPAR TIPO E Norma E230 - 02 Table 46</t>
  </si>
  <si>
    <t>-200°C to 0,0°C</t>
  </si>
  <si>
    <t>Voltage Range</t>
  </si>
  <si>
    <t>-8,825 mV to 0,0 mV</t>
  </si>
  <si>
    <t>0,0°C to 1000°C</t>
  </si>
  <si>
    <t>T =</t>
  </si>
  <si>
    <t>Ttab =</t>
  </si>
  <si>
    <t>E^1</t>
  </si>
  <si>
    <t>E^2</t>
  </si>
  <si>
    <t>E^3</t>
  </si>
  <si>
    <t>E^4</t>
  </si>
  <si>
    <t>E^5</t>
  </si>
  <si>
    <t>E^6</t>
  </si>
  <si>
    <t>E^7</t>
  </si>
  <si>
    <t>E^8</t>
  </si>
  <si>
    <t>0,0 mV to 76,373 mV</t>
  </si>
  <si>
    <t>E^9</t>
  </si>
  <si>
    <t>TIPO T</t>
  </si>
  <si>
    <t>TERMOPAR TIPO T Norma E230 - 02 Table 7</t>
  </si>
  <si>
    <t>c14</t>
  </si>
  <si>
    <t>T^14</t>
  </si>
  <si>
    <t>0°C to 400°C</t>
  </si>
  <si>
    <t>TERMOPAR TIPO T Norma E230 - 02 Table 46</t>
  </si>
  <si>
    <t>-5,603 mV to 0,0 mV</t>
  </si>
  <si>
    <t>0,0°C to 400°C</t>
  </si>
  <si>
    <t>0,0 mV to 20,872 mV</t>
  </si>
  <si>
    <t>Beta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</si>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</sst>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"/>
    <numFmt numFmtId="165" formatCode="0.000000"/>
    <numFmt numFmtId="166" formatCode="0.0000"/>
    <numFmt numFmtId="167" formatCode="0.0000000000E+00"/>
    <numFmt numFmtId="168" formatCode="0.000000000000000000000000000000"/>
    <numFmt numFmtId="169" formatCode="0.000"/>
    <numFmt numFmtId="170" formatCode="0.0"/>
    <numFmt numFmtId="171" formatCode="0.00000000000000"/>
    <numFmt numFmtId="172" formatCode="0.0000000E+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theme="1"/>
      <name val="Arial Black"/>
      <family val="2"/>
    </font>
    <font>
      <b/>
      <sz val="11"/>
      <name val="Calibri"/>
      <family val="2"/>
      <scheme val="minor"/>
    </font>
    <font>
      <b/>
      <sz val="9"/>
      <color theme="0"/>
      <name val="Arial Black"/>
      <family val="2"/>
    </font>
    <font>
      <b/>
      <sz val="11"/>
      <color theme="1"/>
      <name val="Arial Black"/>
      <family val="2"/>
    </font>
    <font>
      <sz val="11"/>
      <color theme="0"/>
      <name val="Arial Black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9"/>
      <name val="Arial Black"/>
      <family val="2"/>
    </font>
    <font>
      <sz val="11"/>
      <name val="Arial Black"/>
      <family val="2"/>
    </font>
    <font>
      <sz val="9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ED6"/>
        <bgColor indexed="64"/>
      </patternFill>
    </fill>
    <fill>
      <patternFill patternType="solid">
        <fgColor rgb="FFB3EBFF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2" borderId="0" xfId="0" applyFill="1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4" fillId="3" borderId="4" xfId="0" applyFont="1" applyFill="1" applyBorder="1" applyProtection="1">
      <protection hidden="1"/>
    </xf>
    <xf numFmtId="0" fontId="4" fillId="3" borderId="0" xfId="0" applyFont="1" applyFill="1" applyProtection="1">
      <protection hidden="1"/>
    </xf>
    <xf numFmtId="0" fontId="4" fillId="3" borderId="5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164" fontId="1" fillId="5" borderId="6" xfId="0" quotePrefix="1" applyNumberFormat="1" applyFont="1" applyFill="1" applyBorder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Protection="1">
      <protection hidden="1"/>
    </xf>
    <xf numFmtId="166" fontId="1" fillId="6" borderId="6" xfId="0" quotePrefix="1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0" fillId="3" borderId="9" xfId="0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10" fillId="2" borderId="4" xfId="0" applyFont="1" applyFill="1" applyBorder="1" applyProtection="1">
      <protection hidden="1"/>
    </xf>
    <xf numFmtId="0" fontId="10" fillId="2" borderId="0" xfId="0" applyFont="1" applyFill="1" applyProtection="1">
      <protection hidden="1"/>
    </xf>
    <xf numFmtId="0" fontId="0" fillId="2" borderId="5" xfId="0" applyFill="1" applyBorder="1" applyProtection="1">
      <protection hidden="1"/>
    </xf>
    <xf numFmtId="0" fontId="7" fillId="8" borderId="13" xfId="0" applyFont="1" applyFill="1" applyBorder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7" fillId="8" borderId="13" xfId="0" quotePrefix="1" applyFont="1" applyFill="1" applyBorder="1" applyAlignment="1" applyProtection="1">
      <alignment horizontal="center" vertical="center"/>
      <protection hidden="1"/>
    </xf>
    <xf numFmtId="0" fontId="0" fillId="2" borderId="12" xfId="0" applyFill="1" applyBorder="1" applyProtection="1">
      <protection hidden="1"/>
    </xf>
    <xf numFmtId="0" fontId="7" fillId="2" borderId="2" xfId="0" applyFont="1" applyFill="1" applyBorder="1" applyAlignment="1" applyProtection="1">
      <alignment horizontal="right"/>
      <protection hidden="1"/>
    </xf>
    <xf numFmtId="0" fontId="7" fillId="2" borderId="0" xfId="0" applyFont="1" applyFill="1" applyProtection="1">
      <protection hidden="1"/>
    </xf>
    <xf numFmtId="0" fontId="7" fillId="2" borderId="2" xfId="0" quotePrefix="1" applyFont="1" applyFill="1" applyBorder="1" applyAlignment="1" applyProtection="1">
      <alignment horizontal="center" vertical="center"/>
      <protection hidden="1"/>
    </xf>
    <xf numFmtId="0" fontId="11" fillId="7" borderId="14" xfId="0" applyFont="1" applyFill="1" applyBorder="1" applyAlignment="1" applyProtection="1">
      <alignment horizontal="center"/>
      <protection hidden="1"/>
    </xf>
    <xf numFmtId="0" fontId="11" fillId="7" borderId="12" xfId="0" applyFont="1" applyFill="1" applyBorder="1" applyAlignment="1" applyProtection="1">
      <alignment horizontal="center" vertical="center"/>
      <protection hidden="1"/>
    </xf>
    <xf numFmtId="0" fontId="7" fillId="8" borderId="12" xfId="0" applyFont="1" applyFill="1" applyBorder="1" applyAlignment="1" applyProtection="1">
      <alignment horizontal="center" vertical="center"/>
      <protection hidden="1"/>
    </xf>
    <xf numFmtId="167" fontId="0" fillId="9" borderId="12" xfId="0" applyNumberFormat="1" applyFill="1" applyBorder="1" applyAlignment="1" applyProtection="1">
      <alignment horizontal="center" vertical="center"/>
      <protection hidden="1"/>
    </xf>
    <xf numFmtId="168" fontId="0" fillId="2" borderId="4" xfId="0" quotePrefix="1" applyNumberFormat="1" applyFill="1" applyBorder="1" applyAlignment="1" applyProtection="1">
      <alignment horizontal="left" vertical="center"/>
      <protection hidden="1"/>
    </xf>
    <xf numFmtId="166" fontId="3" fillId="10" borderId="12" xfId="0" applyNumberFormat="1" applyFont="1" applyFill="1" applyBorder="1" applyAlignment="1" applyProtection="1">
      <alignment horizontal="center" vertical="center"/>
      <protection hidden="1"/>
    </xf>
    <xf numFmtId="0" fontId="3" fillId="10" borderId="12" xfId="0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0" fillId="2" borderId="0" xfId="0" quotePrefix="1" applyFill="1" applyAlignment="1" applyProtection="1">
      <alignment horizontal="center" vertical="center"/>
      <protection hidden="1"/>
    </xf>
    <xf numFmtId="0" fontId="7" fillId="8" borderId="17" xfId="0" applyFont="1" applyFill="1" applyBorder="1" applyAlignment="1" applyProtection="1">
      <alignment horizontal="center" vertical="center"/>
      <protection hidden="1"/>
    </xf>
    <xf numFmtId="168" fontId="0" fillId="2" borderId="4" xfId="0" quotePrefix="1" applyNumberFormat="1" applyFill="1" applyBorder="1" applyAlignment="1" applyProtection="1">
      <alignment vertical="center"/>
      <protection hidden="1"/>
    </xf>
    <xf numFmtId="0" fontId="7" fillId="8" borderId="6" xfId="0" applyFont="1" applyFill="1" applyBorder="1" applyAlignment="1" applyProtection="1">
      <alignment horizontal="center" vertical="center"/>
      <protection hidden="1"/>
    </xf>
    <xf numFmtId="169" fontId="0" fillId="11" borderId="13" xfId="0" quotePrefix="1" applyNumberFormat="1" applyFill="1" applyBorder="1" applyAlignment="1" applyProtection="1">
      <alignment horizontal="left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70" fontId="0" fillId="2" borderId="2" xfId="0" quotePrefix="1" applyNumberFormat="1" applyFill="1" applyBorder="1" applyAlignment="1" applyProtection="1">
      <alignment horizontal="left" vertical="center"/>
      <protection hidden="1"/>
    </xf>
    <xf numFmtId="166" fontId="3" fillId="12" borderId="12" xfId="0" applyNumberFormat="1" applyFont="1" applyFill="1" applyBorder="1" applyAlignment="1" applyProtection="1">
      <alignment horizontal="center" vertical="center"/>
      <protection hidden="1"/>
    </xf>
    <xf numFmtId="0" fontId="3" fillId="12" borderId="12" xfId="0" applyFont="1" applyFill="1" applyBorder="1" applyAlignment="1" applyProtection="1">
      <alignment horizontal="center" vertical="center"/>
      <protection hidden="1"/>
    </xf>
    <xf numFmtId="166" fontId="3" fillId="2" borderId="18" xfId="0" applyNumberFormat="1" applyFont="1" applyFill="1" applyBorder="1" applyAlignment="1" applyProtection="1">
      <alignment horizontal="center" vertical="center"/>
      <protection hidden="1"/>
    </xf>
    <xf numFmtId="0" fontId="3" fillId="2" borderId="18" xfId="0" applyFont="1" applyFill="1" applyBorder="1" applyAlignment="1" applyProtection="1">
      <alignment horizontal="center" vertical="center"/>
      <protection hidden="1"/>
    </xf>
    <xf numFmtId="0" fontId="7" fillId="8" borderId="12" xfId="0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171" fontId="0" fillId="2" borderId="0" xfId="0" applyNumberFormat="1" applyFill="1" applyAlignment="1" applyProtection="1">
      <alignment horizontal="left"/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7" fillId="2" borderId="8" xfId="0" applyFont="1" applyFill="1" applyBorder="1" applyAlignment="1" applyProtection="1">
      <alignment horizontal="center"/>
      <protection hidden="1"/>
    </xf>
    <xf numFmtId="171" fontId="0" fillId="2" borderId="8" xfId="0" applyNumberFormat="1" applyFill="1" applyBorder="1" applyAlignment="1" applyProtection="1">
      <alignment horizontal="left"/>
      <protection hidden="1"/>
    </xf>
    <xf numFmtId="0" fontId="0" fillId="2" borderId="9" xfId="0" applyFill="1" applyBorder="1" applyProtection="1">
      <protection hidden="1"/>
    </xf>
    <xf numFmtId="172" fontId="0" fillId="2" borderId="0" xfId="0" applyNumberFormat="1" applyFill="1" applyProtection="1">
      <protection hidden="1"/>
    </xf>
    <xf numFmtId="166" fontId="0" fillId="2" borderId="0" xfId="0" applyNumberFormat="1" applyFill="1" applyAlignment="1" applyProtection="1">
      <alignment vertical="center"/>
      <protection hidden="1"/>
    </xf>
    <xf numFmtId="0" fontId="7" fillId="2" borderId="18" xfId="0" applyFont="1" applyFill="1" applyBorder="1" applyAlignment="1" applyProtection="1">
      <alignment horizontal="center"/>
      <protection hidden="1"/>
    </xf>
    <xf numFmtId="166" fontId="7" fillId="2" borderId="18" xfId="0" applyNumberFormat="1" applyFont="1" applyFill="1" applyBorder="1" applyAlignment="1" applyProtection="1">
      <alignment horizontal="center"/>
      <protection hidden="1"/>
    </xf>
    <xf numFmtId="166" fontId="0" fillId="2" borderId="18" xfId="0" applyNumberFormat="1" applyFill="1" applyBorder="1" applyAlignment="1" applyProtection="1">
      <alignment horizontal="left"/>
      <protection hidden="1"/>
    </xf>
    <xf numFmtId="0" fontId="7" fillId="2" borderId="8" xfId="0" applyFont="1" applyFill="1" applyBorder="1" applyAlignment="1" applyProtection="1">
      <alignment horizontal="center" vertical="center"/>
      <protection hidden="1"/>
    </xf>
    <xf numFmtId="172" fontId="0" fillId="2" borderId="8" xfId="0" applyNumberFormat="1" applyFill="1" applyBorder="1" applyAlignment="1" applyProtection="1">
      <alignment horizontal="center" vertical="center"/>
      <protection hidden="1"/>
    </xf>
    <xf numFmtId="166" fontId="0" fillId="2" borderId="8" xfId="0" applyNumberFormat="1" applyFill="1" applyBorder="1" applyAlignment="1" applyProtection="1">
      <alignment vertical="center"/>
      <protection hidden="1"/>
    </xf>
    <xf numFmtId="172" fontId="0" fillId="2" borderId="2" xfId="0" applyNumberForma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166" fontId="0" fillId="2" borderId="2" xfId="0" applyNumberFormat="1" applyFill="1" applyBorder="1" applyAlignment="1" applyProtection="1">
      <alignment vertical="center"/>
      <protection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1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right"/>
    </xf>
    <xf numFmtId="0" fontId="2" fillId="2" borderId="0" xfId="0" quotePrefix="1" applyFont="1" applyFill="1"/>
    <xf numFmtId="0" fontId="2" fillId="2" borderId="0" xfId="0" applyFont="1" applyFill="1"/>
    <xf numFmtId="0" fontId="0" fillId="13" borderId="10" xfId="0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66" fontId="0" fillId="2" borderId="19" xfId="0" applyNumberFormat="1" applyFill="1" applyBorder="1" applyAlignment="1">
      <alignment horizontal="center"/>
    </xf>
    <xf numFmtId="0" fontId="14" fillId="2" borderId="0" xfId="0" applyFon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2" fontId="0" fillId="11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4" borderId="0" xfId="0" applyFill="1"/>
    <xf numFmtId="0" fontId="8" fillId="2" borderId="0" xfId="0" applyFont="1" applyFill="1" applyAlignment="1">
      <alignment horizontal="right"/>
    </xf>
    <xf numFmtId="0" fontId="15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19" xfId="0" applyFill="1" applyBorder="1" applyAlignment="1">
      <alignment horizontal="center"/>
    </xf>
    <xf numFmtId="0" fontId="0" fillId="11" borderId="0" xfId="0" applyFill="1"/>
    <xf numFmtId="0" fontId="0" fillId="11" borderId="1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3" fillId="13" borderId="0" xfId="0" applyFont="1" applyFill="1" applyAlignment="1">
      <alignment horizontal="right"/>
    </xf>
    <xf numFmtId="0" fontId="16" fillId="2" borderId="0" xfId="0" applyFont="1" applyFill="1" applyProtection="1">
      <protection hidden="1"/>
    </xf>
    <xf numFmtId="0" fontId="16" fillId="2" borderId="5" xfId="0" applyFont="1" applyFill="1" applyBorder="1" applyProtection="1">
      <protection hidden="1"/>
    </xf>
    <xf numFmtId="0" fontId="7" fillId="8" borderId="17" xfId="0" applyFont="1" applyFill="1" applyBorder="1" applyAlignment="1" applyProtection="1">
      <alignment horizontal="right"/>
      <protection hidden="1"/>
    </xf>
    <xf numFmtId="0" fontId="7" fillId="8" borderId="17" xfId="0" quotePrefix="1" applyFont="1" applyFill="1" applyBorder="1" applyAlignment="1" applyProtection="1">
      <alignment horizontal="center" vertical="center"/>
      <protection hidden="1"/>
    </xf>
    <xf numFmtId="172" fontId="0" fillId="9" borderId="12" xfId="0" applyNumberFormat="1" applyFill="1" applyBorder="1" applyAlignment="1" applyProtection="1">
      <alignment horizontal="center" vertical="center"/>
      <protection hidden="1"/>
    </xf>
    <xf numFmtId="2" fontId="0" fillId="9" borderId="13" xfId="0" quotePrefix="1" applyNumberFormat="1" applyFill="1" applyBorder="1" applyAlignment="1" applyProtection="1">
      <alignment horizontal="left" vertical="center"/>
      <protection hidden="1"/>
    </xf>
    <xf numFmtId="170" fontId="0" fillId="12" borderId="17" xfId="0" quotePrefix="1" applyNumberFormat="1" applyFill="1" applyBorder="1" applyAlignment="1" applyProtection="1">
      <alignment horizontal="left" vertical="center"/>
      <protection hidden="1"/>
    </xf>
    <xf numFmtId="0" fontId="7" fillId="2" borderId="18" xfId="0" applyFont="1" applyFill="1" applyBorder="1" applyAlignment="1" applyProtection="1">
      <alignment horizontal="center" vertical="center"/>
      <protection hidden="1"/>
    </xf>
    <xf numFmtId="172" fontId="0" fillId="2" borderId="18" xfId="0" applyNumberForma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72" fontId="0" fillId="2" borderId="18" xfId="0" applyNumberFormat="1" applyFill="1" applyBorder="1" applyProtection="1">
      <protection hidden="1"/>
    </xf>
    <xf numFmtId="171" fontId="0" fillId="2" borderId="2" xfId="0" applyNumberFormat="1" applyFill="1" applyBorder="1" applyAlignment="1" applyProtection="1">
      <alignment horizontal="left"/>
      <protection hidden="1"/>
    </xf>
    <xf numFmtId="171" fontId="0" fillId="2" borderId="18" xfId="0" applyNumberFormat="1" applyFill="1" applyBorder="1" applyAlignment="1" applyProtection="1">
      <alignment horizontal="left"/>
      <protection hidden="1"/>
    </xf>
    <xf numFmtId="166" fontId="8" fillId="3" borderId="21" xfId="0" quotePrefix="1" applyNumberFormat="1" applyFont="1" applyFill="1" applyBorder="1" applyAlignment="1" applyProtection="1">
      <alignment vertical="center"/>
      <protection hidden="1"/>
    </xf>
    <xf numFmtId="165" fontId="8" fillId="3" borderId="21" xfId="0" quotePrefix="1" applyNumberFormat="1" applyFont="1" applyFill="1" applyBorder="1" applyAlignment="1" applyProtection="1">
      <alignment vertical="center"/>
      <protection hidden="1"/>
    </xf>
    <xf numFmtId="0" fontId="7" fillId="17" borderId="13" xfId="0" applyFont="1" applyFill="1" applyBorder="1" applyAlignment="1" applyProtection="1">
      <alignment horizontal="right"/>
      <protection hidden="1"/>
    </xf>
    <xf numFmtId="0" fontId="7" fillId="17" borderId="13" xfId="0" quotePrefix="1" applyFont="1" applyFill="1" applyBorder="1" applyAlignment="1" applyProtection="1">
      <alignment horizontal="center" vertical="center"/>
      <protection hidden="1"/>
    </xf>
    <xf numFmtId="0" fontId="18" fillId="16" borderId="14" xfId="0" applyFont="1" applyFill="1" applyBorder="1" applyAlignment="1" applyProtection="1">
      <alignment horizontal="center"/>
      <protection hidden="1"/>
    </xf>
    <xf numFmtId="0" fontId="18" fillId="16" borderId="12" xfId="0" applyFont="1" applyFill="1" applyBorder="1" applyAlignment="1" applyProtection="1">
      <alignment horizontal="center" vertical="center"/>
      <protection hidden="1"/>
    </xf>
    <xf numFmtId="0" fontId="7" fillId="17" borderId="12" xfId="0" applyFont="1" applyFill="1" applyBorder="1" applyAlignment="1" applyProtection="1">
      <alignment horizontal="center" vertical="center"/>
      <protection hidden="1"/>
    </xf>
    <xf numFmtId="0" fontId="7" fillId="17" borderId="17" xfId="0" applyFont="1" applyFill="1" applyBorder="1" applyAlignment="1" applyProtection="1">
      <alignment horizontal="center" vertical="center"/>
      <protection hidden="1"/>
    </xf>
    <xf numFmtId="0" fontId="7" fillId="17" borderId="6" xfId="0" applyFont="1" applyFill="1" applyBorder="1" applyAlignment="1" applyProtection="1">
      <alignment horizontal="center" vertical="center"/>
      <protection hidden="1"/>
    </xf>
    <xf numFmtId="0" fontId="7" fillId="17" borderId="12" xfId="0" applyFont="1" applyFill="1" applyBorder="1" applyAlignment="1" applyProtection="1">
      <alignment horizontal="center"/>
      <protection hidden="1"/>
    </xf>
    <xf numFmtId="167" fontId="0" fillId="2" borderId="18" xfId="0" applyNumberFormat="1" applyFill="1" applyBorder="1" applyAlignment="1" applyProtection="1">
      <alignment horizontal="center" vertical="center"/>
      <protection hidden="1"/>
    </xf>
    <xf numFmtId="167" fontId="0" fillId="2" borderId="0" xfId="0" applyNumberFormat="1" applyFill="1" applyAlignment="1" applyProtection="1">
      <alignment horizontal="center" vertical="center"/>
      <protection hidden="1"/>
    </xf>
    <xf numFmtId="167" fontId="0" fillId="2" borderId="22" xfId="0" applyNumberFormat="1" applyFill="1" applyBorder="1" applyAlignment="1" applyProtection="1">
      <alignment horizontal="center" vertical="center"/>
      <protection hidden="1"/>
    </xf>
    <xf numFmtId="167" fontId="0" fillId="2" borderId="23" xfId="0" applyNumberFormat="1" applyFill="1" applyBorder="1" applyAlignment="1" applyProtection="1">
      <alignment horizontal="center" vertical="center"/>
      <protection hidden="1"/>
    </xf>
    <xf numFmtId="0" fontId="19" fillId="17" borderId="13" xfId="0" applyFont="1" applyFill="1" applyBorder="1" applyAlignment="1" applyProtection="1">
      <alignment horizontal="right"/>
      <protection hidden="1"/>
    </xf>
    <xf numFmtId="0" fontId="7" fillId="17" borderId="17" xfId="0" applyFont="1" applyFill="1" applyBorder="1" applyAlignment="1" applyProtection="1">
      <alignment horizontal="right"/>
      <protection hidden="1"/>
    </xf>
    <xf numFmtId="0" fontId="7" fillId="17" borderId="17" xfId="0" quotePrefix="1" applyFont="1" applyFill="1" applyBorder="1" applyAlignment="1" applyProtection="1">
      <alignment horizontal="center" vertical="center"/>
      <protection hidden="1"/>
    </xf>
    <xf numFmtId="172" fontId="0" fillId="2" borderId="0" xfId="0" applyNumberForma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right" vertical="center"/>
      <protection hidden="1"/>
    </xf>
    <xf numFmtId="2" fontId="0" fillId="2" borderId="19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 vertical="top" wrapText="1"/>
    </xf>
    <xf numFmtId="0" fontId="0" fillId="2" borderId="10" xfId="0" applyFill="1" applyBorder="1" applyAlignment="1">
      <alignment horizontal="center"/>
    </xf>
    <xf numFmtId="0" fontId="9" fillId="7" borderId="12" xfId="0" applyFont="1" applyFill="1" applyBorder="1" applyAlignment="1" applyProtection="1">
      <alignment horizontal="center"/>
      <protection hidden="1"/>
    </xf>
    <xf numFmtId="0" fontId="7" fillId="8" borderId="14" xfId="0" quotePrefix="1" applyFont="1" applyFill="1" applyBorder="1" applyAlignment="1" applyProtection="1">
      <alignment horizontal="center" vertical="center"/>
      <protection hidden="1"/>
    </xf>
    <xf numFmtId="0" fontId="7" fillId="8" borderId="15" xfId="0" quotePrefix="1" applyFont="1" applyFill="1" applyBorder="1" applyAlignment="1" applyProtection="1">
      <alignment horizontal="center" vertical="center"/>
      <protection hidden="1"/>
    </xf>
    <xf numFmtId="0" fontId="7" fillId="8" borderId="12" xfId="0" quotePrefix="1" applyFont="1" applyFill="1" applyBorder="1" applyAlignment="1" applyProtection="1">
      <alignment horizontal="center" vertical="center"/>
      <protection hidden="1"/>
    </xf>
    <xf numFmtId="170" fontId="0" fillId="9" borderId="14" xfId="0" applyNumberFormat="1" applyFill="1" applyBorder="1" applyAlignment="1" applyProtection="1">
      <alignment horizontal="center" vertical="center"/>
      <protection hidden="1"/>
    </xf>
    <xf numFmtId="170" fontId="0" fillId="9" borderId="15" xfId="0" applyNumberForma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6" fillId="3" borderId="2" xfId="0" applyFont="1" applyFill="1" applyBorder="1" applyAlignment="1" applyProtection="1">
      <alignment horizontal="center"/>
      <protection hidden="1"/>
    </xf>
    <xf numFmtId="0" fontId="6" fillId="3" borderId="3" xfId="0" applyFont="1" applyFill="1" applyBorder="1" applyAlignment="1" applyProtection="1">
      <alignment horizontal="center"/>
      <protection hidden="1"/>
    </xf>
    <xf numFmtId="0" fontId="7" fillId="4" borderId="4" xfId="0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9" fillId="7" borderId="6" xfId="0" applyFont="1" applyFill="1" applyBorder="1" applyAlignment="1" applyProtection="1">
      <alignment horizontal="center"/>
      <protection hidden="1"/>
    </xf>
    <xf numFmtId="0" fontId="9" fillId="7" borderId="11" xfId="0" applyFont="1" applyFill="1" applyBorder="1" applyAlignment="1" applyProtection="1">
      <alignment horizontal="center"/>
      <protection hidden="1"/>
    </xf>
    <xf numFmtId="0" fontId="7" fillId="8" borderId="6" xfId="0" applyFont="1" applyFill="1" applyBorder="1" applyAlignment="1" applyProtection="1">
      <alignment horizontal="center" vertical="center"/>
      <protection hidden="1"/>
    </xf>
    <xf numFmtId="0" fontId="7" fillId="8" borderId="16" xfId="0" applyFont="1" applyFill="1" applyBorder="1" applyAlignment="1" applyProtection="1">
      <alignment horizontal="center" vertical="center"/>
      <protection hidden="1"/>
    </xf>
    <xf numFmtId="166" fontId="1" fillId="6" borderId="6" xfId="0" quotePrefix="1" applyNumberFormat="1" applyFont="1" applyFill="1" applyBorder="1" applyAlignment="1" applyProtection="1">
      <alignment horizontal="center" vertical="center"/>
      <protection hidden="1"/>
    </xf>
    <xf numFmtId="166" fontId="1" fillId="6" borderId="11" xfId="0" quotePrefix="1" applyNumberFormat="1" applyFont="1" applyFill="1" applyBorder="1" applyAlignment="1" applyProtection="1">
      <alignment horizontal="center" vertical="center"/>
      <protection hidden="1"/>
    </xf>
    <xf numFmtId="168" fontId="0" fillId="9" borderId="6" xfId="0" quotePrefix="1" applyNumberFormat="1" applyFill="1" applyBorder="1" applyAlignment="1" applyProtection="1">
      <alignment horizontal="left" vertical="center"/>
      <protection hidden="1"/>
    </xf>
    <xf numFmtId="168" fontId="0" fillId="9" borderId="11" xfId="0" quotePrefix="1" applyNumberFormat="1" applyFill="1" applyBorder="1" applyAlignment="1" applyProtection="1">
      <alignment horizontal="left" vertical="center"/>
      <protection hidden="1"/>
    </xf>
    <xf numFmtId="166" fontId="0" fillId="9" borderId="14" xfId="0" applyNumberFormat="1" applyFill="1" applyBorder="1" applyAlignment="1" applyProtection="1">
      <alignment horizontal="center" vertical="center"/>
      <protection hidden="1"/>
    </xf>
    <xf numFmtId="166" fontId="0" fillId="9" borderId="15" xfId="0" applyNumberFormat="1" applyFill="1" applyBorder="1" applyAlignment="1" applyProtection="1">
      <alignment horizontal="center" vertical="center"/>
      <protection hidden="1"/>
    </xf>
    <xf numFmtId="171" fontId="0" fillId="9" borderId="14" xfId="0" applyNumberFormat="1" applyFill="1" applyBorder="1" applyAlignment="1" applyProtection="1">
      <alignment horizontal="center" vertical="center"/>
      <protection hidden="1"/>
    </xf>
    <xf numFmtId="171" fontId="0" fillId="9" borderId="15" xfId="0" applyNumberFormat="1" applyFill="1" applyBorder="1" applyAlignment="1" applyProtection="1">
      <alignment horizontal="center" vertical="center"/>
      <protection hidden="1"/>
    </xf>
    <xf numFmtId="0" fontId="9" fillId="7" borderId="16" xfId="0" applyFont="1" applyFill="1" applyBorder="1" applyAlignment="1" applyProtection="1">
      <alignment horizontal="center"/>
      <protection hidden="1"/>
    </xf>
    <xf numFmtId="165" fontId="1" fillId="6" borderId="6" xfId="0" quotePrefix="1" applyNumberFormat="1" applyFont="1" applyFill="1" applyBorder="1" applyAlignment="1" applyProtection="1">
      <alignment horizontal="center" vertical="center"/>
      <protection hidden="1"/>
    </xf>
    <xf numFmtId="165" fontId="1" fillId="6" borderId="11" xfId="0" quotePrefix="1" applyNumberFormat="1" applyFont="1" applyFill="1" applyBorder="1" applyAlignment="1" applyProtection="1">
      <alignment horizontal="center" vertical="center"/>
      <protection hidden="1"/>
    </xf>
    <xf numFmtId="171" fontId="0" fillId="2" borderId="18" xfId="0" applyNumberFormat="1" applyFill="1" applyBorder="1" applyAlignment="1" applyProtection="1">
      <alignment horizontal="center" vertical="center"/>
      <protection hidden="1"/>
    </xf>
    <xf numFmtId="0" fontId="9" fillId="15" borderId="12" xfId="0" applyFont="1" applyFill="1" applyBorder="1" applyAlignment="1" applyProtection="1">
      <alignment horizontal="center"/>
      <protection hidden="1"/>
    </xf>
    <xf numFmtId="0" fontId="9" fillId="15" borderId="20" xfId="0" applyFont="1" applyFill="1" applyBorder="1" applyAlignment="1" applyProtection="1">
      <alignment horizontal="center"/>
      <protection hidden="1"/>
    </xf>
    <xf numFmtId="0" fontId="7" fillId="17" borderId="6" xfId="0" applyFont="1" applyFill="1" applyBorder="1" applyAlignment="1" applyProtection="1">
      <alignment horizontal="center" vertical="center"/>
      <protection hidden="1"/>
    </xf>
    <xf numFmtId="0" fontId="7" fillId="17" borderId="16" xfId="0" applyFont="1" applyFill="1" applyBorder="1" applyAlignment="1" applyProtection="1">
      <alignment horizontal="center" vertical="center"/>
      <protection hidden="1"/>
    </xf>
    <xf numFmtId="0" fontId="17" fillId="16" borderId="6" xfId="0" applyFont="1" applyFill="1" applyBorder="1" applyAlignment="1" applyProtection="1">
      <alignment horizontal="center"/>
      <protection hidden="1"/>
    </xf>
    <xf numFmtId="0" fontId="17" fillId="16" borderId="11" xfId="0" applyFont="1" applyFill="1" applyBorder="1" applyAlignment="1" applyProtection="1">
      <alignment horizontal="center"/>
      <protection hidden="1"/>
    </xf>
    <xf numFmtId="0" fontId="17" fillId="16" borderId="12" xfId="0" applyFont="1" applyFill="1" applyBorder="1" applyAlignment="1" applyProtection="1">
      <alignment horizontal="center"/>
      <protection hidden="1"/>
    </xf>
    <xf numFmtId="0" fontId="7" fillId="17" borderId="14" xfId="0" quotePrefix="1" applyFont="1" applyFill="1" applyBorder="1" applyAlignment="1" applyProtection="1">
      <alignment horizontal="center" vertical="center"/>
      <protection hidden="1"/>
    </xf>
    <xf numFmtId="0" fontId="7" fillId="17" borderId="15" xfId="0" quotePrefix="1" applyFont="1" applyFill="1" applyBorder="1" applyAlignment="1" applyProtection="1">
      <alignment horizontal="center" vertical="center"/>
      <protection hidden="1"/>
    </xf>
    <xf numFmtId="0" fontId="7" fillId="17" borderId="12" xfId="0" quotePrefix="1" applyFont="1" applyFill="1" applyBorder="1" applyAlignment="1" applyProtection="1">
      <alignment horizontal="center" vertical="center"/>
      <protection hidden="1"/>
    </xf>
    <xf numFmtId="0" fontId="17" fillId="16" borderId="14" xfId="0" applyFont="1" applyFill="1" applyBorder="1" applyAlignment="1" applyProtection="1">
      <alignment horizontal="center"/>
      <protection hidden="1"/>
    </xf>
    <xf numFmtId="0" fontId="17" fillId="16" borderId="19" xfId="0" applyFont="1" applyFill="1" applyBorder="1" applyAlignment="1" applyProtection="1">
      <alignment horizontal="center"/>
      <protection hidden="1"/>
    </xf>
    <xf numFmtId="0" fontId="17" fillId="16" borderId="15" xfId="0" applyFont="1" applyFill="1" applyBorder="1" applyAlignment="1" applyProtection="1">
      <alignment horizontal="center"/>
      <protection hidden="1"/>
    </xf>
    <xf numFmtId="0" fontId="17" fillId="16" borderId="16" xfId="0" applyFont="1" applyFill="1" applyBorder="1" applyAlignment="1" applyProtection="1">
      <alignment horizontal="center"/>
      <protection hidden="1"/>
    </xf>
    <xf numFmtId="165" fontId="1" fillId="6" borderId="16" xfId="0" quotePrefix="1" applyNumberFormat="1" applyFont="1" applyFill="1" applyBorder="1" applyAlignment="1" applyProtection="1">
      <alignment horizontal="center" vertical="center"/>
      <protection hidden="1"/>
    </xf>
    <xf numFmtId="171" fontId="0" fillId="2" borderId="0" xfId="0" applyNumberFormat="1" applyFill="1" applyAlignment="1" applyProtection="1">
      <alignment horizontal="center" vertical="center"/>
      <protection hidden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218072</xdr:colOff>
      <xdr:row>2</xdr:row>
      <xdr:rowOff>28575</xdr:rowOff>
    </xdr:from>
    <xdr:to>
      <xdr:col>11</xdr:col>
      <xdr:colOff>96253</xdr:colOff>
      <xdr:row>4</xdr:row>
      <xdr:rowOff>103395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6B6E4-5859-4181-9EAF-4DE8A301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722" y="419100"/>
          <a:ext cx="2307056" cy="503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381000</xdr:colOff>
      <xdr:row>19</xdr:row>
      <xdr:rowOff>171450</xdr:rowOff>
    </xdr:from>
    <xdr:ext cx="3187732" cy="796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90FA633-734F-4B21-8A96-6FD789ECC80F}"/>
                </a:ext>
              </a:extLst>
            </xdr:cNvPr>
            <xdr:cNvSpPr txBox="1"/>
          </xdr:nvSpPr>
          <xdr:spPr>
            <a:xfrm>
              <a:off x="1600200" y="3848100"/>
              <a:ext cx="3187732" cy="796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pt-BR" sz="3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32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90FA633-734F-4B21-8A96-6FD789ECC80F}"/>
                </a:ext>
              </a:extLst>
            </xdr:cNvPr>
            <xdr:cNvSpPr txBox="1"/>
          </xdr:nvSpPr>
          <xdr:spPr>
            <a:xfrm>
              <a:off x="1600200" y="3848100"/>
              <a:ext cx="3187732" cy="796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3200" b="0" i="0">
                  <a:latin typeface="Cambria Math" panose="02040503050406030204" pitchFamily="18" charset="0"/>
                </a:rPr>
                <a:t>𝑅_𝐹=𝑅_0 𝑒^(</a:t>
              </a:r>
              <a:r>
                <a:rPr lang="pt-BR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𝛽(1/𝑇−1/𝑇_0 ))</a:t>
              </a:r>
              <a:endParaRPr lang="pt-BR" sz="3200"/>
            </a:p>
          </xdr:txBody>
        </xdr:sp>
      </mc:Fallback>
    </mc:AlternateContent>
    <xdr:clientData/>
  </xdr:oneCellAnchor>
  <xdr:oneCellAnchor>
    <xdr:from>
      <xdr:col>2</xdr:col>
      <xdr:colOff>428624</xdr:colOff>
      <xdr:row>25</xdr:row>
      <xdr:rowOff>152401</xdr:rowOff>
    </xdr:from>
    <xdr:ext cx="3181351" cy="1076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F54797A-C6FD-426B-8A47-447A3F8772D3}"/>
                </a:ext>
              </a:extLst>
            </xdr:cNvPr>
            <xdr:cNvSpPr txBox="1"/>
          </xdr:nvSpPr>
          <xdr:spPr>
            <a:xfrm>
              <a:off x="1647824" y="4972051"/>
              <a:ext cx="3181351" cy="1076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den>
                    </m:f>
                    <m:r>
                      <a:rPr lang="pt-BR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t-BR" sz="32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BR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den>
                    </m:f>
                    <m:r>
                      <m:rPr>
                        <m:sty m:val="p"/>
                      </m:rPr>
                      <a:rPr lang="pt-BR" sz="32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pt-BR" sz="3200" b="0" i="1">
                        <a:latin typeface="Cambria Math" panose="02040503050406030204" pitchFamily="18" charset="0"/>
                      </a:rPr>
                      <m:t>⁡(</m:t>
                    </m:r>
                    <m:f>
                      <m:f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3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</m:den>
                    </m:f>
                    <m:r>
                      <a:rPr lang="pt-BR" sz="3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3200"/>
            </a:p>
            <a:p>
              <a:endParaRPr lang="pt-BR" sz="32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F54797A-C6FD-426B-8A47-447A3F8772D3}"/>
                </a:ext>
              </a:extLst>
            </xdr:cNvPr>
            <xdr:cNvSpPr txBox="1"/>
          </xdr:nvSpPr>
          <xdr:spPr>
            <a:xfrm>
              <a:off x="1647824" y="4972051"/>
              <a:ext cx="3181351" cy="1076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1/𝑇</a:t>
              </a:r>
              <a:r>
                <a:rPr lang="pt-BR" sz="3200" b="0" i="0">
                  <a:latin typeface="Cambria Math" panose="02040503050406030204" pitchFamily="18" charset="0"/>
                </a:rPr>
                <a:t>=</a:t>
              </a:r>
              <a:r>
                <a:rPr lang="pt-BR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1/𝑇_0 +1/</a:t>
              </a:r>
              <a:r>
                <a:rPr lang="pt-BR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 </a:t>
              </a:r>
              <a:r>
                <a:rPr lang="pt-BR" sz="3200" b="0" i="0">
                  <a:latin typeface="Cambria Math" panose="02040503050406030204" pitchFamily="18" charset="0"/>
                </a:rPr>
                <a:t>ln⁡(</a:t>
              </a:r>
              <a:r>
                <a:rPr lang="pt-BR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𝑅_𝐹/𝑅_𝐼 </a:t>
              </a:r>
              <a:r>
                <a:rPr lang="pt-BR" sz="3200" b="0" i="0">
                  <a:latin typeface="Cambria Math" panose="02040503050406030204" pitchFamily="18" charset="0"/>
                </a:rPr>
                <a:t>)</a:t>
              </a:r>
              <a:endParaRPr lang="pt-BR" sz="3200"/>
            </a:p>
            <a:p>
              <a:endParaRPr lang="pt-BR" sz="3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21</xdr:row>
      <xdr:rowOff>66675</xdr:rowOff>
    </xdr:from>
    <xdr:ext cx="297179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9CDFE78-1BAE-486D-9BEA-6F3F9D754D34}"/>
                </a:ext>
              </a:extLst>
            </xdr:cNvPr>
            <xdr:cNvSpPr txBox="1"/>
          </xdr:nvSpPr>
          <xdr:spPr>
            <a:xfrm>
              <a:off x="247651" y="4124325"/>
              <a:ext cx="2971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(1+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9CDFE78-1BAE-486D-9BEA-6F3F9D754D34}"/>
                </a:ext>
              </a:extLst>
            </xdr:cNvPr>
            <xdr:cNvSpPr txBox="1"/>
          </xdr:nvSpPr>
          <xdr:spPr>
            <a:xfrm>
              <a:off x="247651" y="4124325"/>
              <a:ext cx="2971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𝑅_𝐹=𝑅_𝐼 (1+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𝛼(𝑇_𝐹−𝑇_𝐼)</a:t>
              </a:r>
              <a:r>
                <a:rPr lang="pt-BR" sz="2000" b="0" i="0">
                  <a:latin typeface="Cambria Math" panose="02040503050406030204" pitchFamily="18" charset="0"/>
                </a:rPr>
                <a:t>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323851</xdr:colOff>
      <xdr:row>23</xdr:row>
      <xdr:rowOff>95250</xdr:rowOff>
    </xdr:from>
    <xdr:ext cx="7543800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E256C4-0A00-4A80-BCAD-86E5890F5FA8}"/>
                </a:ext>
              </a:extLst>
            </xdr:cNvPr>
            <xdr:cNvSpPr txBox="1"/>
          </xdr:nvSpPr>
          <xdr:spPr>
            <a:xfrm>
              <a:off x="323851" y="4533900"/>
              <a:ext cx="7543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</m:t>
                                </m:r>
                              </m:sub>
                            </m:sSub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𝐼</m:t>
                                </m:r>
                              </m:sub>
                            </m:sSub>
                          </m:e>
                        </m:d>
                        <m:r>
                          <a:rPr lang="pt-BR" sz="2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sSup>
                          <m:sSupPr>
                            <m:ctrlPr>
                              <a:rPr lang="el-G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sub>
                                </m:sSub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sub>
                            </m:s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sub>
                            </m:s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−100</m:t>
                            </m:r>
                          </m:e>
                        </m:d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sSup>
                          <m:sSupPr>
                            <m:ctrlPr>
                              <a:rPr lang="el-G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sub>
                                </m:sSub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E256C4-0A00-4A80-BCAD-86E5890F5FA8}"/>
                </a:ext>
              </a:extLst>
            </xdr:cNvPr>
            <xdr:cNvSpPr txBox="1"/>
          </xdr:nvSpPr>
          <xdr:spPr>
            <a:xfrm>
              <a:off x="323851" y="4533900"/>
              <a:ext cx="7543800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𝑅_𝐹=𝑅_𝐼 (1+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𝛼(𝑇_𝐹−𝑇_𝐼 )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(𝑇_𝐹−𝑇_𝐼 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2+(𝑇_𝐹−𝑇_𝐼−100)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(𝑇_𝐹−𝑇_𝐼 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314325</xdr:colOff>
      <xdr:row>25</xdr:row>
      <xdr:rowOff>161925</xdr:rowOff>
    </xdr:from>
    <xdr:ext cx="4371975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D9D654A-EC16-4684-A694-B007F4CFF6B8}"/>
                </a:ext>
              </a:extLst>
            </xdr:cNvPr>
            <xdr:cNvSpPr txBox="1"/>
          </xdr:nvSpPr>
          <xdr:spPr>
            <a:xfrm>
              <a:off x="314325" y="4981575"/>
              <a:ext cx="4371975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BR" sz="2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sSup>
                          <m:sSupPr>
                            <m:ctrlPr>
                              <a:rPr lang="el-G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−100</m:t>
                            </m:r>
                          </m:e>
                        </m:d>
                        <m:sSup>
                          <m:sSupPr>
                            <m:ctrlPr>
                              <a:rPr lang="el-G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l-G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𝛾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D9D654A-EC16-4684-A694-B007F4CFF6B8}"/>
                </a:ext>
              </a:extLst>
            </xdr:cNvPr>
            <xdr:cNvSpPr txBox="1"/>
          </xdr:nvSpPr>
          <xdr:spPr>
            <a:xfrm>
              <a:off x="314325" y="4981575"/>
              <a:ext cx="4371975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2000" i="0">
                  <a:latin typeface="Cambria Math" panose="02040503050406030204" pitchFamily="18" charset="0"/>
                </a:rPr>
                <a:t>𝑅</a:t>
              </a:r>
              <a:r>
                <a:rPr lang="pt-BR" sz="2000" b="0" i="0">
                  <a:latin typeface="Cambria Math" panose="02040503050406030204" pitchFamily="18" charset="0"/>
                </a:rPr>
                <a:t>=𝑅_0 (1+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𝛼𝑇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2+(𝑇−100)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4</xdr:col>
      <xdr:colOff>180975</xdr:colOff>
      <xdr:row>2</xdr:row>
      <xdr:rowOff>66675</xdr:rowOff>
    </xdr:from>
    <xdr:ext cx="3762375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23C0B29-7A39-43F8-A8A4-38CA3E0E5206}"/>
                </a:ext>
              </a:extLst>
            </xdr:cNvPr>
            <xdr:cNvSpPr txBox="1"/>
          </xdr:nvSpPr>
          <xdr:spPr>
            <a:xfrm>
              <a:off x="1857375" y="457200"/>
              <a:ext cx="376237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=100</m:t>
                    </m:r>
                    <m:d>
                      <m:d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𝐴𝑇</m:t>
                        </m:r>
                        <m:r>
                          <a:rPr lang="pt-BR" sz="16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p>
                          <m:sSupPr>
                            <m:ctrlPr>
                              <a:rPr lang="el-G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−100</m:t>
                            </m:r>
                          </m:e>
                        </m:d>
                        <m:sSup>
                          <m:sSupPr>
                            <m:ctrlPr>
                              <a:rPr lang="el-G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𝐶𝑇</m:t>
                            </m:r>
                          </m:e>
                          <m:sup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23C0B29-7A39-43F8-A8A4-38CA3E0E5206}"/>
                </a:ext>
              </a:extLst>
            </xdr:cNvPr>
            <xdr:cNvSpPr txBox="1"/>
          </xdr:nvSpPr>
          <xdr:spPr>
            <a:xfrm>
              <a:off x="1857375" y="457200"/>
              <a:ext cx="376237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600" i="0">
                  <a:latin typeface="Cambria Math" panose="02040503050406030204" pitchFamily="18" charset="0"/>
                </a:rPr>
                <a:t>𝑅</a:t>
              </a:r>
              <a:r>
                <a:rPr lang="pt-BR" sz="1600" b="0" i="0">
                  <a:latin typeface="Cambria Math" panose="02040503050406030204" pitchFamily="18" charset="0"/>
                </a:rPr>
                <a:t>=100(1+𝐴𝑇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+𝐵𝑇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2+(𝑇−100)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</xdr:colOff>
      <xdr:row>10</xdr:row>
      <xdr:rowOff>83819</xdr:rowOff>
    </xdr:from>
    <xdr:to>
      <xdr:col>8</xdr:col>
      <xdr:colOff>416560</xdr:colOff>
      <xdr:row>11</xdr:row>
      <xdr:rowOff>180736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139EDF-135F-4E9D-B019-BDC6086A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2485" y="2550794"/>
          <a:ext cx="3279775" cy="28741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41</xdr:row>
      <xdr:rowOff>83820</xdr:rowOff>
    </xdr:from>
    <xdr:to>
      <xdr:col>8</xdr:col>
      <xdr:colOff>416560</xdr:colOff>
      <xdr:row>42</xdr:row>
      <xdr:rowOff>180737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52C7CF-263E-4CEB-82C8-0AC5FD608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2485" y="8770620"/>
          <a:ext cx="3279775" cy="28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83819</xdr:colOff>
      <xdr:row>11</xdr:row>
      <xdr:rowOff>222022</xdr:rowOff>
    </xdr:from>
    <xdr:to>
      <xdr:col>8</xdr:col>
      <xdr:colOff>533400</xdr:colOff>
      <xdr:row>13</xdr:row>
      <xdr:rowOff>70485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BEFFB0-10BB-44AC-8649-151C5DACD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65344" y="2650897"/>
          <a:ext cx="3088006" cy="258038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42</xdr:row>
      <xdr:rowOff>213360</xdr:rowOff>
    </xdr:from>
    <xdr:to>
      <xdr:col>8</xdr:col>
      <xdr:colOff>518161</xdr:colOff>
      <xdr:row>44</xdr:row>
      <xdr:rowOff>71348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FFBF940-D797-407D-959C-9D261DB9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50105" y="8890635"/>
          <a:ext cx="3088006" cy="258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</xdr:colOff>
      <xdr:row>10</xdr:row>
      <xdr:rowOff>83819</xdr:rowOff>
    </xdr:from>
    <xdr:to>
      <xdr:col>8</xdr:col>
      <xdr:colOff>251460</xdr:colOff>
      <xdr:row>11</xdr:row>
      <xdr:rowOff>180736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BD2C51-E525-4575-9F00-5BAD632CF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2485" y="2312669"/>
          <a:ext cx="3276600" cy="28741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41</xdr:row>
      <xdr:rowOff>83820</xdr:rowOff>
    </xdr:from>
    <xdr:to>
      <xdr:col>8</xdr:col>
      <xdr:colOff>251460</xdr:colOff>
      <xdr:row>42</xdr:row>
      <xdr:rowOff>180737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39E862-92E5-4785-A306-3643EF7F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2485" y="8561070"/>
          <a:ext cx="3276600" cy="2874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83819</xdr:colOff>
      <xdr:row>11</xdr:row>
      <xdr:rowOff>222022</xdr:rowOff>
    </xdr:from>
    <xdr:to>
      <xdr:col>8</xdr:col>
      <xdr:colOff>533400</xdr:colOff>
      <xdr:row>13</xdr:row>
      <xdr:rowOff>70485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02A1D4-5F69-4586-9594-59A536EF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65344" y="2650897"/>
          <a:ext cx="3088006" cy="258038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42</xdr:row>
      <xdr:rowOff>213360</xdr:rowOff>
    </xdr:from>
    <xdr:to>
      <xdr:col>8</xdr:col>
      <xdr:colOff>518161</xdr:colOff>
      <xdr:row>44</xdr:row>
      <xdr:rowOff>71348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76F735-3711-48AB-A212-20ED8F43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50105" y="8938260"/>
          <a:ext cx="3088006" cy="258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A48C-A3B7-43AB-813A-9E7BBDDA72FD}">
  <dimension ref="A1:AN41"/>
  <sheetViews>
    <sheetView tabSelected="1" zoomScaleNormal="100" workbookViewId="0">
      <selection activeCell="J40" sqref="J40"/>
    </sheetView>
  </sheetViews>
  <sheetFormatPr defaultRowHeight="15" x14ac:dyDescent="0.25"/>
  <cols>
    <col min="2" max="2" width="9.140625" style="94"/>
    <col min="3" max="3" width="8.7109375" style="94" bestFit="1" customWidth="1"/>
    <col min="4" max="5" width="3.7109375" style="94" customWidth="1"/>
    <col min="6" max="6" width="3.7109375" style="96" customWidth="1"/>
    <col min="7" max="7" width="12" bestFit="1" customWidth="1"/>
    <col min="8" max="8" width="3.7109375" style="94" customWidth="1"/>
    <col min="9" max="9" width="3.7109375" style="96" customWidth="1"/>
    <col min="10" max="10" width="9.5703125" customWidth="1"/>
    <col min="11" max="11" width="3.7109375" style="94" customWidth="1"/>
    <col min="14" max="16" width="10.7109375" style="94" customWidth="1"/>
    <col min="17" max="17" width="9.140625" style="94"/>
    <col min="18" max="18" width="9.85546875" bestFit="1" customWidth="1"/>
    <col min="19" max="19" width="12" bestFit="1" customWidth="1"/>
  </cols>
  <sheetData>
    <row r="1" spans="1:40" x14ac:dyDescent="0.25">
      <c r="A1" s="1"/>
      <c r="B1" s="71"/>
      <c r="C1" s="71"/>
      <c r="D1" s="71"/>
      <c r="E1" s="71"/>
      <c r="F1" s="72"/>
      <c r="G1" s="1"/>
      <c r="H1" s="71"/>
      <c r="I1" s="72"/>
      <c r="J1" s="1"/>
      <c r="K1" s="71"/>
      <c r="L1" s="1"/>
      <c r="M1" s="1"/>
      <c r="N1" s="71"/>
      <c r="O1" s="71"/>
      <c r="P1" s="71"/>
      <c r="Q1" s="7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40" ht="15.75" customHeight="1" x14ac:dyDescent="0.25">
      <c r="A2" s="135" t="s">
        <v>40</v>
      </c>
      <c r="B2" s="135"/>
      <c r="C2" s="135"/>
      <c r="D2" s="136" t="s">
        <v>74</v>
      </c>
      <c r="E2" s="136"/>
      <c r="F2" s="136"/>
      <c r="G2" s="136"/>
      <c r="H2" s="136"/>
      <c r="I2" s="136"/>
      <c r="J2" s="136"/>
      <c r="K2" s="136"/>
      <c r="L2" s="136"/>
      <c r="M2" s="1"/>
      <c r="N2" s="74"/>
      <c r="O2" s="71"/>
      <c r="P2" s="71"/>
      <c r="Q2" s="71"/>
      <c r="R2" s="1"/>
      <c r="S2" s="1"/>
      <c r="T2" s="1"/>
      <c r="U2" s="137" t="s">
        <v>75</v>
      </c>
      <c r="V2" s="137"/>
      <c r="W2" s="137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72" t="s">
        <v>41</v>
      </c>
      <c r="B3" s="75">
        <v>273.14999999999998</v>
      </c>
      <c r="C3" s="76">
        <f>B3-273.15</f>
        <v>0</v>
      </c>
      <c r="D3" s="71" t="s">
        <v>4</v>
      </c>
      <c r="E3" s="71"/>
      <c r="F3" s="72"/>
      <c r="G3" s="1"/>
      <c r="H3" s="71"/>
      <c r="I3" s="72"/>
      <c r="J3" s="1"/>
      <c r="K3" s="71"/>
      <c r="L3" s="1"/>
      <c r="M3" s="1"/>
      <c r="N3" s="79" t="s">
        <v>43</v>
      </c>
      <c r="O3" s="138">
        <f>MDETERM(N4:P6)</f>
        <v>-399.11204398277727</v>
      </c>
      <c r="P3" s="138"/>
      <c r="Q3" s="71"/>
      <c r="R3" s="1"/>
      <c r="S3" s="1"/>
      <c r="T3" s="1"/>
      <c r="U3" s="137"/>
      <c r="V3" s="137"/>
      <c r="W3" s="137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8.75" x14ac:dyDescent="0.3">
      <c r="A4" s="72" t="s">
        <v>44</v>
      </c>
      <c r="B4" s="75">
        <v>298.14999999999998</v>
      </c>
      <c r="C4" s="76">
        <f t="shared" ref="C4:C5" si="0">B4-273.15</f>
        <v>25</v>
      </c>
      <c r="D4" s="71" t="s">
        <v>4</v>
      </c>
      <c r="E4" s="71"/>
      <c r="F4" s="72"/>
      <c r="G4" s="1"/>
      <c r="H4" s="71"/>
      <c r="I4" s="72"/>
      <c r="J4" s="1"/>
      <c r="K4" s="71"/>
      <c r="L4" s="1"/>
      <c r="M4" s="1"/>
      <c r="N4" s="97">
        <v>1</v>
      </c>
      <c r="O4" s="97">
        <f>G6</f>
        <v>10.479061050523804</v>
      </c>
      <c r="P4" s="97">
        <f>J6</f>
        <v>1150.7132441278461</v>
      </c>
      <c r="Q4" s="71"/>
      <c r="R4" s="83" t="s">
        <v>45</v>
      </c>
      <c r="S4" s="1"/>
      <c r="T4" s="1"/>
      <c r="U4" s="137"/>
      <c r="V4" s="137"/>
      <c r="W4" s="137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72" t="s">
        <v>46</v>
      </c>
      <c r="B5" s="75">
        <v>373.15</v>
      </c>
      <c r="C5" s="76">
        <f t="shared" si="0"/>
        <v>100</v>
      </c>
      <c r="D5" s="71" t="s">
        <v>4</v>
      </c>
      <c r="E5" s="71"/>
      <c r="F5" s="72"/>
      <c r="G5" s="1"/>
      <c r="H5" s="71"/>
      <c r="I5" s="72"/>
      <c r="J5" s="1"/>
      <c r="K5" s="71"/>
      <c r="L5" s="1"/>
      <c r="M5" s="1"/>
      <c r="N5" s="90">
        <v>1</v>
      </c>
      <c r="O5" s="90">
        <f>G7</f>
        <v>9.2103403719761836</v>
      </c>
      <c r="P5" s="90">
        <f>J7</f>
        <v>781.31657944069514</v>
      </c>
      <c r="Q5" s="71"/>
      <c r="R5" s="1"/>
      <c r="S5" s="1"/>
      <c r="T5" s="1"/>
      <c r="U5" s="137"/>
      <c r="V5" s="137"/>
      <c r="W5" s="137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72"/>
      <c r="B6" s="71"/>
      <c r="C6" s="71"/>
      <c r="D6" s="71" t="s">
        <v>49</v>
      </c>
      <c r="E6" s="71" t="s">
        <v>48</v>
      </c>
      <c r="F6" s="72" t="s">
        <v>50</v>
      </c>
      <c r="G6" s="1">
        <f>LN(B7)</f>
        <v>10.479061050523804</v>
      </c>
      <c r="H6" s="71" t="s">
        <v>48</v>
      </c>
      <c r="I6" s="72" t="s">
        <v>51</v>
      </c>
      <c r="J6" s="86">
        <f>LN(B7)^3</f>
        <v>1150.7132441278461</v>
      </c>
      <c r="K6" s="71" t="s">
        <v>60</v>
      </c>
      <c r="L6" s="98">
        <f>1/B3</f>
        <v>3.6609921288669233E-3</v>
      </c>
      <c r="M6" s="1"/>
      <c r="N6" s="90">
        <v>1</v>
      </c>
      <c r="O6" s="90">
        <f>G8</f>
        <v>6.3088267736611732</v>
      </c>
      <c r="P6" s="90">
        <f>J8</f>
        <v>251.0994771630856</v>
      </c>
      <c r="Q6" s="71"/>
      <c r="R6" s="1"/>
      <c r="S6" s="1"/>
      <c r="T6" s="1"/>
      <c r="U6" s="137"/>
      <c r="V6" s="137"/>
      <c r="W6" s="137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72" t="s">
        <v>53</v>
      </c>
      <c r="B7" s="80">
        <v>35563</v>
      </c>
      <c r="C7" s="71"/>
      <c r="D7" s="71" t="s">
        <v>49</v>
      </c>
      <c r="E7" s="71" t="s">
        <v>48</v>
      </c>
      <c r="F7" s="72" t="s">
        <v>50</v>
      </c>
      <c r="G7" s="1">
        <f>LN(B8)</f>
        <v>9.2103403719761836</v>
      </c>
      <c r="H7" s="71" t="s">
        <v>48</v>
      </c>
      <c r="I7" s="72" t="s">
        <v>51</v>
      </c>
      <c r="J7" s="86">
        <f>LN(B8)^3</f>
        <v>781.31657944069514</v>
      </c>
      <c r="K7" s="71" t="s">
        <v>60</v>
      </c>
      <c r="L7" s="98">
        <f>1/B4</f>
        <v>3.3540164346805303E-3</v>
      </c>
      <c r="M7" s="1"/>
      <c r="N7" s="71"/>
      <c r="O7" s="71"/>
      <c r="P7" s="71"/>
      <c r="Q7" s="71"/>
      <c r="R7" s="1"/>
      <c r="S7" s="1"/>
      <c r="T7" s="1"/>
      <c r="U7" s="137"/>
      <c r="V7" s="137"/>
      <c r="W7" s="137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72" t="s">
        <v>54</v>
      </c>
      <c r="B8" s="80">
        <v>10000</v>
      </c>
      <c r="C8" s="71"/>
      <c r="D8" s="71" t="s">
        <v>49</v>
      </c>
      <c r="E8" s="71" t="s">
        <v>48</v>
      </c>
      <c r="F8" s="72" t="s">
        <v>50</v>
      </c>
      <c r="G8" s="1">
        <f>LN(B9)</f>
        <v>6.3088267736611732</v>
      </c>
      <c r="H8" s="71" t="s">
        <v>48</v>
      </c>
      <c r="I8" s="72" t="s">
        <v>51</v>
      </c>
      <c r="J8" s="86">
        <f>LN(B9)^3</f>
        <v>251.0994771630856</v>
      </c>
      <c r="K8" s="71" t="s">
        <v>60</v>
      </c>
      <c r="L8" s="98">
        <f>1/B5</f>
        <v>2.6798874447273215E-3</v>
      </c>
      <c r="M8" s="1"/>
      <c r="N8" s="71"/>
      <c r="O8" s="71"/>
      <c r="P8" s="71"/>
      <c r="Q8" s="71"/>
      <c r="R8" s="1"/>
      <c r="S8" s="1"/>
      <c r="T8" s="1"/>
      <c r="U8" s="137"/>
      <c r="V8" s="137"/>
      <c r="W8" s="13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72" t="s">
        <v>55</v>
      </c>
      <c r="B9" s="80">
        <v>549.4</v>
      </c>
      <c r="C9" s="71"/>
      <c r="D9" s="71"/>
      <c r="E9" s="71"/>
      <c r="F9" s="72"/>
      <c r="G9" s="1"/>
      <c r="H9" s="71"/>
      <c r="I9" s="72"/>
      <c r="J9" s="1"/>
      <c r="K9" s="71"/>
      <c r="L9" s="1"/>
      <c r="M9" s="1"/>
      <c r="N9" s="79" t="s">
        <v>56</v>
      </c>
      <c r="O9" s="138">
        <f>MDETERM(N10:P12)</f>
        <v>-0.51650126098334503</v>
      </c>
      <c r="P9" s="138"/>
      <c r="Q9" s="71"/>
      <c r="R9" s="79" t="s">
        <v>57</v>
      </c>
      <c r="S9" s="138">
        <f>MDETERM(R10:T12)</f>
        <v>-8.6257237416466348E-2</v>
      </c>
      <c r="T9" s="138"/>
      <c r="U9" s="137"/>
      <c r="V9" s="137"/>
      <c r="W9" s="13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"/>
      <c r="B10" s="71"/>
      <c r="C10" s="71"/>
      <c r="D10" s="71"/>
      <c r="E10" s="71"/>
      <c r="F10" s="72"/>
      <c r="G10" s="1"/>
      <c r="H10" s="71"/>
      <c r="I10" s="72"/>
      <c r="J10" s="1"/>
      <c r="K10" s="71"/>
      <c r="L10" s="1"/>
      <c r="M10" s="1"/>
      <c r="N10" s="99">
        <f>L6</f>
        <v>3.6609921288669233E-3</v>
      </c>
      <c r="O10" s="97">
        <f>G6</f>
        <v>10.479061050523804</v>
      </c>
      <c r="P10" s="97">
        <f>J6</f>
        <v>1150.7132441278461</v>
      </c>
      <c r="Q10" s="71"/>
      <c r="R10" s="97">
        <v>1</v>
      </c>
      <c r="S10" s="99">
        <f>L6</f>
        <v>3.6609921288669233E-3</v>
      </c>
      <c r="T10" s="97">
        <f>J6</f>
        <v>1150.7132441278461</v>
      </c>
      <c r="U10" s="137"/>
      <c r="V10" s="137"/>
      <c r="W10" s="13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71"/>
      <c r="C11" s="71"/>
      <c r="D11" s="71"/>
      <c r="E11" s="71"/>
      <c r="F11" s="72"/>
      <c r="G11" s="1"/>
      <c r="H11" s="71"/>
      <c r="I11" s="72"/>
      <c r="J11" s="1"/>
      <c r="K11" s="71"/>
      <c r="L11" s="1"/>
      <c r="M11" s="1"/>
      <c r="N11" s="100">
        <f>L7</f>
        <v>3.3540164346805303E-3</v>
      </c>
      <c r="O11" s="90">
        <f>G7</f>
        <v>9.2103403719761836</v>
      </c>
      <c r="P11" s="90">
        <f>J7</f>
        <v>781.31657944069514</v>
      </c>
      <c r="Q11" s="71"/>
      <c r="R11" s="90">
        <v>1</v>
      </c>
      <c r="S11" s="100">
        <f>L7</f>
        <v>3.3540164346805303E-3</v>
      </c>
      <c r="T11" s="90">
        <f>J7</f>
        <v>781.31657944069514</v>
      </c>
      <c r="U11" s="137"/>
      <c r="V11" s="137"/>
      <c r="W11" s="13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"/>
      <c r="B12" s="72" t="s">
        <v>58</v>
      </c>
      <c r="C12" s="90" t="s">
        <v>59</v>
      </c>
      <c r="D12" s="71"/>
      <c r="E12" s="71" t="s">
        <v>60</v>
      </c>
      <c r="F12" s="72"/>
      <c r="G12" s="91">
        <f>O9/O3</f>
        <v>1.2941259698132123E-3</v>
      </c>
      <c r="H12" s="71"/>
      <c r="I12" s="101" t="s">
        <v>61</v>
      </c>
      <c r="J12" s="1"/>
      <c r="K12" s="71"/>
      <c r="L12" s="1"/>
      <c r="M12" s="1"/>
      <c r="N12" s="100">
        <f>L8</f>
        <v>2.6798874447273215E-3</v>
      </c>
      <c r="O12" s="90">
        <f>G8</f>
        <v>6.3088267736611732</v>
      </c>
      <c r="P12" s="90">
        <f>J8</f>
        <v>251.0994771630856</v>
      </c>
      <c r="Q12" s="71"/>
      <c r="R12" s="90">
        <v>1</v>
      </c>
      <c r="S12" s="100">
        <f>L8</f>
        <v>2.6798874447273215E-3</v>
      </c>
      <c r="T12" s="90">
        <f>J8</f>
        <v>251.0994771630856</v>
      </c>
      <c r="U12" s="137"/>
      <c r="V12" s="137"/>
      <c r="W12" s="137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"/>
      <c r="B13" s="72"/>
      <c r="C13" s="71" t="s">
        <v>62</v>
      </c>
      <c r="D13" s="71"/>
      <c r="E13" s="71"/>
      <c r="F13" s="72"/>
      <c r="G13" s="1"/>
      <c r="H13" s="71"/>
      <c r="I13" s="72"/>
      <c r="J13" s="1"/>
      <c r="K13" s="71"/>
      <c r="L13" s="1"/>
      <c r="M13" s="1"/>
      <c r="N13" s="71"/>
      <c r="O13" s="71"/>
      <c r="P13" s="71"/>
      <c r="Q13" s="71"/>
      <c r="R13" s="1"/>
      <c r="S13" s="1"/>
      <c r="T13" s="1"/>
      <c r="U13" s="137"/>
      <c r="V13" s="137"/>
      <c r="W13" s="137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"/>
      <c r="B14" s="72"/>
      <c r="C14" s="71"/>
      <c r="D14" s="71"/>
      <c r="E14" s="71"/>
      <c r="F14" s="72"/>
      <c r="G14" s="1"/>
      <c r="H14" s="71"/>
      <c r="I14" s="72"/>
      <c r="J14" s="1"/>
      <c r="K14" s="71"/>
      <c r="L14" s="1"/>
      <c r="M14" s="1"/>
      <c r="O14" s="71"/>
      <c r="P14" s="71"/>
      <c r="Q14" s="71"/>
      <c r="R14" s="1"/>
      <c r="S14" s="1"/>
      <c r="T14" s="1"/>
      <c r="U14" s="137"/>
      <c r="V14" s="137"/>
      <c r="W14" s="137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"/>
      <c r="B15" s="72" t="s">
        <v>63</v>
      </c>
      <c r="C15" s="90" t="s">
        <v>64</v>
      </c>
      <c r="D15" s="71"/>
      <c r="E15" s="71" t="s">
        <v>60</v>
      </c>
      <c r="F15" s="72"/>
      <c r="G15" s="91">
        <f>S9/O3</f>
        <v>2.1612286253177711E-4</v>
      </c>
      <c r="H15" s="71"/>
      <c r="I15" s="101" t="s">
        <v>65</v>
      </c>
      <c r="J15" s="1"/>
      <c r="K15" s="71"/>
      <c r="L15" s="1"/>
      <c r="M15" s="1"/>
      <c r="N15" s="79" t="s">
        <v>66</v>
      </c>
      <c r="O15" s="138">
        <f>MDETERM(N16:P18)</f>
        <v>-3.5412761471952603E-5</v>
      </c>
      <c r="P15" s="138"/>
      <c r="Q15" s="71"/>
      <c r="R15" s="138" t="s">
        <v>67</v>
      </c>
      <c r="S15" s="138"/>
      <c r="T15" s="138"/>
      <c r="U15" s="137"/>
      <c r="V15" s="137"/>
      <c r="W15" s="137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72"/>
      <c r="C16" s="71" t="s">
        <v>62</v>
      </c>
      <c r="D16" s="71"/>
      <c r="E16" s="71"/>
      <c r="F16" s="72"/>
      <c r="G16" s="1"/>
      <c r="H16" s="71"/>
      <c r="I16" s="72"/>
      <c r="J16" s="1"/>
      <c r="K16" s="71"/>
      <c r="L16" s="1"/>
      <c r="M16" s="1"/>
      <c r="N16" s="97">
        <v>1</v>
      </c>
      <c r="O16" s="97">
        <f>G6</f>
        <v>10.479061050523804</v>
      </c>
      <c r="P16" s="99">
        <f>L6</f>
        <v>3.6609921288669233E-3</v>
      </c>
      <c r="Q16" s="71"/>
      <c r="R16" s="95" t="s">
        <v>76</v>
      </c>
      <c r="S16" s="134">
        <f>1/( G12+(G15*G6)+(G18*J6))</f>
        <v>273.14999999999969</v>
      </c>
      <c r="T16" s="134"/>
      <c r="U16" s="137"/>
      <c r="V16" s="137"/>
      <c r="W16" s="137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"/>
      <c r="B17" s="72"/>
      <c r="C17" s="71"/>
      <c r="D17" s="71"/>
      <c r="E17" s="71"/>
      <c r="F17" s="72"/>
      <c r="G17" s="1"/>
      <c r="H17" s="71"/>
      <c r="I17" s="72"/>
      <c r="J17" s="1"/>
      <c r="K17" s="71"/>
      <c r="L17" s="1"/>
      <c r="M17" s="1"/>
      <c r="N17" s="90">
        <v>1</v>
      </c>
      <c r="O17" s="90">
        <f>G7</f>
        <v>9.2103403719761836</v>
      </c>
      <c r="P17" s="100">
        <f>L7</f>
        <v>3.3540164346805303E-3</v>
      </c>
      <c r="Q17" s="71"/>
      <c r="R17" s="95" t="s">
        <v>77</v>
      </c>
      <c r="S17" s="134">
        <f>1/( G12+(G15*G7)+(G18*J7))</f>
        <v>298.14999999999964</v>
      </c>
      <c r="T17" s="134"/>
      <c r="U17" s="137"/>
      <c r="V17" s="137"/>
      <c r="W17" s="137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"/>
      <c r="B18" s="72" t="s">
        <v>70</v>
      </c>
      <c r="C18" s="90" t="s">
        <v>71</v>
      </c>
      <c r="D18" s="71"/>
      <c r="E18" s="71" t="s">
        <v>60</v>
      </c>
      <c r="F18" s="72"/>
      <c r="G18" s="91">
        <f>O15/O3</f>
        <v>8.8728872019409057E-8</v>
      </c>
      <c r="H18" s="71"/>
      <c r="I18" s="101" t="s">
        <v>72</v>
      </c>
      <c r="J18" s="1"/>
      <c r="K18" s="71"/>
      <c r="L18" s="1"/>
      <c r="M18" s="1"/>
      <c r="N18" s="90">
        <v>1</v>
      </c>
      <c r="O18" s="90">
        <f>G8</f>
        <v>6.3088267736611732</v>
      </c>
      <c r="P18" s="100">
        <f>L8</f>
        <v>2.6798874447273215E-3</v>
      </c>
      <c r="Q18" s="71"/>
      <c r="R18" s="95" t="s">
        <v>78</v>
      </c>
      <c r="S18" s="134">
        <f>1/( G12+(G15*G8)+(G18*J8))</f>
        <v>373.14999999999952</v>
      </c>
      <c r="T18" s="134"/>
      <c r="U18" s="137"/>
      <c r="V18" s="137"/>
      <c r="W18" s="137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1"/>
      <c r="B19" s="71"/>
      <c r="C19" s="71" t="s">
        <v>62</v>
      </c>
      <c r="D19" s="71"/>
      <c r="E19" s="71"/>
      <c r="F19" s="72"/>
      <c r="G19" s="1"/>
      <c r="H19" s="71"/>
      <c r="I19" s="72"/>
      <c r="J19" s="1"/>
      <c r="K19" s="71"/>
      <c r="L19" s="1"/>
      <c r="M19" s="1"/>
      <c r="N19" s="71"/>
      <c r="O19" s="71"/>
      <c r="P19" s="71"/>
      <c r="Q19" s="71"/>
      <c r="R19" s="1"/>
      <c r="S19" s="1"/>
      <c r="T19" s="1"/>
      <c r="U19" s="137"/>
      <c r="V19" s="137"/>
      <c r="W19" s="13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1"/>
      <c r="B20" s="71"/>
      <c r="C20" s="71"/>
      <c r="D20" s="71"/>
      <c r="E20" s="71"/>
      <c r="F20" s="72"/>
      <c r="G20" s="1"/>
      <c r="H20" s="71"/>
      <c r="I20" s="72"/>
      <c r="J20" s="1"/>
      <c r="K20" s="71"/>
      <c r="L20" s="1"/>
      <c r="M20" s="1"/>
      <c r="N20" s="71"/>
      <c r="O20" s="71"/>
      <c r="P20" s="71"/>
      <c r="Q20" s="71"/>
      <c r="R20" s="1"/>
      <c r="S20" s="1"/>
      <c r="T20" s="1"/>
      <c r="U20" s="137"/>
      <c r="V20" s="137"/>
      <c r="W20" s="13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"/>
      <c r="B21" s="71"/>
      <c r="C21" s="71"/>
      <c r="D21" s="71"/>
      <c r="E21" s="71"/>
      <c r="F21" s="72"/>
      <c r="G21" s="94"/>
      <c r="H21" s="71"/>
      <c r="I21" s="72"/>
      <c r="J21" s="1"/>
      <c r="K21" s="71"/>
      <c r="L21" s="1"/>
      <c r="M21" s="1"/>
      <c r="N21" s="71"/>
      <c r="O21" s="71"/>
      <c r="P21" s="71"/>
      <c r="Q21" s="7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1"/>
      <c r="B22" s="71"/>
      <c r="C22" s="71"/>
      <c r="D22" s="71"/>
      <c r="E22" s="71"/>
      <c r="F22" s="72"/>
      <c r="G22" s="1"/>
      <c r="H22" s="71"/>
      <c r="I22" s="72"/>
      <c r="J22" s="1"/>
      <c r="K22" s="71"/>
      <c r="L22" s="1"/>
      <c r="M22" s="1"/>
      <c r="N22" s="71"/>
      <c r="O22" s="71"/>
      <c r="P22" s="71"/>
      <c r="Q22" s="7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"/>
      <c r="B23" s="71"/>
      <c r="C23" s="71"/>
      <c r="D23" s="71"/>
      <c r="E23" s="71"/>
      <c r="F23" s="72"/>
      <c r="G23" s="1"/>
      <c r="H23" s="71"/>
      <c r="I23" s="72"/>
      <c r="J23" s="1"/>
      <c r="K23" s="71"/>
      <c r="L23" s="1"/>
      <c r="M23" s="1"/>
      <c r="N23" s="71"/>
      <c r="O23" s="71"/>
      <c r="P23" s="71"/>
      <c r="Q23" s="71"/>
      <c r="R23" s="1"/>
      <c r="S23" s="1"/>
      <c r="T23" s="1"/>
      <c r="U23" s="1"/>
      <c r="V23" s="1"/>
      <c r="W23" s="1"/>
    </row>
    <row r="24" spans="1:40" x14ac:dyDescent="0.25">
      <c r="A24" s="1"/>
      <c r="B24" s="71"/>
      <c r="C24" s="71"/>
      <c r="D24" s="71"/>
      <c r="E24" s="71"/>
      <c r="F24" s="72"/>
      <c r="G24" s="1"/>
      <c r="H24" s="71"/>
      <c r="I24" s="72"/>
      <c r="J24" s="1"/>
      <c r="K24" s="71"/>
      <c r="L24" s="1"/>
      <c r="M24" s="1"/>
      <c r="N24" s="71"/>
      <c r="O24" s="71"/>
      <c r="P24" s="71"/>
      <c r="Q24" s="71"/>
      <c r="R24" s="1"/>
      <c r="S24" s="1"/>
      <c r="T24" s="1"/>
      <c r="U24" s="1"/>
      <c r="V24" s="1"/>
      <c r="W24" s="1"/>
    </row>
    <row r="25" spans="1:40" x14ac:dyDescent="0.25">
      <c r="A25" s="1"/>
      <c r="B25" s="71"/>
      <c r="C25" s="71"/>
      <c r="D25" s="71"/>
      <c r="E25" s="71"/>
      <c r="F25" s="72"/>
      <c r="G25" s="1"/>
      <c r="H25" s="71"/>
      <c r="I25" s="72"/>
      <c r="J25" s="1"/>
      <c r="K25" s="71"/>
      <c r="L25" s="1"/>
      <c r="M25" s="1"/>
      <c r="N25" s="71"/>
      <c r="O25" s="71"/>
      <c r="P25" s="71"/>
      <c r="Q25" s="71"/>
      <c r="R25" s="1"/>
      <c r="S25" s="1"/>
      <c r="T25" s="1"/>
      <c r="U25" s="1"/>
      <c r="V25" s="1"/>
      <c r="W25" s="1"/>
    </row>
    <row r="26" spans="1:40" x14ac:dyDescent="0.25">
      <c r="A26" s="1"/>
      <c r="B26" s="71"/>
      <c r="C26" s="71"/>
      <c r="D26" s="71"/>
      <c r="E26" s="71"/>
      <c r="F26" s="72"/>
      <c r="G26" s="1"/>
      <c r="H26" s="71"/>
      <c r="I26" s="72"/>
      <c r="J26" s="1"/>
      <c r="K26" s="71"/>
      <c r="L26" s="1"/>
      <c r="M26" s="1"/>
      <c r="N26" s="71"/>
      <c r="O26" s="71"/>
      <c r="P26" s="71"/>
      <c r="Q26" s="71"/>
    </row>
    <row r="27" spans="1:40" x14ac:dyDescent="0.25">
      <c r="A27" s="1"/>
      <c r="B27" s="71"/>
      <c r="C27" s="71"/>
      <c r="D27" s="71"/>
      <c r="E27" s="71"/>
      <c r="F27" s="72"/>
      <c r="G27" s="1"/>
      <c r="H27" s="71"/>
      <c r="I27" s="72"/>
      <c r="J27" s="1"/>
      <c r="K27" s="71"/>
      <c r="L27" s="1"/>
      <c r="M27" s="1"/>
      <c r="O27" s="71"/>
      <c r="P27" s="71"/>
      <c r="Q27" s="71"/>
      <c r="U27">
        <v>2000</v>
      </c>
      <c r="V27">
        <f>1/( G12+(G15*LN(U27))+(G18*LN(U27)^3))</f>
        <v>336.04200106738404</v>
      </c>
    </row>
    <row r="28" spans="1:40" x14ac:dyDescent="0.25">
      <c r="A28" s="1"/>
      <c r="B28" s="71"/>
      <c r="C28" s="71"/>
      <c r="D28" s="71"/>
      <c r="E28" s="71"/>
      <c r="F28" s="72"/>
      <c r="G28" s="1"/>
      <c r="H28" s="71"/>
      <c r="I28" s="72"/>
      <c r="J28" s="1"/>
      <c r="K28" s="71"/>
      <c r="L28" s="1"/>
      <c r="M28" s="1"/>
      <c r="O28" s="71"/>
      <c r="P28" s="71"/>
      <c r="Q28" s="71"/>
      <c r="V28">
        <f>V27-273.15</f>
        <v>62.892001067384058</v>
      </c>
    </row>
    <row r="29" spans="1:40" x14ac:dyDescent="0.25">
      <c r="A29" s="1"/>
      <c r="B29" s="71"/>
      <c r="C29" s="71"/>
      <c r="D29" s="71"/>
      <c r="E29" s="71"/>
      <c r="F29" s="72"/>
      <c r="G29" s="1"/>
      <c r="H29" s="71"/>
      <c r="I29" s="72"/>
      <c r="J29" s="1"/>
      <c r="K29" s="71"/>
      <c r="L29" s="1"/>
      <c r="M29" s="1"/>
      <c r="O29" s="71"/>
      <c r="P29" s="71"/>
      <c r="Q29" s="71"/>
    </row>
    <row r="30" spans="1:40" x14ac:dyDescent="0.25">
      <c r="A30" s="1"/>
      <c r="B30" s="71"/>
      <c r="C30" s="71"/>
      <c r="D30" s="71"/>
      <c r="E30" s="71"/>
      <c r="F30" s="72"/>
      <c r="G30" s="1"/>
      <c r="H30" s="71"/>
      <c r="I30" s="72"/>
      <c r="J30" s="1"/>
      <c r="K30" s="71"/>
      <c r="L30" s="1"/>
      <c r="M30" s="1"/>
      <c r="O30" s="71"/>
      <c r="P30" s="71"/>
      <c r="Q30" s="71"/>
    </row>
    <row r="31" spans="1:40" x14ac:dyDescent="0.25">
      <c r="A31" s="1"/>
      <c r="B31" s="71"/>
      <c r="C31" s="71"/>
      <c r="D31" s="71"/>
      <c r="E31" s="71"/>
      <c r="F31" s="72"/>
      <c r="G31" s="1"/>
      <c r="H31" s="71"/>
      <c r="I31" s="72"/>
      <c r="J31" s="1"/>
      <c r="K31" s="71"/>
      <c r="L31" s="1"/>
      <c r="M31" s="1"/>
      <c r="O31" s="71"/>
      <c r="P31" s="71"/>
      <c r="Q31" s="71"/>
    </row>
    <row r="32" spans="1:40" x14ac:dyDescent="0.25">
      <c r="A32" s="1"/>
      <c r="B32" s="71"/>
      <c r="C32" s="71"/>
      <c r="D32" s="71"/>
      <c r="E32" s="71"/>
      <c r="F32" s="72"/>
      <c r="G32" s="1"/>
      <c r="H32" s="71"/>
      <c r="I32" s="72"/>
      <c r="J32" s="1"/>
      <c r="K32" s="71"/>
      <c r="L32" s="1"/>
      <c r="M32" s="1"/>
      <c r="O32" s="71"/>
      <c r="P32" s="71"/>
      <c r="Q32" s="71"/>
    </row>
    <row r="33" spans="1:17" x14ac:dyDescent="0.25">
      <c r="A33" s="1"/>
      <c r="B33" s="71"/>
      <c r="C33" s="71"/>
      <c r="D33" s="71"/>
      <c r="E33" s="71"/>
      <c r="F33" s="72"/>
      <c r="H33" s="71"/>
      <c r="I33" s="72"/>
      <c r="J33" s="1"/>
      <c r="K33" s="71"/>
      <c r="L33" s="1"/>
      <c r="M33" s="1"/>
      <c r="O33" s="71"/>
      <c r="P33" s="71"/>
      <c r="Q33" s="71"/>
    </row>
    <row r="34" spans="1:17" x14ac:dyDescent="0.25">
      <c r="A34" s="1"/>
      <c r="B34" s="71"/>
      <c r="C34" s="71"/>
      <c r="D34" s="71"/>
      <c r="E34" s="71"/>
      <c r="F34" s="72"/>
      <c r="H34" s="71"/>
      <c r="I34" s="72"/>
      <c r="J34" s="1"/>
      <c r="K34" s="71"/>
      <c r="L34" s="1"/>
      <c r="M34" s="1"/>
    </row>
    <row r="39" spans="1:17" x14ac:dyDescent="0.25">
      <c r="G39" t="s">
        <v>107</v>
      </c>
      <c r="J39">
        <f>(G12-(1/B4))/G18</f>
        <v>-23215.560143903622</v>
      </c>
    </row>
    <row r="41" spans="1:17" x14ac:dyDescent="0.25">
      <c r="G41" t="s">
        <v>106</v>
      </c>
      <c r="H41" s="183" t="s">
        <v>60</v>
      </c>
      <c r="J41">
        <f>SQRT(((G15/(3*G18))^3)+((J39^2)/4))</f>
        <v>25883.861851509129</v>
      </c>
    </row>
  </sheetData>
  <mergeCells count="11">
    <mergeCell ref="S18:T18"/>
    <mergeCell ref="A2:C2"/>
    <mergeCell ref="D2:L2"/>
    <mergeCell ref="U2:W20"/>
    <mergeCell ref="O3:P3"/>
    <mergeCell ref="O9:P9"/>
    <mergeCell ref="S9:T9"/>
    <mergeCell ref="O15:P15"/>
    <mergeCell ref="R15:T15"/>
    <mergeCell ref="S16:T16"/>
    <mergeCell ref="S17:T17"/>
  </mergeCells>
  <conditionalFormatting sqref="S16:T16">
    <cfRule type="cellIs" dxfId="7" priority="5" operator="notBetween">
      <formula>$B$3+0.1</formula>
      <formula>$B$3-0.1</formula>
    </cfRule>
    <cfRule type="cellIs" dxfId="6" priority="6" operator="between">
      <formula>$B$3-0.1</formula>
      <formula>$B$3+0.1</formula>
    </cfRule>
  </conditionalFormatting>
  <conditionalFormatting sqref="S17:T17">
    <cfRule type="cellIs" dxfId="5" priority="3" operator="notBetween">
      <formula>$B$4+0.1</formula>
      <formula>$B$4-0.1</formula>
    </cfRule>
    <cfRule type="cellIs" dxfId="4" priority="4" operator="between">
      <formula>$B$4-0.1</formula>
      <formula>$B$4+0.1</formula>
    </cfRule>
  </conditionalFormatting>
  <conditionalFormatting sqref="S18:T18">
    <cfRule type="cellIs" dxfId="3" priority="1" operator="notBetween">
      <formula>$B$5+0.1</formula>
      <formula>$B$5-0.1</formula>
    </cfRule>
    <cfRule type="cellIs" dxfId="2" priority="2" operator="between">
      <formula>$B$5-0.1</formula>
      <formula>$B$5+0.1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8F1E-961C-4130-B3C7-2F58158AF81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095D-10EA-4A7C-A0A5-FC4FABAA605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7ADF-E509-4C9A-94E3-A6686F84758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4DB9-891B-41AA-8393-98AFF8579126}">
  <dimension ref="A1:Y35"/>
  <sheetViews>
    <sheetView zoomScaleNormal="100" workbookViewId="0">
      <selection activeCell="AB21" sqref="AB21"/>
    </sheetView>
  </sheetViews>
  <sheetFormatPr defaultRowHeight="15" x14ac:dyDescent="0.25"/>
  <cols>
    <col min="2" max="2" width="9.140625" style="94"/>
    <col min="3" max="3" width="3.42578125" style="94" bestFit="1" customWidth="1"/>
    <col min="4" max="5" width="3.42578125" style="94" customWidth="1"/>
    <col min="6" max="6" width="2" style="94" bestFit="1" customWidth="1"/>
    <col min="7" max="7" width="2" style="94" customWidth="1"/>
    <col min="8" max="8" width="2.28515625" style="94" bestFit="1" customWidth="1"/>
    <col min="9" max="9" width="3" style="94" bestFit="1" customWidth="1"/>
    <col min="10" max="10" width="1.85546875" style="94" customWidth="1"/>
    <col min="11" max="11" width="1.85546875" style="96" customWidth="1"/>
    <col min="12" max="12" width="7.42578125" customWidth="1"/>
    <col min="13" max="13" width="2.140625" style="94" customWidth="1"/>
    <col min="14" max="14" width="1.42578125" style="96" customWidth="1"/>
    <col min="15" max="15" width="13" customWidth="1"/>
    <col min="16" max="16" width="3.7109375" style="94" customWidth="1"/>
    <col min="17" max="17" width="9.5703125" bestFit="1" customWidth="1"/>
    <col min="19" max="19" width="10.42578125" style="94" customWidth="1"/>
    <col min="20" max="20" width="10.7109375" style="94" customWidth="1"/>
    <col min="21" max="21" width="13.42578125" style="94" bestFit="1" customWidth="1"/>
    <col min="22" max="22" width="9.140625" style="94"/>
    <col min="23" max="23" width="9.85546875" bestFit="1" customWidth="1"/>
    <col min="24" max="24" width="12" bestFit="1" customWidth="1"/>
    <col min="25" max="25" width="13.42578125" bestFit="1" customWidth="1"/>
  </cols>
  <sheetData>
    <row r="1" spans="1:25" x14ac:dyDescent="0.25">
      <c r="A1" s="1"/>
      <c r="B1" s="71"/>
      <c r="C1" s="71"/>
      <c r="D1" s="71"/>
      <c r="E1" s="71"/>
      <c r="F1" s="71"/>
      <c r="G1" s="71"/>
      <c r="H1" s="71"/>
      <c r="I1" s="71"/>
      <c r="J1" s="71"/>
      <c r="K1" s="72"/>
      <c r="L1" s="1"/>
      <c r="M1" s="71"/>
      <c r="N1" s="72"/>
      <c r="O1" s="1"/>
      <c r="P1" s="71"/>
      <c r="Q1" s="1"/>
      <c r="R1" s="1"/>
      <c r="S1" s="71"/>
      <c r="T1" s="71"/>
      <c r="U1" s="71"/>
      <c r="V1" s="71"/>
      <c r="W1" s="1"/>
      <c r="X1" s="1"/>
      <c r="Y1" s="1"/>
    </row>
    <row r="2" spans="1:25" ht="15.75" customHeight="1" x14ac:dyDescent="0.25">
      <c r="A2" s="135" t="s">
        <v>40</v>
      </c>
      <c r="B2" s="135"/>
      <c r="C2" s="135"/>
      <c r="D2" s="73"/>
      <c r="E2" s="73"/>
      <c r="F2" s="73"/>
      <c r="G2" s="73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"/>
      <c r="S2" s="74"/>
      <c r="T2" s="71"/>
      <c r="U2" s="71"/>
      <c r="V2" s="71"/>
      <c r="W2" s="1"/>
      <c r="X2" s="1"/>
      <c r="Y2" s="1"/>
    </row>
    <row r="3" spans="1:25" x14ac:dyDescent="0.25">
      <c r="A3" s="72" t="s">
        <v>41</v>
      </c>
      <c r="B3" s="75">
        <v>32</v>
      </c>
      <c r="C3" s="76">
        <f>B3</f>
        <v>32</v>
      </c>
      <c r="D3" s="71" t="s">
        <v>4</v>
      </c>
      <c r="E3" s="71"/>
      <c r="F3" s="77" t="s">
        <v>42</v>
      </c>
      <c r="G3" s="78"/>
      <c r="H3" s="78"/>
      <c r="I3" s="78"/>
      <c r="J3" s="71"/>
      <c r="K3" s="72"/>
      <c r="L3" s="1"/>
      <c r="M3" s="71"/>
      <c r="N3" s="72"/>
      <c r="O3" s="1"/>
      <c r="P3" s="71"/>
      <c r="Q3" s="1"/>
      <c r="R3" s="1"/>
      <c r="S3" s="79" t="s">
        <v>43</v>
      </c>
      <c r="T3" s="138">
        <f>MDETERM(S4:U6)</f>
        <v>-549200590.84800124</v>
      </c>
      <c r="U3" s="138"/>
      <c r="V3" s="71"/>
      <c r="W3" s="1"/>
      <c r="X3" s="1"/>
      <c r="Y3" s="1"/>
    </row>
    <row r="4" spans="1:25" ht="18.75" x14ac:dyDescent="0.3">
      <c r="A4" s="72" t="s">
        <v>44</v>
      </c>
      <c r="B4" s="80">
        <v>36.200000000000003</v>
      </c>
      <c r="C4" s="76">
        <f>B4</f>
        <v>36.200000000000003</v>
      </c>
      <c r="D4" s="71" t="s">
        <v>4</v>
      </c>
      <c r="E4" s="71"/>
      <c r="F4" s="78"/>
      <c r="G4" s="78"/>
      <c r="H4" s="78"/>
      <c r="I4" s="78"/>
      <c r="J4" s="71"/>
      <c r="K4" s="72"/>
      <c r="L4" s="1"/>
      <c r="M4" s="71"/>
      <c r="N4" s="72"/>
      <c r="O4" s="1"/>
      <c r="P4" s="71"/>
      <c r="Q4" s="1"/>
      <c r="R4" s="1"/>
      <c r="S4" s="81">
        <f>$I$6</f>
        <v>32</v>
      </c>
      <c r="T4" s="81">
        <f>$L$6</f>
        <v>1024</v>
      </c>
      <c r="U4" s="82">
        <f>$O$6</f>
        <v>-2228224</v>
      </c>
      <c r="V4" s="71"/>
      <c r="W4" s="83" t="s">
        <v>45</v>
      </c>
      <c r="X4" s="1"/>
      <c r="Y4" s="1"/>
    </row>
    <row r="5" spans="1:25" x14ac:dyDescent="0.25">
      <c r="A5" s="72" t="s">
        <v>46</v>
      </c>
      <c r="B5" s="80">
        <v>5</v>
      </c>
      <c r="C5" s="76">
        <f>B5</f>
        <v>5</v>
      </c>
      <c r="D5" s="71" t="s">
        <v>4</v>
      </c>
      <c r="E5" s="71"/>
      <c r="F5" s="78"/>
      <c r="G5" s="78"/>
      <c r="H5" s="78"/>
      <c r="I5" s="78"/>
      <c r="J5" s="71"/>
      <c r="K5" s="72"/>
      <c r="L5" s="1"/>
      <c r="M5" s="71"/>
      <c r="N5" s="72"/>
      <c r="O5" s="1"/>
      <c r="P5" s="71"/>
      <c r="Q5" s="1"/>
      <c r="R5" s="1"/>
      <c r="S5" s="81">
        <f>$I$7</f>
        <v>36.200000000000003</v>
      </c>
      <c r="T5" s="81">
        <f>$L$7</f>
        <v>1310.4400000000003</v>
      </c>
      <c r="U5" s="82">
        <f>$O$7</f>
        <v>-3026539.8064000006</v>
      </c>
      <c r="V5" s="71"/>
      <c r="W5" s="1"/>
      <c r="X5" s="1"/>
      <c r="Y5" s="1"/>
    </row>
    <row r="6" spans="1:25" x14ac:dyDescent="0.25">
      <c r="A6" s="72"/>
      <c r="B6" s="71"/>
      <c r="C6" s="71"/>
      <c r="D6" s="71"/>
      <c r="E6" s="71" t="s">
        <v>47</v>
      </c>
      <c r="F6" s="71">
        <v>1</v>
      </c>
      <c r="G6" s="71" t="s">
        <v>48</v>
      </c>
      <c r="H6" s="71" t="s">
        <v>49</v>
      </c>
      <c r="I6" s="84">
        <f>C3</f>
        <v>32</v>
      </c>
      <c r="J6" s="71" t="s">
        <v>48</v>
      </c>
      <c r="K6" s="72" t="s">
        <v>50</v>
      </c>
      <c r="L6" s="85">
        <f>C3^2</f>
        <v>1024</v>
      </c>
      <c r="M6" s="71" t="s">
        <v>48</v>
      </c>
      <c r="N6" s="72" t="s">
        <v>51</v>
      </c>
      <c r="O6" s="86">
        <f>(C3-100)*C3^3</f>
        <v>-2228224</v>
      </c>
      <c r="P6" s="71" t="s">
        <v>52</v>
      </c>
      <c r="Q6" s="87">
        <f>B7</f>
        <v>113</v>
      </c>
      <c r="R6" s="1"/>
      <c r="S6" s="81">
        <f>$I$8</f>
        <v>5</v>
      </c>
      <c r="T6" s="81">
        <f>$L$8</f>
        <v>25</v>
      </c>
      <c r="U6" s="82">
        <f>$O$8</f>
        <v>-11875</v>
      </c>
      <c r="V6" s="71"/>
      <c r="W6" s="1"/>
      <c r="X6" s="1"/>
      <c r="Y6" s="1"/>
    </row>
    <row r="7" spans="1:25" x14ac:dyDescent="0.25">
      <c r="A7" s="72" t="s">
        <v>53</v>
      </c>
      <c r="B7" s="75">
        <v>113</v>
      </c>
      <c r="C7" s="71"/>
      <c r="D7" s="71"/>
      <c r="E7" s="71" t="s">
        <v>47</v>
      </c>
      <c r="F7" s="71">
        <v>1</v>
      </c>
      <c r="G7" s="71" t="s">
        <v>48</v>
      </c>
      <c r="H7" s="71" t="s">
        <v>49</v>
      </c>
      <c r="I7" s="84">
        <f t="shared" ref="I7:I8" si="0">C4</f>
        <v>36.200000000000003</v>
      </c>
      <c r="J7" s="71" t="s">
        <v>48</v>
      </c>
      <c r="K7" s="72" t="s">
        <v>50</v>
      </c>
      <c r="L7" s="85">
        <f t="shared" ref="L7:L8" si="1">C4^2</f>
        <v>1310.4400000000003</v>
      </c>
      <c r="M7" s="71" t="s">
        <v>48</v>
      </c>
      <c r="N7" s="72" t="s">
        <v>51</v>
      </c>
      <c r="O7" s="86">
        <f t="shared" ref="O7:O8" si="2">(C4-100)*C4^3</f>
        <v>-3026539.8064000006</v>
      </c>
      <c r="P7" s="71" t="s">
        <v>52</v>
      </c>
      <c r="Q7" s="87">
        <f>B8</f>
        <v>113.8</v>
      </c>
      <c r="R7" s="1"/>
      <c r="S7" s="71"/>
      <c r="T7" s="71"/>
      <c r="U7" s="71"/>
      <c r="V7" s="88" t="s">
        <v>42</v>
      </c>
      <c r="W7" s="1"/>
      <c r="X7" s="1"/>
      <c r="Y7" s="1"/>
    </row>
    <row r="8" spans="1:25" x14ac:dyDescent="0.25">
      <c r="A8" s="72" t="s">
        <v>54</v>
      </c>
      <c r="B8" s="75">
        <v>113.8</v>
      </c>
      <c r="C8" s="71"/>
      <c r="D8" s="71"/>
      <c r="E8" s="71" t="s">
        <v>47</v>
      </c>
      <c r="F8" s="71">
        <v>1</v>
      </c>
      <c r="G8" s="71" t="s">
        <v>48</v>
      </c>
      <c r="H8" s="71" t="s">
        <v>49</v>
      </c>
      <c r="I8" s="84">
        <f t="shared" si="0"/>
        <v>5</v>
      </c>
      <c r="J8" s="71" t="s">
        <v>48</v>
      </c>
      <c r="K8" s="72" t="s">
        <v>50</v>
      </c>
      <c r="L8" s="85">
        <f t="shared" si="1"/>
        <v>25</v>
      </c>
      <c r="M8" s="71" t="s">
        <v>48</v>
      </c>
      <c r="N8" s="72" t="s">
        <v>51</v>
      </c>
      <c r="O8" s="86">
        <f t="shared" si="2"/>
        <v>-11875</v>
      </c>
      <c r="P8" s="71" t="s">
        <v>52</v>
      </c>
      <c r="Q8" s="87">
        <f>B9</f>
        <v>101.8</v>
      </c>
      <c r="R8" s="1"/>
      <c r="S8" s="71"/>
      <c r="T8" s="71"/>
      <c r="U8" s="71"/>
      <c r="V8" s="71"/>
      <c r="W8" s="1"/>
      <c r="X8" s="1"/>
      <c r="Y8" s="1"/>
    </row>
    <row r="9" spans="1:25" x14ac:dyDescent="0.25">
      <c r="A9" s="72" t="s">
        <v>55</v>
      </c>
      <c r="B9" s="75">
        <v>101.8</v>
      </c>
      <c r="C9" s="71"/>
      <c r="D9" s="71"/>
      <c r="E9" s="71"/>
      <c r="F9" s="71"/>
      <c r="G9" s="71"/>
      <c r="H9" s="71"/>
      <c r="I9" s="71"/>
      <c r="J9" s="71"/>
      <c r="K9" s="72"/>
      <c r="L9" s="1"/>
      <c r="M9" s="71"/>
      <c r="N9" s="72"/>
      <c r="O9" s="1"/>
      <c r="P9" s="71"/>
      <c r="Q9" s="1"/>
      <c r="R9" s="1"/>
      <c r="S9" s="79" t="s">
        <v>56</v>
      </c>
      <c r="T9" s="138">
        <f>MDETERM(S10:U12)</f>
        <v>-1422042.4366847964</v>
      </c>
      <c r="U9" s="138"/>
      <c r="V9" s="71"/>
      <c r="W9" s="79" t="s">
        <v>57</v>
      </c>
      <c r="X9" s="138">
        <f>MDETERM(W10:Y12)</f>
        <v>-134956.39407359934</v>
      </c>
      <c r="Y9" s="138"/>
    </row>
    <row r="10" spans="1:25" x14ac:dyDescent="0.25">
      <c r="A10" s="1"/>
      <c r="B10" s="71"/>
      <c r="C10" s="71"/>
      <c r="D10" s="71"/>
      <c r="E10" s="71"/>
      <c r="F10" s="71"/>
      <c r="G10" s="71"/>
      <c r="H10" s="71"/>
      <c r="I10" s="71"/>
      <c r="J10" s="71"/>
      <c r="K10" s="72"/>
      <c r="L10" s="1"/>
      <c r="M10" s="71"/>
      <c r="N10" s="72"/>
      <c r="O10" s="1"/>
      <c r="P10" s="71"/>
      <c r="Q10" s="1"/>
      <c r="R10" s="1"/>
      <c r="S10" s="89">
        <f>($Q$6/100)-1</f>
        <v>0.12999999999999989</v>
      </c>
      <c r="T10" s="81">
        <f>$L$6</f>
        <v>1024</v>
      </c>
      <c r="U10" s="82">
        <f>$O$6</f>
        <v>-2228224</v>
      </c>
      <c r="V10" s="71"/>
      <c r="W10" s="81">
        <f>$I$6</f>
        <v>32</v>
      </c>
      <c r="X10" s="89">
        <f>($Q$6/100)-1</f>
        <v>0.12999999999999989</v>
      </c>
      <c r="Y10" s="82">
        <f>$O$6</f>
        <v>-2228224</v>
      </c>
    </row>
    <row r="11" spans="1:25" x14ac:dyDescent="0.25">
      <c r="A11" s="1"/>
      <c r="B11" s="71"/>
      <c r="C11" s="71"/>
      <c r="D11" s="71"/>
      <c r="E11" s="71"/>
      <c r="F11" s="71"/>
      <c r="G11" s="71"/>
      <c r="H11" s="71"/>
      <c r="I11" s="71"/>
      <c r="J11" s="71"/>
      <c r="K11" s="72"/>
      <c r="L11" s="1"/>
      <c r="M11" s="71"/>
      <c r="N11" s="72"/>
      <c r="O11" s="1"/>
      <c r="P11" s="71"/>
      <c r="Q11" s="1"/>
      <c r="R11" s="1"/>
      <c r="S11" s="89">
        <f>($Q$7/100)-1</f>
        <v>0.1379999999999999</v>
      </c>
      <c r="T11" s="81">
        <f>$L$7</f>
        <v>1310.4400000000003</v>
      </c>
      <c r="U11" s="82">
        <f>$O$7</f>
        <v>-3026539.8064000006</v>
      </c>
      <c r="V11" s="71"/>
      <c r="W11" s="81">
        <f>$I$7</f>
        <v>36.200000000000003</v>
      </c>
      <c r="X11" s="89">
        <f>($Q$7/100)-1</f>
        <v>0.1379999999999999</v>
      </c>
      <c r="Y11" s="82">
        <f>$O$7</f>
        <v>-3026539.8064000006</v>
      </c>
    </row>
    <row r="12" spans="1:25" x14ac:dyDescent="0.25">
      <c r="A12" s="1"/>
      <c r="B12" s="72" t="s">
        <v>58</v>
      </c>
      <c r="C12" s="90" t="s">
        <v>59</v>
      </c>
      <c r="D12" s="71"/>
      <c r="E12" s="71"/>
      <c r="F12" s="71"/>
      <c r="G12" s="71"/>
      <c r="H12" s="71"/>
      <c r="I12" s="71"/>
      <c r="J12" s="71" t="s">
        <v>60</v>
      </c>
      <c r="K12" s="72"/>
      <c r="L12" s="91">
        <f>T9/T3</f>
        <v>2.5892951689820121E-3</v>
      </c>
      <c r="M12" s="71"/>
      <c r="N12" s="92" t="s">
        <v>61</v>
      </c>
      <c r="O12" s="1"/>
      <c r="P12" s="71"/>
      <c r="Q12" s="1"/>
      <c r="R12" s="1"/>
      <c r="S12" s="89">
        <f>($Q$8/100)-1</f>
        <v>1.8000000000000016E-2</v>
      </c>
      <c r="T12" s="81">
        <f>$L$8</f>
        <v>25</v>
      </c>
      <c r="U12" s="82">
        <f>$O$8</f>
        <v>-11875</v>
      </c>
      <c r="V12" s="71"/>
      <c r="W12" s="81">
        <f>$I$8</f>
        <v>5</v>
      </c>
      <c r="X12" s="89">
        <f>($Q$8/100)-1</f>
        <v>1.8000000000000016E-2</v>
      </c>
      <c r="Y12" s="82">
        <f>$O$8</f>
        <v>-11875</v>
      </c>
    </row>
    <row r="13" spans="1:25" x14ac:dyDescent="0.25">
      <c r="A13" s="1"/>
      <c r="B13" s="72"/>
      <c r="C13" s="71" t="s">
        <v>62</v>
      </c>
      <c r="D13" s="71"/>
      <c r="E13" s="71"/>
      <c r="F13" s="71"/>
      <c r="G13" s="71"/>
      <c r="H13" s="71"/>
      <c r="I13" s="71"/>
      <c r="J13" s="71"/>
      <c r="K13" s="72"/>
      <c r="L13" s="1"/>
      <c r="M13" s="71"/>
      <c r="N13" s="93"/>
      <c r="O13" s="1"/>
      <c r="P13" s="71"/>
      <c r="Q13" s="1"/>
      <c r="R13" s="1"/>
      <c r="S13" s="71"/>
      <c r="T13" s="71"/>
      <c r="U13" s="71"/>
      <c r="V13" s="71"/>
      <c r="W13" s="1"/>
      <c r="X13" s="1"/>
      <c r="Y13" s="1"/>
    </row>
    <row r="14" spans="1:25" x14ac:dyDescent="0.25">
      <c r="A14" s="1"/>
      <c r="B14" s="72"/>
      <c r="C14" s="71"/>
      <c r="D14" s="71"/>
      <c r="E14" s="71"/>
      <c r="F14" s="71"/>
      <c r="G14" s="71"/>
      <c r="H14" s="71"/>
      <c r="I14" s="71"/>
      <c r="J14" s="71"/>
      <c r="K14" s="72"/>
      <c r="L14" s="1"/>
      <c r="M14" s="71"/>
      <c r="N14" s="93"/>
      <c r="O14" s="1"/>
      <c r="P14" s="71"/>
      <c r="Q14" s="1"/>
      <c r="R14" s="1"/>
      <c r="T14" s="71"/>
      <c r="U14" s="71"/>
      <c r="V14" s="71"/>
      <c r="W14" s="1"/>
      <c r="X14" s="1"/>
      <c r="Y14" s="1"/>
    </row>
    <row r="15" spans="1:25" x14ac:dyDescent="0.25">
      <c r="A15" s="1"/>
      <c r="B15" s="72" t="s">
        <v>63</v>
      </c>
      <c r="C15" s="90" t="s">
        <v>64</v>
      </c>
      <c r="D15" s="71"/>
      <c r="E15" s="71"/>
      <c r="F15" s="71"/>
      <c r="G15" s="71"/>
      <c r="H15" s="71"/>
      <c r="I15" s="71"/>
      <c r="J15" s="71" t="s">
        <v>60</v>
      </c>
      <c r="K15" s="72"/>
      <c r="L15" s="91">
        <f>X9/T3</f>
        <v>2.4573242695390758E-4</v>
      </c>
      <c r="M15" s="71"/>
      <c r="N15" s="92" t="s">
        <v>65</v>
      </c>
      <c r="O15" s="1"/>
      <c r="P15" s="71"/>
      <c r="Q15" s="1"/>
      <c r="R15" s="1"/>
      <c r="S15" s="79" t="s">
        <v>66</v>
      </c>
      <c r="T15" s="138">
        <f>MDETERM(S16:U18)</f>
        <v>-50.400959999999785</v>
      </c>
      <c r="U15" s="138"/>
      <c r="V15" s="71"/>
      <c r="W15" s="138" t="s">
        <v>67</v>
      </c>
      <c r="X15" s="138"/>
      <c r="Y15" s="138"/>
    </row>
    <row r="16" spans="1:25" x14ac:dyDescent="0.25">
      <c r="A16" s="1"/>
      <c r="B16" s="72"/>
      <c r="C16" s="71" t="s">
        <v>62</v>
      </c>
      <c r="D16" s="71"/>
      <c r="E16" s="71"/>
      <c r="F16" s="71"/>
      <c r="G16" s="71"/>
      <c r="H16" s="71"/>
      <c r="I16" s="71"/>
      <c r="J16" s="71"/>
      <c r="K16" s="72"/>
      <c r="L16" s="1"/>
      <c r="M16" s="71"/>
      <c r="N16" s="93"/>
      <c r="O16" s="1"/>
      <c r="P16" s="71"/>
      <c r="Q16" s="1"/>
      <c r="R16" s="1"/>
      <c r="S16" s="81">
        <f>$I$6</f>
        <v>32</v>
      </c>
      <c r="T16" s="81">
        <f>$L$6</f>
        <v>1024</v>
      </c>
      <c r="U16" s="89">
        <f>($Q$6/100)-1</f>
        <v>0.12999999999999989</v>
      </c>
      <c r="V16" s="71"/>
      <c r="W16" s="95" t="s">
        <v>68</v>
      </c>
      <c r="X16" s="134">
        <f>100*(1+L12*I6+L15*L6+L18*O6)</f>
        <v>112.99999999999993</v>
      </c>
      <c r="Y16" s="134"/>
    </row>
    <row r="17" spans="1:25" x14ac:dyDescent="0.25">
      <c r="A17" s="1"/>
      <c r="B17" s="72"/>
      <c r="C17" s="71"/>
      <c r="D17" s="71"/>
      <c r="E17" s="71"/>
      <c r="F17" s="71"/>
      <c r="G17" s="71"/>
      <c r="H17" s="71"/>
      <c r="I17" s="71"/>
      <c r="J17" s="71"/>
      <c r="K17" s="72"/>
      <c r="L17" s="1"/>
      <c r="M17" s="71"/>
      <c r="N17" s="93"/>
      <c r="O17" s="1"/>
      <c r="P17" s="71"/>
      <c r="Q17" s="1"/>
      <c r="R17" s="1"/>
      <c r="S17" s="81">
        <f>$I$7</f>
        <v>36.200000000000003</v>
      </c>
      <c r="T17" s="81">
        <f>$L$7</f>
        <v>1310.4400000000003</v>
      </c>
      <c r="U17" s="89">
        <f>($Q$7/100)-1</f>
        <v>0.1379999999999999</v>
      </c>
      <c r="V17" s="71"/>
      <c r="W17" s="95" t="s">
        <v>69</v>
      </c>
      <c r="X17" s="134">
        <f>100*(1+L12*I7+L15*L7+L18*O7)</f>
        <v>113.7999999999999</v>
      </c>
      <c r="Y17" s="134"/>
    </row>
    <row r="18" spans="1:25" x14ac:dyDescent="0.25">
      <c r="A18" s="1"/>
      <c r="B18" s="72" t="s">
        <v>70</v>
      </c>
      <c r="C18" s="90" t="s">
        <v>71</v>
      </c>
      <c r="D18" s="71"/>
      <c r="E18" s="71"/>
      <c r="F18" s="71"/>
      <c r="G18" s="71"/>
      <c r="H18" s="71"/>
      <c r="I18" s="71"/>
      <c r="J18" s="71" t="s">
        <v>60</v>
      </c>
      <c r="K18" s="72"/>
      <c r="L18" s="91">
        <f>T15/T3</f>
        <v>9.1771496316450498E-8</v>
      </c>
      <c r="M18" s="71"/>
      <c r="N18" s="92" t="s">
        <v>72</v>
      </c>
      <c r="O18" s="1"/>
      <c r="P18" s="71"/>
      <c r="Q18" s="1"/>
      <c r="R18" s="1"/>
      <c r="S18" s="81">
        <f>$I$8</f>
        <v>5</v>
      </c>
      <c r="T18" s="81">
        <f>$L$8</f>
        <v>25</v>
      </c>
      <c r="U18" s="89">
        <f>($Q$8/100)-1</f>
        <v>1.8000000000000016E-2</v>
      </c>
      <c r="V18" s="71"/>
      <c r="W18" s="95" t="s">
        <v>73</v>
      </c>
      <c r="X18" s="134">
        <f>100*(1+L12*I8+L15*L8+L18*O8)</f>
        <v>101.8</v>
      </c>
      <c r="Y18" s="134"/>
    </row>
    <row r="19" spans="1:25" x14ac:dyDescent="0.25">
      <c r="A19" s="1"/>
      <c r="B19" s="71"/>
      <c r="C19" s="71" t="s">
        <v>62</v>
      </c>
      <c r="D19" s="71"/>
      <c r="E19" s="71"/>
      <c r="F19" s="71"/>
      <c r="G19" s="71"/>
      <c r="H19" s="71"/>
      <c r="I19" s="71"/>
      <c r="J19" s="71"/>
      <c r="K19" s="72"/>
      <c r="L19" s="1"/>
      <c r="M19" s="71"/>
      <c r="N19" s="72"/>
      <c r="O19" s="1"/>
      <c r="P19" s="71"/>
      <c r="Q19" s="1"/>
      <c r="R19" s="1"/>
      <c r="S19" s="71"/>
      <c r="T19" s="71"/>
      <c r="U19" s="71"/>
      <c r="V19" s="71"/>
      <c r="W19" s="1"/>
      <c r="X19" s="1"/>
      <c r="Y19" s="1"/>
    </row>
    <row r="20" spans="1:25" x14ac:dyDescent="0.25">
      <c r="A20" s="1"/>
      <c r="B20" s="71"/>
      <c r="C20" s="71"/>
      <c r="D20" s="71"/>
      <c r="E20" s="71"/>
      <c r="F20" s="71"/>
      <c r="G20" s="71"/>
      <c r="H20" s="71"/>
      <c r="I20" s="71"/>
      <c r="J20" s="71"/>
      <c r="K20" s="72"/>
      <c r="L20" s="1"/>
      <c r="M20" s="71"/>
      <c r="N20" s="72"/>
      <c r="O20" s="1"/>
      <c r="P20" s="71"/>
      <c r="Q20" s="1"/>
      <c r="R20" s="1"/>
      <c r="S20" s="71"/>
      <c r="T20" s="71"/>
      <c r="U20" s="71"/>
      <c r="V20"/>
    </row>
    <row r="21" spans="1:25" x14ac:dyDescent="0.25">
      <c r="A21" s="1"/>
      <c r="B21" s="71"/>
      <c r="C21" s="71"/>
      <c r="D21" s="71"/>
      <c r="E21" s="71"/>
      <c r="F21" s="71"/>
      <c r="G21" s="71"/>
      <c r="H21" s="71"/>
      <c r="I21" s="71"/>
      <c r="J21" s="71"/>
      <c r="K21" s="72"/>
      <c r="L21" s="94"/>
      <c r="M21" s="71"/>
      <c r="N21" s="72"/>
      <c r="O21" s="1"/>
      <c r="P21" s="71"/>
      <c r="Q21" s="1"/>
      <c r="R21" s="1"/>
      <c r="S21" s="71"/>
      <c r="T21" s="71"/>
      <c r="U21" s="71"/>
      <c r="V21"/>
    </row>
    <row r="22" spans="1:25" x14ac:dyDescent="0.25">
      <c r="A22" s="1"/>
      <c r="B22" s="71"/>
      <c r="C22" s="71"/>
      <c r="D22" s="71"/>
      <c r="E22" s="71"/>
      <c r="F22" s="71"/>
      <c r="G22" s="71"/>
      <c r="H22" s="71"/>
      <c r="I22" s="71"/>
      <c r="J22" s="71"/>
      <c r="K22" s="72"/>
      <c r="L22" s="1"/>
      <c r="M22" s="71"/>
      <c r="N22" s="72"/>
      <c r="O22" s="1"/>
      <c r="P22" s="71"/>
      <c r="Q22" s="1"/>
      <c r="R22" s="1"/>
      <c r="S22" s="71"/>
      <c r="T22" s="71"/>
      <c r="U22" s="71"/>
      <c r="V22"/>
    </row>
    <row r="23" spans="1:25" x14ac:dyDescent="0.25">
      <c r="A23" s="1"/>
      <c r="B23" s="71"/>
      <c r="C23" s="71"/>
      <c r="D23" s="71"/>
      <c r="E23" s="71"/>
      <c r="F23" s="71"/>
      <c r="G23" s="71"/>
      <c r="H23" s="71"/>
      <c r="I23" s="71"/>
      <c r="J23" s="71"/>
      <c r="K23" s="72"/>
      <c r="L23" s="1"/>
      <c r="M23" s="71"/>
      <c r="N23" s="72"/>
      <c r="O23" s="1"/>
      <c r="P23" s="71"/>
      <c r="Q23" s="1"/>
      <c r="R23" s="1"/>
      <c r="S23" s="71"/>
      <c r="T23" s="71"/>
      <c r="U23" s="71"/>
      <c r="V23"/>
    </row>
    <row r="24" spans="1:25" x14ac:dyDescent="0.25">
      <c r="A24" s="1"/>
      <c r="B24" s="71"/>
      <c r="C24" s="71"/>
      <c r="D24" s="71"/>
      <c r="E24" s="71"/>
      <c r="F24" s="71"/>
      <c r="G24" s="71"/>
      <c r="H24" s="71"/>
      <c r="I24" s="71"/>
      <c r="J24" s="71"/>
      <c r="K24" s="72"/>
      <c r="L24" s="1"/>
      <c r="M24" s="71"/>
      <c r="N24" s="72"/>
      <c r="O24" s="1"/>
      <c r="P24" s="71"/>
      <c r="Q24" s="1"/>
      <c r="R24" s="1"/>
      <c r="S24" s="71"/>
      <c r="T24" s="71"/>
      <c r="U24" s="71"/>
      <c r="V24"/>
    </row>
    <row r="25" spans="1:25" x14ac:dyDescent="0.25">
      <c r="A25" s="1"/>
      <c r="B25" s="71"/>
      <c r="C25" s="71"/>
      <c r="D25" s="71"/>
      <c r="E25" s="71"/>
      <c r="F25" s="71"/>
      <c r="G25" s="71"/>
      <c r="H25" s="71"/>
      <c r="I25" s="71"/>
      <c r="J25" s="71"/>
      <c r="K25" s="72"/>
      <c r="L25" s="1"/>
      <c r="M25" s="71"/>
      <c r="N25" s="72"/>
      <c r="O25" s="1"/>
      <c r="P25" s="71"/>
      <c r="Q25" s="1"/>
      <c r="R25" s="1"/>
      <c r="S25" s="71"/>
      <c r="T25" s="71"/>
      <c r="U25" s="71"/>
      <c r="V25"/>
    </row>
    <row r="26" spans="1:25" x14ac:dyDescent="0.25">
      <c r="A26" s="1"/>
      <c r="B26" s="71"/>
      <c r="C26" s="71"/>
      <c r="D26" s="71"/>
      <c r="E26" s="71"/>
      <c r="F26" s="71"/>
      <c r="G26" s="71"/>
      <c r="H26" s="71"/>
      <c r="I26" s="71"/>
      <c r="J26" s="71"/>
      <c r="K26" s="72"/>
      <c r="L26" s="1"/>
      <c r="M26" s="71"/>
      <c r="N26" s="72"/>
      <c r="O26" s="1"/>
      <c r="P26" s="71"/>
      <c r="Q26" s="1"/>
      <c r="R26" s="1"/>
      <c r="S26" s="71"/>
      <c r="T26" s="71"/>
      <c r="U26" s="71"/>
      <c r="V26"/>
    </row>
    <row r="27" spans="1:25" x14ac:dyDescent="0.25">
      <c r="A27" s="1"/>
      <c r="B27" s="71"/>
      <c r="C27" s="71"/>
      <c r="D27" s="71"/>
      <c r="E27" s="71"/>
      <c r="F27" s="71"/>
      <c r="G27" s="71"/>
      <c r="H27" s="71"/>
      <c r="I27" s="71"/>
      <c r="J27" s="71"/>
      <c r="K27" s="72"/>
      <c r="L27" s="1"/>
      <c r="M27" s="71"/>
      <c r="N27" s="72"/>
      <c r="O27" s="1"/>
      <c r="P27" s="71"/>
      <c r="S27"/>
      <c r="T27"/>
      <c r="U27"/>
      <c r="V27"/>
    </row>
    <row r="28" spans="1:25" x14ac:dyDescent="0.25">
      <c r="A28" s="1"/>
      <c r="B28" s="71"/>
      <c r="C28" s="71"/>
      <c r="D28" s="71"/>
      <c r="E28" s="71"/>
      <c r="F28" s="71"/>
      <c r="G28" s="71"/>
      <c r="H28" s="71"/>
      <c r="I28" s="71"/>
      <c r="J28" s="71"/>
      <c r="K28" s="72"/>
      <c r="L28" s="1"/>
      <c r="M28" s="71"/>
      <c r="N28" s="72"/>
      <c r="O28" s="1"/>
      <c r="P28" s="71"/>
      <c r="S28"/>
      <c r="T28"/>
      <c r="U28"/>
      <c r="V28"/>
    </row>
    <row r="29" spans="1:25" x14ac:dyDescent="0.25">
      <c r="B29"/>
      <c r="C29"/>
      <c r="D29"/>
      <c r="E29"/>
      <c r="F29"/>
      <c r="G29"/>
      <c r="H29"/>
      <c r="I29"/>
      <c r="J29"/>
      <c r="K29"/>
      <c r="M29"/>
      <c r="N29"/>
      <c r="P29"/>
      <c r="S29"/>
      <c r="T29"/>
      <c r="U29"/>
      <c r="V29"/>
    </row>
    <row r="30" spans="1:25" x14ac:dyDescent="0.25">
      <c r="B30"/>
      <c r="C30"/>
      <c r="D30"/>
      <c r="E30"/>
      <c r="F30"/>
      <c r="G30"/>
      <c r="H30"/>
      <c r="I30"/>
      <c r="J30"/>
      <c r="K30"/>
      <c r="M30"/>
      <c r="N30"/>
      <c r="P30"/>
      <c r="S30"/>
      <c r="T30"/>
      <c r="U30"/>
      <c r="V30"/>
    </row>
    <row r="31" spans="1:25" x14ac:dyDescent="0.25">
      <c r="B31"/>
      <c r="C31"/>
      <c r="D31"/>
      <c r="E31"/>
      <c r="F31"/>
      <c r="G31"/>
      <c r="H31"/>
      <c r="I31"/>
      <c r="J31"/>
      <c r="K31"/>
      <c r="M31"/>
      <c r="N31"/>
      <c r="P31"/>
      <c r="S31"/>
      <c r="T31"/>
      <c r="U31"/>
      <c r="V31"/>
    </row>
    <row r="32" spans="1:25" x14ac:dyDescent="0.25">
      <c r="B32"/>
      <c r="C32"/>
      <c r="D32"/>
      <c r="E32"/>
      <c r="F32"/>
      <c r="G32"/>
      <c r="H32"/>
      <c r="I32"/>
      <c r="J32"/>
      <c r="K32"/>
      <c r="M32"/>
      <c r="N32"/>
      <c r="P32"/>
      <c r="S32"/>
      <c r="T32"/>
      <c r="U32"/>
      <c r="V32"/>
    </row>
    <row r="33" customFormat="1" x14ac:dyDescent="0.25"/>
    <row r="34" customFormat="1" x14ac:dyDescent="0.25"/>
    <row r="35" customFormat="1" x14ac:dyDescent="0.25"/>
  </sheetData>
  <mergeCells count="10">
    <mergeCell ref="X16:Y16"/>
    <mergeCell ref="X17:Y17"/>
    <mergeCell ref="X18:Y18"/>
    <mergeCell ref="A2:C2"/>
    <mergeCell ref="H2:Q2"/>
    <mergeCell ref="T3:U3"/>
    <mergeCell ref="T9:U9"/>
    <mergeCell ref="X9:Y9"/>
    <mergeCell ref="T15:U15"/>
    <mergeCell ref="W15:Y15"/>
  </mergeCells>
  <conditionalFormatting sqref="X16:Y18">
    <cfRule type="cellIs" dxfId="1" priority="1" operator="notBetween">
      <formula>$B$3+0.1</formula>
      <formula>$B$3-0.1</formula>
    </cfRule>
    <cfRule type="cellIs" dxfId="0" priority="2" operator="between">
      <formula>$B$3-0.1</formula>
      <formula>$B$3+0.1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98"/>
  <sheetViews>
    <sheetView workbookViewId="0">
      <selection activeCell="J4" sqref="J4:J6"/>
    </sheetView>
  </sheetViews>
  <sheetFormatPr defaultRowHeight="15" x14ac:dyDescent="0.25"/>
  <cols>
    <col min="1" max="1" width="2.7109375" style="2" customWidth="1"/>
    <col min="2" max="2" width="3.28515625" style="2" customWidth="1"/>
    <col min="3" max="3" width="29.7109375" style="2" customWidth="1"/>
    <col min="4" max="4" width="8.28515625" style="2" customWidth="1"/>
    <col min="5" max="5" width="24.7109375" style="2" customWidth="1"/>
    <col min="6" max="6" width="5.5703125" style="2" customWidth="1"/>
    <col min="7" max="7" width="12.140625" style="2" customWidth="1"/>
    <col min="8" max="8" width="26.140625" style="2" customWidth="1"/>
    <col min="9" max="9" width="9" style="2" customWidth="1"/>
    <col min="10" max="10" width="5" style="2" customWidth="1"/>
    <col min="11" max="11" width="20.7109375" style="2" customWidth="1"/>
    <col min="12" max="12" width="10.7109375" style="2" customWidth="1"/>
    <col min="13" max="13" width="2.7109375" style="2" customWidth="1"/>
    <col min="14" max="17" width="0" style="2" hidden="1" customWidth="1"/>
    <col min="18" max="18" width="9.140625" style="2"/>
    <col min="19" max="19" width="25.7109375" style="2" customWidth="1"/>
    <col min="20" max="20" width="1" style="2" customWidth="1"/>
    <col min="21" max="21" width="9.140625" style="2"/>
    <col min="22" max="22" width="25.7109375" style="2" customWidth="1"/>
    <col min="23" max="16384" width="9.140625" style="2"/>
  </cols>
  <sheetData>
    <row r="1" spans="1:5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4" customFormat="1" ht="33.75" x14ac:dyDescent="0.5">
      <c r="A2" s="3"/>
      <c r="B2" s="3"/>
      <c r="C2" s="3"/>
      <c r="D2" s="3"/>
      <c r="E2" s="145" t="s">
        <v>0</v>
      </c>
      <c r="F2" s="146"/>
      <c r="G2" s="146"/>
      <c r="H2" s="146"/>
      <c r="I2" s="14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2"/>
      <c r="BB2" s="2"/>
    </row>
    <row r="3" spans="1:54" customFormat="1" ht="15.75" thickBot="1" x14ac:dyDescent="0.3">
      <c r="A3" s="3"/>
      <c r="B3" s="3"/>
      <c r="C3" s="3"/>
      <c r="D3" s="3"/>
      <c r="E3" s="4"/>
      <c r="F3" s="5"/>
      <c r="G3" s="5"/>
      <c r="H3" s="5"/>
      <c r="I3" s="6"/>
      <c r="J3" s="7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2"/>
      <c r="BB3" s="2"/>
    </row>
    <row r="4" spans="1:54" customFormat="1" ht="15.75" thickBot="1" x14ac:dyDescent="0.3">
      <c r="A4" s="3"/>
      <c r="B4" s="3"/>
      <c r="C4" s="3"/>
      <c r="D4" s="3"/>
      <c r="E4" s="148" t="s">
        <v>1</v>
      </c>
      <c r="F4" s="149"/>
      <c r="G4" s="150"/>
      <c r="H4" s="9">
        <f>IF(AND(H6&gt;=J4,H6&lt;=J5),E18,IF(AND(H6&gt;J5,H6&lt;=J6),E49))</f>
        <v>37.005353816931631</v>
      </c>
      <c r="I4" s="116" t="s">
        <v>2</v>
      </c>
      <c r="J4" s="3">
        <v>-270</v>
      </c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2"/>
      <c r="BB4" s="2"/>
    </row>
    <row r="5" spans="1:54" customFormat="1" ht="15.75" thickBot="1" x14ac:dyDescent="0.3">
      <c r="A5" s="3"/>
      <c r="B5" s="3"/>
      <c r="C5" s="3"/>
      <c r="D5" s="3"/>
      <c r="E5" s="4"/>
      <c r="F5" s="10"/>
      <c r="G5" s="10"/>
      <c r="H5" s="10"/>
      <c r="I5" s="11"/>
      <c r="J5" s="3">
        <v>0</v>
      </c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2"/>
      <c r="BB5" s="2"/>
    </row>
    <row r="6" spans="1:54" customFormat="1" ht="15.75" thickBot="1" x14ac:dyDescent="0.3">
      <c r="A6" s="3"/>
      <c r="B6" s="3"/>
      <c r="C6" s="3"/>
      <c r="D6" s="3"/>
      <c r="E6" s="148" t="s">
        <v>3</v>
      </c>
      <c r="F6" s="149"/>
      <c r="G6" s="150"/>
      <c r="H6" s="12">
        <v>500</v>
      </c>
      <c r="I6" s="115" t="s">
        <v>4</v>
      </c>
      <c r="J6" s="3">
        <v>1000</v>
      </c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2"/>
      <c r="BB6" s="2"/>
    </row>
    <row r="7" spans="1:54" customFormat="1" x14ac:dyDescent="0.25">
      <c r="A7" s="3"/>
      <c r="B7" s="3"/>
      <c r="C7" s="3"/>
      <c r="D7" s="3"/>
      <c r="E7" s="4"/>
      <c r="F7" s="10"/>
      <c r="G7" s="10"/>
      <c r="H7" s="10"/>
      <c r="I7" s="11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2"/>
      <c r="BB7" s="2"/>
    </row>
    <row r="8" spans="1:54" customFormat="1" ht="15.75" thickBot="1" x14ac:dyDescent="0.3">
      <c r="A8" s="3"/>
      <c r="B8" s="3"/>
      <c r="C8" s="3"/>
      <c r="D8" s="3"/>
      <c r="E8" s="13"/>
      <c r="F8" s="14"/>
      <c r="G8" s="14"/>
      <c r="H8" s="14"/>
      <c r="I8" s="15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2"/>
      <c r="BB8" s="2"/>
    </row>
    <row r="9" spans="1:54" ht="15.7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4" ht="17.100000000000001" customHeight="1" thickBot="1" x14ac:dyDescent="0.3">
      <c r="A10" s="3"/>
      <c r="B10" s="16"/>
      <c r="C10" s="17"/>
      <c r="D10" s="17"/>
      <c r="E10" s="17"/>
      <c r="F10" s="17"/>
      <c r="G10" s="17"/>
      <c r="H10" s="17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9"/>
      <c r="V10" s="19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4" ht="17.100000000000001" customHeight="1" thickBot="1" x14ac:dyDescent="0.45">
      <c r="A11" s="3"/>
      <c r="B11" s="20"/>
      <c r="C11" s="151" t="s">
        <v>5</v>
      </c>
      <c r="D11" s="152"/>
      <c r="E11" s="152"/>
      <c r="F11" s="21"/>
      <c r="G11" s="22"/>
      <c r="H11" s="3"/>
      <c r="I11" s="23"/>
      <c r="J11" s="3"/>
      <c r="K11" s="3"/>
      <c r="L11" s="3"/>
      <c r="M11" s="3"/>
      <c r="N11" s="3"/>
      <c r="O11" s="3"/>
      <c r="P11" s="3"/>
      <c r="Q11" s="3"/>
      <c r="R11" s="139" t="s">
        <v>5</v>
      </c>
      <c r="S11" s="139"/>
      <c r="T11" s="139"/>
      <c r="U11" s="139"/>
      <c r="V11" s="139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4" ht="17.100000000000001" customHeight="1" thickBot="1" x14ac:dyDescent="0.35">
      <c r="A12" s="3"/>
      <c r="B12" s="20"/>
      <c r="C12" s="24" t="s">
        <v>6</v>
      </c>
      <c r="D12" s="25"/>
      <c r="E12" s="26" t="s">
        <v>7</v>
      </c>
      <c r="F12" s="3"/>
      <c r="G12" s="3"/>
      <c r="H12" s="3"/>
      <c r="I12" s="23"/>
      <c r="J12" s="3"/>
      <c r="K12" s="3"/>
      <c r="L12" s="3"/>
      <c r="M12" s="3"/>
      <c r="N12" s="3"/>
      <c r="O12" s="3"/>
      <c r="P12" s="3"/>
      <c r="Q12" s="3"/>
      <c r="R12" s="140" t="s">
        <v>7</v>
      </c>
      <c r="S12" s="141"/>
      <c r="T12" s="27"/>
      <c r="U12" s="142" t="s">
        <v>8</v>
      </c>
      <c r="V12" s="14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4" ht="17.100000000000001" customHeight="1" x14ac:dyDescent="0.4">
      <c r="A13" s="3"/>
      <c r="B13" s="20"/>
      <c r="C13" s="28"/>
      <c r="D13" s="29"/>
      <c r="E13" s="30"/>
      <c r="F13" s="3"/>
      <c r="G13" s="3"/>
      <c r="H13" s="3"/>
      <c r="I13" s="23"/>
      <c r="J13" s="3"/>
      <c r="K13" s="31" t="s">
        <v>9</v>
      </c>
      <c r="L13" s="32" t="s">
        <v>4</v>
      </c>
      <c r="M13" s="3"/>
      <c r="N13" s="3"/>
      <c r="O13" s="3"/>
      <c r="P13" s="3"/>
      <c r="Q13" s="3"/>
      <c r="R13" s="33" t="s">
        <v>10</v>
      </c>
      <c r="S13" s="34">
        <v>0</v>
      </c>
      <c r="T13" s="3"/>
      <c r="U13" s="33" t="s">
        <v>10</v>
      </c>
      <c r="V13" s="34">
        <v>0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4" ht="17.100000000000001" customHeight="1" thickBot="1" x14ac:dyDescent="0.3">
      <c r="A14" s="3"/>
      <c r="B14" s="20"/>
      <c r="C14" s="3"/>
      <c r="D14" s="3"/>
      <c r="E14" s="1"/>
      <c r="F14" s="1"/>
      <c r="G14" s="1"/>
      <c r="H14" s="3"/>
      <c r="I14" s="23"/>
      <c r="J14" s="3"/>
      <c r="K14" s="3"/>
      <c r="L14" s="3"/>
      <c r="M14" s="3"/>
      <c r="N14" s="3"/>
      <c r="O14" s="3"/>
      <c r="P14" s="3"/>
      <c r="Q14" s="3"/>
      <c r="R14" s="33" t="s">
        <v>11</v>
      </c>
      <c r="S14" s="34">
        <v>5.8665508707999997E-2</v>
      </c>
      <c r="T14" s="3"/>
      <c r="U14" s="33" t="s">
        <v>11</v>
      </c>
      <c r="V14" s="34">
        <v>5.8665508710000001E-2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4" ht="15.75" thickBot="1" x14ac:dyDescent="0.3">
      <c r="A15" s="3"/>
      <c r="B15" s="20"/>
      <c r="C15" s="153" t="s">
        <v>12</v>
      </c>
      <c r="D15" s="154"/>
      <c r="E15" s="155">
        <f>H6</f>
        <v>500</v>
      </c>
      <c r="F15" s="156"/>
      <c r="G15" s="156"/>
      <c r="H15" s="35"/>
      <c r="I15" s="23"/>
      <c r="J15" s="3"/>
      <c r="K15" s="36">
        <v>-9.0630000000000006</v>
      </c>
      <c r="L15" s="37">
        <v>-210</v>
      </c>
      <c r="M15" s="3"/>
      <c r="N15" s="3"/>
      <c r="O15" s="3"/>
      <c r="P15" s="3"/>
      <c r="Q15" s="3"/>
      <c r="R15" s="33" t="s">
        <v>13</v>
      </c>
      <c r="S15" s="34">
        <v>4.5410977123999999E-5</v>
      </c>
      <c r="T15" s="3"/>
      <c r="U15" s="33" t="s">
        <v>13</v>
      </c>
      <c r="V15" s="34">
        <v>4.5032275582000001E-5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4" ht="15.75" thickBot="1" x14ac:dyDescent="0.3">
      <c r="A16" s="3"/>
      <c r="B16" s="20"/>
      <c r="C16" s="3"/>
      <c r="D16" s="38"/>
      <c r="E16" s="39"/>
      <c r="F16" s="3"/>
      <c r="G16" s="3"/>
      <c r="H16" s="3"/>
      <c r="I16" s="23"/>
      <c r="J16" s="3"/>
      <c r="K16" s="36">
        <v>-7.2789999999999999</v>
      </c>
      <c r="L16" s="37">
        <v>-150</v>
      </c>
      <c r="M16" s="3"/>
      <c r="N16" s="3"/>
      <c r="O16" s="3"/>
      <c r="P16" s="3"/>
      <c r="Q16" s="3"/>
      <c r="R16" s="33" t="s">
        <v>14</v>
      </c>
      <c r="S16" s="34">
        <v>-7.7998048685999995E-7</v>
      </c>
      <c r="T16" s="3"/>
      <c r="U16" s="33" t="s">
        <v>14</v>
      </c>
      <c r="V16" s="34">
        <v>2.8908407211999999E-8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5.75" thickBot="1" x14ac:dyDescent="0.3">
      <c r="A17" s="3"/>
      <c r="B17" s="20"/>
      <c r="C17" s="3"/>
      <c r="D17" s="40" t="s">
        <v>15</v>
      </c>
      <c r="E17" s="157">
        <f>E21+E22*G22+E23*G23+E24*G24+E25*G25+E26*G26+E27*G27+E28*G28+E29*G29+E30*G30+E31*G31+E32*G32+E33*G33+E34*G34</f>
        <v>-65961170.036060654</v>
      </c>
      <c r="F17" s="158"/>
      <c r="G17" s="158"/>
      <c r="H17" s="41"/>
      <c r="I17" s="23"/>
      <c r="J17" s="3"/>
      <c r="K17" s="36">
        <v>-5.2370000000000001</v>
      </c>
      <c r="L17" s="37">
        <v>-100</v>
      </c>
      <c r="M17" s="3"/>
      <c r="N17" s="3"/>
      <c r="O17" s="3"/>
      <c r="P17" s="3"/>
      <c r="Q17" s="3"/>
      <c r="R17" s="33" t="s">
        <v>16</v>
      </c>
      <c r="S17" s="34">
        <v>-2.5800160842999999E-8</v>
      </c>
      <c r="T17" s="3"/>
      <c r="U17" s="33" t="s">
        <v>16</v>
      </c>
      <c r="V17" s="34">
        <v>-3.3056896652000002E-10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5.75" thickBot="1" x14ac:dyDescent="0.3">
      <c r="A18" s="3"/>
      <c r="B18" s="20"/>
      <c r="C18" s="3"/>
      <c r="D18" s="42" t="s">
        <v>17</v>
      </c>
      <c r="E18" s="43">
        <f>E17</f>
        <v>-65961170.036060654</v>
      </c>
      <c r="F18" s="3"/>
      <c r="G18" s="3"/>
      <c r="H18" s="3"/>
      <c r="I18" s="23"/>
      <c r="J18" s="3"/>
      <c r="K18" s="36">
        <v>0</v>
      </c>
      <c r="L18" s="37">
        <v>0</v>
      </c>
      <c r="M18" s="3"/>
      <c r="N18" s="3"/>
      <c r="O18" s="3"/>
      <c r="P18" s="3"/>
      <c r="Q18" s="3"/>
      <c r="R18" s="33" t="s">
        <v>18</v>
      </c>
      <c r="S18" s="34">
        <v>-5.9452583056999997E-10</v>
      </c>
      <c r="T18" s="3"/>
      <c r="U18" s="33" t="s">
        <v>18</v>
      </c>
      <c r="V18" s="34">
        <v>6.5024403270000002E-13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5">
      <c r="A19" s="3"/>
      <c r="B19" s="20"/>
      <c r="C19" s="3"/>
      <c r="D19" s="44"/>
      <c r="E19" s="45"/>
      <c r="F19" s="3"/>
      <c r="G19" s="3"/>
      <c r="H19" s="3"/>
      <c r="I19" s="23"/>
      <c r="J19" s="3"/>
      <c r="K19" s="46">
        <v>0.59099999999999997</v>
      </c>
      <c r="L19" s="47">
        <v>10</v>
      </c>
      <c r="M19" s="3"/>
      <c r="N19" s="3"/>
      <c r="O19" s="3"/>
      <c r="P19" s="3"/>
      <c r="Q19" s="3"/>
      <c r="R19" s="33" t="s">
        <v>19</v>
      </c>
      <c r="S19" s="34">
        <v>-9.3214058666999999E-12</v>
      </c>
      <c r="T19" s="3"/>
      <c r="U19" s="33" t="s">
        <v>19</v>
      </c>
      <c r="V19" s="34">
        <v>-1.9197495503999999E-16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A20" s="3"/>
      <c r="B20" s="20"/>
      <c r="C20" s="3"/>
      <c r="D20" s="3"/>
      <c r="E20" s="3"/>
      <c r="F20" s="3"/>
      <c r="G20" s="3"/>
      <c r="H20" s="3"/>
      <c r="I20" s="23"/>
      <c r="J20" s="3"/>
      <c r="K20" s="46">
        <v>6.319</v>
      </c>
      <c r="L20" s="47">
        <v>100</v>
      </c>
      <c r="M20" s="3"/>
      <c r="N20" s="3"/>
      <c r="O20" s="3"/>
      <c r="P20" s="3"/>
      <c r="Q20" s="3"/>
      <c r="R20" s="33" t="s">
        <v>20</v>
      </c>
      <c r="S20" s="34">
        <v>-1.0287605534000001E-13</v>
      </c>
      <c r="T20" s="3"/>
      <c r="U20" s="33" t="s">
        <v>20</v>
      </c>
      <c r="V20" s="34">
        <v>-1.2536600497E-18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3"/>
      <c r="B21" s="20"/>
      <c r="C21" s="3"/>
      <c r="D21" s="33" t="s">
        <v>10</v>
      </c>
      <c r="E21" s="34">
        <v>0</v>
      </c>
      <c r="F21" s="3"/>
      <c r="G21" s="3"/>
      <c r="H21" s="3"/>
      <c r="I21" s="23"/>
      <c r="J21" s="3"/>
      <c r="K21" s="48"/>
      <c r="L21" s="49"/>
      <c r="M21" s="3"/>
      <c r="N21" s="3"/>
      <c r="O21" s="3"/>
      <c r="P21" s="3"/>
      <c r="Q21" s="3"/>
      <c r="R21" s="33" t="s">
        <v>21</v>
      </c>
      <c r="S21" s="34">
        <v>-8.0370123621000002E-16</v>
      </c>
      <c r="T21" s="3"/>
      <c r="U21" s="33" t="s">
        <v>21</v>
      </c>
      <c r="V21" s="34">
        <v>2.1489217568999998E-21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t="15.75" x14ac:dyDescent="0.3">
      <c r="A22" s="3"/>
      <c r="B22" s="20"/>
      <c r="C22" s="3"/>
      <c r="D22" s="33" t="s">
        <v>11</v>
      </c>
      <c r="E22" s="34">
        <v>5.8665508707999997E-2</v>
      </c>
      <c r="F22" s="50" t="s">
        <v>22</v>
      </c>
      <c r="G22" s="143">
        <f>(POWER($E$15,1))</f>
        <v>500</v>
      </c>
      <c r="H22" s="144"/>
      <c r="I22" s="23"/>
      <c r="J22" s="3"/>
      <c r="K22" s="51"/>
      <c r="L22" s="52"/>
      <c r="M22" s="3"/>
      <c r="N22" s="3"/>
      <c r="O22" s="3"/>
      <c r="P22" s="3"/>
      <c r="Q22" s="3"/>
      <c r="R22" s="33" t="s">
        <v>23</v>
      </c>
      <c r="S22" s="34">
        <v>-4.3979497391000002E-18</v>
      </c>
      <c r="T22" s="3"/>
      <c r="U22" s="33" t="s">
        <v>23</v>
      </c>
      <c r="V22" s="34">
        <v>-1.4388041782000001E-24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15.75" x14ac:dyDescent="0.3">
      <c r="A23" s="3"/>
      <c r="B23" s="20"/>
      <c r="C23" s="3"/>
      <c r="D23" s="33" t="s">
        <v>13</v>
      </c>
      <c r="E23" s="34">
        <v>4.5410977123999999E-5</v>
      </c>
      <c r="F23" s="50" t="s">
        <v>24</v>
      </c>
      <c r="G23" s="143">
        <f>(POWER($E$15,2))</f>
        <v>250000</v>
      </c>
      <c r="H23" s="144"/>
      <c r="I23" s="23"/>
      <c r="J23" s="3"/>
      <c r="K23" s="51"/>
      <c r="L23" s="52"/>
      <c r="M23" s="3"/>
      <c r="N23" s="3"/>
      <c r="O23" s="3"/>
      <c r="P23" s="3"/>
      <c r="Q23" s="3"/>
      <c r="R23" s="33" t="s">
        <v>25</v>
      </c>
      <c r="S23" s="34">
        <v>-1.6414776354999999E-20</v>
      </c>
      <c r="T23" s="3"/>
      <c r="U23" s="33" t="s">
        <v>25</v>
      </c>
      <c r="V23" s="34">
        <v>3.5960899480999999E-28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5.75" x14ac:dyDescent="0.3">
      <c r="A24" s="3"/>
      <c r="B24" s="20"/>
      <c r="C24" s="3"/>
      <c r="D24" s="33" t="s">
        <v>14</v>
      </c>
      <c r="E24" s="34">
        <v>-7.7998048685999995E-7</v>
      </c>
      <c r="F24" s="50" t="s">
        <v>26</v>
      </c>
      <c r="G24" s="143">
        <f>(POWER($E$15,3))</f>
        <v>125000000</v>
      </c>
      <c r="H24" s="144"/>
      <c r="I24" s="23"/>
      <c r="J24" s="3"/>
      <c r="K24" s="51"/>
      <c r="L24" s="52"/>
      <c r="M24" s="3"/>
      <c r="N24" s="3"/>
      <c r="O24" s="3"/>
      <c r="P24" s="3"/>
      <c r="Q24" s="3"/>
      <c r="R24" s="33" t="s">
        <v>27</v>
      </c>
      <c r="S24" s="34">
        <v>-3.9673619516000003E-23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15.75" x14ac:dyDescent="0.3">
      <c r="A25" s="3"/>
      <c r="B25" s="20"/>
      <c r="C25" s="3"/>
      <c r="D25" s="33" t="s">
        <v>16</v>
      </c>
      <c r="E25" s="34">
        <v>-2.5800160842999999E-8</v>
      </c>
      <c r="F25" s="50" t="s">
        <v>28</v>
      </c>
      <c r="G25" s="143">
        <f>(POWER($E$15,4))</f>
        <v>62500000000</v>
      </c>
      <c r="H25" s="144"/>
      <c r="I25" s="23"/>
      <c r="J25" s="3"/>
      <c r="K25" s="3"/>
      <c r="L25" s="3"/>
      <c r="M25" s="3"/>
      <c r="N25" s="3"/>
      <c r="O25" s="3"/>
      <c r="P25" s="3"/>
      <c r="Q25" s="3"/>
      <c r="R25" s="33" t="s">
        <v>29</v>
      </c>
      <c r="S25" s="34">
        <v>-5.5827328720999999E-26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15.75" x14ac:dyDescent="0.3">
      <c r="A26" s="3"/>
      <c r="B26" s="20"/>
      <c r="C26" s="3"/>
      <c r="D26" s="33" t="s">
        <v>18</v>
      </c>
      <c r="E26" s="34">
        <v>-5.9452583056999997E-10</v>
      </c>
      <c r="F26" s="50" t="s">
        <v>30</v>
      </c>
      <c r="G26" s="143">
        <f>(POWER($E$15,5))</f>
        <v>31250000000000</v>
      </c>
      <c r="H26" s="144"/>
      <c r="I26" s="23"/>
      <c r="J26" s="3"/>
      <c r="K26" s="3"/>
      <c r="L26" s="3"/>
      <c r="M26" s="3"/>
      <c r="N26" s="3"/>
      <c r="O26" s="3"/>
      <c r="P26" s="3"/>
      <c r="Q26" s="3"/>
      <c r="R26" s="33" t="s">
        <v>31</v>
      </c>
      <c r="S26" s="34">
        <v>-3.4657842012999999E-29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15.75" x14ac:dyDescent="0.3">
      <c r="A27" s="3"/>
      <c r="B27" s="20"/>
      <c r="C27" s="3"/>
      <c r="D27" s="33" t="s">
        <v>19</v>
      </c>
      <c r="E27" s="34">
        <v>-9.3214058666999999E-12</v>
      </c>
      <c r="F27" s="50" t="s">
        <v>32</v>
      </c>
      <c r="G27" s="143">
        <f>(POWER($E$15,6))</f>
        <v>1.5625E+16</v>
      </c>
      <c r="H27" s="144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15.75" x14ac:dyDescent="0.3">
      <c r="A28" s="3"/>
      <c r="B28" s="20"/>
      <c r="C28" s="3"/>
      <c r="D28" s="33" t="s">
        <v>20</v>
      </c>
      <c r="E28" s="34">
        <v>-1.0287605534000001E-13</v>
      </c>
      <c r="F28" s="50" t="s">
        <v>33</v>
      </c>
      <c r="G28" s="143">
        <f>(POWER($E$15,7))</f>
        <v>7.8125E+18</v>
      </c>
      <c r="H28" s="144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15.75" x14ac:dyDescent="0.3">
      <c r="A29" s="3"/>
      <c r="B29" s="20"/>
      <c r="C29" s="3"/>
      <c r="D29" s="33" t="s">
        <v>21</v>
      </c>
      <c r="E29" s="34">
        <v>-8.0370123621000002E-16</v>
      </c>
      <c r="F29" s="50" t="s">
        <v>34</v>
      </c>
      <c r="G29" s="143">
        <f>(POWER($E$15,8))</f>
        <v>3.9062499999999999E+21</v>
      </c>
      <c r="H29" s="144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5.75" customHeight="1" x14ac:dyDescent="0.3">
      <c r="A30" s="3"/>
      <c r="B30" s="20"/>
      <c r="C30" s="3"/>
      <c r="D30" s="33" t="s">
        <v>23</v>
      </c>
      <c r="E30" s="34">
        <v>-4.3979497391000002E-18</v>
      </c>
      <c r="F30" s="50" t="s">
        <v>35</v>
      </c>
      <c r="G30" s="143">
        <f>(POWER($E$15,9))</f>
        <v>1.953125E+24</v>
      </c>
      <c r="H30" s="144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ht="15.75" customHeight="1" x14ac:dyDescent="0.3">
      <c r="A31" s="3"/>
      <c r="B31" s="20"/>
      <c r="C31" s="3"/>
      <c r="D31" s="33" t="s">
        <v>25</v>
      </c>
      <c r="E31" s="34">
        <v>-1.6414776354999999E-20</v>
      </c>
      <c r="F31" s="50" t="s">
        <v>36</v>
      </c>
      <c r="G31" s="143">
        <f>(POWER($E$15,10))</f>
        <v>9.7656250000000002E+26</v>
      </c>
      <c r="H31" s="144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15.75" customHeight="1" x14ac:dyDescent="0.3">
      <c r="A32" s="3"/>
      <c r="B32" s="20"/>
      <c r="C32" s="3"/>
      <c r="D32" s="33" t="s">
        <v>27</v>
      </c>
      <c r="E32" s="34">
        <v>-3.9673619516000003E-23</v>
      </c>
      <c r="F32" s="50" t="s">
        <v>37</v>
      </c>
      <c r="G32" s="143">
        <f>(POWER($E$15,11))</f>
        <v>4.8828124999999997E+29</v>
      </c>
      <c r="H32" s="144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t="15.75" customHeight="1" x14ac:dyDescent="0.3">
      <c r="A33" s="3"/>
      <c r="B33" s="20"/>
      <c r="C33" s="3"/>
      <c r="D33" s="33" t="s">
        <v>29</v>
      </c>
      <c r="E33" s="34">
        <v>-5.5827328720999999E-26</v>
      </c>
      <c r="F33" s="50" t="s">
        <v>38</v>
      </c>
      <c r="G33" s="143">
        <f>(POWER($E$15,12))</f>
        <v>2.4414062500000001E+32</v>
      </c>
      <c r="H33" s="144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15.75" customHeight="1" x14ac:dyDescent="0.3">
      <c r="A34" s="3"/>
      <c r="B34" s="20"/>
      <c r="C34" s="3"/>
      <c r="D34" s="33" t="s">
        <v>31</v>
      </c>
      <c r="E34" s="34">
        <v>-3.4657842012999999E-29</v>
      </c>
      <c r="F34" s="50" t="s">
        <v>39</v>
      </c>
      <c r="G34" s="143">
        <f>(POWER($E$15,13))</f>
        <v>1.2207031249999999E+35</v>
      </c>
      <c r="H34" s="144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15.75" customHeight="1" x14ac:dyDescent="0.3">
      <c r="A35" s="3"/>
      <c r="B35" s="20"/>
      <c r="C35" s="3"/>
      <c r="D35" s="3"/>
      <c r="E35" s="3"/>
      <c r="F35" s="53"/>
      <c r="G35" s="53"/>
      <c r="H35" s="54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ht="15.75" customHeight="1" thickBot="1" x14ac:dyDescent="0.35">
      <c r="A36" s="3"/>
      <c r="B36" s="55"/>
      <c r="C36" s="56"/>
      <c r="D36" s="56"/>
      <c r="E36" s="56"/>
      <c r="F36" s="57"/>
      <c r="G36" s="57"/>
      <c r="H36" s="58"/>
      <c r="I36" s="5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ht="15.75" customHeight="1" x14ac:dyDescent="0.3">
      <c r="A37" s="3"/>
      <c r="B37" s="3"/>
      <c r="C37" s="3"/>
      <c r="D37" s="3"/>
      <c r="E37" s="3"/>
      <c r="F37" s="53"/>
      <c r="G37" s="53"/>
      <c r="H37" s="5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ht="15.75" customHeight="1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t="17.100000000000001" customHeight="1" thickBot="1" x14ac:dyDescent="0.3">
      <c r="A41" s="3"/>
      <c r="B41" s="16"/>
      <c r="C41" s="17"/>
      <c r="D41" s="17"/>
      <c r="E41" s="17"/>
      <c r="F41" s="17"/>
      <c r="G41" s="17"/>
      <c r="H41" s="17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7.100000000000001" customHeight="1" thickBot="1" x14ac:dyDescent="0.45">
      <c r="A42" s="3"/>
      <c r="B42" s="20"/>
      <c r="C42" s="151" t="s">
        <v>5</v>
      </c>
      <c r="D42" s="152"/>
      <c r="E42" s="152"/>
      <c r="F42" s="21"/>
      <c r="G42" s="22"/>
      <c r="H42" s="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7.100000000000001" customHeight="1" thickBot="1" x14ac:dyDescent="0.35">
      <c r="A43" s="3"/>
      <c r="B43" s="20"/>
      <c r="C43" s="24" t="s">
        <v>6</v>
      </c>
      <c r="D43" s="25"/>
      <c r="E43" s="26" t="s">
        <v>8</v>
      </c>
      <c r="F43" s="3"/>
      <c r="G43" s="3"/>
      <c r="H43" s="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7.100000000000001" customHeight="1" x14ac:dyDescent="0.4">
      <c r="A44" s="3"/>
      <c r="B44" s="20"/>
      <c r="C44" s="28"/>
      <c r="D44" s="29"/>
      <c r="E44" s="30"/>
      <c r="F44" s="3"/>
      <c r="G44" s="3"/>
      <c r="H44" s="3"/>
      <c r="I44" s="23"/>
      <c r="J44" s="3"/>
      <c r="K44" s="31" t="s">
        <v>9</v>
      </c>
      <c r="L44" s="32" t="s">
        <v>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7.100000000000001" customHeight="1" thickBot="1" x14ac:dyDescent="0.3">
      <c r="A45" s="3"/>
      <c r="B45" s="20"/>
      <c r="C45" s="3"/>
      <c r="D45" s="3"/>
      <c r="E45" s="39"/>
      <c r="F45" s="3"/>
      <c r="G45" s="3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" customHeight="1" thickBot="1" x14ac:dyDescent="0.3">
      <c r="A46" s="3"/>
      <c r="B46" s="20"/>
      <c r="C46" s="153" t="s">
        <v>12</v>
      </c>
      <c r="D46" s="154"/>
      <c r="E46" s="155">
        <f>H6</f>
        <v>500</v>
      </c>
      <c r="F46" s="156"/>
      <c r="G46" s="156"/>
      <c r="H46" s="35"/>
      <c r="I46" s="23"/>
      <c r="J46" s="3"/>
      <c r="K46" s="46">
        <v>-5.2370000000000001</v>
      </c>
      <c r="L46" s="47">
        <v>-100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thickBot="1" x14ac:dyDescent="0.3">
      <c r="A47" s="3"/>
      <c r="B47" s="20"/>
      <c r="C47" s="3"/>
      <c r="D47" s="38"/>
      <c r="E47" s="39"/>
      <c r="F47" s="3"/>
      <c r="G47" s="3"/>
      <c r="H47" s="3"/>
      <c r="I47" s="23"/>
      <c r="J47" s="3"/>
      <c r="K47" s="46">
        <v>0</v>
      </c>
      <c r="L47" s="47">
        <v>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thickBot="1" x14ac:dyDescent="0.3">
      <c r="A48" s="3"/>
      <c r="B48" s="20"/>
      <c r="C48" s="3"/>
      <c r="D48" s="40" t="s">
        <v>15</v>
      </c>
      <c r="E48" s="157">
        <f>(E52+E53*G53+E54*G54+E55*G55+E56*G56+E57*G57+E58*G58+E59*G59+E60*G60+E61*G61+E62*G62)</f>
        <v>37.005353816931631</v>
      </c>
      <c r="F48" s="158"/>
      <c r="G48" s="158"/>
      <c r="H48" s="41"/>
      <c r="I48" s="23"/>
      <c r="J48" s="3"/>
      <c r="K48" s="36">
        <v>13.420999999999999</v>
      </c>
      <c r="L48" s="37">
        <v>200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thickBot="1" x14ac:dyDescent="0.3">
      <c r="A49" s="3"/>
      <c r="B49" s="20"/>
      <c r="C49" s="3"/>
      <c r="D49" s="42" t="s">
        <v>17</v>
      </c>
      <c r="E49" s="43">
        <f>E48</f>
        <v>37.005353816931631</v>
      </c>
      <c r="F49" s="3"/>
      <c r="G49" s="3"/>
      <c r="H49" s="3"/>
      <c r="I49" s="23"/>
      <c r="J49" s="3"/>
      <c r="K49" s="36">
        <v>37.005000000000003</v>
      </c>
      <c r="L49" s="37">
        <v>500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/>
      <c r="B50" s="20"/>
      <c r="C50" s="3"/>
      <c r="D50" s="44"/>
      <c r="E50" s="45"/>
      <c r="F50" s="3"/>
      <c r="G50" s="3"/>
      <c r="H50" s="3"/>
      <c r="I50" s="23"/>
      <c r="J50" s="3"/>
      <c r="K50" s="36">
        <v>53.112000000000002</v>
      </c>
      <c r="L50" s="37">
        <v>700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/>
      <c r="B51" s="20"/>
      <c r="C51" s="3"/>
      <c r="D51" s="3"/>
      <c r="E51" s="3"/>
      <c r="F51" s="3"/>
      <c r="G51" s="3"/>
      <c r="H51" s="3"/>
      <c r="I51" s="23"/>
      <c r="J51" s="3"/>
      <c r="K51" s="36">
        <v>76.373000000000005</v>
      </c>
      <c r="L51" s="37">
        <v>1000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20"/>
      <c r="C52" s="3"/>
      <c r="D52" s="33" t="s">
        <v>10</v>
      </c>
      <c r="E52" s="34">
        <v>0</v>
      </c>
      <c r="F52" s="3"/>
      <c r="G52" s="3"/>
      <c r="H52" s="3"/>
      <c r="I52" s="2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x14ac:dyDescent="0.3">
      <c r="A53" s="3"/>
      <c r="B53" s="20"/>
      <c r="C53" s="3"/>
      <c r="D53" s="33" t="s">
        <v>11</v>
      </c>
      <c r="E53" s="34">
        <v>5.8665508710000001E-2</v>
      </c>
      <c r="F53" s="50" t="s">
        <v>22</v>
      </c>
      <c r="G53" s="159">
        <f>(POWER($E$46,1))</f>
        <v>500</v>
      </c>
      <c r="H53" s="160"/>
      <c r="I53" s="2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x14ac:dyDescent="0.3">
      <c r="A54" s="3"/>
      <c r="B54" s="20"/>
      <c r="C54" s="3"/>
      <c r="D54" s="33" t="s">
        <v>13</v>
      </c>
      <c r="E54" s="34">
        <v>4.5032275582000001E-5</v>
      </c>
      <c r="F54" s="50" t="s">
        <v>24</v>
      </c>
      <c r="G54" s="159">
        <f>(POWER($E$46,2))</f>
        <v>250000</v>
      </c>
      <c r="H54" s="160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x14ac:dyDescent="0.3">
      <c r="A55" s="3"/>
      <c r="B55" s="20"/>
      <c r="C55" s="3"/>
      <c r="D55" s="33" t="s">
        <v>14</v>
      </c>
      <c r="E55" s="34">
        <v>2.8908407211999999E-8</v>
      </c>
      <c r="F55" s="50" t="s">
        <v>26</v>
      </c>
      <c r="G55" s="159">
        <f>(POWER($E$46,3))</f>
        <v>125000000</v>
      </c>
      <c r="H55" s="160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x14ac:dyDescent="0.3">
      <c r="A56" s="3"/>
      <c r="B56" s="20"/>
      <c r="C56" s="3"/>
      <c r="D56" s="33" t="s">
        <v>16</v>
      </c>
      <c r="E56" s="34">
        <v>-3.3056896652000002E-10</v>
      </c>
      <c r="F56" s="50" t="s">
        <v>28</v>
      </c>
      <c r="G56" s="159">
        <f>(POWER($E$46,4))</f>
        <v>62500000000</v>
      </c>
      <c r="H56" s="160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x14ac:dyDescent="0.3">
      <c r="A57" s="3"/>
      <c r="B57" s="20"/>
      <c r="C57" s="3"/>
      <c r="D57" s="33" t="s">
        <v>18</v>
      </c>
      <c r="E57" s="34">
        <v>6.5024403270000002E-13</v>
      </c>
      <c r="F57" s="50" t="s">
        <v>30</v>
      </c>
      <c r="G57" s="159">
        <f>(POWER($E$46,5))</f>
        <v>31250000000000</v>
      </c>
      <c r="H57" s="160"/>
      <c r="I57" s="2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x14ac:dyDescent="0.3">
      <c r="A58" s="3"/>
      <c r="B58" s="20"/>
      <c r="C58" s="3"/>
      <c r="D58" s="33" t="s">
        <v>19</v>
      </c>
      <c r="E58" s="34">
        <v>-1.9197495503999999E-16</v>
      </c>
      <c r="F58" s="50" t="s">
        <v>32</v>
      </c>
      <c r="G58" s="159">
        <f>(POWER($E$46,6))</f>
        <v>1.5625E+16</v>
      </c>
      <c r="H58" s="160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x14ac:dyDescent="0.3">
      <c r="A59" s="3"/>
      <c r="B59" s="20"/>
      <c r="C59" s="3"/>
      <c r="D59" s="33" t="s">
        <v>20</v>
      </c>
      <c r="E59" s="34">
        <v>-1.2536600497E-18</v>
      </c>
      <c r="F59" s="50" t="s">
        <v>33</v>
      </c>
      <c r="G59" s="159">
        <f>(POWER($E$46,7))</f>
        <v>7.8125E+18</v>
      </c>
      <c r="H59" s="160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x14ac:dyDescent="0.3">
      <c r="A60" s="3"/>
      <c r="B60" s="20"/>
      <c r="C60" s="3"/>
      <c r="D60" s="33" t="s">
        <v>21</v>
      </c>
      <c r="E60" s="34">
        <v>2.1489217568999998E-21</v>
      </c>
      <c r="F60" s="50" t="s">
        <v>34</v>
      </c>
      <c r="G60" s="159">
        <f>(POWER($E$46,8))</f>
        <v>3.9062499999999999E+21</v>
      </c>
      <c r="H60" s="160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x14ac:dyDescent="0.3">
      <c r="A61" s="3"/>
      <c r="B61" s="20"/>
      <c r="C61" s="3"/>
      <c r="D61" s="33" t="s">
        <v>23</v>
      </c>
      <c r="E61" s="34">
        <v>-1.4388041782000001E-24</v>
      </c>
      <c r="F61" s="50" t="s">
        <v>35</v>
      </c>
      <c r="G61" s="159">
        <f>(POWER($E$46,9))</f>
        <v>1.953125E+24</v>
      </c>
      <c r="H61" s="160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x14ac:dyDescent="0.3">
      <c r="A62" s="3"/>
      <c r="B62" s="20"/>
      <c r="C62" s="3"/>
      <c r="D62" s="33" t="s">
        <v>25</v>
      </c>
      <c r="E62" s="34">
        <v>3.5960899480999999E-28</v>
      </c>
      <c r="F62" s="50" t="s">
        <v>36</v>
      </c>
      <c r="G62" s="159">
        <f>(POWER($E$46,10))</f>
        <v>9.7656250000000002E+26</v>
      </c>
      <c r="H62" s="160"/>
      <c r="I62" s="23"/>
      <c r="J62" s="6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x14ac:dyDescent="0.3">
      <c r="A63" s="3"/>
      <c r="B63" s="20"/>
      <c r="C63" s="3"/>
      <c r="D63" s="3"/>
      <c r="E63" s="3"/>
      <c r="F63" s="62"/>
      <c r="G63" s="63"/>
      <c r="H63" s="64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6.5" thickBot="1" x14ac:dyDescent="0.35">
      <c r="A64" s="3"/>
      <c r="B64" s="55"/>
      <c r="C64" s="56"/>
      <c r="D64" s="65"/>
      <c r="E64" s="66"/>
      <c r="F64" s="57"/>
      <c r="G64" s="67"/>
      <c r="H64" s="67"/>
      <c r="I64" s="5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x14ac:dyDescent="0.3">
      <c r="A65" s="3"/>
      <c r="B65" s="17"/>
      <c r="C65" s="17"/>
      <c r="D65" s="44"/>
      <c r="E65" s="68"/>
      <c r="F65" s="69"/>
      <c r="G65" s="70"/>
      <c r="H65" s="70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6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6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6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</sheetData>
  <mergeCells count="37">
    <mergeCell ref="G62:H62"/>
    <mergeCell ref="G56:H56"/>
    <mergeCell ref="G57:H57"/>
    <mergeCell ref="G58:H58"/>
    <mergeCell ref="G59:H59"/>
    <mergeCell ref="G60:H60"/>
    <mergeCell ref="G61:H61"/>
    <mergeCell ref="C46:D46"/>
    <mergeCell ref="E46:G46"/>
    <mergeCell ref="E48:G48"/>
    <mergeCell ref="G53:H53"/>
    <mergeCell ref="G54:H54"/>
    <mergeCell ref="G55:H55"/>
    <mergeCell ref="G30:H30"/>
    <mergeCell ref="G31:H31"/>
    <mergeCell ref="G32:H32"/>
    <mergeCell ref="G33:H33"/>
    <mergeCell ref="G34:H34"/>
    <mergeCell ref="C42:E42"/>
    <mergeCell ref="G24:H24"/>
    <mergeCell ref="G25:H25"/>
    <mergeCell ref="G26:H26"/>
    <mergeCell ref="G27:H27"/>
    <mergeCell ref="G28:H28"/>
    <mergeCell ref="G29:H29"/>
    <mergeCell ref="R11:V11"/>
    <mergeCell ref="R12:S12"/>
    <mergeCell ref="U12:V12"/>
    <mergeCell ref="G23:H23"/>
    <mergeCell ref="E2:I2"/>
    <mergeCell ref="E4:G4"/>
    <mergeCell ref="E6:G6"/>
    <mergeCell ref="C11:E11"/>
    <mergeCell ref="C15:D15"/>
    <mergeCell ref="E15:G15"/>
    <mergeCell ref="E17:G17"/>
    <mergeCell ref="G22:H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77AF-BD01-4F76-833F-68B86457CB05}">
  <dimension ref="A1:BB198"/>
  <sheetViews>
    <sheetView workbookViewId="0">
      <selection activeCell="R27" sqref="R27"/>
    </sheetView>
  </sheetViews>
  <sheetFormatPr defaultRowHeight="15" x14ac:dyDescent="0.25"/>
  <cols>
    <col min="1" max="1" width="2.7109375" style="2" customWidth="1"/>
    <col min="2" max="2" width="3.28515625" style="2" customWidth="1"/>
    <col min="3" max="3" width="29.7109375" style="2" customWidth="1"/>
    <col min="4" max="4" width="8.28515625" style="2" customWidth="1"/>
    <col min="5" max="5" width="24.7109375" style="2" customWidth="1"/>
    <col min="6" max="6" width="5.5703125" style="2" customWidth="1"/>
    <col min="7" max="7" width="12.7109375" style="2" customWidth="1"/>
    <col min="8" max="8" width="21.28515625" style="2" customWidth="1"/>
    <col min="9" max="9" width="8.7109375" style="2" customWidth="1"/>
    <col min="10" max="10" width="5.28515625" style="2" customWidth="1"/>
    <col min="11" max="11" width="20.7109375" style="2" customWidth="1"/>
    <col min="12" max="12" width="10.7109375" style="2" customWidth="1"/>
    <col min="13" max="13" width="2.7109375" style="2" customWidth="1"/>
    <col min="14" max="17" width="0" style="2" hidden="1" customWidth="1"/>
    <col min="18" max="18" width="9.140625" style="2"/>
    <col min="19" max="19" width="25.7109375" style="2" customWidth="1"/>
    <col min="20" max="20" width="1.28515625" style="2" customWidth="1"/>
    <col min="21" max="21" width="9.140625" style="2"/>
    <col min="22" max="22" width="25.7109375" style="2" customWidth="1"/>
    <col min="23" max="16384" width="9.140625" style="2"/>
  </cols>
  <sheetData>
    <row r="1" spans="1:5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4" customFormat="1" ht="33.75" x14ac:dyDescent="0.5">
      <c r="A2" s="3"/>
      <c r="B2" s="3"/>
      <c r="C2" s="3"/>
      <c r="D2" s="3"/>
      <c r="E2" s="145" t="s">
        <v>0</v>
      </c>
      <c r="F2" s="146"/>
      <c r="G2" s="146"/>
      <c r="H2" s="146"/>
      <c r="I2" s="14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2"/>
      <c r="BB2" s="2"/>
    </row>
    <row r="3" spans="1:54" customFormat="1" ht="15.75" thickBot="1" x14ac:dyDescent="0.3">
      <c r="A3" s="3"/>
      <c r="B3" s="3"/>
      <c r="C3" s="3"/>
      <c r="D3" s="3"/>
      <c r="E3" s="4"/>
      <c r="F3" s="5"/>
      <c r="G3" s="5"/>
      <c r="H3" s="5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2"/>
      <c r="BB3" s="2"/>
    </row>
    <row r="4" spans="1:54" customFormat="1" ht="15.75" thickBot="1" x14ac:dyDescent="0.3">
      <c r="A4" s="3"/>
      <c r="B4" s="3"/>
      <c r="C4" s="3"/>
      <c r="D4" s="3"/>
      <c r="E4" s="148" t="s">
        <v>79</v>
      </c>
      <c r="F4" s="149"/>
      <c r="G4" s="150"/>
      <c r="H4" s="9">
        <f>IF(AND(H6&gt;=J4,H6&lt;=J5),E18,IF(AND(H6&gt;J5,H6&lt;=J6),E49))</f>
        <v>700.00020118568102</v>
      </c>
      <c r="I4" s="115" t="s">
        <v>4</v>
      </c>
      <c r="J4" s="3">
        <v>-8.8249999999999993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2"/>
      <c r="BB4" s="2"/>
    </row>
    <row r="5" spans="1:54" customFormat="1" ht="15.75" thickBot="1" x14ac:dyDescent="0.3">
      <c r="A5" s="3"/>
      <c r="B5" s="3"/>
      <c r="C5" s="3"/>
      <c r="D5" s="3"/>
      <c r="E5" s="4"/>
      <c r="F5" s="10"/>
      <c r="G5" s="10"/>
      <c r="H5" s="10"/>
      <c r="I5" s="11"/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2"/>
      <c r="BB5" s="2"/>
    </row>
    <row r="6" spans="1:54" customFormat="1" ht="15.75" thickBot="1" x14ac:dyDescent="0.3">
      <c r="A6" s="3"/>
      <c r="B6" s="3"/>
      <c r="C6" s="3"/>
      <c r="D6" s="3"/>
      <c r="E6" s="148" t="s">
        <v>1</v>
      </c>
      <c r="F6" s="149"/>
      <c r="G6" s="150"/>
      <c r="H6" s="12">
        <v>53.112000000000002</v>
      </c>
      <c r="I6" s="116" t="s">
        <v>2</v>
      </c>
      <c r="J6" s="3">
        <v>76.373000000000005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2"/>
      <c r="BB6" s="2"/>
    </row>
    <row r="7" spans="1:54" customFormat="1" x14ac:dyDescent="0.25">
      <c r="A7" s="3"/>
      <c r="B7" s="3"/>
      <c r="C7" s="3"/>
      <c r="D7" s="3"/>
      <c r="E7" s="4"/>
      <c r="F7" s="10"/>
      <c r="G7" s="10"/>
      <c r="H7" s="10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2"/>
      <c r="BB7" s="2"/>
    </row>
    <row r="8" spans="1:54" customFormat="1" ht="15.75" thickBot="1" x14ac:dyDescent="0.3">
      <c r="A8" s="3"/>
      <c r="B8" s="3"/>
      <c r="C8" s="3"/>
      <c r="D8" s="3"/>
      <c r="E8" s="13"/>
      <c r="F8" s="14"/>
      <c r="G8" s="14"/>
      <c r="H8" s="14"/>
      <c r="I8" s="1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2"/>
      <c r="BB8" s="2"/>
    </row>
    <row r="9" spans="1:54" ht="15.7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4" ht="17.100000000000001" customHeight="1" thickBot="1" x14ac:dyDescent="0.3">
      <c r="A10" s="3"/>
      <c r="B10" s="16"/>
      <c r="C10" s="17"/>
      <c r="D10" s="17"/>
      <c r="E10" s="17"/>
      <c r="F10" s="17"/>
      <c r="G10" s="17"/>
      <c r="H10" s="17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4" ht="17.100000000000001" customHeight="1" thickBot="1" x14ac:dyDescent="0.35">
      <c r="A11" s="3"/>
      <c r="B11" s="20"/>
      <c r="C11" s="151" t="s">
        <v>80</v>
      </c>
      <c r="D11" s="152"/>
      <c r="E11" s="163"/>
      <c r="F11" s="3"/>
      <c r="G11" s="3"/>
      <c r="H11" s="3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4" ht="17.100000000000001" customHeight="1" thickBot="1" x14ac:dyDescent="0.45">
      <c r="A12" s="3"/>
      <c r="B12" s="20"/>
      <c r="C12" s="24" t="s">
        <v>6</v>
      </c>
      <c r="D12" s="29"/>
      <c r="E12" s="26" t="s">
        <v>81</v>
      </c>
      <c r="F12" s="21"/>
      <c r="G12" s="102"/>
      <c r="H12" s="102"/>
      <c r="I12" s="103"/>
      <c r="J12" s="102"/>
      <c r="K12" s="102"/>
      <c r="L12" s="3"/>
      <c r="M12" s="3"/>
      <c r="N12" s="3"/>
      <c r="O12" s="3"/>
      <c r="P12" s="3"/>
      <c r="Q12" s="3"/>
      <c r="R12" s="167" t="s">
        <v>80</v>
      </c>
      <c r="S12" s="167"/>
      <c r="T12" s="167"/>
      <c r="U12" s="168"/>
      <c r="V12" s="16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4" ht="17.100000000000001" customHeight="1" thickBot="1" x14ac:dyDescent="0.35">
      <c r="A13" s="3"/>
      <c r="B13" s="20"/>
      <c r="C13" s="104" t="s">
        <v>82</v>
      </c>
      <c r="D13" s="29"/>
      <c r="E13" s="105" t="s">
        <v>83</v>
      </c>
      <c r="F13" s="3"/>
      <c r="G13" s="3"/>
      <c r="H13" s="3"/>
      <c r="I13" s="23"/>
      <c r="J13" s="3"/>
      <c r="K13" s="3"/>
      <c r="L13" s="3"/>
      <c r="M13" s="3"/>
      <c r="N13" s="3"/>
      <c r="O13" s="3"/>
      <c r="P13" s="3"/>
      <c r="Q13" s="3"/>
      <c r="R13" s="142" t="s">
        <v>81</v>
      </c>
      <c r="S13" s="142"/>
      <c r="T13" s="27"/>
      <c r="U13" s="142" t="s">
        <v>84</v>
      </c>
      <c r="V13" s="142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4" ht="17.100000000000001" customHeight="1" x14ac:dyDescent="0.4">
      <c r="A14" s="3"/>
      <c r="B14" s="20"/>
      <c r="C14" s="17"/>
      <c r="D14" s="3"/>
      <c r="E14" s="3"/>
      <c r="F14" s="3"/>
      <c r="G14" s="3"/>
      <c r="H14" s="3"/>
      <c r="I14" s="23"/>
      <c r="J14" s="3"/>
      <c r="K14" s="31" t="s">
        <v>9</v>
      </c>
      <c r="L14" s="32" t="s">
        <v>4</v>
      </c>
      <c r="M14" s="3"/>
      <c r="N14" s="3"/>
      <c r="O14" s="3"/>
      <c r="P14" s="3"/>
      <c r="Q14" s="3"/>
      <c r="R14" s="33" t="s">
        <v>10</v>
      </c>
      <c r="S14" s="106">
        <v>0</v>
      </c>
      <c r="T14" s="3"/>
      <c r="U14" s="33" t="s">
        <v>10</v>
      </c>
      <c r="V14" s="106">
        <v>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4" ht="17.100000000000001" customHeight="1" thickBot="1" x14ac:dyDescent="0.3">
      <c r="A15" s="3"/>
      <c r="B15" s="20"/>
      <c r="C15" s="3"/>
      <c r="D15" s="3"/>
      <c r="E15" s="39"/>
      <c r="F15" s="3"/>
      <c r="G15" s="3"/>
      <c r="H15" s="3"/>
      <c r="I15" s="23"/>
      <c r="J15" s="3"/>
      <c r="K15" s="3"/>
      <c r="L15" s="3"/>
      <c r="M15" s="3"/>
      <c r="N15" s="3"/>
      <c r="O15" s="3"/>
      <c r="P15" s="3"/>
      <c r="Q15" s="3"/>
      <c r="R15" s="33" t="s">
        <v>11</v>
      </c>
      <c r="S15" s="106">
        <v>16.977288000000001</v>
      </c>
      <c r="T15" s="3"/>
      <c r="U15" s="33" t="s">
        <v>11</v>
      </c>
      <c r="V15" s="106">
        <v>17.057034999999999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4" ht="15.75" thickBot="1" x14ac:dyDescent="0.3">
      <c r="A16" s="3"/>
      <c r="B16" s="20"/>
      <c r="C16" s="153" t="s">
        <v>1</v>
      </c>
      <c r="D16" s="154"/>
      <c r="E16" s="164">
        <f>H6</f>
        <v>53.112000000000002</v>
      </c>
      <c r="F16" s="165"/>
      <c r="G16" s="165"/>
      <c r="H16" s="35"/>
      <c r="I16" s="23"/>
      <c r="J16" s="3"/>
      <c r="K16" s="36">
        <v>-8.8249999999999993</v>
      </c>
      <c r="L16" s="37">
        <v>-200</v>
      </c>
      <c r="M16" s="3"/>
      <c r="N16" s="3"/>
      <c r="O16" s="3"/>
      <c r="P16" s="3"/>
      <c r="Q16" s="3"/>
      <c r="R16" s="33" t="s">
        <v>13</v>
      </c>
      <c r="S16" s="106">
        <v>-0.43514969999999997</v>
      </c>
      <c r="T16" s="3"/>
      <c r="U16" s="33" t="s">
        <v>13</v>
      </c>
      <c r="V16" s="106">
        <v>-0.23301759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5.75" thickBot="1" x14ac:dyDescent="0.3">
      <c r="A17" s="3"/>
      <c r="B17" s="20"/>
      <c r="C17" s="3"/>
      <c r="D17" s="38"/>
      <c r="E17" s="39"/>
      <c r="F17" s="3"/>
      <c r="G17" s="3"/>
      <c r="H17" s="3"/>
      <c r="I17" s="23"/>
      <c r="J17" s="3"/>
      <c r="K17" s="36">
        <v>-7.2789999999999999</v>
      </c>
      <c r="L17" s="37">
        <v>-150</v>
      </c>
      <c r="M17" s="3"/>
      <c r="N17" s="3"/>
      <c r="O17" s="3"/>
      <c r="P17" s="3"/>
      <c r="Q17" s="3"/>
      <c r="R17" s="33" t="s">
        <v>14</v>
      </c>
      <c r="S17" s="106">
        <v>-0.15859697</v>
      </c>
      <c r="T17" s="3"/>
      <c r="U17" s="33" t="s">
        <v>14</v>
      </c>
      <c r="V17" s="106">
        <v>6.5435585000000003E-3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5.75" thickBot="1" x14ac:dyDescent="0.3">
      <c r="A18" s="3"/>
      <c r="B18" s="20"/>
      <c r="C18" s="3"/>
      <c r="D18" s="40" t="s">
        <v>85</v>
      </c>
      <c r="E18" s="157">
        <f>E22+E23*G23+E24*G24+E25*G25+E26*G26+E27*G27+E28*G28+E29*G29+E30*G30</f>
        <v>-1242667607.3889189</v>
      </c>
      <c r="F18" s="158"/>
      <c r="G18" s="158"/>
      <c r="H18" s="41"/>
      <c r="I18" s="23"/>
      <c r="J18" s="3"/>
      <c r="K18" s="36">
        <v>-5.2370000000000001</v>
      </c>
      <c r="L18" s="37">
        <v>-100</v>
      </c>
      <c r="M18" s="3"/>
      <c r="N18" s="3"/>
      <c r="O18" s="3"/>
      <c r="P18" s="3"/>
      <c r="Q18" s="3"/>
      <c r="R18" s="33" t="s">
        <v>16</v>
      </c>
      <c r="S18" s="106">
        <v>-9.2502871E-2</v>
      </c>
      <c r="T18" s="3"/>
      <c r="U18" s="33" t="s">
        <v>16</v>
      </c>
      <c r="V18" s="106">
        <v>-7.3562749E-5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15.75" thickBot="1" x14ac:dyDescent="0.3">
      <c r="A19" s="3"/>
      <c r="B19" s="20"/>
      <c r="C19" s="3"/>
      <c r="D19" s="42" t="s">
        <v>86</v>
      </c>
      <c r="E19" s="107">
        <f>E18</f>
        <v>-1242667607.3889189</v>
      </c>
      <c r="F19" s="3"/>
      <c r="G19" s="3"/>
      <c r="H19" s="3"/>
      <c r="I19" s="23"/>
      <c r="J19" s="3"/>
      <c r="K19" s="36">
        <v>0</v>
      </c>
      <c r="L19" s="37">
        <v>0</v>
      </c>
      <c r="M19" s="3"/>
      <c r="N19" s="3"/>
      <c r="O19" s="3"/>
      <c r="P19" s="3"/>
      <c r="Q19" s="3"/>
      <c r="R19" s="33" t="s">
        <v>18</v>
      </c>
      <c r="S19" s="106">
        <v>-2.6084314000000001E-2</v>
      </c>
      <c r="T19" s="3"/>
      <c r="U19" s="33" t="s">
        <v>18</v>
      </c>
      <c r="V19" s="106">
        <v>-1.7896000999999999E-6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t="15.75" thickBot="1" x14ac:dyDescent="0.3">
      <c r="A20" s="3"/>
      <c r="B20" s="20"/>
      <c r="C20" s="3"/>
      <c r="D20" s="42" t="s">
        <v>86</v>
      </c>
      <c r="E20" s="108">
        <f>E18</f>
        <v>-1242667607.3889189</v>
      </c>
      <c r="F20" s="3"/>
      <c r="G20" s="3">
        <f>$I$15+$I$16*(POWER(C15,1))+$I$17*(POWER(C15,2))+$I$18*(POWER(C15,3))+$I$19*(POWER(C15,4))+$I$20*(POWER(C15,5))+$I$21*(POWER(C15,6))+$I$22*(POWER(C15,7))+$I$23*(POWER(C15,8))</f>
        <v>0</v>
      </c>
      <c r="H20" s="3"/>
      <c r="I20" s="23"/>
      <c r="J20" s="3"/>
      <c r="K20" s="46">
        <v>0.59099999999999997</v>
      </c>
      <c r="L20" s="47">
        <v>10</v>
      </c>
      <c r="M20" s="3"/>
      <c r="N20" s="3"/>
      <c r="O20" s="3"/>
      <c r="P20" s="3"/>
      <c r="Q20" s="3"/>
      <c r="R20" s="33" t="s">
        <v>19</v>
      </c>
      <c r="S20" s="106">
        <v>-4.1360199000000002E-3</v>
      </c>
      <c r="T20" s="3"/>
      <c r="U20" s="33" t="s">
        <v>19</v>
      </c>
      <c r="V20" s="106">
        <v>8.4036165000000002E-8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3"/>
      <c r="B21" s="20"/>
      <c r="C21" s="3"/>
      <c r="D21" s="3"/>
      <c r="E21" s="3"/>
      <c r="F21" s="3"/>
      <c r="G21" s="3"/>
      <c r="H21" s="3"/>
      <c r="I21" s="23"/>
      <c r="J21" s="3"/>
      <c r="K21" s="46">
        <v>6.319</v>
      </c>
      <c r="L21" s="47">
        <v>100</v>
      </c>
      <c r="M21" s="3"/>
      <c r="N21" s="3"/>
      <c r="O21" s="3"/>
      <c r="P21" s="3"/>
      <c r="Q21" s="3"/>
      <c r="R21" s="33" t="s">
        <v>20</v>
      </c>
      <c r="S21" s="106">
        <v>-3.403403E-4</v>
      </c>
      <c r="T21" s="3"/>
      <c r="U21" s="33" t="s">
        <v>20</v>
      </c>
      <c r="V21" s="106">
        <v>-1.3735879E-9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5">
      <c r="A22" s="3"/>
      <c r="B22" s="20"/>
      <c r="C22" s="3"/>
      <c r="D22" s="33" t="s">
        <v>10</v>
      </c>
      <c r="E22" s="106">
        <v>0</v>
      </c>
      <c r="F22" s="3"/>
      <c r="G22" s="3"/>
      <c r="H22" s="3"/>
      <c r="I22" s="23"/>
      <c r="J22" s="3"/>
      <c r="K22" s="3"/>
      <c r="L22" s="3"/>
      <c r="M22" s="3"/>
      <c r="N22" s="3"/>
      <c r="O22" s="3"/>
      <c r="P22" s="3"/>
      <c r="Q22" s="3"/>
      <c r="R22" s="33" t="s">
        <v>21</v>
      </c>
      <c r="S22" s="106">
        <v>-1.1564889999999999E-5</v>
      </c>
      <c r="T22" s="3"/>
      <c r="U22" s="33" t="s">
        <v>21</v>
      </c>
      <c r="V22" s="106">
        <v>1.0629822999999999E-11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15.75" x14ac:dyDescent="0.3">
      <c r="A23" s="3"/>
      <c r="B23" s="20"/>
      <c r="C23" s="3"/>
      <c r="D23" s="33" t="s">
        <v>11</v>
      </c>
      <c r="E23" s="106">
        <v>16.977288000000001</v>
      </c>
      <c r="F23" s="50" t="s">
        <v>87</v>
      </c>
      <c r="G23" s="161">
        <f>(POWER($E$16,1))</f>
        <v>53.112000000000002</v>
      </c>
      <c r="H23" s="162"/>
      <c r="I23" s="23"/>
      <c r="J23" s="3"/>
      <c r="K23" s="3"/>
      <c r="L23" s="3"/>
      <c r="M23" s="3"/>
      <c r="N23" s="3"/>
      <c r="O23" s="3"/>
      <c r="P23" s="3"/>
      <c r="Q23" s="3"/>
      <c r="R23" s="109"/>
      <c r="S23" s="110"/>
      <c r="T23" s="3"/>
      <c r="U23" s="33" t="s">
        <v>23</v>
      </c>
      <c r="V23" s="106">
        <v>-3.2447086999999997E-14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5.75" x14ac:dyDescent="0.3">
      <c r="A24" s="3"/>
      <c r="B24" s="20"/>
      <c r="C24" s="3"/>
      <c r="D24" s="33" t="s">
        <v>13</v>
      </c>
      <c r="E24" s="106">
        <v>-0.43514969999999997</v>
      </c>
      <c r="F24" s="50" t="s">
        <v>88</v>
      </c>
      <c r="G24" s="161">
        <f>(POWER($E$16,2))</f>
        <v>2820.884544</v>
      </c>
      <c r="H24" s="162"/>
      <c r="I24" s="23"/>
      <c r="J24" s="3"/>
      <c r="K24" s="3"/>
      <c r="L24" s="3"/>
      <c r="M24" s="3"/>
      <c r="N24" s="3"/>
      <c r="O24" s="3"/>
      <c r="P24" s="3"/>
      <c r="Q24" s="3"/>
      <c r="R24" s="111"/>
      <c r="S24" s="60"/>
      <c r="T24" s="3"/>
      <c r="U24" s="109"/>
      <c r="V24" s="11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15.75" x14ac:dyDescent="0.3">
      <c r="A25" s="3"/>
      <c r="B25" s="20"/>
      <c r="C25" s="3"/>
      <c r="D25" s="33" t="s">
        <v>14</v>
      </c>
      <c r="E25" s="106">
        <v>-0.15859697</v>
      </c>
      <c r="F25" s="50" t="s">
        <v>89</v>
      </c>
      <c r="G25" s="161">
        <f>(POWER($E$16,3))</f>
        <v>149822.81990092801</v>
      </c>
      <c r="H25" s="162"/>
      <c r="I25" s="23"/>
      <c r="J25" s="3"/>
      <c r="K25" s="51"/>
      <c r="L25" s="5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15.75" x14ac:dyDescent="0.3">
      <c r="A26" s="3"/>
      <c r="B26" s="20"/>
      <c r="C26" s="3"/>
      <c r="D26" s="33" t="s">
        <v>16</v>
      </c>
      <c r="E26" s="106">
        <v>-9.2502871E-2</v>
      </c>
      <c r="F26" s="50" t="s">
        <v>90</v>
      </c>
      <c r="G26" s="161">
        <f>(POWER($E$16,4))</f>
        <v>7957389.6105780881</v>
      </c>
      <c r="H26" s="162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15.75" x14ac:dyDescent="0.3">
      <c r="A27" s="3"/>
      <c r="B27" s="20"/>
      <c r="C27" s="3"/>
      <c r="D27" s="33" t="s">
        <v>18</v>
      </c>
      <c r="E27" s="106">
        <v>-2.6084314000000001E-2</v>
      </c>
      <c r="F27" s="50" t="s">
        <v>91</v>
      </c>
      <c r="G27" s="161">
        <f>(POWER($E$16,5))</f>
        <v>422632876.9970234</v>
      </c>
      <c r="H27" s="162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15.75" x14ac:dyDescent="0.3">
      <c r="A28" s="3"/>
      <c r="B28" s="20"/>
      <c r="C28" s="3"/>
      <c r="D28" s="33" t="s">
        <v>19</v>
      </c>
      <c r="E28" s="106">
        <v>-4.1360199000000002E-3</v>
      </c>
      <c r="F28" s="50" t="s">
        <v>92</v>
      </c>
      <c r="G28" s="161">
        <f>(POWER($E$16,6))</f>
        <v>22446877363.065907</v>
      </c>
      <c r="H28" s="162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15.75" x14ac:dyDescent="0.3">
      <c r="A29" s="3"/>
      <c r="B29" s="20"/>
      <c r="C29" s="3"/>
      <c r="D29" s="33" t="s">
        <v>20</v>
      </c>
      <c r="E29" s="106">
        <v>-3.403403E-4</v>
      </c>
      <c r="F29" s="50" t="s">
        <v>93</v>
      </c>
      <c r="G29" s="161">
        <f>(POWER($E$16,7))</f>
        <v>1192198550507.1565</v>
      </c>
      <c r="H29" s="162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5.75" x14ac:dyDescent="0.3">
      <c r="A30" s="3"/>
      <c r="B30" s="20"/>
      <c r="C30" s="3"/>
      <c r="D30" s="33" t="s">
        <v>21</v>
      </c>
      <c r="E30" s="106">
        <v>-1.1564889999999999E-5</v>
      </c>
      <c r="F30" s="50" t="s">
        <v>94</v>
      </c>
      <c r="G30" s="161">
        <f>(POWER($E$16,8))</f>
        <v>63320049414536.094</v>
      </c>
      <c r="H30" s="162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ht="15.75" x14ac:dyDescent="0.3">
      <c r="A31" s="3"/>
      <c r="B31" s="20"/>
      <c r="C31" s="3"/>
      <c r="D31" s="109"/>
      <c r="E31" s="110"/>
      <c r="F31" s="62"/>
      <c r="G31" s="166"/>
      <c r="H31" s="166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15.75" x14ac:dyDescent="0.3">
      <c r="A32" s="3"/>
      <c r="B32" s="20"/>
      <c r="C32" s="3"/>
      <c r="D32" s="111"/>
      <c r="E32" s="60"/>
      <c r="F32" s="53"/>
      <c r="G32" s="53"/>
      <c r="H32" s="54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t="15.75" x14ac:dyDescent="0.3">
      <c r="A33" s="3"/>
      <c r="B33" s="20"/>
      <c r="C33" s="3"/>
      <c r="D33" s="3"/>
      <c r="E33" s="3"/>
      <c r="F33" s="53"/>
      <c r="G33" s="53"/>
      <c r="H33" s="54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16.5" thickBot="1" x14ac:dyDescent="0.35">
      <c r="A34" s="3"/>
      <c r="B34" s="55"/>
      <c r="C34" s="56"/>
      <c r="D34" s="56"/>
      <c r="E34" s="56"/>
      <c r="F34" s="57"/>
      <c r="G34" s="57"/>
      <c r="H34" s="58"/>
      <c r="I34" s="5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15.75" x14ac:dyDescent="0.3">
      <c r="A35" s="3"/>
      <c r="B35" s="17"/>
      <c r="C35" s="17"/>
      <c r="D35" s="17"/>
      <c r="E35" s="17"/>
      <c r="F35" s="69"/>
      <c r="G35" s="69"/>
      <c r="H35" s="113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ht="15.75" x14ac:dyDescent="0.3">
      <c r="A36" s="3"/>
      <c r="B36" s="3"/>
      <c r="C36" s="3"/>
      <c r="D36" s="3"/>
      <c r="E36" s="3"/>
      <c r="F36" s="53"/>
      <c r="G36" s="53"/>
      <c r="H36" s="5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ht="15.75" x14ac:dyDescent="0.3">
      <c r="A37" s="3"/>
      <c r="B37" s="3"/>
      <c r="C37" s="3"/>
      <c r="D37" s="3"/>
      <c r="E37" s="3"/>
      <c r="F37" s="53"/>
      <c r="G37" s="53"/>
      <c r="H37" s="5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ht="15.75" x14ac:dyDescent="0.3">
      <c r="A38" s="3"/>
      <c r="B38" s="3"/>
      <c r="C38" s="3"/>
      <c r="D38" s="3"/>
      <c r="E38" s="3"/>
      <c r="F38" s="53"/>
      <c r="G38" s="53"/>
      <c r="H38" s="5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t="17.100000000000001" customHeight="1" thickBot="1" x14ac:dyDescent="0.3">
      <c r="A41" s="3"/>
      <c r="B41" s="16"/>
      <c r="C41" s="17"/>
      <c r="D41" s="17"/>
      <c r="E41" s="17"/>
      <c r="F41" s="17"/>
      <c r="G41" s="17"/>
      <c r="H41" s="17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7.100000000000001" customHeight="1" thickBot="1" x14ac:dyDescent="0.35">
      <c r="A42" s="3"/>
      <c r="B42" s="20"/>
      <c r="C42" s="151" t="s">
        <v>80</v>
      </c>
      <c r="D42" s="152"/>
      <c r="E42" s="163"/>
      <c r="F42" s="3"/>
      <c r="G42" s="3"/>
      <c r="H42" s="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7.100000000000001" customHeight="1" thickBot="1" x14ac:dyDescent="0.45">
      <c r="A43" s="3"/>
      <c r="B43" s="20"/>
      <c r="C43" s="24" t="s">
        <v>6</v>
      </c>
      <c r="D43" s="29"/>
      <c r="E43" s="26" t="s">
        <v>84</v>
      </c>
      <c r="F43" s="21"/>
      <c r="G43" s="22"/>
      <c r="H43" s="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7.100000000000001" customHeight="1" thickBot="1" x14ac:dyDescent="0.35">
      <c r="A44" s="3"/>
      <c r="B44" s="20"/>
      <c r="C44" s="104" t="s">
        <v>82</v>
      </c>
      <c r="D44" s="29"/>
      <c r="E44" s="105" t="s">
        <v>95</v>
      </c>
      <c r="F44" s="3"/>
      <c r="G44" s="3"/>
      <c r="H44" s="3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7.100000000000001" customHeight="1" x14ac:dyDescent="0.4">
      <c r="A45" s="3"/>
      <c r="B45" s="20"/>
      <c r="C45" s="17"/>
      <c r="D45" s="3"/>
      <c r="E45" s="3"/>
      <c r="F45" s="3"/>
      <c r="G45" s="3"/>
      <c r="H45" s="3"/>
      <c r="I45" s="23"/>
      <c r="J45" s="3"/>
      <c r="K45" s="31" t="s">
        <v>9</v>
      </c>
      <c r="L45" s="32" t="s">
        <v>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7.100000000000001" customHeight="1" thickBot="1" x14ac:dyDescent="0.3">
      <c r="A46" s="3"/>
      <c r="B46" s="20"/>
      <c r="C46" s="3"/>
      <c r="D46" s="3"/>
      <c r="E46" s="39"/>
      <c r="F46" s="3"/>
      <c r="G46" s="3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" customHeight="1" thickBot="1" x14ac:dyDescent="0.3">
      <c r="A47" s="3"/>
      <c r="B47" s="20"/>
      <c r="C47" s="153" t="s">
        <v>1</v>
      </c>
      <c r="D47" s="154"/>
      <c r="E47" s="164">
        <f>H6</f>
        <v>53.112000000000002</v>
      </c>
      <c r="F47" s="165"/>
      <c r="G47" s="165"/>
      <c r="H47" s="35"/>
      <c r="I47" s="23"/>
      <c r="J47" s="3"/>
      <c r="K47" s="46">
        <v>-5.2370000000000001</v>
      </c>
      <c r="L47" s="47">
        <v>-100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thickBot="1" x14ac:dyDescent="0.3">
      <c r="A48" s="3"/>
      <c r="B48" s="20"/>
      <c r="C48" s="3"/>
      <c r="D48" s="38"/>
      <c r="E48" s="39"/>
      <c r="F48" s="3"/>
      <c r="G48" s="3"/>
      <c r="H48" s="3"/>
      <c r="I48" s="23"/>
      <c r="J48" s="3"/>
      <c r="K48" s="46">
        <v>-1.1519999999999999</v>
      </c>
      <c r="L48" s="47">
        <v>-20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thickBot="1" x14ac:dyDescent="0.3">
      <c r="A49" s="3"/>
      <c r="B49" s="20"/>
      <c r="C49" s="3"/>
      <c r="D49" s="40" t="s">
        <v>85</v>
      </c>
      <c r="E49" s="157">
        <f>E53+E54*G54+E55*G55+E56*G56+E57*G57+E58*G58+E59*G59+E60*G60+E61*G61+E62*G62</f>
        <v>700.00020118568102</v>
      </c>
      <c r="F49" s="158"/>
      <c r="G49" s="158"/>
      <c r="H49" s="41"/>
      <c r="I49" s="23"/>
      <c r="J49" s="3"/>
      <c r="K49" s="36">
        <v>0</v>
      </c>
      <c r="L49" s="37"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thickBot="1" x14ac:dyDescent="0.3">
      <c r="A50" s="3"/>
      <c r="B50" s="20"/>
      <c r="C50" s="3"/>
      <c r="D50" s="42" t="s">
        <v>86</v>
      </c>
      <c r="E50" s="107">
        <f>E49</f>
        <v>700.00020118568102</v>
      </c>
      <c r="F50" s="3"/>
      <c r="G50" s="3"/>
      <c r="H50" s="3"/>
      <c r="I50" s="23"/>
      <c r="J50" s="3"/>
      <c r="K50" s="36">
        <v>21.036000000000001</v>
      </c>
      <c r="L50" s="37">
        <v>300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thickBot="1" x14ac:dyDescent="0.3">
      <c r="A51" s="3"/>
      <c r="B51" s="20"/>
      <c r="C51" s="3"/>
      <c r="D51" s="42" t="s">
        <v>86</v>
      </c>
      <c r="E51" s="108">
        <f>E49</f>
        <v>700.00020118568102</v>
      </c>
      <c r="F51" s="3"/>
      <c r="G51" s="3"/>
      <c r="H51" s="3"/>
      <c r="I51" s="23"/>
      <c r="J51" s="3"/>
      <c r="K51" s="36">
        <v>45.093000000000004</v>
      </c>
      <c r="L51" s="37">
        <v>600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20"/>
      <c r="C52" s="3"/>
      <c r="D52" s="3"/>
      <c r="E52" s="3"/>
      <c r="F52" s="3"/>
      <c r="G52" s="3"/>
      <c r="H52" s="3"/>
      <c r="I52" s="23"/>
      <c r="J52" s="3"/>
      <c r="K52" s="36">
        <v>76.373000000000005</v>
      </c>
      <c r="L52" s="37">
        <v>1000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x14ac:dyDescent="0.25">
      <c r="A53" s="3"/>
      <c r="B53" s="20"/>
      <c r="C53" s="3"/>
      <c r="D53" s="33" t="s">
        <v>10</v>
      </c>
      <c r="E53" s="106">
        <v>0</v>
      </c>
      <c r="F53" s="3"/>
      <c r="G53" s="3"/>
      <c r="H53" s="3"/>
      <c r="I53" s="23"/>
      <c r="J53" s="3"/>
      <c r="K53" s="48"/>
      <c r="L53" s="4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x14ac:dyDescent="0.3">
      <c r="A54" s="3"/>
      <c r="B54" s="20"/>
      <c r="C54" s="3"/>
      <c r="D54" s="33" t="s">
        <v>11</v>
      </c>
      <c r="E54" s="106">
        <v>17.057034999999999</v>
      </c>
      <c r="F54" s="50" t="s">
        <v>87</v>
      </c>
      <c r="G54" s="161">
        <f>(POWER($E$47,1))</f>
        <v>53.112000000000002</v>
      </c>
      <c r="H54" s="162"/>
      <c r="I54" s="23"/>
      <c r="J54" s="3"/>
      <c r="K54" s="51"/>
      <c r="L54" s="5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x14ac:dyDescent="0.3">
      <c r="A55" s="3"/>
      <c r="B55" s="20"/>
      <c r="C55" s="3"/>
      <c r="D55" s="33" t="s">
        <v>13</v>
      </c>
      <c r="E55" s="106">
        <v>-0.23301759</v>
      </c>
      <c r="F55" s="50" t="s">
        <v>88</v>
      </c>
      <c r="G55" s="161">
        <f>(POWER($E$47,2))</f>
        <v>2820.884544</v>
      </c>
      <c r="H55" s="162"/>
      <c r="I55" s="23"/>
      <c r="J55" s="3"/>
      <c r="K55" s="51"/>
      <c r="L55" s="5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x14ac:dyDescent="0.3">
      <c r="A56" s="3"/>
      <c r="B56" s="20"/>
      <c r="C56" s="3"/>
      <c r="D56" s="33" t="s">
        <v>14</v>
      </c>
      <c r="E56" s="106">
        <v>6.5435585000000003E-3</v>
      </c>
      <c r="F56" s="50" t="s">
        <v>89</v>
      </c>
      <c r="G56" s="161">
        <f>(POWER($E$47,3))</f>
        <v>149822.81990092801</v>
      </c>
      <c r="H56" s="162"/>
      <c r="I56" s="23"/>
      <c r="J56" s="3"/>
      <c r="K56" s="51"/>
      <c r="L56" s="5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x14ac:dyDescent="0.3">
      <c r="A57" s="3"/>
      <c r="B57" s="20"/>
      <c r="C57" s="3"/>
      <c r="D57" s="33" t="s">
        <v>16</v>
      </c>
      <c r="E57" s="106">
        <v>-7.3562749E-5</v>
      </c>
      <c r="F57" s="50" t="s">
        <v>90</v>
      </c>
      <c r="G57" s="161">
        <f>(POWER($E$47,4))</f>
        <v>7957389.6105780881</v>
      </c>
      <c r="H57" s="162"/>
      <c r="I57" s="2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x14ac:dyDescent="0.3">
      <c r="A58" s="3"/>
      <c r="B58" s="20"/>
      <c r="C58" s="3"/>
      <c r="D58" s="33" t="s">
        <v>18</v>
      </c>
      <c r="E58" s="106">
        <v>-1.7896000999999999E-6</v>
      </c>
      <c r="F58" s="50" t="s">
        <v>91</v>
      </c>
      <c r="G58" s="161">
        <f>(POWER($E$47,5))</f>
        <v>422632876.9970234</v>
      </c>
      <c r="H58" s="162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x14ac:dyDescent="0.3">
      <c r="A59" s="3"/>
      <c r="B59" s="20"/>
      <c r="C59" s="3"/>
      <c r="D59" s="33" t="s">
        <v>19</v>
      </c>
      <c r="E59" s="106">
        <v>8.4036165000000002E-8</v>
      </c>
      <c r="F59" s="50" t="s">
        <v>92</v>
      </c>
      <c r="G59" s="161">
        <f>(POWER($E$47,6))</f>
        <v>22446877363.065907</v>
      </c>
      <c r="H59" s="162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x14ac:dyDescent="0.3">
      <c r="A60" s="3"/>
      <c r="B60" s="20"/>
      <c r="C60" s="3"/>
      <c r="D60" s="33" t="s">
        <v>20</v>
      </c>
      <c r="E60" s="106">
        <v>-1.3735879E-9</v>
      </c>
      <c r="F60" s="50" t="s">
        <v>93</v>
      </c>
      <c r="G60" s="161">
        <f>(POWER($E$47,7))</f>
        <v>1192198550507.1565</v>
      </c>
      <c r="H60" s="162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x14ac:dyDescent="0.3">
      <c r="A61" s="3"/>
      <c r="B61" s="20"/>
      <c r="C61" s="3"/>
      <c r="D61" s="33" t="s">
        <v>21</v>
      </c>
      <c r="E61" s="106">
        <v>1.0629822999999999E-11</v>
      </c>
      <c r="F61" s="50" t="s">
        <v>94</v>
      </c>
      <c r="G61" s="161">
        <f>(POWER($E$47,8))</f>
        <v>63320049414536.094</v>
      </c>
      <c r="H61" s="162"/>
      <c r="I61" s="23"/>
      <c r="J61" s="6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x14ac:dyDescent="0.3">
      <c r="A62" s="3"/>
      <c r="B62" s="20"/>
      <c r="C62" s="3"/>
      <c r="D62" s="33" t="s">
        <v>23</v>
      </c>
      <c r="E62" s="106">
        <v>-3.2447086999999997E-14</v>
      </c>
      <c r="F62" s="50" t="s">
        <v>96</v>
      </c>
      <c r="G62" s="161">
        <f>(POWER($E$47,9))</f>
        <v>3363054464504841</v>
      </c>
      <c r="H62" s="162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x14ac:dyDescent="0.3">
      <c r="A63" s="3"/>
      <c r="B63" s="20"/>
      <c r="C63" s="3"/>
      <c r="D63" s="109"/>
      <c r="E63" s="112"/>
      <c r="F63" s="62"/>
      <c r="G63" s="62"/>
      <c r="H63" s="114"/>
      <c r="I63" s="23"/>
      <c r="J63" s="61"/>
      <c r="K63" s="6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x14ac:dyDescent="0.3">
      <c r="A64" s="3"/>
      <c r="B64" s="20"/>
      <c r="C64" s="3"/>
      <c r="D64" s="3"/>
      <c r="E64" s="3"/>
      <c r="F64" s="53"/>
      <c r="G64" s="53"/>
      <c r="H64" s="54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thickBot="1" x14ac:dyDescent="0.3">
      <c r="A65" s="3"/>
      <c r="B65" s="55"/>
      <c r="C65" s="56"/>
      <c r="D65" s="56"/>
      <c r="E65" s="56"/>
      <c r="F65" s="56"/>
      <c r="G65" s="56"/>
      <c r="H65" s="56"/>
      <c r="I65" s="5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</sheetData>
  <mergeCells count="32">
    <mergeCell ref="R12:V12"/>
    <mergeCell ref="R13:S13"/>
    <mergeCell ref="U13:V13"/>
    <mergeCell ref="G25:H25"/>
    <mergeCell ref="E2:I2"/>
    <mergeCell ref="E4:G4"/>
    <mergeCell ref="E6:G6"/>
    <mergeCell ref="C11:E11"/>
    <mergeCell ref="C16:D16"/>
    <mergeCell ref="E16:G16"/>
    <mergeCell ref="E18:G18"/>
    <mergeCell ref="G23:H23"/>
    <mergeCell ref="G24:H24"/>
    <mergeCell ref="G55:H55"/>
    <mergeCell ref="G26:H26"/>
    <mergeCell ref="G27:H27"/>
    <mergeCell ref="G28:H28"/>
    <mergeCell ref="G29:H29"/>
    <mergeCell ref="G30:H30"/>
    <mergeCell ref="G31:H31"/>
    <mergeCell ref="C42:E42"/>
    <mergeCell ref="C47:D47"/>
    <mergeCell ref="E47:G47"/>
    <mergeCell ref="E49:G49"/>
    <mergeCell ref="G54:H54"/>
    <mergeCell ref="G62:H62"/>
    <mergeCell ref="G56:H56"/>
    <mergeCell ref="G57:H57"/>
    <mergeCell ref="G58:H58"/>
    <mergeCell ref="G59:H59"/>
    <mergeCell ref="G60:H60"/>
    <mergeCell ref="G61:H6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8E75-6118-45EF-AD44-70E492D2711B}">
  <dimension ref="A1:AZ198"/>
  <sheetViews>
    <sheetView topLeftCell="A26" workbookViewId="0">
      <selection activeCell="G23" sqref="G23:H23"/>
    </sheetView>
  </sheetViews>
  <sheetFormatPr defaultRowHeight="15" x14ac:dyDescent="0.25"/>
  <cols>
    <col min="1" max="1" width="2.7109375" style="2" customWidth="1"/>
    <col min="2" max="2" width="3.28515625" style="2" customWidth="1"/>
    <col min="3" max="3" width="29.7109375" style="2" customWidth="1"/>
    <col min="4" max="4" width="8.28515625" style="2" customWidth="1"/>
    <col min="5" max="5" width="24.7109375" style="2" customWidth="1"/>
    <col min="6" max="6" width="5.5703125" style="2" customWidth="1"/>
    <col min="7" max="7" width="12.140625" style="2" customWidth="1"/>
    <col min="8" max="8" width="28.5703125" style="2" customWidth="1"/>
    <col min="9" max="9" width="9" style="2" customWidth="1"/>
    <col min="10" max="10" width="4.7109375" style="2" bestFit="1" customWidth="1"/>
    <col min="11" max="11" width="20.7109375" style="2" customWidth="1"/>
    <col min="12" max="12" width="10.7109375" style="2" customWidth="1"/>
    <col min="13" max="13" width="2.7109375" style="2" customWidth="1"/>
    <col min="14" max="17" width="0" style="2" hidden="1" customWidth="1"/>
    <col min="18" max="18" width="9.140625" style="2"/>
    <col min="19" max="19" width="25.7109375" style="2" customWidth="1"/>
    <col min="20" max="20" width="1" style="2" customWidth="1"/>
    <col min="21" max="21" width="9.140625" style="2"/>
    <col min="22" max="22" width="25.7109375" style="2" customWidth="1"/>
    <col min="23" max="16384" width="9.140625" style="2"/>
  </cols>
  <sheetData>
    <row r="1" spans="1:5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2" customFormat="1" ht="33.75" x14ac:dyDescent="0.5">
      <c r="A2" s="3"/>
      <c r="B2" s="3"/>
      <c r="C2" s="3"/>
      <c r="D2" s="3"/>
      <c r="E2" s="145" t="s">
        <v>97</v>
      </c>
      <c r="F2" s="146"/>
      <c r="G2" s="146"/>
      <c r="H2" s="146"/>
      <c r="I2" s="14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2"/>
      <c r="AZ2" s="2"/>
    </row>
    <row r="3" spans="1:52" customFormat="1" ht="15.75" thickBot="1" x14ac:dyDescent="0.3">
      <c r="A3" s="3"/>
      <c r="B3" s="3"/>
      <c r="C3" s="3"/>
      <c r="D3" s="3"/>
      <c r="E3" s="4"/>
      <c r="F3" s="5"/>
      <c r="G3" s="5"/>
      <c r="H3" s="5"/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2"/>
      <c r="AZ3" s="2"/>
    </row>
    <row r="4" spans="1:52" customFormat="1" ht="15.75" thickBot="1" x14ac:dyDescent="0.3">
      <c r="A4" s="3"/>
      <c r="B4" s="3"/>
      <c r="C4" s="3"/>
      <c r="D4" s="3"/>
      <c r="E4" s="148" t="s">
        <v>1</v>
      </c>
      <c r="F4" s="149"/>
      <c r="G4" s="150"/>
      <c r="H4" s="9">
        <f>IF(AND(H6&gt;=J4,H6&lt;=J5),E18,IF(AND(H6&gt;J5,H6&lt;=J6),E49))</f>
        <v>0.78961163711415505</v>
      </c>
      <c r="I4" s="116" t="s">
        <v>2</v>
      </c>
      <c r="J4" s="3">
        <v>-270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2"/>
      <c r="AZ4" s="2"/>
    </row>
    <row r="5" spans="1:52" customFormat="1" ht="15.75" thickBot="1" x14ac:dyDescent="0.3">
      <c r="A5" s="3"/>
      <c r="B5" s="3"/>
      <c r="C5" s="3"/>
      <c r="D5" s="3"/>
      <c r="E5" s="4"/>
      <c r="F5" s="10"/>
      <c r="G5" s="10"/>
      <c r="H5" s="10"/>
      <c r="I5" s="11"/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2"/>
      <c r="AZ5" s="2"/>
    </row>
    <row r="6" spans="1:52" customFormat="1" ht="15.75" thickBot="1" x14ac:dyDescent="0.3">
      <c r="A6" s="3"/>
      <c r="B6" s="3"/>
      <c r="C6" s="3"/>
      <c r="D6" s="3"/>
      <c r="E6" s="148" t="s">
        <v>3</v>
      </c>
      <c r="F6" s="149"/>
      <c r="G6" s="150"/>
      <c r="H6" s="12">
        <v>20</v>
      </c>
      <c r="I6" s="115" t="s">
        <v>4</v>
      </c>
      <c r="J6" s="3">
        <v>400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2"/>
      <c r="AZ6" s="2"/>
    </row>
    <row r="7" spans="1:52" customFormat="1" x14ac:dyDescent="0.25">
      <c r="A7" s="3"/>
      <c r="B7" s="3"/>
      <c r="C7" s="3"/>
      <c r="D7" s="3"/>
      <c r="E7" s="4"/>
      <c r="F7" s="10"/>
      <c r="G7" s="10"/>
      <c r="H7" s="10"/>
      <c r="I7" s="11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2"/>
      <c r="AZ7" s="2"/>
    </row>
    <row r="8" spans="1:52" customFormat="1" ht="15.75" thickBot="1" x14ac:dyDescent="0.3">
      <c r="A8" s="3"/>
      <c r="B8" s="3"/>
      <c r="C8" s="3"/>
      <c r="D8" s="3"/>
      <c r="E8" s="13"/>
      <c r="F8" s="14"/>
      <c r="G8" s="14"/>
      <c r="H8" s="14"/>
      <c r="I8" s="15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2"/>
      <c r="AZ8" s="2"/>
    </row>
    <row r="9" spans="1:52" ht="15.7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t="17.100000000000001" customHeight="1" thickBot="1" x14ac:dyDescent="0.3">
      <c r="A10" s="3"/>
      <c r="B10" s="16"/>
      <c r="C10" s="17"/>
      <c r="D10" s="17"/>
      <c r="E10" s="17"/>
      <c r="F10" s="17"/>
      <c r="G10" s="17"/>
      <c r="H10" s="17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9"/>
      <c r="V10" s="19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ht="17.100000000000001" customHeight="1" thickBot="1" x14ac:dyDescent="0.45">
      <c r="A11" s="3"/>
      <c r="B11" s="20"/>
      <c r="C11" s="171" t="s">
        <v>98</v>
      </c>
      <c r="D11" s="172"/>
      <c r="E11" s="172"/>
      <c r="F11" s="21"/>
      <c r="G11" s="22"/>
      <c r="H11" s="3"/>
      <c r="I11" s="23"/>
      <c r="J11" s="3"/>
      <c r="K11" s="3"/>
      <c r="L11" s="3"/>
      <c r="M11" s="3"/>
      <c r="N11" s="3"/>
      <c r="O11" s="3"/>
      <c r="P11" s="3"/>
      <c r="Q11" s="3"/>
      <c r="R11" s="173" t="str">
        <f>C11</f>
        <v>TERMOPAR TIPO T Norma E230 - 02 Table 7</v>
      </c>
      <c r="S11" s="173"/>
      <c r="T11" s="173"/>
      <c r="U11" s="173"/>
      <c r="V11" s="17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t="17.100000000000001" customHeight="1" thickBot="1" x14ac:dyDescent="0.35">
      <c r="A12" s="3"/>
      <c r="B12" s="20"/>
      <c r="C12" s="117" t="s">
        <v>6</v>
      </c>
      <c r="D12" s="25"/>
      <c r="E12" s="118" t="s">
        <v>7</v>
      </c>
      <c r="F12" s="3"/>
      <c r="G12" s="3"/>
      <c r="H12" s="3"/>
      <c r="I12" s="23"/>
      <c r="J12" s="3"/>
      <c r="K12" s="3"/>
      <c r="L12" s="3"/>
      <c r="M12" s="3"/>
      <c r="N12" s="3"/>
      <c r="O12" s="3"/>
      <c r="P12" s="3"/>
      <c r="Q12" s="3"/>
      <c r="R12" s="174" t="str">
        <f>E12</f>
        <v>-270°C to 0,0°C</v>
      </c>
      <c r="S12" s="175"/>
      <c r="T12" s="27"/>
      <c r="U12" s="176" t="str">
        <f>E43</f>
        <v>0°C to 400°C</v>
      </c>
      <c r="V12" s="176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7.100000000000001" customHeight="1" x14ac:dyDescent="0.4">
      <c r="A13" s="3"/>
      <c r="B13" s="20"/>
      <c r="C13" s="28"/>
      <c r="D13" s="29"/>
      <c r="E13" s="30"/>
      <c r="F13" s="3"/>
      <c r="G13" s="3"/>
      <c r="H13" s="3"/>
      <c r="I13" s="23"/>
      <c r="J13" s="3"/>
      <c r="K13" s="119" t="s">
        <v>9</v>
      </c>
      <c r="L13" s="120" t="s">
        <v>4</v>
      </c>
      <c r="M13" s="3"/>
      <c r="N13" s="3"/>
      <c r="O13" s="3"/>
      <c r="P13" s="3"/>
      <c r="Q13" s="3"/>
      <c r="R13" s="121" t="s">
        <v>10</v>
      </c>
      <c r="S13" s="34">
        <f>E21</f>
        <v>0</v>
      </c>
      <c r="T13" s="3"/>
      <c r="U13" s="121" t="s">
        <v>10</v>
      </c>
      <c r="V13" s="34">
        <f>E52</f>
        <v>0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ht="17.100000000000001" customHeight="1" thickBot="1" x14ac:dyDescent="0.3">
      <c r="A14" s="3"/>
      <c r="B14" s="20"/>
      <c r="C14" s="3"/>
      <c r="D14" s="3"/>
      <c r="E14" s="39"/>
      <c r="F14" s="3"/>
      <c r="G14" s="3"/>
      <c r="H14" s="3"/>
      <c r="I14" s="23"/>
      <c r="J14" s="3"/>
      <c r="K14" s="3"/>
      <c r="L14" s="3"/>
      <c r="M14" s="3"/>
      <c r="N14" s="3"/>
      <c r="O14" s="3"/>
      <c r="P14" s="3"/>
      <c r="Q14" s="3"/>
      <c r="R14" s="121" t="s">
        <v>11</v>
      </c>
      <c r="S14" s="34">
        <f t="shared" ref="S14:S27" si="0">E22</f>
        <v>3.8748106364000001E-2</v>
      </c>
      <c r="T14" s="3"/>
      <c r="U14" s="121" t="s">
        <v>11</v>
      </c>
      <c r="V14" s="34">
        <f t="shared" ref="V14:V21" si="1">E53</f>
        <v>3.8748106364000001E-2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ht="15.75" thickBot="1" x14ac:dyDescent="0.3">
      <c r="A15" s="3"/>
      <c r="B15" s="20"/>
      <c r="C15" s="169" t="s">
        <v>12</v>
      </c>
      <c r="D15" s="170"/>
      <c r="E15" s="155">
        <f>H6</f>
        <v>20</v>
      </c>
      <c r="F15" s="156"/>
      <c r="G15" s="156"/>
      <c r="H15" s="35"/>
      <c r="I15" s="23"/>
      <c r="J15" s="3"/>
      <c r="K15" s="36">
        <v>-6.258</v>
      </c>
      <c r="L15" s="37">
        <v>-270</v>
      </c>
      <c r="M15" s="3"/>
      <c r="N15" s="3"/>
      <c r="O15" s="3"/>
      <c r="P15" s="3"/>
      <c r="Q15" s="3"/>
      <c r="R15" s="121" t="s">
        <v>13</v>
      </c>
      <c r="S15" s="34">
        <f t="shared" si="0"/>
        <v>4.4194434347000001E-5</v>
      </c>
      <c r="T15" s="3"/>
      <c r="U15" s="121" t="s">
        <v>13</v>
      </c>
      <c r="V15" s="34">
        <f t="shared" si="1"/>
        <v>3.3292227879999998E-5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ht="15.75" thickBot="1" x14ac:dyDescent="0.3">
      <c r="A16" s="3"/>
      <c r="B16" s="20"/>
      <c r="C16" s="3"/>
      <c r="D16" s="38"/>
      <c r="E16" s="39"/>
      <c r="F16" s="3"/>
      <c r="G16" s="3"/>
      <c r="H16" s="3"/>
      <c r="I16" s="23"/>
      <c r="J16" s="3"/>
      <c r="K16" s="36">
        <v>-4.6479999999999997</v>
      </c>
      <c r="L16" s="37">
        <v>-150</v>
      </c>
      <c r="M16" s="3"/>
      <c r="N16" s="3"/>
      <c r="O16" s="3"/>
      <c r="P16" s="3"/>
      <c r="Q16" s="3"/>
      <c r="R16" s="121" t="s">
        <v>14</v>
      </c>
      <c r="S16" s="34">
        <f t="shared" si="0"/>
        <v>1.1844323105E-7</v>
      </c>
      <c r="T16" s="3"/>
      <c r="U16" s="121" t="s">
        <v>14</v>
      </c>
      <c r="V16" s="34">
        <f t="shared" si="1"/>
        <v>2.0618243403999999E-7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5.75" customHeight="1" thickBot="1" x14ac:dyDescent="0.3">
      <c r="A17" s="3"/>
      <c r="B17" s="20"/>
      <c r="C17" s="3"/>
      <c r="D17" s="122" t="s">
        <v>15</v>
      </c>
      <c r="E17" s="157">
        <f>E21+E22*G22+E23*G23+E24*G24+E25*G25+E26*G26+E27*G27+E28*G28+E29*G29+E30*G30+E31*G31+E32*G32+E33*G33+E34*G34+E35*G35</f>
        <v>0.80170307764575366</v>
      </c>
      <c r="F17" s="158"/>
      <c r="G17" s="158"/>
      <c r="H17" s="41"/>
      <c r="I17" s="23"/>
      <c r="J17" s="3"/>
      <c r="K17" s="36">
        <v>-3.379</v>
      </c>
      <c r="L17" s="37">
        <v>-100</v>
      </c>
      <c r="M17" s="3"/>
      <c r="N17" s="3"/>
      <c r="O17" s="3"/>
      <c r="P17" s="3"/>
      <c r="Q17" s="3"/>
      <c r="R17" s="121" t="s">
        <v>16</v>
      </c>
      <c r="S17" s="34">
        <f t="shared" si="0"/>
        <v>2.0032973553999999E-8</v>
      </c>
      <c r="T17" s="3"/>
      <c r="U17" s="121" t="s">
        <v>16</v>
      </c>
      <c r="V17" s="34">
        <f t="shared" si="1"/>
        <v>-2.1882256846E-9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5.75" customHeight="1" thickBot="1" x14ac:dyDescent="0.3">
      <c r="A18" s="3"/>
      <c r="B18" s="20"/>
      <c r="C18" s="3"/>
      <c r="D18" s="123" t="s">
        <v>17</v>
      </c>
      <c r="E18" s="43">
        <f>E17</f>
        <v>0.80170307764575366</v>
      </c>
      <c r="F18" s="3"/>
      <c r="G18" s="3"/>
      <c r="H18" s="3"/>
      <c r="I18" s="23"/>
      <c r="J18" s="3"/>
      <c r="K18" s="36">
        <v>0</v>
      </c>
      <c r="L18" s="37">
        <v>0</v>
      </c>
      <c r="M18" s="3"/>
      <c r="N18" s="3"/>
      <c r="O18" s="3"/>
      <c r="P18" s="3"/>
      <c r="Q18" s="3"/>
      <c r="R18" s="121" t="s">
        <v>18</v>
      </c>
      <c r="S18" s="34">
        <f t="shared" si="0"/>
        <v>9.0138019559E-10</v>
      </c>
      <c r="T18" s="3"/>
      <c r="U18" s="121" t="s">
        <v>18</v>
      </c>
      <c r="V18" s="34">
        <f t="shared" si="1"/>
        <v>1.0996880928000001E-11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15.75" customHeight="1" x14ac:dyDescent="0.25">
      <c r="A19" s="3"/>
      <c r="B19" s="20"/>
      <c r="C19" s="3"/>
      <c r="D19" s="44"/>
      <c r="E19" s="45"/>
      <c r="F19" s="3"/>
      <c r="G19" s="3"/>
      <c r="H19" s="3"/>
      <c r="I19" s="23"/>
      <c r="J19" s="3"/>
      <c r="K19" s="46">
        <v>0.39100000000000001</v>
      </c>
      <c r="L19" s="47">
        <v>10</v>
      </c>
      <c r="M19" s="3"/>
      <c r="N19" s="3"/>
      <c r="O19" s="3"/>
      <c r="P19" s="3"/>
      <c r="Q19" s="3"/>
      <c r="R19" s="121" t="s">
        <v>19</v>
      </c>
      <c r="S19" s="34">
        <f t="shared" si="0"/>
        <v>2.2651156593E-11</v>
      </c>
      <c r="T19" s="3"/>
      <c r="U19" s="121" t="s">
        <v>19</v>
      </c>
      <c r="V19" s="34">
        <f t="shared" si="1"/>
        <v>-3.0815758772000002E-14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t="15.75" customHeight="1" x14ac:dyDescent="0.25">
      <c r="A20" s="3"/>
      <c r="B20" s="20"/>
      <c r="C20" s="3"/>
      <c r="D20" s="3"/>
      <c r="E20" s="3"/>
      <c r="F20" s="3"/>
      <c r="G20" s="3"/>
      <c r="H20" s="3"/>
      <c r="I20" s="23"/>
      <c r="J20" s="3"/>
      <c r="K20" s="46">
        <v>4.2789999999999999</v>
      </c>
      <c r="L20" s="47">
        <v>100</v>
      </c>
      <c r="M20" s="3"/>
      <c r="N20" s="3"/>
      <c r="O20" s="3"/>
      <c r="P20" s="3"/>
      <c r="Q20" s="3"/>
      <c r="R20" s="121" t="s">
        <v>20</v>
      </c>
      <c r="S20" s="34">
        <f t="shared" si="0"/>
        <v>3.6071154205000002E-13</v>
      </c>
      <c r="T20" s="3"/>
      <c r="U20" s="121" t="s">
        <v>20</v>
      </c>
      <c r="V20" s="34">
        <f t="shared" si="1"/>
        <v>4.5479135290000001E-17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ht="15.75" customHeight="1" x14ac:dyDescent="0.25">
      <c r="A21" s="3"/>
      <c r="B21" s="20"/>
      <c r="C21" s="3"/>
      <c r="D21" s="121" t="s">
        <v>10</v>
      </c>
      <c r="E21" s="34">
        <v>0</v>
      </c>
      <c r="F21" s="3"/>
      <c r="G21" s="3"/>
      <c r="H21" s="3"/>
      <c r="I21" s="23"/>
      <c r="J21" s="3"/>
      <c r="K21" s="48"/>
      <c r="L21" s="49"/>
      <c r="M21" s="3"/>
      <c r="N21" s="3"/>
      <c r="O21" s="3"/>
      <c r="P21" s="3"/>
      <c r="Q21" s="3"/>
      <c r="R21" s="121" t="s">
        <v>21</v>
      </c>
      <c r="S21" s="34">
        <f t="shared" si="0"/>
        <v>3.8493939883000001E-15</v>
      </c>
      <c r="T21" s="3"/>
      <c r="U21" s="121" t="s">
        <v>21</v>
      </c>
      <c r="V21" s="34">
        <f t="shared" si="1"/>
        <v>-2.7512901672999999E-20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t="15.75" customHeight="1" x14ac:dyDescent="0.3">
      <c r="A22" s="3"/>
      <c r="B22" s="20"/>
      <c r="C22" s="3"/>
      <c r="D22" s="121" t="s">
        <v>11</v>
      </c>
      <c r="E22" s="34">
        <v>3.8748106364000001E-2</v>
      </c>
      <c r="F22" s="124" t="s">
        <v>22</v>
      </c>
      <c r="G22" s="143">
        <f>(POWER($E$15,1))</f>
        <v>20</v>
      </c>
      <c r="H22" s="144"/>
      <c r="I22" s="23"/>
      <c r="J22" s="3"/>
      <c r="K22" s="51"/>
      <c r="L22" s="52"/>
      <c r="M22" s="3"/>
      <c r="N22" s="3"/>
      <c r="O22" s="3"/>
      <c r="P22" s="3"/>
      <c r="Q22" s="3"/>
      <c r="R22" s="121" t="s">
        <v>23</v>
      </c>
      <c r="S22" s="34">
        <f t="shared" si="0"/>
        <v>2.8213521925000002E-17</v>
      </c>
      <c r="T22" s="3"/>
      <c r="U22" s="109"/>
      <c r="V22" s="125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15.75" customHeight="1" x14ac:dyDescent="0.3">
      <c r="A23" s="3"/>
      <c r="B23" s="20"/>
      <c r="C23" s="3"/>
      <c r="D23" s="121" t="s">
        <v>13</v>
      </c>
      <c r="E23" s="34">
        <v>4.4194434347000001E-5</v>
      </c>
      <c r="F23" s="124" t="s">
        <v>24</v>
      </c>
      <c r="G23" s="143">
        <f>(POWER($E$15,2))</f>
        <v>400</v>
      </c>
      <c r="H23" s="144"/>
      <c r="I23" s="23"/>
      <c r="J23" s="3"/>
      <c r="K23" s="51"/>
      <c r="L23" s="52"/>
      <c r="M23" s="3"/>
      <c r="N23" s="3"/>
      <c r="O23" s="3"/>
      <c r="P23" s="3"/>
      <c r="Q23" s="3"/>
      <c r="R23" s="121" t="s">
        <v>25</v>
      </c>
      <c r="S23" s="34">
        <f t="shared" si="0"/>
        <v>1.4251594779E-19</v>
      </c>
      <c r="T23" s="3"/>
      <c r="U23" s="111"/>
      <c r="V23" s="126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5.75" customHeight="1" x14ac:dyDescent="0.3">
      <c r="A24" s="3"/>
      <c r="B24" s="20"/>
      <c r="C24" s="3"/>
      <c r="D24" s="121" t="s">
        <v>14</v>
      </c>
      <c r="E24" s="34">
        <v>1.1844323105E-7</v>
      </c>
      <c r="F24" s="124" t="s">
        <v>26</v>
      </c>
      <c r="G24" s="143">
        <f>(POWER($E$15,3))</f>
        <v>8000</v>
      </c>
      <c r="H24" s="144"/>
      <c r="I24" s="23"/>
      <c r="J24" s="3"/>
      <c r="K24" s="51"/>
      <c r="L24" s="52"/>
      <c r="M24" s="3"/>
      <c r="N24" s="3"/>
      <c r="O24" s="3"/>
      <c r="P24" s="3"/>
      <c r="Q24" s="3"/>
      <c r="R24" s="121" t="s">
        <v>27</v>
      </c>
      <c r="S24" s="34">
        <f t="shared" si="0"/>
        <v>4.8768662285999995E-22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15.75" customHeight="1" x14ac:dyDescent="0.3">
      <c r="A25" s="3"/>
      <c r="B25" s="20"/>
      <c r="C25" s="3"/>
      <c r="D25" s="121" t="s">
        <v>16</v>
      </c>
      <c r="E25" s="34">
        <v>2.0032973553999999E-8</v>
      </c>
      <c r="F25" s="124" t="s">
        <v>28</v>
      </c>
      <c r="G25" s="143">
        <f>(POWER($E$15,4))</f>
        <v>160000</v>
      </c>
      <c r="H25" s="144"/>
      <c r="I25" s="23"/>
      <c r="J25" s="3"/>
      <c r="K25" s="3"/>
      <c r="L25" s="3"/>
      <c r="M25" s="3"/>
      <c r="N25" s="3"/>
      <c r="O25" s="3"/>
      <c r="P25" s="3"/>
      <c r="Q25" s="3"/>
      <c r="R25" s="121" t="s">
        <v>29</v>
      </c>
      <c r="S25" s="34">
        <f t="shared" si="0"/>
        <v>1.079553927E-24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15.75" customHeight="1" x14ac:dyDescent="0.3">
      <c r="A26" s="3"/>
      <c r="B26" s="20"/>
      <c r="C26" s="3"/>
      <c r="D26" s="121" t="s">
        <v>18</v>
      </c>
      <c r="E26" s="34">
        <v>9.0138019559E-10</v>
      </c>
      <c r="F26" s="124" t="s">
        <v>30</v>
      </c>
      <c r="G26" s="143">
        <f>(POWER($E$15,5))</f>
        <v>3200000</v>
      </c>
      <c r="H26" s="144"/>
      <c r="I26" s="23"/>
      <c r="J26" s="3"/>
      <c r="K26" s="3"/>
      <c r="L26" s="3"/>
      <c r="M26" s="3"/>
      <c r="N26" s="3"/>
      <c r="O26" s="3"/>
      <c r="P26" s="3"/>
      <c r="Q26" s="3"/>
      <c r="R26" s="121" t="s">
        <v>31</v>
      </c>
      <c r="S26" s="34">
        <f t="shared" si="0"/>
        <v>1.3945027062000001E-27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15.75" customHeight="1" x14ac:dyDescent="0.3">
      <c r="A27" s="3"/>
      <c r="B27" s="20"/>
      <c r="C27" s="3"/>
      <c r="D27" s="121" t="s">
        <v>19</v>
      </c>
      <c r="E27" s="34">
        <v>2.2651156593E-11</v>
      </c>
      <c r="F27" s="124" t="s">
        <v>32</v>
      </c>
      <c r="G27" s="143">
        <f>(POWER($E$15,6))</f>
        <v>64000000</v>
      </c>
      <c r="H27" s="144"/>
      <c r="I27" s="23"/>
      <c r="J27" s="3"/>
      <c r="K27" s="3"/>
      <c r="L27" s="3"/>
      <c r="M27" s="3"/>
      <c r="N27" s="3"/>
      <c r="O27" s="3"/>
      <c r="P27" s="3"/>
      <c r="Q27" s="3"/>
      <c r="R27" s="121" t="s">
        <v>99</v>
      </c>
      <c r="S27" s="34">
        <f t="shared" si="0"/>
        <v>7.9795153927000008E-31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15.75" customHeight="1" x14ac:dyDescent="0.3">
      <c r="A28" s="3"/>
      <c r="B28" s="20"/>
      <c r="C28" s="3"/>
      <c r="D28" s="121" t="s">
        <v>20</v>
      </c>
      <c r="E28" s="34">
        <v>3.6071154205000002E-13</v>
      </c>
      <c r="F28" s="124" t="s">
        <v>33</v>
      </c>
      <c r="G28" s="143">
        <f>(POWER($E$15,7))</f>
        <v>1280000000</v>
      </c>
      <c r="H28" s="144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15.75" customHeight="1" x14ac:dyDescent="0.3">
      <c r="A29" s="3"/>
      <c r="B29" s="20"/>
      <c r="C29" s="3"/>
      <c r="D29" s="121" t="s">
        <v>21</v>
      </c>
      <c r="E29" s="34">
        <v>3.8493939883000001E-15</v>
      </c>
      <c r="F29" s="124" t="s">
        <v>34</v>
      </c>
      <c r="G29" s="143">
        <f>(POWER($E$15,8))</f>
        <v>25600000000</v>
      </c>
      <c r="H29" s="144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5.75" customHeight="1" x14ac:dyDescent="0.3">
      <c r="A30" s="3"/>
      <c r="B30" s="20"/>
      <c r="C30" s="3"/>
      <c r="D30" s="121" t="s">
        <v>23</v>
      </c>
      <c r="E30" s="34">
        <v>2.8213521925000002E-17</v>
      </c>
      <c r="F30" s="124" t="s">
        <v>35</v>
      </c>
      <c r="G30" s="143">
        <f>(POWER($E$15,9))</f>
        <v>512000000000</v>
      </c>
      <c r="H30" s="144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ht="15.75" customHeight="1" x14ac:dyDescent="0.3">
      <c r="A31" s="3"/>
      <c r="B31" s="20"/>
      <c r="C31" s="3"/>
      <c r="D31" s="121" t="s">
        <v>25</v>
      </c>
      <c r="E31" s="34">
        <v>1.4251594779E-19</v>
      </c>
      <c r="F31" s="124" t="s">
        <v>36</v>
      </c>
      <c r="G31" s="143">
        <f>(POWER($E$15,10))</f>
        <v>10240000000000</v>
      </c>
      <c r="H31" s="144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15.75" customHeight="1" x14ac:dyDescent="0.3">
      <c r="A32" s="3"/>
      <c r="B32" s="20"/>
      <c r="C32" s="3"/>
      <c r="D32" s="121" t="s">
        <v>27</v>
      </c>
      <c r="E32" s="34">
        <v>4.8768662285999995E-22</v>
      </c>
      <c r="F32" s="124" t="s">
        <v>37</v>
      </c>
      <c r="G32" s="143">
        <f>(POWER($E$15,11))</f>
        <v>204800000000000</v>
      </c>
      <c r="H32" s="144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t="15.75" customHeight="1" x14ac:dyDescent="0.3">
      <c r="A33" s="3"/>
      <c r="B33" s="20"/>
      <c r="C33" s="3"/>
      <c r="D33" s="121" t="s">
        <v>29</v>
      </c>
      <c r="E33" s="34">
        <v>1.079553927E-24</v>
      </c>
      <c r="F33" s="124" t="s">
        <v>38</v>
      </c>
      <c r="G33" s="143">
        <f>(POWER($E$15,12))</f>
        <v>4096000000000000</v>
      </c>
      <c r="H33" s="144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15.75" customHeight="1" x14ac:dyDescent="0.3">
      <c r="A34" s="3"/>
      <c r="B34" s="20"/>
      <c r="C34" s="3"/>
      <c r="D34" s="121" t="s">
        <v>31</v>
      </c>
      <c r="E34" s="34">
        <v>1.3945027062000001E-27</v>
      </c>
      <c r="F34" s="124" t="s">
        <v>39</v>
      </c>
      <c r="G34" s="143">
        <f>(POWER($E$15,13))</f>
        <v>8.192E+16</v>
      </c>
      <c r="H34" s="144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15.75" customHeight="1" x14ac:dyDescent="0.3">
      <c r="A35" s="3"/>
      <c r="B35" s="20"/>
      <c r="C35" s="3"/>
      <c r="D35" s="121" t="s">
        <v>99</v>
      </c>
      <c r="E35" s="34">
        <v>7.9795153927000008E-31</v>
      </c>
      <c r="F35" s="124" t="s">
        <v>100</v>
      </c>
      <c r="G35" s="143">
        <f>(POWER($E$15,14))</f>
        <v>1.6384E+18</v>
      </c>
      <c r="H35" s="144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ht="15.75" customHeight="1" x14ac:dyDescent="0.3">
      <c r="A36" s="3"/>
      <c r="B36" s="20"/>
      <c r="C36" s="3"/>
      <c r="D36" s="3"/>
      <c r="E36" s="3"/>
      <c r="F36" s="53"/>
      <c r="G36" s="53"/>
      <c r="H36" s="54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ht="15.75" customHeight="1" thickBot="1" x14ac:dyDescent="0.35">
      <c r="A37" s="3"/>
      <c r="B37" s="55"/>
      <c r="C37" s="56"/>
      <c r="D37" s="56"/>
      <c r="E37" s="56"/>
      <c r="F37" s="57"/>
      <c r="G37" s="57"/>
      <c r="H37" s="58"/>
      <c r="I37" s="5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t="17.100000000000001" customHeight="1" thickBot="1" x14ac:dyDescent="0.3">
      <c r="A41" s="3"/>
      <c r="B41" s="16"/>
      <c r="C41" s="17"/>
      <c r="D41" s="17"/>
      <c r="E41" s="17"/>
      <c r="F41" s="17"/>
      <c r="G41" s="17"/>
      <c r="H41" s="17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7.100000000000001" customHeight="1" thickBot="1" x14ac:dyDescent="0.45">
      <c r="A42" s="3"/>
      <c r="B42" s="20"/>
      <c r="C42" s="171" t="s">
        <v>98</v>
      </c>
      <c r="D42" s="172"/>
      <c r="E42" s="172"/>
      <c r="F42" s="21"/>
      <c r="G42" s="22"/>
      <c r="H42" s="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7.100000000000001" customHeight="1" thickBot="1" x14ac:dyDescent="0.35">
      <c r="A43" s="3"/>
      <c r="B43" s="20"/>
      <c r="C43" s="117" t="s">
        <v>6</v>
      </c>
      <c r="D43" s="25"/>
      <c r="E43" s="118" t="s">
        <v>101</v>
      </c>
      <c r="F43" s="3"/>
      <c r="G43" s="3"/>
      <c r="H43" s="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7.100000000000001" customHeight="1" x14ac:dyDescent="0.4">
      <c r="A44" s="3"/>
      <c r="B44" s="20"/>
      <c r="C44" s="28"/>
      <c r="D44" s="29"/>
      <c r="E44" s="30"/>
      <c r="F44" s="3"/>
      <c r="G44" s="3"/>
      <c r="H44" s="3"/>
      <c r="I44" s="23"/>
      <c r="J44" s="3"/>
      <c r="K44" s="119" t="s">
        <v>9</v>
      </c>
      <c r="L44" s="120" t="s">
        <v>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7.100000000000001" customHeight="1" thickBot="1" x14ac:dyDescent="0.3">
      <c r="A45" s="3"/>
      <c r="B45" s="20"/>
      <c r="C45" s="3"/>
      <c r="D45" s="3"/>
      <c r="E45" s="39"/>
      <c r="F45" s="3"/>
      <c r="G45" s="3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" customHeight="1" thickBot="1" x14ac:dyDescent="0.3">
      <c r="A46" s="3"/>
      <c r="B46" s="20"/>
      <c r="C46" s="169" t="s">
        <v>12</v>
      </c>
      <c r="D46" s="170"/>
      <c r="E46" s="155">
        <f>H6</f>
        <v>20</v>
      </c>
      <c r="F46" s="156"/>
      <c r="G46" s="156"/>
      <c r="H46" s="35"/>
      <c r="I46" s="23"/>
      <c r="J46" s="3"/>
      <c r="K46" s="46">
        <v>-1.121</v>
      </c>
      <c r="L46" s="47">
        <v>-30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thickBot="1" x14ac:dyDescent="0.3">
      <c r="A47" s="3"/>
      <c r="B47" s="20"/>
      <c r="C47" s="3"/>
      <c r="D47" s="38"/>
      <c r="E47" s="39"/>
      <c r="F47" s="3"/>
      <c r="G47" s="3"/>
      <c r="H47" s="3"/>
      <c r="I47" s="23"/>
      <c r="J47" s="3"/>
      <c r="K47" s="46">
        <v>0</v>
      </c>
      <c r="L47" s="47">
        <v>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thickBot="1" x14ac:dyDescent="0.3">
      <c r="A48" s="3"/>
      <c r="B48" s="20"/>
      <c r="C48" s="3"/>
      <c r="D48" s="122" t="s">
        <v>15</v>
      </c>
      <c r="E48" s="157">
        <f>(E52+E53*G53+E54*G54+E55*G55+E56*G56+E57*G57+E58*G58+E59*G59+E60*G60+E61*G61+E62*G62)</f>
        <v>0.78961163711415505</v>
      </c>
      <c r="F48" s="158"/>
      <c r="G48" s="158"/>
      <c r="H48" s="41"/>
      <c r="I48" s="23"/>
      <c r="J48" s="3"/>
      <c r="K48" s="36">
        <v>4.2789999999999999</v>
      </c>
      <c r="L48" s="37">
        <v>100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thickBot="1" x14ac:dyDescent="0.3">
      <c r="A49" s="3"/>
      <c r="B49" s="20"/>
      <c r="C49" s="3"/>
      <c r="D49" s="123" t="s">
        <v>17</v>
      </c>
      <c r="E49" s="43">
        <f>E48</f>
        <v>0.78961163711415505</v>
      </c>
      <c r="F49" s="3"/>
      <c r="G49" s="3"/>
      <c r="H49" s="3"/>
      <c r="I49" s="23"/>
      <c r="J49" s="3"/>
      <c r="K49" s="36">
        <v>9.2880000000000003</v>
      </c>
      <c r="L49" s="37">
        <v>200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/>
      <c r="B50" s="20"/>
      <c r="C50" s="3"/>
      <c r="D50" s="44"/>
      <c r="E50" s="45"/>
      <c r="F50" s="3"/>
      <c r="G50" s="3"/>
      <c r="H50" s="3"/>
      <c r="I50" s="23"/>
      <c r="J50" s="3"/>
      <c r="K50" s="36">
        <v>14.862</v>
      </c>
      <c r="L50" s="37">
        <v>300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/>
      <c r="B51" s="20"/>
      <c r="C51" s="3"/>
      <c r="D51" s="3"/>
      <c r="E51" s="3"/>
      <c r="F51" s="3"/>
      <c r="G51" s="3"/>
      <c r="H51" s="3"/>
      <c r="I51" s="23"/>
      <c r="J51" s="3"/>
      <c r="K51" s="36">
        <v>20.872</v>
      </c>
      <c r="L51" s="37">
        <v>400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20"/>
      <c r="C52" s="3"/>
      <c r="D52" s="121" t="s">
        <v>10</v>
      </c>
      <c r="E52" s="34">
        <v>0</v>
      </c>
      <c r="F52" s="3"/>
      <c r="G52" s="3"/>
      <c r="H52" s="3"/>
      <c r="I52" s="2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x14ac:dyDescent="0.3">
      <c r="A53" s="3"/>
      <c r="B53" s="20"/>
      <c r="C53" s="3"/>
      <c r="D53" s="121" t="s">
        <v>11</v>
      </c>
      <c r="E53" s="34">
        <v>3.8748106364000001E-2</v>
      </c>
      <c r="F53" s="124" t="s">
        <v>22</v>
      </c>
      <c r="G53" s="159">
        <f>(POWER($E$46,1))</f>
        <v>20</v>
      </c>
      <c r="H53" s="160"/>
      <c r="I53" s="2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x14ac:dyDescent="0.3">
      <c r="A54" s="3"/>
      <c r="B54" s="20"/>
      <c r="C54" s="3"/>
      <c r="D54" s="121" t="s">
        <v>13</v>
      </c>
      <c r="E54" s="34">
        <v>3.3292227879999998E-5</v>
      </c>
      <c r="F54" s="124" t="s">
        <v>24</v>
      </c>
      <c r="G54" s="159">
        <f>(POWER($E$46,2))</f>
        <v>400</v>
      </c>
      <c r="H54" s="160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x14ac:dyDescent="0.3">
      <c r="A55" s="3"/>
      <c r="B55" s="20"/>
      <c r="C55" s="3"/>
      <c r="D55" s="121" t="s">
        <v>14</v>
      </c>
      <c r="E55" s="34">
        <v>2.0618243403999999E-7</v>
      </c>
      <c r="F55" s="124" t="s">
        <v>26</v>
      </c>
      <c r="G55" s="159">
        <f>(POWER($E$46,3))</f>
        <v>8000</v>
      </c>
      <c r="H55" s="160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x14ac:dyDescent="0.3">
      <c r="A56" s="3"/>
      <c r="B56" s="20"/>
      <c r="C56" s="3"/>
      <c r="D56" s="121" t="s">
        <v>16</v>
      </c>
      <c r="E56" s="34">
        <v>-2.1882256846E-9</v>
      </c>
      <c r="F56" s="124" t="s">
        <v>28</v>
      </c>
      <c r="G56" s="159">
        <f>(POWER($E$46,4))</f>
        <v>160000</v>
      </c>
      <c r="H56" s="160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x14ac:dyDescent="0.3">
      <c r="A57" s="3"/>
      <c r="B57" s="20"/>
      <c r="C57" s="3"/>
      <c r="D57" s="121" t="s">
        <v>18</v>
      </c>
      <c r="E57" s="34">
        <v>1.0996880928000001E-11</v>
      </c>
      <c r="F57" s="124" t="s">
        <v>30</v>
      </c>
      <c r="G57" s="159">
        <f>(POWER($E$46,5))</f>
        <v>3200000</v>
      </c>
      <c r="H57" s="160"/>
      <c r="I57" s="2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x14ac:dyDescent="0.3">
      <c r="A58" s="3"/>
      <c r="B58" s="20"/>
      <c r="C58" s="3"/>
      <c r="D58" s="121" t="s">
        <v>19</v>
      </c>
      <c r="E58" s="34">
        <v>-3.0815758772000002E-14</v>
      </c>
      <c r="F58" s="124" t="s">
        <v>32</v>
      </c>
      <c r="G58" s="159">
        <f>(POWER($E$46,6))</f>
        <v>64000000</v>
      </c>
      <c r="H58" s="160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x14ac:dyDescent="0.3">
      <c r="A59" s="3"/>
      <c r="B59" s="20"/>
      <c r="C59" s="3"/>
      <c r="D59" s="121" t="s">
        <v>20</v>
      </c>
      <c r="E59" s="34">
        <v>4.5479135290000001E-17</v>
      </c>
      <c r="F59" s="124" t="s">
        <v>33</v>
      </c>
      <c r="G59" s="159">
        <f>(POWER($E$46,7))</f>
        <v>1280000000</v>
      </c>
      <c r="H59" s="160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x14ac:dyDescent="0.3">
      <c r="A60" s="3"/>
      <c r="B60" s="20"/>
      <c r="C60" s="3"/>
      <c r="D60" s="121" t="s">
        <v>21</v>
      </c>
      <c r="E60" s="34">
        <v>-2.7512901672999999E-20</v>
      </c>
      <c r="F60" s="124" t="s">
        <v>34</v>
      </c>
      <c r="G60" s="159">
        <f>(POWER($E$46,8))</f>
        <v>25600000000</v>
      </c>
      <c r="H60" s="160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x14ac:dyDescent="0.3">
      <c r="A61" s="3"/>
      <c r="B61" s="20"/>
      <c r="C61" s="3"/>
      <c r="D61" s="109"/>
      <c r="E61" s="127"/>
      <c r="F61" s="124" t="s">
        <v>35</v>
      </c>
      <c r="G61" s="159">
        <f>(POWER($E$46,9))</f>
        <v>512000000000</v>
      </c>
      <c r="H61" s="160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x14ac:dyDescent="0.3">
      <c r="A62" s="3"/>
      <c r="B62" s="20"/>
      <c r="C62" s="3"/>
      <c r="D62" s="111"/>
      <c r="E62" s="128"/>
      <c r="F62" s="124" t="s">
        <v>36</v>
      </c>
      <c r="G62" s="159">
        <f>(POWER($E$46,10))</f>
        <v>10240000000000</v>
      </c>
      <c r="H62" s="160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x14ac:dyDescent="0.3">
      <c r="A63" s="3"/>
      <c r="B63" s="20"/>
      <c r="C63" s="3"/>
      <c r="D63" s="3"/>
      <c r="E63" s="3"/>
      <c r="F63" s="62"/>
      <c r="G63" s="63"/>
      <c r="H63" s="64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6.5" thickBot="1" x14ac:dyDescent="0.35">
      <c r="A64" s="3"/>
      <c r="B64" s="55"/>
      <c r="C64" s="56"/>
      <c r="D64" s="65"/>
      <c r="E64" s="66"/>
      <c r="F64" s="57"/>
      <c r="G64" s="67"/>
      <c r="H64" s="67"/>
      <c r="I64" s="5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x14ac:dyDescent="0.3">
      <c r="A65" s="3"/>
      <c r="B65" s="17"/>
      <c r="C65" s="17"/>
      <c r="D65" s="44"/>
      <c r="E65" s="68"/>
      <c r="F65" s="69"/>
      <c r="G65" s="70"/>
      <c r="H65" s="70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6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6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6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</sheetData>
  <mergeCells count="38">
    <mergeCell ref="R11:V11"/>
    <mergeCell ref="R12:S12"/>
    <mergeCell ref="U12:V12"/>
    <mergeCell ref="G24:H24"/>
    <mergeCell ref="E2:I2"/>
    <mergeCell ref="E4:G4"/>
    <mergeCell ref="E6:G6"/>
    <mergeCell ref="C11:E11"/>
    <mergeCell ref="C15:D15"/>
    <mergeCell ref="E15:G15"/>
    <mergeCell ref="E17:G17"/>
    <mergeCell ref="G22:H22"/>
    <mergeCell ref="G23:H23"/>
    <mergeCell ref="C42:E42"/>
    <mergeCell ref="G25:H25"/>
    <mergeCell ref="G26:H26"/>
    <mergeCell ref="G27:H27"/>
    <mergeCell ref="G28:H28"/>
    <mergeCell ref="G29:H29"/>
    <mergeCell ref="G30:H30"/>
    <mergeCell ref="G55:H55"/>
    <mergeCell ref="G31:H31"/>
    <mergeCell ref="G32:H32"/>
    <mergeCell ref="G33:H33"/>
    <mergeCell ref="G34:H34"/>
    <mergeCell ref="G35:H35"/>
    <mergeCell ref="C46:D46"/>
    <mergeCell ref="E46:G46"/>
    <mergeCell ref="E48:G48"/>
    <mergeCell ref="G53:H53"/>
    <mergeCell ref="G54:H54"/>
    <mergeCell ref="G62:H62"/>
    <mergeCell ref="G56:H56"/>
    <mergeCell ref="G57:H57"/>
    <mergeCell ref="G58:H58"/>
    <mergeCell ref="G59:H59"/>
    <mergeCell ref="G60:H60"/>
    <mergeCell ref="G61:H6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1E97-7E0D-4482-961B-BEABD382B67A}">
  <dimension ref="A1:BA198"/>
  <sheetViews>
    <sheetView workbookViewId="0">
      <selection activeCell="S5" sqref="S5"/>
    </sheetView>
  </sheetViews>
  <sheetFormatPr defaultRowHeight="15" x14ac:dyDescent="0.25"/>
  <cols>
    <col min="1" max="1" width="2.7109375" style="2" customWidth="1"/>
    <col min="2" max="2" width="3.28515625" style="2" customWidth="1"/>
    <col min="3" max="3" width="29.7109375" style="2" customWidth="1"/>
    <col min="4" max="4" width="8.28515625" style="2" customWidth="1"/>
    <col min="5" max="5" width="24.7109375" style="2" customWidth="1"/>
    <col min="6" max="6" width="5.5703125" style="2" customWidth="1"/>
    <col min="7" max="7" width="12.7109375" style="2" customWidth="1"/>
    <col min="8" max="8" width="21.28515625" style="2" customWidth="1"/>
    <col min="9" max="9" width="9" style="2" customWidth="1"/>
    <col min="10" max="10" width="7" style="2" bestFit="1" customWidth="1"/>
    <col min="11" max="11" width="20.7109375" style="2" customWidth="1"/>
    <col min="12" max="12" width="10.7109375" style="2" customWidth="1"/>
    <col min="13" max="13" width="2.7109375" style="2" customWidth="1"/>
    <col min="14" max="17" width="0" style="2" hidden="1" customWidth="1"/>
    <col min="18" max="18" width="9.140625" style="2"/>
    <col min="19" max="19" width="25.7109375" style="2" customWidth="1"/>
    <col min="20" max="20" width="1.28515625" style="2" customWidth="1"/>
    <col min="21" max="21" width="9.140625" style="2"/>
    <col min="22" max="22" width="25.7109375" style="2" customWidth="1"/>
    <col min="23" max="16384" width="9.140625" style="2"/>
  </cols>
  <sheetData>
    <row r="1" spans="1:5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3" customFormat="1" ht="33.75" x14ac:dyDescent="0.5">
      <c r="A2" s="3"/>
      <c r="B2" s="3"/>
      <c r="C2" s="3"/>
      <c r="D2" s="3"/>
      <c r="E2" s="145" t="s">
        <v>97</v>
      </c>
      <c r="F2" s="146"/>
      <c r="G2" s="146"/>
      <c r="H2" s="146"/>
      <c r="I2" s="14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2"/>
      <c r="AZ2" s="2"/>
    </row>
    <row r="3" spans="1:53" customFormat="1" ht="15.75" thickBot="1" x14ac:dyDescent="0.3">
      <c r="A3" s="3"/>
      <c r="B3" s="3"/>
      <c r="C3" s="3"/>
      <c r="D3" s="3"/>
      <c r="E3" s="4"/>
      <c r="F3" s="5"/>
      <c r="G3" s="5"/>
      <c r="H3" s="5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2"/>
      <c r="AZ3" s="2"/>
    </row>
    <row r="4" spans="1:53" customFormat="1" ht="15.75" thickBot="1" x14ac:dyDescent="0.3">
      <c r="A4" s="3"/>
      <c r="B4" s="3"/>
      <c r="C4" s="3"/>
      <c r="D4" s="3"/>
      <c r="E4" s="148" t="s">
        <v>79</v>
      </c>
      <c r="F4" s="149"/>
      <c r="G4" s="150"/>
      <c r="H4" s="9">
        <f>IF(AND(H6&gt;=J4,H6&lt;=J5),E18,IF(AND(H6&gt;J5,H6&lt;=J6),E49))</f>
        <v>120.00188652949895</v>
      </c>
      <c r="I4" s="115" t="s">
        <v>4</v>
      </c>
      <c r="J4" s="3">
        <v>-5.6029999999999998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2"/>
      <c r="AZ4" s="2"/>
    </row>
    <row r="5" spans="1:53" customFormat="1" ht="15.75" thickBot="1" x14ac:dyDescent="0.3">
      <c r="A5" s="3"/>
      <c r="B5" s="3"/>
      <c r="C5" s="3"/>
      <c r="D5" s="3"/>
      <c r="E5" s="4"/>
      <c r="F5" s="10"/>
      <c r="G5" s="10"/>
      <c r="H5" s="10"/>
      <c r="I5" s="11"/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2"/>
      <c r="AZ5" s="2"/>
    </row>
    <row r="6" spans="1:53" customFormat="1" ht="15.75" thickBot="1" x14ac:dyDescent="0.3">
      <c r="A6" s="3"/>
      <c r="B6" s="3"/>
      <c r="C6" s="3"/>
      <c r="D6" s="3"/>
      <c r="E6" s="148" t="s">
        <v>1</v>
      </c>
      <c r="F6" s="149"/>
      <c r="G6" s="150"/>
      <c r="H6" s="12">
        <v>5.2279999999999998</v>
      </c>
      <c r="I6" s="116" t="s">
        <v>2</v>
      </c>
      <c r="J6" s="3">
        <v>20.872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2"/>
      <c r="AZ6" s="2"/>
    </row>
    <row r="7" spans="1:53" customFormat="1" x14ac:dyDescent="0.25">
      <c r="A7" s="3"/>
      <c r="B7" s="3"/>
      <c r="C7" s="3"/>
      <c r="D7" s="3"/>
      <c r="E7" s="4"/>
      <c r="F7" s="10"/>
      <c r="G7" s="10"/>
      <c r="H7" s="10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2"/>
      <c r="AZ7" s="2"/>
    </row>
    <row r="8" spans="1:53" customFormat="1" ht="15.75" thickBot="1" x14ac:dyDescent="0.3">
      <c r="A8" s="3"/>
      <c r="B8" s="3"/>
      <c r="C8" s="3"/>
      <c r="D8" s="3"/>
      <c r="E8" s="13"/>
      <c r="F8" s="14"/>
      <c r="G8" s="14"/>
      <c r="H8" s="14"/>
      <c r="I8" s="1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2"/>
      <c r="AZ8" s="2"/>
    </row>
    <row r="9" spans="1:53" ht="15.7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15.75" thickBot="1" x14ac:dyDescent="0.3">
      <c r="A10" s="3"/>
      <c r="B10" s="16"/>
      <c r="C10" s="17"/>
      <c r="D10" s="17"/>
      <c r="E10" s="17"/>
      <c r="F10" s="17"/>
      <c r="G10" s="17"/>
      <c r="H10" s="17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6.5" thickBot="1" x14ac:dyDescent="0.35">
      <c r="A11" s="3"/>
      <c r="B11" s="20"/>
      <c r="C11" s="171" t="s">
        <v>102</v>
      </c>
      <c r="D11" s="172"/>
      <c r="E11" s="180"/>
      <c r="F11" s="3"/>
      <c r="G11" s="3"/>
      <c r="H11" s="3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9.5" thickBot="1" x14ac:dyDescent="0.45">
      <c r="A12" s="3"/>
      <c r="B12" s="20"/>
      <c r="C12" s="129" t="s">
        <v>6</v>
      </c>
      <c r="D12" s="29"/>
      <c r="E12" s="118" t="s">
        <v>81</v>
      </c>
      <c r="F12" s="21"/>
      <c r="G12" s="102"/>
      <c r="H12" s="102"/>
      <c r="I12" s="103"/>
      <c r="J12" s="102"/>
      <c r="K12" s="102"/>
      <c r="L12" s="3"/>
      <c r="M12" s="3"/>
      <c r="N12" s="3"/>
      <c r="O12" s="3"/>
      <c r="P12" s="3"/>
      <c r="Q12" s="3"/>
      <c r="R12" s="177" t="str">
        <f>C11</f>
        <v>TERMOPAR TIPO T Norma E230 - 02 Table 46</v>
      </c>
      <c r="S12" s="178"/>
      <c r="T12" s="178"/>
      <c r="U12" s="178"/>
      <c r="V12" s="179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16.5" thickBot="1" x14ac:dyDescent="0.35">
      <c r="A13" s="3"/>
      <c r="B13" s="20"/>
      <c r="C13" s="130" t="s">
        <v>82</v>
      </c>
      <c r="D13" s="29"/>
      <c r="E13" s="131" t="s">
        <v>103</v>
      </c>
      <c r="F13" s="3"/>
      <c r="G13" s="3"/>
      <c r="H13" s="3"/>
      <c r="I13" s="23"/>
      <c r="J13" s="3"/>
      <c r="K13" s="3"/>
      <c r="L13" s="3"/>
      <c r="M13" s="3"/>
      <c r="N13" s="3"/>
      <c r="O13" s="3"/>
      <c r="P13" s="3"/>
      <c r="Q13" s="3"/>
      <c r="R13" s="174" t="str">
        <f>E12</f>
        <v>-200°C to 0,0°C</v>
      </c>
      <c r="S13" s="175"/>
      <c r="T13" s="27"/>
      <c r="U13" s="174" t="str">
        <f>E43</f>
        <v>0,0°C to 400°C</v>
      </c>
      <c r="V13" s="175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18.75" x14ac:dyDescent="0.4">
      <c r="A14" s="3"/>
      <c r="B14" s="20"/>
      <c r="C14" s="17"/>
      <c r="D14" s="3"/>
      <c r="E14" s="3"/>
      <c r="F14" s="3"/>
      <c r="G14" s="3"/>
      <c r="H14" s="3"/>
      <c r="I14" s="23"/>
      <c r="J14" s="3"/>
      <c r="K14" s="119" t="s">
        <v>9</v>
      </c>
      <c r="L14" s="120" t="s">
        <v>4</v>
      </c>
      <c r="M14" s="3"/>
      <c r="N14" s="3"/>
      <c r="O14" s="3"/>
      <c r="P14" s="3"/>
      <c r="Q14" s="3"/>
      <c r="R14" s="121" t="s">
        <v>10</v>
      </c>
      <c r="S14" s="106">
        <f>E22</f>
        <v>0</v>
      </c>
      <c r="T14" s="3"/>
      <c r="U14" s="121" t="s">
        <v>10</v>
      </c>
      <c r="V14" s="106">
        <f>E53</f>
        <v>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5.75" thickBot="1" x14ac:dyDescent="0.3">
      <c r="A15" s="3"/>
      <c r="B15" s="20"/>
      <c r="C15" s="3"/>
      <c r="D15" s="3"/>
      <c r="E15" s="39"/>
      <c r="F15" s="3"/>
      <c r="G15" s="3"/>
      <c r="H15" s="3"/>
      <c r="I15" s="23"/>
      <c r="J15" s="3"/>
      <c r="K15" s="3"/>
      <c r="L15" s="3"/>
      <c r="M15" s="3"/>
      <c r="N15" s="3"/>
      <c r="O15" s="3"/>
      <c r="P15" s="3"/>
      <c r="Q15" s="3"/>
      <c r="R15" s="121" t="s">
        <v>11</v>
      </c>
      <c r="S15" s="106">
        <f t="shared" ref="S15:S21" si="0">E23</f>
        <v>25.949192</v>
      </c>
      <c r="T15" s="3"/>
      <c r="U15" s="121" t="s">
        <v>11</v>
      </c>
      <c r="V15" s="106">
        <f t="shared" ref="V15:V20" si="1">E54</f>
        <v>25.928000000000001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5.75" thickBot="1" x14ac:dyDescent="0.3">
      <c r="A16" s="3"/>
      <c r="B16" s="20"/>
      <c r="C16" s="169" t="s">
        <v>1</v>
      </c>
      <c r="D16" s="170"/>
      <c r="E16" s="164">
        <f>H6</f>
        <v>5.2279999999999998</v>
      </c>
      <c r="F16" s="165"/>
      <c r="G16" s="181"/>
      <c r="H16" s="35"/>
      <c r="I16" s="23"/>
      <c r="J16" s="3"/>
      <c r="K16" s="36">
        <v>-5.6029999999999998</v>
      </c>
      <c r="L16" s="37">
        <v>-200</v>
      </c>
      <c r="M16" s="3"/>
      <c r="N16" s="3"/>
      <c r="O16" s="3"/>
      <c r="P16" s="3"/>
      <c r="Q16" s="3"/>
      <c r="R16" s="121" t="s">
        <v>13</v>
      </c>
      <c r="S16" s="106">
        <f t="shared" si="0"/>
        <v>-0.21316967000000001</v>
      </c>
      <c r="T16" s="3"/>
      <c r="U16" s="121" t="s">
        <v>13</v>
      </c>
      <c r="V16" s="106">
        <f t="shared" si="1"/>
        <v>-0.76029610000000003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15.75" thickBot="1" x14ac:dyDescent="0.3">
      <c r="A17" s="3"/>
      <c r="B17" s="20"/>
      <c r="C17" s="3"/>
      <c r="D17" s="38"/>
      <c r="E17" s="39"/>
      <c r="F17" s="3"/>
      <c r="G17" s="3"/>
      <c r="H17" s="3"/>
      <c r="I17" s="23"/>
      <c r="J17" s="3"/>
      <c r="K17" s="36">
        <v>-4.6479999999999997</v>
      </c>
      <c r="L17" s="37">
        <v>-150</v>
      </c>
      <c r="M17" s="3"/>
      <c r="N17" s="3"/>
      <c r="O17" s="3"/>
      <c r="P17" s="3"/>
      <c r="Q17" s="3"/>
      <c r="R17" s="121" t="s">
        <v>14</v>
      </c>
      <c r="S17" s="106">
        <f t="shared" si="0"/>
        <v>0.79018692000000001</v>
      </c>
      <c r="T17" s="3"/>
      <c r="U17" s="121" t="s">
        <v>14</v>
      </c>
      <c r="V17" s="106">
        <f t="shared" si="1"/>
        <v>4.6377910000000001E-2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15.75" thickBot="1" x14ac:dyDescent="0.3">
      <c r="A18" s="3"/>
      <c r="B18" s="20"/>
      <c r="C18" s="3"/>
      <c r="D18" s="122" t="s">
        <v>85</v>
      </c>
      <c r="E18" s="157">
        <f>E22+E23*G23+E24*G24+E25*G25+E26*G26+E27*G27+E28*G28+E29*G29+E30*G30</f>
        <v>1628.5701452182689</v>
      </c>
      <c r="F18" s="158"/>
      <c r="G18" s="158"/>
      <c r="H18" s="41"/>
      <c r="I18" s="23"/>
      <c r="J18" s="3"/>
      <c r="K18" s="36">
        <v>-3.379</v>
      </c>
      <c r="L18" s="37">
        <v>-100</v>
      </c>
      <c r="M18" s="3"/>
      <c r="N18" s="3"/>
      <c r="O18" s="3"/>
      <c r="P18" s="3"/>
      <c r="Q18" s="3"/>
      <c r="R18" s="121" t="s">
        <v>16</v>
      </c>
      <c r="S18" s="106">
        <f t="shared" si="0"/>
        <v>0.42527777</v>
      </c>
      <c r="T18" s="3"/>
      <c r="U18" s="121" t="s">
        <v>16</v>
      </c>
      <c r="V18" s="106">
        <f t="shared" si="1"/>
        <v>-2.1653940000000002E-3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5.75" thickBot="1" x14ac:dyDescent="0.3">
      <c r="A19" s="3"/>
      <c r="B19" s="20"/>
      <c r="C19" s="3"/>
      <c r="D19" s="123" t="s">
        <v>86</v>
      </c>
      <c r="E19" s="107">
        <f>E18</f>
        <v>1628.5701452182689</v>
      </c>
      <c r="F19" s="3"/>
      <c r="G19" s="3"/>
      <c r="H19" s="3"/>
      <c r="I19" s="23"/>
      <c r="J19" s="3"/>
      <c r="K19" s="36">
        <v>0</v>
      </c>
      <c r="L19" s="37">
        <v>0</v>
      </c>
      <c r="M19" s="3"/>
      <c r="N19" s="3"/>
      <c r="O19" s="3"/>
      <c r="P19" s="3"/>
      <c r="Q19" s="3"/>
      <c r="R19" s="121" t="s">
        <v>18</v>
      </c>
      <c r="S19" s="106">
        <f t="shared" si="0"/>
        <v>0.13304473</v>
      </c>
      <c r="T19" s="3"/>
      <c r="U19" s="121" t="s">
        <v>18</v>
      </c>
      <c r="V19" s="106">
        <f t="shared" si="1"/>
        <v>6.0481440000000003E-5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15.75" thickBot="1" x14ac:dyDescent="0.3">
      <c r="A20" s="3"/>
      <c r="B20" s="20"/>
      <c r="C20" s="3"/>
      <c r="D20" s="123" t="s">
        <v>86</v>
      </c>
      <c r="E20" s="108">
        <f>E18</f>
        <v>1628.5701452182689</v>
      </c>
      <c r="F20" s="3"/>
      <c r="G20" s="3"/>
      <c r="H20" s="3"/>
      <c r="I20" s="23"/>
      <c r="J20" s="3"/>
      <c r="K20" s="46">
        <v>0.39100000000000001</v>
      </c>
      <c r="L20" s="47">
        <v>10</v>
      </c>
      <c r="M20" s="3"/>
      <c r="N20" s="3"/>
      <c r="O20" s="3"/>
      <c r="P20" s="3"/>
      <c r="Q20" s="3"/>
      <c r="R20" s="121" t="s">
        <v>19</v>
      </c>
      <c r="S20" s="106">
        <f t="shared" si="0"/>
        <v>2.0241446E-2</v>
      </c>
      <c r="T20" s="3"/>
      <c r="U20" s="121" t="s">
        <v>19</v>
      </c>
      <c r="V20" s="106">
        <f t="shared" si="1"/>
        <v>-7.2934220000000003E-7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3"/>
      <c r="B21" s="20"/>
      <c r="C21" s="3"/>
      <c r="D21" s="3"/>
      <c r="E21" s="3"/>
      <c r="F21" s="3"/>
      <c r="G21" s="3"/>
      <c r="H21" s="3"/>
      <c r="I21" s="23"/>
      <c r="J21" s="3"/>
      <c r="K21" s="46">
        <v>4.2789999999999999</v>
      </c>
      <c r="L21" s="47">
        <v>100</v>
      </c>
      <c r="M21" s="3"/>
      <c r="N21" s="3"/>
      <c r="O21" s="3"/>
      <c r="P21" s="3"/>
      <c r="Q21" s="3"/>
      <c r="R21" s="121" t="s">
        <v>20</v>
      </c>
      <c r="S21" s="106">
        <f t="shared" si="0"/>
        <v>1.2668171E-3</v>
      </c>
      <c r="T21" s="3"/>
      <c r="U21" s="109"/>
      <c r="V21" s="1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3"/>
      <c r="B22" s="20"/>
      <c r="C22" s="3"/>
      <c r="D22" s="121" t="s">
        <v>10</v>
      </c>
      <c r="E22" s="106">
        <v>0</v>
      </c>
      <c r="F22" s="3"/>
      <c r="G22" s="3"/>
      <c r="H22" s="3"/>
      <c r="I22" s="23"/>
      <c r="J22" s="3"/>
      <c r="K22" s="3"/>
      <c r="L22" s="3"/>
      <c r="M22" s="3"/>
      <c r="N22" s="3"/>
      <c r="O22" s="3"/>
      <c r="P22" s="3"/>
      <c r="Q22" s="3"/>
      <c r="R22" s="109"/>
      <c r="S22" s="110"/>
      <c r="T22" s="3"/>
      <c r="U22" s="111"/>
      <c r="V22" s="1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15.75" x14ac:dyDescent="0.3">
      <c r="A23" s="3"/>
      <c r="B23" s="20"/>
      <c r="C23" s="3"/>
      <c r="D23" s="121" t="s">
        <v>11</v>
      </c>
      <c r="E23" s="106">
        <v>25.949192</v>
      </c>
      <c r="F23" s="124" t="s">
        <v>87</v>
      </c>
      <c r="G23" s="161">
        <f>(POWER($E$16,1))</f>
        <v>5.2279999999999998</v>
      </c>
      <c r="H23" s="162"/>
      <c r="I23" s="23"/>
      <c r="J23" s="3"/>
      <c r="K23" s="3"/>
      <c r="L23" s="3"/>
      <c r="M23" s="3"/>
      <c r="N23" s="3"/>
      <c r="O23" s="3"/>
      <c r="P23" s="3"/>
      <c r="Q23" s="3"/>
      <c r="R23" s="111"/>
      <c r="S23" s="132"/>
      <c r="T23" s="3"/>
      <c r="U23" s="111"/>
      <c r="V23" s="1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15.75" x14ac:dyDescent="0.3">
      <c r="A24" s="3"/>
      <c r="B24" s="20"/>
      <c r="C24" s="3"/>
      <c r="D24" s="121" t="s">
        <v>13</v>
      </c>
      <c r="E24" s="106">
        <v>-0.21316967000000001</v>
      </c>
      <c r="F24" s="124" t="s">
        <v>88</v>
      </c>
      <c r="G24" s="161">
        <f>(POWER($E$16,2))</f>
        <v>27.331983999999999</v>
      </c>
      <c r="H24" s="162"/>
      <c r="I24" s="23"/>
      <c r="J24" s="3"/>
      <c r="K24" s="3"/>
      <c r="L24" s="3"/>
      <c r="M24" s="3"/>
      <c r="N24" s="3"/>
      <c r="O24" s="3"/>
      <c r="P24" s="3"/>
      <c r="Q24" s="3"/>
      <c r="R24" s="111"/>
      <c r="S24" s="132"/>
      <c r="T24" s="3"/>
      <c r="U24" s="111"/>
      <c r="V24" s="1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.75" x14ac:dyDescent="0.3">
      <c r="A25" s="3"/>
      <c r="B25" s="20"/>
      <c r="C25" s="3"/>
      <c r="D25" s="121" t="s">
        <v>14</v>
      </c>
      <c r="E25" s="106">
        <v>0.79018692000000001</v>
      </c>
      <c r="F25" s="124" t="s">
        <v>89</v>
      </c>
      <c r="G25" s="161">
        <f>(POWER($E$16,3))</f>
        <v>142.89161235199998</v>
      </c>
      <c r="H25" s="162"/>
      <c r="I25" s="23"/>
      <c r="J25" s="3"/>
      <c r="K25" s="51"/>
      <c r="L25" s="5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15.75" x14ac:dyDescent="0.3">
      <c r="A26" s="3"/>
      <c r="B26" s="20"/>
      <c r="C26" s="3"/>
      <c r="D26" s="121" t="s">
        <v>16</v>
      </c>
      <c r="E26" s="106">
        <v>0.42527777</v>
      </c>
      <c r="F26" s="124" t="s">
        <v>90</v>
      </c>
      <c r="G26" s="161">
        <f>(POWER($E$16,4))</f>
        <v>747.03734937625597</v>
      </c>
      <c r="H26" s="162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ht="15.75" x14ac:dyDescent="0.3">
      <c r="A27" s="3"/>
      <c r="B27" s="20"/>
      <c r="C27" s="3"/>
      <c r="D27" s="121" t="s">
        <v>18</v>
      </c>
      <c r="E27" s="106">
        <v>0.13304473</v>
      </c>
      <c r="F27" s="124" t="s">
        <v>91</v>
      </c>
      <c r="G27" s="161">
        <f>(POWER($E$16,5))</f>
        <v>3905.5112625390661</v>
      </c>
      <c r="H27" s="162"/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15.75" x14ac:dyDescent="0.3">
      <c r="A28" s="3"/>
      <c r="B28" s="20"/>
      <c r="C28" s="3"/>
      <c r="D28" s="121" t="s">
        <v>19</v>
      </c>
      <c r="E28" s="106">
        <v>2.0241446E-2</v>
      </c>
      <c r="F28" s="124" t="s">
        <v>92</v>
      </c>
      <c r="G28" s="161">
        <f>(POWER($E$16,6))</f>
        <v>20418.012880554237</v>
      </c>
      <c r="H28" s="162"/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5.75" x14ac:dyDescent="0.3">
      <c r="A29" s="3"/>
      <c r="B29" s="20"/>
      <c r="C29" s="3"/>
      <c r="D29" s="121" t="s">
        <v>20</v>
      </c>
      <c r="E29" s="106">
        <v>1.2668171E-3</v>
      </c>
      <c r="F29" s="124" t="s">
        <v>93</v>
      </c>
      <c r="G29" s="161">
        <f>(POWER($E$16,7))</f>
        <v>106745.37133953754</v>
      </c>
      <c r="H29" s="162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15.75" x14ac:dyDescent="0.3">
      <c r="A30" s="3"/>
      <c r="B30" s="20"/>
      <c r="C30" s="3"/>
      <c r="D30" s="109"/>
      <c r="E30" s="110"/>
      <c r="F30" s="62"/>
      <c r="G30" s="166"/>
      <c r="H30" s="166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15.75" x14ac:dyDescent="0.3">
      <c r="A31" s="3"/>
      <c r="B31" s="20"/>
      <c r="C31" s="3"/>
      <c r="D31" s="111"/>
      <c r="E31" s="132"/>
      <c r="F31" s="53"/>
      <c r="G31" s="182"/>
      <c r="H31" s="182"/>
      <c r="I31" s="23"/>
      <c r="J31" s="13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15.75" x14ac:dyDescent="0.3">
      <c r="A32" s="3"/>
      <c r="B32" s="20"/>
      <c r="C32" s="3"/>
      <c r="D32" s="111"/>
      <c r="E32" s="60"/>
      <c r="F32" s="53"/>
      <c r="G32" s="53"/>
      <c r="H32" s="54"/>
      <c r="I32" s="23"/>
      <c r="J32" s="13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5.75" x14ac:dyDescent="0.3">
      <c r="A33" s="3"/>
      <c r="B33" s="20"/>
      <c r="C33" s="3"/>
      <c r="D33" s="3"/>
      <c r="E33" s="3"/>
      <c r="F33" s="53"/>
      <c r="G33" s="53"/>
      <c r="H33" s="54"/>
      <c r="I33" s="23"/>
      <c r="J33" s="13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16.5" thickBot="1" x14ac:dyDescent="0.35">
      <c r="A34" s="3"/>
      <c r="B34" s="55"/>
      <c r="C34" s="56"/>
      <c r="D34" s="56"/>
      <c r="E34" s="56"/>
      <c r="F34" s="57"/>
      <c r="G34" s="57"/>
      <c r="H34" s="58"/>
      <c r="I34" s="59"/>
      <c r="J34" s="13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5.75" x14ac:dyDescent="0.3">
      <c r="A35" s="3"/>
      <c r="B35" s="17"/>
      <c r="C35" s="17"/>
      <c r="D35" s="17"/>
      <c r="E35" s="17"/>
      <c r="F35" s="69"/>
      <c r="G35" s="69"/>
      <c r="H35" s="113"/>
      <c r="I35" s="17"/>
      <c r="J35" s="13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15.75" x14ac:dyDescent="0.3">
      <c r="A36" s="3"/>
      <c r="B36" s="3"/>
      <c r="C36" s="3"/>
      <c r="D36" s="3"/>
      <c r="E36" s="3"/>
      <c r="F36" s="53"/>
      <c r="G36" s="53"/>
      <c r="H36" s="54"/>
      <c r="I36" s="3"/>
      <c r="J36" s="13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15.75" x14ac:dyDescent="0.3">
      <c r="A37" s="3"/>
      <c r="B37" s="3"/>
      <c r="C37" s="3"/>
      <c r="D37" s="3"/>
      <c r="E37" s="3"/>
      <c r="F37" s="53"/>
      <c r="G37" s="53"/>
      <c r="H37" s="54"/>
      <c r="I37" s="3"/>
      <c r="J37" s="1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15.75" x14ac:dyDescent="0.3">
      <c r="A38" s="3"/>
      <c r="B38" s="3"/>
      <c r="C38" s="3"/>
      <c r="D38" s="3"/>
      <c r="E38" s="3"/>
      <c r="F38" s="53"/>
      <c r="G38" s="53"/>
      <c r="H38" s="54"/>
      <c r="I38" s="3"/>
      <c r="J38" s="13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17.100000000000001" customHeight="1" thickBot="1" x14ac:dyDescent="0.3">
      <c r="A41" s="3"/>
      <c r="B41" s="16"/>
      <c r="C41" s="17"/>
      <c r="D41" s="17"/>
      <c r="E41" s="17"/>
      <c r="F41" s="17"/>
      <c r="G41" s="17"/>
      <c r="H41" s="17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7.100000000000001" customHeight="1" thickBot="1" x14ac:dyDescent="0.35">
      <c r="A42" s="3"/>
      <c r="B42" s="20"/>
      <c r="C42" s="171" t="s">
        <v>102</v>
      </c>
      <c r="D42" s="172"/>
      <c r="E42" s="180"/>
      <c r="F42" s="3"/>
      <c r="G42" s="3"/>
      <c r="H42" s="3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7.100000000000001" customHeight="1" thickBot="1" x14ac:dyDescent="0.45">
      <c r="A43" s="3"/>
      <c r="B43" s="20"/>
      <c r="C43" s="117" t="s">
        <v>6</v>
      </c>
      <c r="D43" s="29"/>
      <c r="E43" s="118" t="s">
        <v>104</v>
      </c>
      <c r="F43" s="21"/>
      <c r="G43" s="22"/>
      <c r="H43" s="3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7.100000000000001" customHeight="1" thickBot="1" x14ac:dyDescent="0.35">
      <c r="A44" s="3"/>
      <c r="B44" s="20"/>
      <c r="C44" s="130" t="s">
        <v>82</v>
      </c>
      <c r="D44" s="29"/>
      <c r="E44" s="131" t="s">
        <v>105</v>
      </c>
      <c r="F44" s="3"/>
      <c r="G44" s="3"/>
      <c r="H44" s="3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7.100000000000001" customHeight="1" x14ac:dyDescent="0.4">
      <c r="A45" s="3"/>
      <c r="B45" s="20"/>
      <c r="C45" s="17"/>
      <c r="D45" s="3"/>
      <c r="E45" s="3"/>
      <c r="F45" s="3"/>
      <c r="G45" s="3"/>
      <c r="H45" s="3"/>
      <c r="I45" s="23"/>
      <c r="J45" s="3"/>
      <c r="K45" s="119" t="s">
        <v>9</v>
      </c>
      <c r="L45" s="120" t="s">
        <v>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7.100000000000001" customHeight="1" thickBot="1" x14ac:dyDescent="0.3">
      <c r="A46" s="3"/>
      <c r="B46" s="20"/>
      <c r="C46" s="3"/>
      <c r="D46" s="3"/>
      <c r="E46" s="39"/>
      <c r="F46" s="3"/>
      <c r="G46" s="3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" customHeight="1" thickBot="1" x14ac:dyDescent="0.3">
      <c r="A47" s="3"/>
      <c r="B47" s="20"/>
      <c r="C47" s="169" t="s">
        <v>1</v>
      </c>
      <c r="D47" s="170"/>
      <c r="E47" s="164">
        <f>H6</f>
        <v>5.2279999999999998</v>
      </c>
      <c r="F47" s="165"/>
      <c r="G47" s="165"/>
      <c r="H47" s="35"/>
      <c r="I47" s="23"/>
      <c r="J47" s="3"/>
      <c r="K47" s="46">
        <v>-3.379</v>
      </c>
      <c r="L47" s="47">
        <v>-100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thickBot="1" x14ac:dyDescent="0.3">
      <c r="A48" s="3"/>
      <c r="B48" s="20"/>
      <c r="C48" s="3"/>
      <c r="D48" s="38"/>
      <c r="E48" s="39"/>
      <c r="F48" s="3"/>
      <c r="G48" s="3"/>
      <c r="H48" s="3"/>
      <c r="I48" s="23"/>
      <c r="J48" s="3"/>
      <c r="K48" s="46">
        <v>-0.75700000000000001</v>
      </c>
      <c r="L48" s="47">
        <v>-20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thickBot="1" x14ac:dyDescent="0.3">
      <c r="A49" s="3"/>
      <c r="B49" s="20"/>
      <c r="C49" s="3"/>
      <c r="D49" s="122" t="s">
        <v>85</v>
      </c>
      <c r="E49" s="157">
        <f>E53+E54*G54+E55*G55+E56*G56+E57*G57+E58*G58+E59*G59+E60*G60+E61*G61+E62*G62</f>
        <v>120.00188652949895</v>
      </c>
      <c r="F49" s="158"/>
      <c r="G49" s="158"/>
      <c r="H49" s="41"/>
      <c r="I49" s="23"/>
      <c r="J49" s="3"/>
      <c r="K49" s="36">
        <v>0</v>
      </c>
      <c r="L49" s="37"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thickBot="1" x14ac:dyDescent="0.3">
      <c r="A50" s="3"/>
      <c r="B50" s="20"/>
      <c r="C50" s="3"/>
      <c r="D50" s="123" t="s">
        <v>86</v>
      </c>
      <c r="E50" s="107">
        <f>E49</f>
        <v>120.00188652949895</v>
      </c>
      <c r="F50" s="3"/>
      <c r="G50" s="3"/>
      <c r="H50" s="3"/>
      <c r="I50" s="23"/>
      <c r="J50" s="3"/>
      <c r="K50" s="36">
        <v>9.2880000000000003</v>
      </c>
      <c r="L50" s="37">
        <v>200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thickBot="1" x14ac:dyDescent="0.3">
      <c r="A51" s="3"/>
      <c r="B51" s="20"/>
      <c r="C51" s="3"/>
      <c r="D51" s="123" t="s">
        <v>86</v>
      </c>
      <c r="E51" s="108">
        <f>E49</f>
        <v>120.00188652949895</v>
      </c>
      <c r="F51" s="3"/>
      <c r="G51" s="3"/>
      <c r="H51" s="3"/>
      <c r="I51" s="23"/>
      <c r="J51" s="3"/>
      <c r="K51" s="36">
        <v>14.862</v>
      </c>
      <c r="L51" s="37">
        <v>300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3"/>
      <c r="B52" s="20"/>
      <c r="C52" s="3"/>
      <c r="D52" s="3"/>
      <c r="E52" s="3"/>
      <c r="F52" s="3"/>
      <c r="G52" s="3"/>
      <c r="H52" s="3"/>
      <c r="I52" s="23"/>
      <c r="J52" s="3"/>
      <c r="K52" s="36">
        <v>20.872</v>
      </c>
      <c r="L52" s="37">
        <v>400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3"/>
      <c r="B53" s="20"/>
      <c r="C53" s="3"/>
      <c r="D53" s="121" t="s">
        <v>10</v>
      </c>
      <c r="E53" s="106">
        <v>0</v>
      </c>
      <c r="F53" s="3"/>
      <c r="G53" s="3"/>
      <c r="H53" s="3"/>
      <c r="I53" s="23"/>
      <c r="J53" s="3"/>
      <c r="K53" s="48"/>
      <c r="L53" s="4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x14ac:dyDescent="0.3">
      <c r="A54" s="3"/>
      <c r="B54" s="20"/>
      <c r="C54" s="3"/>
      <c r="D54" s="121" t="s">
        <v>11</v>
      </c>
      <c r="E54" s="106">
        <v>25.928000000000001</v>
      </c>
      <c r="F54" s="124" t="s">
        <v>87</v>
      </c>
      <c r="G54" s="161">
        <f>(POWER($E$47,1))</f>
        <v>5.2279999999999998</v>
      </c>
      <c r="H54" s="162"/>
      <c r="I54" s="23"/>
      <c r="J54" s="3"/>
      <c r="K54" s="51"/>
      <c r="L54" s="5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x14ac:dyDescent="0.3">
      <c r="A55" s="3"/>
      <c r="B55" s="20"/>
      <c r="C55" s="3"/>
      <c r="D55" s="121" t="s">
        <v>13</v>
      </c>
      <c r="E55" s="106">
        <v>-0.76029610000000003</v>
      </c>
      <c r="F55" s="124" t="s">
        <v>88</v>
      </c>
      <c r="G55" s="161">
        <f>(POWER($E$47,2))</f>
        <v>27.331983999999999</v>
      </c>
      <c r="H55" s="162"/>
      <c r="I55" s="23"/>
      <c r="J55" s="3"/>
      <c r="K55" s="51"/>
      <c r="L55" s="5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x14ac:dyDescent="0.3">
      <c r="A56" s="3"/>
      <c r="B56" s="20"/>
      <c r="C56" s="3"/>
      <c r="D56" s="121" t="s">
        <v>14</v>
      </c>
      <c r="E56" s="106">
        <v>4.6377910000000001E-2</v>
      </c>
      <c r="F56" s="124" t="s">
        <v>89</v>
      </c>
      <c r="G56" s="161">
        <f>(POWER($E$47,3))</f>
        <v>142.89161235199998</v>
      </c>
      <c r="H56" s="162"/>
      <c r="I56" s="23"/>
      <c r="J56" s="3"/>
      <c r="K56" s="51"/>
      <c r="L56" s="5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x14ac:dyDescent="0.3">
      <c r="A57" s="3"/>
      <c r="B57" s="20"/>
      <c r="C57" s="3"/>
      <c r="D57" s="121" t="s">
        <v>16</v>
      </c>
      <c r="E57" s="106">
        <v>-2.1653940000000002E-3</v>
      </c>
      <c r="F57" s="124" t="s">
        <v>90</v>
      </c>
      <c r="G57" s="161">
        <f>(POWER($E$47,4))</f>
        <v>747.03734937625597</v>
      </c>
      <c r="H57" s="162"/>
      <c r="I57" s="2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x14ac:dyDescent="0.3">
      <c r="A58" s="3"/>
      <c r="B58" s="20"/>
      <c r="C58" s="3"/>
      <c r="D58" s="121" t="s">
        <v>18</v>
      </c>
      <c r="E58" s="106">
        <v>6.0481440000000003E-5</v>
      </c>
      <c r="F58" s="124" t="s">
        <v>91</v>
      </c>
      <c r="G58" s="161">
        <f>(POWER($E$47,5))</f>
        <v>3905.5112625390661</v>
      </c>
      <c r="H58" s="162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x14ac:dyDescent="0.3">
      <c r="A59" s="3"/>
      <c r="B59" s="20"/>
      <c r="C59" s="3"/>
      <c r="D59" s="121" t="s">
        <v>19</v>
      </c>
      <c r="E59" s="106">
        <v>-7.2934220000000003E-7</v>
      </c>
      <c r="F59" s="124" t="s">
        <v>92</v>
      </c>
      <c r="G59" s="161">
        <f>(POWER($E$47,6))</f>
        <v>20418.012880554237</v>
      </c>
      <c r="H59" s="162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x14ac:dyDescent="0.3">
      <c r="A60" s="3"/>
      <c r="B60" s="20"/>
      <c r="C60" s="3"/>
      <c r="D60" s="109"/>
      <c r="E60" s="110"/>
      <c r="F60" s="62"/>
      <c r="G60" s="166"/>
      <c r="H60" s="166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x14ac:dyDescent="0.3">
      <c r="A61" s="3"/>
      <c r="B61" s="20"/>
      <c r="C61" s="3"/>
      <c r="D61" s="111"/>
      <c r="E61" s="132"/>
      <c r="F61" s="53"/>
      <c r="G61" s="182"/>
      <c r="H61" s="182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x14ac:dyDescent="0.3">
      <c r="A62" s="3"/>
      <c r="B62" s="20"/>
      <c r="C62" s="3"/>
      <c r="D62" s="111"/>
      <c r="E62" s="132"/>
      <c r="F62" s="53"/>
      <c r="G62" s="182"/>
      <c r="H62" s="182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x14ac:dyDescent="0.3">
      <c r="A63" s="3"/>
      <c r="B63" s="20"/>
      <c r="C63" s="3"/>
      <c r="D63" s="111"/>
      <c r="E63" s="60"/>
      <c r="F63" s="53"/>
      <c r="G63" s="53"/>
      <c r="H63" s="54"/>
      <c r="I63" s="23"/>
      <c r="J63" s="3"/>
      <c r="K63" s="6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x14ac:dyDescent="0.3">
      <c r="A64" s="3"/>
      <c r="B64" s="20"/>
      <c r="C64" s="3"/>
      <c r="D64" s="3"/>
      <c r="E64" s="3"/>
      <c r="F64" s="53"/>
      <c r="G64" s="53"/>
      <c r="H64" s="54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thickBot="1" x14ac:dyDescent="0.3">
      <c r="A65" s="3"/>
      <c r="B65" s="55"/>
      <c r="C65" s="56"/>
      <c r="D65" s="56"/>
      <c r="E65" s="56"/>
      <c r="F65" s="56"/>
      <c r="G65" s="56"/>
      <c r="H65" s="56"/>
      <c r="I65" s="5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</sheetData>
  <mergeCells count="32">
    <mergeCell ref="G62:H62"/>
    <mergeCell ref="G56:H56"/>
    <mergeCell ref="G57:H57"/>
    <mergeCell ref="G58:H58"/>
    <mergeCell ref="G59:H59"/>
    <mergeCell ref="G60:H60"/>
    <mergeCell ref="G61:H61"/>
    <mergeCell ref="C42:E42"/>
    <mergeCell ref="C47:D47"/>
    <mergeCell ref="E47:G47"/>
    <mergeCell ref="E49:G49"/>
    <mergeCell ref="G54:H54"/>
    <mergeCell ref="G55:H55"/>
    <mergeCell ref="G26:H26"/>
    <mergeCell ref="G27:H27"/>
    <mergeCell ref="G28:H28"/>
    <mergeCell ref="G29:H29"/>
    <mergeCell ref="G30:H30"/>
    <mergeCell ref="G31:H31"/>
    <mergeCell ref="R12:V12"/>
    <mergeCell ref="R13:S13"/>
    <mergeCell ref="U13:V13"/>
    <mergeCell ref="G25:H25"/>
    <mergeCell ref="E2:I2"/>
    <mergeCell ref="E4:G4"/>
    <mergeCell ref="E6:G6"/>
    <mergeCell ref="C11:E11"/>
    <mergeCell ref="C16:D16"/>
    <mergeCell ref="E16:G16"/>
    <mergeCell ref="E18:G18"/>
    <mergeCell ref="G23:H23"/>
    <mergeCell ref="G24:H2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13E8-BDE6-4869-8151-EAC66A2E1B3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B3C3-4799-46A9-87F6-6B25C09C9D5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FD8B-1B47-4E98-A6F8-34AF838B9BE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Termistor</vt:lpstr>
      <vt:lpstr>RTD-Platina</vt:lpstr>
      <vt:lpstr>E CrCo Graus</vt:lpstr>
      <vt:lpstr>E CrCo Miliv</vt:lpstr>
      <vt:lpstr>T CuCo Graus</vt:lpstr>
      <vt:lpstr>T CuCo Miliv</vt:lpstr>
      <vt:lpstr>J FeCo Graus</vt:lpstr>
      <vt:lpstr>J FeCo Miliv</vt:lpstr>
      <vt:lpstr>R PtRh Graus</vt:lpstr>
      <vt:lpstr>R PtRh Miliv</vt:lpstr>
      <vt:lpstr>S PtRh Graus</vt:lpstr>
      <vt:lpstr>S PtRh Miliv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Josue Morais</cp:lastModifiedBy>
  <dcterms:created xsi:type="dcterms:W3CDTF">2023-02-02T13:36:26Z</dcterms:created>
  <dcterms:modified xsi:type="dcterms:W3CDTF">2023-08-08T19:10:01Z</dcterms:modified>
</cp:coreProperties>
</file>