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KiCost!$J$5:$O$14</definedName>
    <definedName function="false" hidden="false" name="global_part_data" vbProcedure="false">KiCost!$A$5:$I$14</definedName>
    <definedName function="false" hidden="false" name="mouser_part_data" vbProcedure="false">KiCost!$P$5:$U$14</definedName>
    <definedName function="false" hidden="false" name="newark_part_data" vbProcedure="false">KiCost!$V$5:$AA$14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<sst xmlns="http://schemas.openxmlformats.org/spreadsheetml/2006/main" count="105" uniqueCount="73">
  <si>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</si>
  <si>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</si>
  <si>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</si>
  <si>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</si>
  <si>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</si>
  <si>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</si>
  <si>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</si>
  <si>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</si>
  <si>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</si>
  <si>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</si>
  <si>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</si>
  <si>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</si>
  <si>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</si>
  <si>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</si>
  <si>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</si>
  <si>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</si>
  <si>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</si>
  <si>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</si>
  <si>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</si>
  <si>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</si>
  <si>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R1,R2</t>
  </si>
  <si>
    <t>2K7</t>
  </si>
  <si>
    <t>Resistors_ThroughHole:Resistor_Horizontal_RM10mm</t>
  </si>
  <si>
    <t>Stackpole</t>
  </si>
  <si>
    <t>CF14JT2K70</t>
  </si>
  <si>
    <t>CF14JT2K70TR-ND</t>
  </si>
  <si>
    <t>Link</t>
  </si>
  <si>
    <t>J1,J2</t>
  </si>
  <si>
    <t>TB_1X3</t>
  </si>
  <si>
    <t>Connect:bornier3</t>
  </si>
  <si>
    <t>TE</t>
  </si>
  <si>
    <t>796949-3</t>
  </si>
  <si>
    <t>796949-3-ND</t>
  </si>
  <si>
    <t>34C9479</t>
  </si>
  <si>
    <t>D1,D2</t>
  </si>
  <si>
    <t>1N4148</t>
  </si>
  <si>
    <t>Diodes_ThroughHole:Diode_DO-35_SOD27_Horizontal_RM10</t>
  </si>
  <si>
    <t>Fairchild</t>
  </si>
  <si>
    <t>1N4148TR</t>
  </si>
  <si>
    <t>1N4148FSTR-ND</t>
  </si>
  <si>
    <t>512-1N4148TR</t>
  </si>
  <si>
    <t>05R0353</t>
  </si>
  <si>
    <t>K1,K2</t>
  </si>
  <si>
    <t>RELAY_C</t>
  </si>
  <si>
    <t>footprint:Relay_C</t>
  </si>
  <si>
    <t>ORWH-SH-112D,N000</t>
  </si>
  <si>
    <t>PB1321-ND</t>
  </si>
  <si>
    <t>655-1461069-5</t>
  </si>
  <si>
    <t>XA1</t>
  </si>
  <si>
    <t>Conn_Poncho2P_2x_20x2</t>
  </si>
  <si>
    <t>footprint:Conn_Poncho_SinBorde</t>
  </si>
  <si>
    <t>Harwin</t>
  </si>
  <si>
    <t>M50-3502042</t>
  </si>
  <si>
    <t>952-1387-ND</t>
  </si>
  <si>
    <t>855-M50-3502042</t>
  </si>
  <si>
    <t>Q1,Q2</t>
  </si>
  <si>
    <t>2N3904</t>
  </si>
  <si>
    <t>TO_SOT_Packages_THT:TO-92_Inline_Narrow_Oval</t>
  </si>
  <si>
    <t>Micro</t>
  </si>
  <si>
    <t>2N3904-AP</t>
  </si>
  <si>
    <t>2N3904-APTB-ND</t>
  </si>
  <si>
    <t>833-2N3904-AP</t>
  </si>
  <si>
    <t>69R6839</t>
  </si>
  <si>
    <t>LED1,LED2</t>
  </si>
  <si>
    <t>LED</t>
  </si>
  <si>
    <t>LEDs:LED-3MM</t>
  </si>
  <si>
    <t>Marktech</t>
  </si>
  <si>
    <t>MT1403-RG-A</t>
  </si>
  <si>
    <t>1125-1182-ND</t>
  </si>
  <si>
    <t>R3,R4</t>
  </si>
  <si>
    <t>330R</t>
  </si>
  <si>
    <t>CF14JT330R</t>
  </si>
  <si>
    <t>CF14JT330RCT-ND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</si>
</sst>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CF14JT2K70TR-ND%20Stackpole" TargetMode="External"/><Relationship Id="rId3" Type="http://schemas.openxmlformats.org/officeDocument/2006/relationships/hyperlink" Target="http://www.digikey.com/product-detail/en/te-connectivity-amp-connectors/796949-3/796949-3-ND/2223909" TargetMode="External"/><Relationship Id="rId4" Type="http://schemas.openxmlformats.org/officeDocument/2006/relationships/hyperlink" Target="http://www.newark.com/webapp/wcs/stores/servlet/Search?catalogId=15003&amp;langId=-1&amp;storeId=10194&amp;gs=true&amp;st=796949-3%20TE" TargetMode="External"/><Relationship Id="rId5" Type="http://schemas.openxmlformats.org/officeDocument/2006/relationships/hyperlink" Target="http://www.digikey.com/scripts/DkSearch/dksus.dll?WT.z_header=search_go&amp;lang=en&amp;keywords=1N4148FSTR-ND%20Fairchild" TargetMode="External"/><Relationship Id="rId6" Type="http://schemas.openxmlformats.org/officeDocument/2006/relationships/hyperlink" Target="http://www.mouser.com/ProductDetail/Fairchild-Semiconductor/1N4148TR/?qs=sGAEpiMZZMtoHjESLttvkoBU6cp6%252bZs9EndSV7suWYg%3D" TargetMode="External"/><Relationship Id="rId7" Type="http://schemas.openxmlformats.org/officeDocument/2006/relationships/hyperlink" Target="http://www.newark.com/fairchild-semiconductor/1n4148tr/small-signal-diode-100v-200ma/dp/05R0353" TargetMode="External"/><Relationship Id="rId8" Type="http://schemas.openxmlformats.org/officeDocument/2006/relationships/hyperlink" Target="http://www.digikey.com/scripts/DkSearch/dksus.dll?WT.z_header=search_go&amp;lang=en&amp;keywords=PB1321-ND%20TE" TargetMode="External"/><Relationship Id="rId9" Type="http://schemas.openxmlformats.org/officeDocument/2006/relationships/hyperlink" Target="http://www.mouser.com/Search/Refine.aspx?Keyword=ORWH-SH-112D%2CN000%20TE" TargetMode="External"/><Relationship Id="rId10" Type="http://schemas.openxmlformats.org/officeDocument/2006/relationships/hyperlink" Target="http://www.digikey.com/scripts/DkSearch/dksus.dll?WT.z_header=search_go&amp;lang=en&amp;keywords=952-1387-ND%20Harwin" TargetMode="External"/><Relationship Id="rId11" Type="http://schemas.openxmlformats.org/officeDocument/2006/relationships/hyperlink" Target="http://www.mouser.com/Search/Refine.aspx?Keyword=M50-3502042%20Harwin" TargetMode="External"/><Relationship Id="rId12" Type="http://schemas.openxmlformats.org/officeDocument/2006/relationships/hyperlink" Target="http://www.newark.com/webapp/wcs/stores/servlet/Search?catalogId=15003&amp;langId=-1&amp;storeId=10194&amp;gs=true&amp;st=M50-3502042%20Harwin" TargetMode="External"/><Relationship Id="rId13" Type="http://schemas.openxmlformats.org/officeDocument/2006/relationships/hyperlink" Target="http://www.digikey.com/scripts/DkSearch/dksus.dll?WT.z_header=search_go&amp;lang=en&amp;keywords=2N3904-APTB-ND%20Micro" TargetMode="External"/><Relationship Id="rId14" Type="http://schemas.openxmlformats.org/officeDocument/2006/relationships/hyperlink" Target="http://www.mouser.com/Search/Refine.aspx?Keyword=2N3904-AP%20Micro" TargetMode="External"/><Relationship Id="rId15" Type="http://schemas.openxmlformats.org/officeDocument/2006/relationships/hyperlink" Target="http://www.newark.com/webapp/wcs/stores/servlet/Search?catalogId=15003&amp;langId=-1&amp;storeId=10194&amp;gs=true&amp;st=2N3904-AP%20Micro" TargetMode="External"/><Relationship Id="rId16" Type="http://schemas.openxmlformats.org/officeDocument/2006/relationships/hyperlink" Target="http://www.digikey.com/scripts/DkSearch/dksus.dll?WT.z_header=search_go&amp;lang=en&amp;keywords=1125-1182-ND%20Marktech" TargetMode="External"/><Relationship Id="rId17" Type="http://schemas.openxmlformats.org/officeDocument/2006/relationships/hyperlink" Target="http://www.digikey.com/scripts/DkSearch/dksus.dll?WT.z_header=search_go&amp;lang=en&amp;keywords=CF14JT330RCT-ND%20Stackpole" TargetMode="External"/><Relationship Id="rId1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I2" activeCellId="0" sqref="I2"/>
    </sheetView>
  </sheetViews>
  <sheetFormatPr defaultRowHeight="15"/>
  <cols>
    <col collapsed="false" hidden="false" max="8" min="1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1025" min="28" style="0" width="8.5748987854251"/>
  </cols>
  <sheetData>
    <row r="1" customFormat="false" ht="15" hidden="false" customHeight="false" outlineLevel="0" collapsed="false">
      <c r="H1" s="1" t="s">
        <v>0</v>
      </c>
      <c r="I1" s="1" t="n">
        <v>10</v>
      </c>
    </row>
    <row r="2" customFormat="false" ht="15" hidden="false" customHeight="false" outlineLevel="0" collapsed="false">
      <c r="H2" s="2" t="s">
        <v>1</v>
      </c>
      <c r="I2" s="3" t="n">
        <f aca="false">SUM(I7:I14)</f>
        <v>76.851</v>
      </c>
      <c r="M2" s="3" t="n">
        <f aca="false">SUM(M7:M14)</f>
        <v>83.451</v>
      </c>
      <c r="S2" s="3" t="n">
        <f aca="false">SUM(S7:S14)</f>
        <v>54.86</v>
      </c>
      <c r="Y2" s="3" t="n">
        <f aca="false">SUM(Y7:Y14)</f>
        <v>25.78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7.6851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D7" s="0" t="s">
        <v>22</v>
      </c>
      <c r="E7" s="0" t="s">
        <v>23</v>
      </c>
      <c r="F7" s="0" t="s">
        <v>24</v>
      </c>
      <c r="G7" s="0" t="n">
        <f aca="false">BoardQty*2</f>
        <v>20</v>
      </c>
      <c r="H7" s="10" t="n">
        <f aca="true">MINA(INDIRECT(ADDRESS(ROW(),COLUMN(newark_part_data)+2)),INDIRECT(ADDRESS(ROW(),COLUMN(digikey_part_data)+2)),INDIRECT(ADDRESS(ROW(),COLUMN(mouser_part_data)+2)))</f>
        <v>0.00475</v>
      </c>
      <c r="I7" s="10" t="n">
        <f aca="false">IFERROR(G7*H7,"")</f>
        <v>0.095</v>
      </c>
      <c r="J7" s="0" t="n">
        <v>0</v>
      </c>
      <c r="L7" s="10" t="n">
        <f aca="false">IFERROR(LOOKUP(IF(K7="",G7,K7),{0,1,5000,10000,25000,50000,125000},{0,0.00475,0.00475,0.00413,0.00363,0.00333,0.00326}),"")</f>
        <v>0.00475</v>
      </c>
      <c r="M7" s="10" t="n">
        <f aca="false">IFERROR(IF(K7="",G7,K7)*L7,"")</f>
        <v>0.095</v>
      </c>
      <c r="N7" s="0" t="s">
        <v>25</v>
      </c>
      <c r="O7" s="11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D8" s="0" t="s">
        <v>29</v>
      </c>
      <c r="E8" s="0" t="s">
        <v>30</v>
      </c>
      <c r="F8" s="0" t="s">
        <v>31</v>
      </c>
      <c r="G8" s="0" t="n">
        <f aca="false">BoardQty*2</f>
        <v>20</v>
      </c>
      <c r="H8" s="10" t="n">
        <f aca="true">MINA(INDIRECT(ADDRESS(ROW(),COLUMN(newark_part_data)+2)),INDIRECT(ADDRESS(ROW(),COLUMN(digikey_part_data)+2)),INDIRECT(ADDRESS(ROW(),COLUMN(mouser_part_data)+2)))</f>
        <v>1.1</v>
      </c>
      <c r="I8" s="10" t="n">
        <f aca="false">IFERROR(G8*H8,"")</f>
        <v>22</v>
      </c>
      <c r="J8" s="0" t="n">
        <v>0</v>
      </c>
      <c r="L8" s="10" t="n">
        <f aca="false">IFERROR(LOOKUP(IF(K8="",G8,K8),{0,1,10,25,50,100,250,500,1000,2500},{0,1.72,1.304,1.2084,1.0866,1.06,0.92752,0.848,0.7685,0.689}),"")</f>
        <v>1.304</v>
      </c>
      <c r="M8" s="10" t="n">
        <f aca="false">IFERROR(IF(K8="",G8,K8)*L8,"")</f>
        <v>26.08</v>
      </c>
      <c r="N8" s="0" t="s">
        <v>32</v>
      </c>
      <c r="O8" s="11" t="s">
        <v>26</v>
      </c>
      <c r="V8" s="0" t="n">
        <v>1031</v>
      </c>
      <c r="X8" s="10" t="n">
        <f aca="false">IFERROR(LOOKUP(IF(W8="",G8,W8),{0,1,50,100,250,500},{0,1.1,0.879,0.809,0.769,0.729}),"")</f>
        <v>1.1</v>
      </c>
      <c r="Y8" s="10" t="n">
        <f aca="false">IFERROR(IF(W8="",G8,W8)*X8,"")</f>
        <v>22</v>
      </c>
      <c r="Z8" s="0" t="s">
        <v>33</v>
      </c>
      <c r="AA8" s="11" t="s">
        <v>26</v>
      </c>
    </row>
    <row r="9" customFormat="false" ht="15" hidden="false" customHeight="false" outlineLevel="0" collapsed="false">
      <c r="A9" s="0" t="s">
        <v>34</v>
      </c>
      <c r="B9" s="0" t="s">
        <v>35</v>
      </c>
      <c r="D9" s="0" t="s">
        <v>36</v>
      </c>
      <c r="E9" s="0" t="s">
        <v>37</v>
      </c>
      <c r="F9" s="0" t="s">
        <v>38</v>
      </c>
      <c r="G9" s="0" t="n">
        <f aca="false">BoardQty*2</f>
        <v>20</v>
      </c>
      <c r="H9" s="10" t="n">
        <f aca="true">MINA(INDIRECT(ADDRESS(ROW(),COLUMN(newark_part_data)+2)),INDIRECT(ADDRESS(ROW(),COLUMN(digikey_part_data)+2)),INDIRECT(ADDRESS(ROW(),COLUMN(mouser_part_data)+2)))</f>
        <v>0.0082</v>
      </c>
      <c r="I9" s="10" t="n">
        <f aca="false">IFERROR(G9*H9,"")</f>
        <v>0.164</v>
      </c>
      <c r="J9" s="0" t="n">
        <v>0</v>
      </c>
      <c r="L9" s="10" t="n">
        <f aca="false">IFERROR(LOOKUP(IF(K9="",G9,K9),{0,1,10000,30000,50000,100000,250000},{0,0.0082,0.0082,0.00738,0.00656,0.00615,0.00545}),"")</f>
        <v>0.0082</v>
      </c>
      <c r="M9" s="10" t="n">
        <f aca="false">IFERROR(IF(K9="",G9,K9)*L9,"")</f>
        <v>0.164</v>
      </c>
      <c r="N9" s="0" t="s">
        <v>39</v>
      </c>
      <c r="O9" s="11" t="s">
        <v>26</v>
      </c>
      <c r="P9" s="0" t="n">
        <v>302660</v>
      </c>
      <c r="R9" s="10" t="n">
        <f aca="false">IFERROR(LOOKUP(IF(Q9="",G9,Q9),{0,1,10,100,1000,2500,10000,20000,100000},{0,0.099,0.052,0.019,0.013,0.009,0.008,0.007,0.005}),"")</f>
        <v>0.052</v>
      </c>
      <c r="S9" s="10" t="n">
        <f aca="false">IFERROR(IF(Q9="",G9,Q9)*R9,"")</f>
        <v>1.04</v>
      </c>
      <c r="T9" s="0" t="s">
        <v>40</v>
      </c>
      <c r="U9" s="11" t="s">
        <v>26</v>
      </c>
      <c r="V9" s="0" t="n">
        <v>9607</v>
      </c>
      <c r="X9" s="10" t="n">
        <f aca="false">IFERROR(LOOKUP(IF(W9="",G9,W9),{0,1,10,100,1000,2500},{0,0.084,0.053,0.019,0.013,0.01}),"")</f>
        <v>0.053</v>
      </c>
      <c r="Y9" s="10" t="n">
        <f aca="false">IFERROR(IF(W9="",G9,W9)*X9,"")</f>
        <v>1.06</v>
      </c>
      <c r="Z9" s="0" t="s">
        <v>41</v>
      </c>
      <c r="AA9" s="11" t="s">
        <v>26</v>
      </c>
    </row>
    <row r="10" customFormat="false" ht="15" hidden="false" customHeight="false" outlineLevel="0" collapsed="false">
      <c r="A10" s="0" t="s">
        <v>42</v>
      </c>
      <c r="B10" s="0" t="s">
        <v>43</v>
      </c>
      <c r="D10" s="0" t="s">
        <v>44</v>
      </c>
      <c r="E10" s="0" t="s">
        <v>30</v>
      </c>
      <c r="F10" s="0" t="s">
        <v>45</v>
      </c>
      <c r="G10" s="0" t="n">
        <f aca="false">BoardQty*2</f>
        <v>20</v>
      </c>
      <c r="H10" s="10" t="n">
        <f aca="true">MINA(INDIRECT(ADDRESS(ROW(),COLUMN(newark_part_data)+2)),INDIRECT(ADDRESS(ROW(),COLUMN(digikey_part_data)+2)),INDIRECT(ADDRESS(ROW(),COLUMN(mouser_part_data)+2)))</f>
        <v>0.855</v>
      </c>
      <c r="I10" s="10" t="n">
        <f aca="false">IFERROR(G10*H10,"")</f>
        <v>17.1</v>
      </c>
      <c r="J10" s="0" t="n">
        <v>0</v>
      </c>
      <c r="L10" s="10" t="n">
        <f aca="false">IFERROR(LOOKUP(IF(K10="",G10,K10),{0,1,10,25,50,100,250,500,1000,2500},{0,0.91,0.855,0.76,0.722,0.684,0.608,0.57,0.532,0.5225}),"")</f>
        <v>0.855</v>
      </c>
      <c r="M10" s="10" t="n">
        <f aca="false">IFERROR(IF(K10="",G10,K10)*L10,"")</f>
        <v>17.1</v>
      </c>
      <c r="N10" s="0" t="s">
        <v>46</v>
      </c>
      <c r="O10" s="11" t="s">
        <v>26</v>
      </c>
      <c r="P10" s="0" t="n">
        <v>3102</v>
      </c>
      <c r="R10" s="10" t="n">
        <f aca="false">IFERROR(LOOKUP(IF(Q10="",G10,Q10),{0,1,10,100,500,1000},{0,1.2,0.952,0.676,0.639,0.613}),"")</f>
        <v>0.952</v>
      </c>
      <c r="S10" s="10" t="n">
        <f aca="false">IFERROR(IF(Q10="",G10,Q10)*R10,"")</f>
        <v>19.04</v>
      </c>
      <c r="T10" s="0" t="s">
        <v>47</v>
      </c>
      <c r="U10" s="11" t="s">
        <v>26</v>
      </c>
    </row>
    <row r="11" customFormat="false" ht="15" hidden="false" customHeight="false" outlineLevel="0" collapsed="false">
      <c r="A11" s="0" t="s">
        <v>48</v>
      </c>
      <c r="B11" s="0" t="s">
        <v>49</v>
      </c>
      <c r="D11" s="0" t="s">
        <v>50</v>
      </c>
      <c r="E11" s="0" t="s">
        <v>51</v>
      </c>
      <c r="F11" s="0" t="s">
        <v>52</v>
      </c>
      <c r="G11" s="0" t="n">
        <f aca="false">BoardQty*1</f>
        <v>10</v>
      </c>
      <c r="H11" s="10" t="n">
        <f aca="true">MINA(INDIRECT(ADDRESS(ROW(),COLUMN(newark_part_data)+2)),INDIRECT(ADDRESS(ROW(),COLUMN(digikey_part_data)+2)),INDIRECT(ADDRESS(ROW(),COLUMN(mouser_part_data)+2)))</f>
        <v>3.17</v>
      </c>
      <c r="I11" s="10" t="n">
        <f aca="false">IFERROR(G11*H11,"")</f>
        <v>31.7</v>
      </c>
      <c r="J11" s="0" t="n">
        <v>0</v>
      </c>
      <c r="L11" s="10" t="n">
        <f aca="false">IFERROR(LOOKUP(IF(K11="",G11,K11),{0,1,10,100,500,1000,5000,10000},{0,3.82,3.422,2.8182,2.22772,1.91235,1.7446,1.6775}),"")</f>
        <v>3.422</v>
      </c>
      <c r="M11" s="10" t="n">
        <f aca="false">IFERROR(IF(K11="",G11,K11)*L11,"")</f>
        <v>34.22</v>
      </c>
      <c r="N11" s="0" t="s">
        <v>53</v>
      </c>
      <c r="O11" s="11" t="s">
        <v>26</v>
      </c>
      <c r="P11" s="0" t="n">
        <v>430</v>
      </c>
      <c r="R11" s="10" t="n">
        <f aca="false">IFERROR(LOOKUP(IF(Q11="",G11,Q11),{0,1,10,25,100,250,500,1000,2500,5000},{0,3.3,3.17,2.77,2.65,2.31,2.25,1.92,1.79,1.71}),"")</f>
        <v>3.17</v>
      </c>
      <c r="S11" s="10" t="n">
        <f aca="false">IFERROR(IF(Q11="",G11,Q11)*R11,"")</f>
        <v>31.7</v>
      </c>
      <c r="T11" s="0" t="s">
        <v>54</v>
      </c>
      <c r="U11" s="11" t="s">
        <v>26</v>
      </c>
      <c r="AA11" s="11" t="s">
        <v>26</v>
      </c>
    </row>
    <row r="12" customFormat="false" ht="15" hidden="false" customHeight="false" outlineLevel="0" collapsed="false">
      <c r="A12" s="0" t="s">
        <v>55</v>
      </c>
      <c r="B12" s="0" t="s">
        <v>56</v>
      </c>
      <c r="D12" s="0" t="s">
        <v>57</v>
      </c>
      <c r="E12" s="0" t="s">
        <v>58</v>
      </c>
      <c r="F12" s="0" t="s">
        <v>59</v>
      </c>
      <c r="G12" s="0" t="n">
        <f aca="false">BoardQty*2</f>
        <v>20</v>
      </c>
      <c r="H12" s="10" t="n">
        <f aca="true">MINA(INDIRECT(ADDRESS(ROW(),COLUMN(newark_part_data)+2)),INDIRECT(ADDRESS(ROW(),COLUMN(digikey_part_data)+2)),INDIRECT(ADDRESS(ROW(),COLUMN(mouser_part_data)+2)))</f>
        <v>0.0306</v>
      </c>
      <c r="I12" s="10" t="n">
        <f aca="false">IFERROR(G12*H12,"")</f>
        <v>0.612</v>
      </c>
      <c r="J12" s="0" t="n">
        <v>0</v>
      </c>
      <c r="L12" s="10" t="n">
        <f aca="false">IFERROR(LOOKUP(IF(K12="",G12,K12),{0,1,2000,6000,10000,50000,100000,200000},{0,0.0306,0.0306,0.0276,0.024,0.0192,0.018,0.01596}),"")</f>
        <v>0.0306</v>
      </c>
      <c r="M12" s="10" t="n">
        <f aca="false">IFERROR(IF(K12="",G12,K12)*L12,"")</f>
        <v>0.612</v>
      </c>
      <c r="N12" s="0" t="s">
        <v>60</v>
      </c>
      <c r="O12" s="11" t="s">
        <v>26</v>
      </c>
      <c r="P12" s="0" t="n">
        <v>10012</v>
      </c>
      <c r="R12" s="10" t="n">
        <f aca="false">IFERROR(LOOKUP(IF(Q12="",G12,Q12),{0,1,10,100,1000,5000,10000,20000,40000,100000},{0,0.18,0.154,0.053,0.037,0.028,0.024,0.022,0.019,0.016}),"")</f>
        <v>0.154</v>
      </c>
      <c r="S12" s="10" t="n">
        <f aca="false">IFERROR(IF(Q12="",G12,Q12)*R12,"")</f>
        <v>3.08</v>
      </c>
      <c r="T12" s="0" t="s">
        <v>61</v>
      </c>
      <c r="U12" s="11" t="s">
        <v>26</v>
      </c>
      <c r="V12" s="0" t="n">
        <v>10376</v>
      </c>
      <c r="X12" s="10" t="n">
        <f aca="false">IFERROR(LOOKUP(IF(W12="",G12,W12),{0,1,10,100,250,500,1000,5000,10000},{0,0.188,0.136,0.08,0.057,0.043,0.031,0.026,0.022}),"")</f>
        <v>0.136</v>
      </c>
      <c r="Y12" s="10" t="n">
        <f aca="false">IFERROR(IF(W12="",G12,W12)*X12,"")</f>
        <v>2.72</v>
      </c>
      <c r="Z12" s="0" t="s">
        <v>62</v>
      </c>
      <c r="AA12" s="11" t="s">
        <v>26</v>
      </c>
    </row>
    <row r="13" customFormat="false" ht="15" hidden="false" customHeight="false" outlineLevel="0" collapsed="false">
      <c r="A13" s="0" t="s">
        <v>63</v>
      </c>
      <c r="B13" s="0" t="s">
        <v>64</v>
      </c>
      <c r="D13" s="0" t="s">
        <v>65</v>
      </c>
      <c r="E13" s="0" t="s">
        <v>66</v>
      </c>
      <c r="F13" s="0" t="s">
        <v>67</v>
      </c>
      <c r="G13" s="0" t="n">
        <f aca="false">BoardQty*2</f>
        <v>20</v>
      </c>
      <c r="H13" s="10" t="n">
        <f aca="true">MINA(INDIRECT(ADDRESS(ROW(),COLUMN(newark_part_data)+2)),INDIRECT(ADDRESS(ROW(),COLUMN(digikey_part_data)+2)),INDIRECT(ADDRESS(ROW(),COLUMN(mouser_part_data)+2)))</f>
        <v>0.219</v>
      </c>
      <c r="I13" s="10" t="n">
        <f aca="false">IFERROR(G13*H13,"")</f>
        <v>4.38</v>
      </c>
      <c r="J13" s="0" t="n">
        <v>0</v>
      </c>
      <c r="L13" s="10" t="n">
        <f aca="false">IFERROR(LOOKUP(IF(K13="",G13,K13),{0,1,10,25,100,250,500,1000,2500,5000},{0,0.3,0.219,0.1612,0.115,0.0782,0.069,0.05405,0.0529,0.046}),"")</f>
        <v>0.219</v>
      </c>
      <c r="M13" s="10" t="n">
        <f aca="false">IFERROR(IF(K13="",G13,K13)*L13,"")</f>
        <v>4.38</v>
      </c>
      <c r="N13" s="0" t="s">
        <v>68</v>
      </c>
      <c r="O13" s="11" t="s">
        <v>26</v>
      </c>
    </row>
    <row r="14" customFormat="false" ht="15" hidden="false" customHeight="false" outlineLevel="0" collapsed="false">
      <c r="A14" s="0" t="s">
        <v>69</v>
      </c>
      <c r="B14" s="0" t="s">
        <v>70</v>
      </c>
      <c r="D14" s="0" t="s">
        <v>22</v>
      </c>
      <c r="E14" s="0" t="s">
        <v>23</v>
      </c>
      <c r="F14" s="0" t="s">
        <v>71</v>
      </c>
      <c r="G14" s="0" t="n">
        <f aca="false">BoardQty*2</f>
        <v>20</v>
      </c>
      <c r="H14" s="10" t="n">
        <f aca="true">MINA(INDIRECT(ADDRESS(ROW(),COLUMN(newark_part_data)+2)),INDIRECT(ADDRESS(ROW(),COLUMN(digikey_part_data)+2)),INDIRECT(ADDRESS(ROW(),COLUMN(mouser_part_data)+2)))</f>
        <v>0.04</v>
      </c>
      <c r="I14" s="10" t="n">
        <f aca="false">IFERROR(G14*H14,"")</f>
        <v>0.8</v>
      </c>
      <c r="J14" s="0" t="n">
        <v>0</v>
      </c>
      <c r="L14" s="10" t="n">
        <f aca="false">IFERROR(LOOKUP(IF(K14="",G14,K14),{0,1,10,50,100,250,500,1000,2500},{0,0.1,0.04,0.022,0.0162,0.01236,0.0099,0.00729,0.00632}),"")</f>
        <v>0.04</v>
      </c>
      <c r="M14" s="10" t="n">
        <f aca="false">IFERROR(IF(K14="",G14,K14)*L14,"")</f>
        <v>0.8</v>
      </c>
      <c r="N14" s="0" t="s">
        <v>72</v>
      </c>
      <c r="O14" s="11" t="s">
        <v>26</v>
      </c>
    </row>
    <row r="16" customFormat="false" ht="15" hidden="false" customHeight="false" outlineLevel="0" collapsed="false">
      <c r="K16" s="0" t="str">
        <f aca="false">IFERROR(CONCATENATE(TEXT(INDEX($K$7:$K$14,SMALL(IF($N$7:$N$14&lt;&gt;"",IF($K$7:$K$14&lt;&gt;"",ROW($K$7:$K$14)-MIN(ROW($K$7:$K$14))+1,""),""),ROW()-ROW(A$16)+1)),"##0"),","),"")</f>
        <v/>
      </c>
      <c r="L16" s="0" t="str">
        <f aca="false">IFERROR(CONCATENATE((INDEX($N$7:$N$14,SMALL(IF($N$7:$N$14&lt;&gt;"",IF($K$7:$K$14&lt;&gt;"",ROW($K$7:$K$14)-MIN(ROW($K$7:$K$14))+1,""),""),ROW()-ROW(A$16)+1))),","),"")</f>
        <v/>
      </c>
      <c r="M16" s="0" t="str">
        <f aca="false">IFERROR(CONCATENATE((INDEX($A$7:$A$14,SMALL(IF($N$7:$N$14&lt;&gt;"",IF($K$7:$K$14&lt;&gt;"",ROW($K$7:$K$14)-MIN(ROW($K$7:$K$14))+1,""),""),ROW()-ROW(A$16)+1))),),"")</f>
        <v/>
      </c>
      <c r="Q16" s="0" t="str">
        <f aca="false">IFERROR(CONCATENATE((INDEX($T$7:$T$14,SMALL(IF($T$7:$T$14&lt;&gt;"",IF($Q$7:$Q$14&lt;&gt;"",ROW($Q$7:$Q$14)-MIN(ROW($Q$7:$Q$14))+1,""),""),ROW()-ROW(A$16)+1)))," "),"")</f>
        <v/>
      </c>
      <c r="R16" s="0" t="str">
        <f aca="false">IFERROR(CONCATENATE(TEXT(INDEX($Q$7:$Q$14,SMALL(IF($T$7:$T$14&lt;&gt;"",IF($Q$7:$Q$14&lt;&gt;"",ROW($Q$7:$Q$14)-MIN(ROW($Q$7:$Q$14))+1,""),""),ROW()-ROW(A$16)+1)),"##0")," "),"")</f>
        <v/>
      </c>
      <c r="S16" s="0" t="str">
        <f aca="false">IFERROR(CONCATENATE((INDEX($A$7:$A$14,SMALL(IF($T$7:$T$14&lt;&gt;"",IF($Q$7:$Q$14&lt;&gt;"",ROW($Q$7:$Q$14)-MIN(ROW($Q$7:$Q$14))+1,""),""),ROW()-ROW(A$16)+1))),),"")</f>
        <v/>
      </c>
      <c r="W16" s="0" t="str">
        <f aca="false">IFERROR(CONCATENATE((INDEX($Z$7:$Z$14,SMALL(IF($Z$7:$Z$14&lt;&gt;"",IF($W$7:$W$14&lt;&gt;"",ROW($W$7:$W$14)-MIN(ROW($W$7:$W$14))+1,""),""),ROW()-ROW(A$16)+1))),","),"")</f>
        <v/>
      </c>
      <c r="X16" s="0" t="str">
        <f aca="false">IFERROR(CONCATENATE(TEXT(INDEX($W$7:$W$14,SMALL(IF($Z$7:$Z$14&lt;&gt;"",IF($W$7:$W$14&lt;&gt;"",ROW($W$7:$W$14)-MIN(ROW($W$7:$W$14))+1,""),""),ROW()-ROW(A$16)+1)),"##0"),","),"")</f>
        <v/>
      </c>
      <c r="Y16" s="0" t="str">
        <f aca="false">IFERROR(CONCATENATE((INDEX($A$7:$A$14,SMALL(IF($Z$7:$Z$14&lt;&gt;"",IF($W$7:$W$14&lt;&gt;"",ROW($W$7:$W$14)-MIN(ROW($W$7:$W$14))+1,""),""),ROW()-ROW(A$16)+1))),),"")</f>
        <v/>
      </c>
    </row>
    <row r="17" customFormat="false" ht="15" hidden="false" customHeight="false" outlineLevel="0" collapsed="false">
      <c r="K17" s="0" t="str">
        <f aca="false">IFERROR(CONCATENATE(TEXT(INDEX($K$7:$K$14,SMALL(IF($N$7:$N$14&lt;&gt;"",IF($K$7:$K$14&lt;&gt;"",ROW($K$7:$K$14)-MIN(ROW($K$7:$K$14))+1,""),""),ROW()-ROW(A$16)+1)),"##0"),","),"")</f>
        <v/>
      </c>
      <c r="L17" s="0" t="str">
        <f aca="false">IFERROR(CONCATENATE((INDEX($N$7:$N$14,SMALL(IF($N$7:$N$14&lt;&gt;"",IF($K$7:$K$14&lt;&gt;"",ROW($K$7:$K$14)-MIN(ROW($K$7:$K$14))+1,""),""),ROW()-ROW(A$16)+1))),","),"")</f>
        <v/>
      </c>
      <c r="M17" s="0" t="str">
        <f aca="false">IFERROR(CONCATENATE((INDEX($A$7:$A$14,SMALL(IF($N$7:$N$14&lt;&gt;"",IF($K$7:$K$14&lt;&gt;"",ROW($K$7:$K$14)-MIN(ROW($K$7:$K$14))+1,""),""),ROW()-ROW(A$16)+1))),),"")</f>
        <v/>
      </c>
      <c r="Q17" s="0" t="str">
        <f aca="false">IFERROR(CONCATENATE((INDEX($T$7:$T$14,SMALL(IF($T$7:$T$14&lt;&gt;"",IF($Q$7:$Q$14&lt;&gt;"",ROW($Q$7:$Q$14)-MIN(ROW($Q$7:$Q$14))+1,""),""),ROW()-ROW(A$16)+1)))," "),"")</f>
        <v/>
      </c>
      <c r="R17" s="0" t="str">
        <f aca="false">IFERROR(CONCATENATE(TEXT(INDEX($Q$7:$Q$14,SMALL(IF($T$7:$T$14&lt;&gt;"",IF($Q$7:$Q$14&lt;&gt;"",ROW($Q$7:$Q$14)-MIN(ROW($Q$7:$Q$14))+1,""),""),ROW()-ROW(A$16)+1)),"##0")," "),"")</f>
        <v/>
      </c>
      <c r="S17" s="0" t="str">
        <f aca="false">IFERROR(CONCATENATE((INDEX($A$7:$A$14,SMALL(IF($T$7:$T$14&lt;&gt;"",IF($Q$7:$Q$14&lt;&gt;"",ROW($Q$7:$Q$14)-MIN(ROW($Q$7:$Q$14))+1,""),""),ROW()-ROW(A$16)+1))),),"")</f>
        <v/>
      </c>
      <c r="W17" s="0" t="str">
        <f aca="false">IFERROR(CONCATENATE((INDEX($Z$7:$Z$14,SMALL(IF($Z$7:$Z$14&lt;&gt;"",IF($W$7:$W$14&lt;&gt;"",ROW($W$7:$W$14)-MIN(ROW($W$7:$W$14))+1,""),""),ROW()-ROW(A$16)+1))),","),"")</f>
        <v/>
      </c>
      <c r="X17" s="0" t="str">
        <f aca="false">IFERROR(CONCATENATE(TEXT(INDEX($W$7:$W$14,SMALL(IF($Z$7:$Z$14&lt;&gt;"",IF($W$7:$W$14&lt;&gt;"",ROW($W$7:$W$14)-MIN(ROW($W$7:$W$14))+1,""),""),ROW()-ROW(A$16)+1)),"##0"),","),"")</f>
        <v/>
      </c>
      <c r="Y17" s="0" t="str">
        <f aca="false">IFERROR(CONCATENATE((INDEX($A$7:$A$14,SMALL(IF($Z$7:$Z$14&lt;&gt;"",IF($W$7:$W$14&lt;&gt;"",ROW($W$7:$W$14)-MIN(ROW($W$7:$W$14))+1,""),""),ROW()-ROW(A$16)+1))),),"")</f>
        <v/>
      </c>
    </row>
    <row r="18" customFormat="false" ht="15" hidden="false" customHeight="false" outlineLevel="0" collapsed="false">
      <c r="K18" s="0" t="str">
        <f aca="false">IFERROR(CONCATENATE(TEXT(INDEX($K$7:$K$14,SMALL(IF($N$7:$N$14&lt;&gt;"",IF($K$7:$K$14&lt;&gt;"",ROW($K$7:$K$14)-MIN(ROW($K$7:$K$14))+1,""),""),ROW()-ROW(A$16)+1)),"##0"),","),"")</f>
        <v/>
      </c>
      <c r="L18" s="0" t="str">
        <f aca="false">IFERROR(CONCATENATE((INDEX($N$7:$N$14,SMALL(IF($N$7:$N$14&lt;&gt;"",IF($K$7:$K$14&lt;&gt;"",ROW($K$7:$K$14)-MIN(ROW($K$7:$K$14))+1,""),""),ROW()-ROW(A$16)+1))),","),"")</f>
        <v/>
      </c>
      <c r="M18" s="0" t="str">
        <f aca="false">IFERROR(CONCATENATE((INDEX($A$7:$A$14,SMALL(IF($N$7:$N$14&lt;&gt;"",IF($K$7:$K$14&lt;&gt;"",ROW($K$7:$K$14)-MIN(ROW($K$7:$K$14))+1,""),""),ROW()-ROW(A$16)+1))),),"")</f>
        <v/>
      </c>
      <c r="Q18" s="0" t="str">
        <f aca="false">IFERROR(CONCATENATE((INDEX($T$7:$T$14,SMALL(IF($T$7:$T$14&lt;&gt;"",IF($Q$7:$Q$14&lt;&gt;"",ROW($Q$7:$Q$14)-MIN(ROW($Q$7:$Q$14))+1,""),""),ROW()-ROW(A$16)+1)))," "),"")</f>
        <v/>
      </c>
      <c r="R18" s="0" t="str">
        <f aca="false">IFERROR(CONCATENATE(TEXT(INDEX($Q$7:$Q$14,SMALL(IF($T$7:$T$14&lt;&gt;"",IF($Q$7:$Q$14&lt;&gt;"",ROW($Q$7:$Q$14)-MIN(ROW($Q$7:$Q$14))+1,""),""),ROW()-ROW(A$16)+1)),"##0")," "),"")</f>
        <v/>
      </c>
      <c r="S18" s="0" t="str">
        <f aca="false">IFERROR(CONCATENATE((INDEX($A$7:$A$14,SMALL(IF($T$7:$T$14&lt;&gt;"",IF($Q$7:$Q$14&lt;&gt;"",ROW($Q$7:$Q$14)-MIN(ROW($Q$7:$Q$14))+1,""),""),ROW()-ROW(A$16)+1))),),"")</f>
        <v/>
      </c>
      <c r="W18" s="0" t="str">
        <f aca="false">IFERROR(CONCATENATE((INDEX($Z$7:$Z$14,SMALL(IF($Z$7:$Z$14&lt;&gt;"",IF($W$7:$W$14&lt;&gt;"",ROW($W$7:$W$14)-MIN(ROW($W$7:$W$14))+1,""),""),ROW()-ROW(A$16)+1))),","),"")</f>
        <v/>
      </c>
      <c r="X18" s="0" t="str">
        <f aca="false">IFERROR(CONCATENATE(TEXT(INDEX($W$7:$W$14,SMALL(IF($Z$7:$Z$14&lt;&gt;"",IF($W$7:$W$14&lt;&gt;"",ROW($W$7:$W$14)-MIN(ROW($W$7:$W$14))+1,""),""),ROW()-ROW(A$16)+1)),"##0"),","),"")</f>
        <v/>
      </c>
      <c r="Y18" s="0" t="str">
        <f aca="false">IFERROR(CONCATENATE((INDEX($A$7:$A$14,SMALL(IF($Z$7:$Z$14&lt;&gt;"",IF($W$7:$W$14&lt;&gt;"",ROW($W$7:$W$14)-MIN(ROW($W$7:$W$14))+1,""),""),ROW()-ROW(A$16)+1))),),"")</f>
        <v/>
      </c>
    </row>
    <row r="19" customFormat="false" ht="15" hidden="false" customHeight="false" outlineLevel="0" collapsed="false">
      <c r="K19" s="0" t="str">
        <f aca="false">IFERROR(CONCATENATE(TEXT(INDEX($K$7:$K$14,SMALL(IF($N$7:$N$14&lt;&gt;"",IF($K$7:$K$14&lt;&gt;"",ROW($K$7:$K$14)-MIN(ROW($K$7:$K$14))+1,""),""),ROW()-ROW(A$16)+1)),"##0"),","),"")</f>
        <v/>
      </c>
      <c r="L19" s="0" t="str">
        <f aca="false">IFERROR(CONCATENATE((INDEX($N$7:$N$14,SMALL(IF($N$7:$N$14&lt;&gt;"",IF($K$7:$K$14&lt;&gt;"",ROW($K$7:$K$14)-MIN(ROW($K$7:$K$14))+1,""),""),ROW()-ROW(A$16)+1))),","),"")</f>
        <v/>
      </c>
      <c r="M19" s="0" t="str">
        <f aca="false">IFERROR(CONCATENATE((INDEX($A$7:$A$14,SMALL(IF($N$7:$N$14&lt;&gt;"",IF($K$7:$K$14&lt;&gt;"",ROW($K$7:$K$14)-MIN(ROW($K$7:$K$14))+1,""),""),ROW()-ROW(A$16)+1))),),"")</f>
        <v/>
      </c>
      <c r="Q19" s="0" t="str">
        <f aca="false">IFERROR(CONCATENATE((INDEX($T$7:$T$14,SMALL(IF($T$7:$T$14&lt;&gt;"",IF($Q$7:$Q$14&lt;&gt;"",ROW($Q$7:$Q$14)-MIN(ROW($Q$7:$Q$14))+1,""),""),ROW()-ROW(A$16)+1)))," "),"")</f>
        <v/>
      </c>
      <c r="R19" s="0" t="str">
        <f aca="false">IFERROR(CONCATENATE(TEXT(INDEX($Q$7:$Q$14,SMALL(IF($T$7:$T$14&lt;&gt;"",IF($Q$7:$Q$14&lt;&gt;"",ROW($Q$7:$Q$14)-MIN(ROW($Q$7:$Q$14))+1,""),""),ROW()-ROW(A$16)+1)),"##0")," "),"")</f>
        <v/>
      </c>
      <c r="S19" s="0" t="str">
        <f aca="false">IFERROR(CONCATENATE((INDEX($A$7:$A$14,SMALL(IF($T$7:$T$14&lt;&gt;"",IF($Q$7:$Q$14&lt;&gt;"",ROW($Q$7:$Q$14)-MIN(ROW($Q$7:$Q$14))+1,""),""),ROW()-ROW(A$16)+1))),),"")</f>
        <v/>
      </c>
      <c r="W19" s="0" t="str">
        <f aca="false">IFERROR(CONCATENATE((INDEX($Z$7:$Z$14,SMALL(IF($Z$7:$Z$14&lt;&gt;"",IF($W$7:$W$14&lt;&gt;"",ROW($W$7:$W$14)-MIN(ROW($W$7:$W$14))+1,""),""),ROW()-ROW(A$16)+1))),","),"")</f>
        <v/>
      </c>
      <c r="X19" s="0" t="str">
        <f aca="false">IFERROR(CONCATENATE(TEXT(INDEX($W$7:$W$14,SMALL(IF($Z$7:$Z$14&lt;&gt;"",IF($W$7:$W$14&lt;&gt;"",ROW($W$7:$W$14)-MIN(ROW($W$7:$W$14))+1,""),""),ROW()-ROW(A$16)+1)),"##0"),","),"")</f>
        <v/>
      </c>
      <c r="Y19" s="0" t="str">
        <f aca="false">IFERROR(CONCATENATE((INDEX($A$7:$A$14,SMALL(IF($Z$7:$Z$14&lt;&gt;"",IF($W$7:$W$14&lt;&gt;"",ROW($W$7:$W$14)-MIN(ROW($W$7:$W$14))+1,""),""),ROW()-ROW(A$16)+1))),),"")</f>
        <v/>
      </c>
    </row>
    <row r="20" customFormat="false" ht="15" hidden="false" customHeight="false" outlineLevel="0" collapsed="false">
      <c r="K20" s="0" t="str">
        <f aca="false">IFERROR(CONCATENATE(TEXT(INDEX($K$7:$K$14,SMALL(IF($N$7:$N$14&lt;&gt;"",IF($K$7:$K$14&lt;&gt;"",ROW($K$7:$K$14)-MIN(ROW($K$7:$K$14))+1,""),""),ROW()-ROW(A$16)+1)),"##0"),","),"")</f>
        <v/>
      </c>
      <c r="L20" s="0" t="str">
        <f aca="false">IFERROR(CONCATENATE((INDEX($N$7:$N$14,SMALL(IF($N$7:$N$14&lt;&gt;"",IF($K$7:$K$14&lt;&gt;"",ROW($K$7:$K$14)-MIN(ROW($K$7:$K$14))+1,""),""),ROW()-ROW(A$16)+1))),","),"")</f>
        <v/>
      </c>
      <c r="M20" s="0" t="str">
        <f aca="false">IFERROR(CONCATENATE((INDEX($A$7:$A$14,SMALL(IF($N$7:$N$14&lt;&gt;"",IF($K$7:$K$14&lt;&gt;"",ROW($K$7:$K$14)-MIN(ROW($K$7:$K$14))+1,""),""),ROW()-ROW(A$16)+1))),),"")</f>
        <v/>
      </c>
      <c r="Q20" s="0" t="str">
        <f aca="false">IFERROR(CONCATENATE((INDEX($T$7:$T$14,SMALL(IF($T$7:$T$14&lt;&gt;"",IF($Q$7:$Q$14&lt;&gt;"",ROW($Q$7:$Q$14)-MIN(ROW($Q$7:$Q$14))+1,""),""),ROW()-ROW(A$16)+1)))," "),"")</f>
        <v/>
      </c>
      <c r="R20" s="0" t="str">
        <f aca="false">IFERROR(CONCATENATE(TEXT(INDEX($Q$7:$Q$14,SMALL(IF($T$7:$T$14&lt;&gt;"",IF($Q$7:$Q$14&lt;&gt;"",ROW($Q$7:$Q$14)-MIN(ROW($Q$7:$Q$14))+1,""),""),ROW()-ROW(A$16)+1)),"##0")," "),"")</f>
        <v/>
      </c>
      <c r="S20" s="0" t="str">
        <f aca="false">IFERROR(CONCATENATE((INDEX($A$7:$A$14,SMALL(IF($T$7:$T$14&lt;&gt;"",IF($Q$7:$Q$14&lt;&gt;"",ROW($Q$7:$Q$14)-MIN(ROW($Q$7:$Q$14))+1,""),""),ROW()-ROW(A$16)+1))),),"")</f>
        <v/>
      </c>
      <c r="W20" s="0" t="str">
        <f aca="false">IFERROR(CONCATENATE((INDEX($Z$7:$Z$14,SMALL(IF($Z$7:$Z$14&lt;&gt;"",IF($W$7:$W$14&lt;&gt;"",ROW($W$7:$W$14)-MIN(ROW($W$7:$W$14))+1,""),""),ROW()-ROW(A$16)+1))),","),"")</f>
        <v/>
      </c>
      <c r="X20" s="0" t="str">
        <f aca="false">IFERROR(CONCATENATE(TEXT(INDEX($W$7:$W$14,SMALL(IF($Z$7:$Z$14&lt;&gt;"",IF($W$7:$W$14&lt;&gt;"",ROW($W$7:$W$14)-MIN(ROW($W$7:$W$14))+1,""),""),ROW()-ROW(A$16)+1)),"##0"),","),"")</f>
        <v/>
      </c>
      <c r="Y20" s="0" t="str">
        <f aca="false">IFERROR(CONCATENATE((INDEX($A$7:$A$14,SMALL(IF($Z$7:$Z$14&lt;&gt;"",IF($W$7:$W$14&lt;&gt;"",ROW($W$7:$W$14)-MIN(ROW($W$7:$W$14))+1,""),""),ROW()-ROW(A$16)+1))),),"")</f>
        <v/>
      </c>
    </row>
    <row r="21" customFormat="false" ht="15" hidden="false" customHeight="false" outlineLevel="0" collapsed="false">
      <c r="K21" s="0" t="str">
        <f aca="false">IFERROR(CONCATENATE(TEXT(INDEX($K$7:$K$14,SMALL(IF($N$7:$N$14&lt;&gt;"",IF($K$7:$K$14&lt;&gt;"",ROW($K$7:$K$14)-MIN(ROW($K$7:$K$14))+1,""),""),ROW()-ROW(A$16)+1)),"##0"),","),"")</f>
        <v/>
      </c>
      <c r="L21" s="0" t="str">
        <f aca="false">IFERROR(CONCATENATE((INDEX($N$7:$N$14,SMALL(IF($N$7:$N$14&lt;&gt;"",IF($K$7:$K$14&lt;&gt;"",ROW($K$7:$K$14)-MIN(ROW($K$7:$K$14))+1,""),""),ROW()-ROW(A$16)+1))),","),"")</f>
        <v/>
      </c>
      <c r="M21" s="0" t="str">
        <f aca="false">IFERROR(CONCATENATE((INDEX($A$7:$A$14,SMALL(IF($N$7:$N$14&lt;&gt;"",IF($K$7:$K$14&lt;&gt;"",ROW($K$7:$K$14)-MIN(ROW($K$7:$K$14))+1,""),""),ROW()-ROW(A$16)+1))),),"")</f>
        <v/>
      </c>
      <c r="Q21" s="0" t="str">
        <f aca="false">IFERROR(CONCATENATE((INDEX($T$7:$T$14,SMALL(IF($T$7:$T$14&lt;&gt;"",IF($Q$7:$Q$14&lt;&gt;"",ROW($Q$7:$Q$14)-MIN(ROW($Q$7:$Q$14))+1,""),""),ROW()-ROW(A$16)+1)))," "),"")</f>
        <v/>
      </c>
      <c r="R21" s="0" t="str">
        <f aca="false">IFERROR(CONCATENATE(TEXT(INDEX($Q$7:$Q$14,SMALL(IF($T$7:$T$14&lt;&gt;"",IF($Q$7:$Q$14&lt;&gt;"",ROW($Q$7:$Q$14)-MIN(ROW($Q$7:$Q$14))+1,""),""),ROW()-ROW(A$16)+1)),"##0")," "),"")</f>
        <v/>
      </c>
      <c r="S21" s="0" t="str">
        <f aca="false">IFERROR(CONCATENATE((INDEX($A$7:$A$14,SMALL(IF($T$7:$T$14&lt;&gt;"",IF($Q$7:$Q$14&lt;&gt;"",ROW($Q$7:$Q$14)-MIN(ROW($Q$7:$Q$14))+1,""),""),ROW()-ROW(A$16)+1))),),"")</f>
        <v/>
      </c>
      <c r="W21" s="0" t="str">
        <f aca="false">IFERROR(CONCATENATE((INDEX($Z$7:$Z$14,SMALL(IF($Z$7:$Z$14&lt;&gt;"",IF($W$7:$W$14&lt;&gt;"",ROW($W$7:$W$14)-MIN(ROW($W$7:$W$14))+1,""),""),ROW()-ROW(A$16)+1))),","),"")</f>
        <v/>
      </c>
      <c r="X21" s="0" t="str">
        <f aca="false">IFERROR(CONCATENATE(TEXT(INDEX($W$7:$W$14,SMALL(IF($Z$7:$Z$14&lt;&gt;"",IF($W$7:$W$14&lt;&gt;"",ROW($W$7:$W$14)-MIN(ROW($W$7:$W$14))+1,""),""),ROW()-ROW(A$16)+1)),"##0"),","),"")</f>
        <v/>
      </c>
      <c r="Y21" s="0" t="str">
        <f aca="false">IFERROR(CONCATENATE((INDEX($A$7:$A$14,SMALL(IF($Z$7:$Z$14&lt;&gt;"",IF($W$7:$W$14&lt;&gt;"",ROW($W$7:$W$14)-MIN(ROW($W$7:$W$14))+1,""),""),ROW()-ROW(A$16)+1))),),"")</f>
        <v/>
      </c>
    </row>
    <row r="22" customFormat="false" ht="15" hidden="false" customHeight="false" outlineLevel="0" collapsed="false">
      <c r="K22" s="0" t="str">
        <f aca="false">IFERROR(CONCATENATE(TEXT(INDEX($K$7:$K$14,SMALL(IF($N$7:$N$14&lt;&gt;"",IF($K$7:$K$14&lt;&gt;"",ROW($K$7:$K$14)-MIN(ROW($K$7:$K$14))+1,""),""),ROW()-ROW(A$16)+1)),"##0"),","),"")</f>
        <v/>
      </c>
      <c r="L22" s="0" t="str">
        <f aca="false">IFERROR(CONCATENATE((INDEX($N$7:$N$14,SMALL(IF($N$7:$N$14&lt;&gt;"",IF($K$7:$K$14&lt;&gt;"",ROW($K$7:$K$14)-MIN(ROW($K$7:$K$14))+1,""),""),ROW()-ROW(A$16)+1))),","),"")</f>
        <v/>
      </c>
      <c r="M22" s="0" t="str">
        <f aca="false">IFERROR(CONCATENATE((INDEX($A$7:$A$14,SMALL(IF($N$7:$N$14&lt;&gt;"",IF($K$7:$K$14&lt;&gt;"",ROW($K$7:$K$14)-MIN(ROW($K$7:$K$14))+1,""),""),ROW()-ROW(A$16)+1))),),"")</f>
        <v/>
      </c>
      <c r="Q22" s="0" t="str">
        <f aca="false">IFERROR(CONCATENATE((INDEX($T$7:$T$14,SMALL(IF($T$7:$T$14&lt;&gt;"",IF($Q$7:$Q$14&lt;&gt;"",ROW($Q$7:$Q$14)-MIN(ROW($Q$7:$Q$14))+1,""),""),ROW()-ROW(A$16)+1)))," "),"")</f>
        <v/>
      </c>
      <c r="R22" s="0" t="str">
        <f aca="false">IFERROR(CONCATENATE(TEXT(INDEX($Q$7:$Q$14,SMALL(IF($T$7:$T$14&lt;&gt;"",IF($Q$7:$Q$14&lt;&gt;"",ROW($Q$7:$Q$14)-MIN(ROW($Q$7:$Q$14))+1,""),""),ROW()-ROW(A$16)+1)),"##0")," "),"")</f>
        <v/>
      </c>
      <c r="S22" s="0" t="str">
        <f aca="false">IFERROR(CONCATENATE((INDEX($A$7:$A$14,SMALL(IF($T$7:$T$14&lt;&gt;"",IF($Q$7:$Q$14&lt;&gt;"",ROW($Q$7:$Q$14)-MIN(ROW($Q$7:$Q$14))+1,""),""),ROW()-ROW(A$16)+1))),),"")</f>
        <v/>
      </c>
      <c r="W22" s="0" t="str">
        <f aca="false">IFERROR(CONCATENATE((INDEX($Z$7:$Z$14,SMALL(IF($Z$7:$Z$14&lt;&gt;"",IF($W$7:$W$14&lt;&gt;"",ROW($W$7:$W$14)-MIN(ROW($W$7:$W$14))+1,""),""),ROW()-ROW(A$16)+1))),","),"")</f>
        <v/>
      </c>
      <c r="X22" s="0" t="str">
        <f aca="false">IFERROR(CONCATENATE(TEXT(INDEX($W$7:$W$14,SMALL(IF($Z$7:$Z$14&lt;&gt;"",IF($W$7:$W$14&lt;&gt;"",ROW($W$7:$W$14)-MIN(ROW($W$7:$W$14))+1,""),""),ROW()-ROW(A$16)+1)),"##0"),","),"")</f>
        <v/>
      </c>
      <c r="Y22" s="0" t="str">
        <f aca="false">IFERROR(CONCATENATE((INDEX($A$7:$A$14,SMALL(IF($Z$7:$Z$14&lt;&gt;"",IF($W$7:$W$14&lt;&gt;"",ROW($W$7:$W$14)-MIN(ROW($W$7:$W$14))+1,""),""),ROW()-ROW(A$16)+1))),),"")</f>
        <v/>
      </c>
    </row>
    <row r="23" customFormat="false" ht="15" hidden="false" customHeight="false" outlineLevel="0" collapsed="false">
      <c r="K23" s="0" t="str">
        <f aca="false">IFERROR(CONCATENATE(TEXT(INDEX($K$7:$K$14,SMALL(IF($N$7:$N$14&lt;&gt;"",IF($K$7:$K$14&lt;&gt;"",ROW($K$7:$K$14)-MIN(ROW($K$7:$K$14))+1,""),""),ROW()-ROW(A$16)+1)),"##0"),","),"")</f>
        <v/>
      </c>
      <c r="L23" s="0" t="str">
        <f aca="false">IFERROR(CONCATENATE((INDEX($N$7:$N$14,SMALL(IF($N$7:$N$14&lt;&gt;"",IF($K$7:$K$14&lt;&gt;"",ROW($K$7:$K$14)-MIN(ROW($K$7:$K$14))+1,""),""),ROW()-ROW(A$16)+1))),","),"")</f>
        <v/>
      </c>
      <c r="M23" s="0" t="str">
        <f aca="false">IFERROR(CONCATENATE((INDEX($A$7:$A$14,SMALL(IF($N$7:$N$14&lt;&gt;"",IF($K$7:$K$14&lt;&gt;"",ROW($K$7:$K$14)-MIN(ROW($K$7:$K$14))+1,""),""),ROW()-ROW(A$16)+1))),),"")</f>
        <v/>
      </c>
      <c r="Q23" s="0" t="str">
        <f aca="false">IFERROR(CONCATENATE((INDEX($T$7:$T$14,SMALL(IF($T$7:$T$14&lt;&gt;"",IF($Q$7:$Q$14&lt;&gt;"",ROW($Q$7:$Q$14)-MIN(ROW($Q$7:$Q$14))+1,""),""),ROW()-ROW(A$16)+1)))," "),"")</f>
        <v/>
      </c>
      <c r="R23" s="0" t="str">
        <f aca="false">IFERROR(CONCATENATE(TEXT(INDEX($Q$7:$Q$14,SMALL(IF($T$7:$T$14&lt;&gt;"",IF($Q$7:$Q$14&lt;&gt;"",ROW($Q$7:$Q$14)-MIN(ROW($Q$7:$Q$14))+1,""),""),ROW()-ROW(A$16)+1)),"##0")," "),"")</f>
        <v/>
      </c>
      <c r="S23" s="0" t="str">
        <f aca="false">IFERROR(CONCATENATE((INDEX($A$7:$A$14,SMALL(IF($T$7:$T$14&lt;&gt;"",IF($Q$7:$Q$14&lt;&gt;"",ROW($Q$7:$Q$14)-MIN(ROW($Q$7:$Q$14))+1,""),""),ROW()-ROW(A$16)+1))),),"")</f>
        <v/>
      </c>
      <c r="W23" s="0" t="str">
        <f aca="false">IFERROR(CONCATENATE((INDEX($Z$7:$Z$14,SMALL(IF($Z$7:$Z$14&lt;&gt;"",IF($W$7:$W$14&lt;&gt;"",ROW($W$7:$W$14)-MIN(ROW($W$7:$W$14))+1,""),""),ROW()-ROW(A$16)+1))),","),"")</f>
        <v/>
      </c>
      <c r="X23" s="0" t="str">
        <f aca="false">IFERROR(CONCATENATE(TEXT(INDEX($W$7:$W$14,SMALL(IF($Z$7:$Z$14&lt;&gt;"",IF($W$7:$W$14&lt;&gt;"",ROW($W$7:$W$14)-MIN(ROW($W$7:$W$14))+1,""),""),ROW()-ROW(A$16)+1)),"##0"),","),"")</f>
        <v/>
      </c>
      <c r="Y23" s="0" t="str">
        <f aca="false">IFERROR(CONCATENATE((INDEX($A$7:$A$14,SMALL(IF($Z$7:$Z$14&lt;&gt;"",IF($W$7:$W$14&lt;&gt;"",ROW($W$7:$W$14)-MIN(ROW($W$7:$W$14))+1,""),""),ROW()-ROW(A$16)+1))),),"")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1">
    <cfRule type="cellIs" priority="3" operator="lessThanOrEqual" aboveAverage="0" equalAverage="0" bottom="0" percent="0" rank="0" text="" dxfId="0">
      <formula>H11</formula>
    </cfRule>
  </conditionalFormatting>
  <conditionalFormatting sqref="L12">
    <cfRule type="cellIs" priority="4" operator="lessThanOrEqual" aboveAverage="0" equalAverage="0" bottom="0" percent="0" rank="0" text="" dxfId="0">
      <formula>H12</formula>
    </cfRule>
  </conditionalFormatting>
  <conditionalFormatting sqref="L13">
    <cfRule type="cellIs" priority="5" operator="lessThanOrEqual" aboveAverage="0" equalAverage="0" bottom="0" percent="0" rank="0" text="" dxfId="0">
      <formula>H13</formula>
    </cfRule>
  </conditionalFormatting>
  <conditionalFormatting sqref="L14">
    <cfRule type="cellIs" priority="6" operator="lessThanOrEqual" aboveAverage="0" equalAverage="0" bottom="0" percent="0" rank="0" text="" dxfId="0">
      <formula>H14</formula>
    </cfRule>
  </conditionalFormatting>
  <conditionalFormatting sqref="L7">
    <cfRule type="cellIs" priority="7" operator="lessThanOrEqual" aboveAverage="0" equalAverage="0" bottom="0" percent="0" rank="0" text="" dxfId="0">
      <formula>H7</formula>
    </cfRule>
  </conditionalFormatting>
  <conditionalFormatting sqref="L8">
    <cfRule type="cellIs" priority="8" operator="lessThanOrEqual" aboveAverage="0" equalAverage="0" bottom="0" percent="0" rank="0" text="" dxfId="0">
      <formula>H8</formula>
    </cfRule>
  </conditionalFormatting>
  <conditionalFormatting sqref="L9">
    <cfRule type="cellIs" priority="9" operator="lessThanOrEqual" aboveAverage="0" equalAverage="0" bottom="0" percent="0" rank="0" text="" dxfId="0">
      <formula>H9</formula>
    </cfRule>
  </conditionalFormatting>
  <conditionalFormatting sqref="M10">
    <cfRule type="cellIs" priority="10" operator="lessThanOrEqual" aboveAverage="0" equalAverage="0" bottom="0" percent="0" rank="0" text="" dxfId="0">
      <formula>I10</formula>
    </cfRule>
  </conditionalFormatting>
  <conditionalFormatting sqref="M11">
    <cfRule type="cellIs" priority="11" operator="lessThanOrEqual" aboveAverage="0" equalAverage="0" bottom="0" percent="0" rank="0" text="" dxfId="0">
      <formula>I11</formula>
    </cfRule>
  </conditionalFormatting>
  <conditionalFormatting sqref="M12">
    <cfRule type="cellIs" priority="12" operator="lessThanOrEqual" aboveAverage="0" equalAverage="0" bottom="0" percent="0" rank="0" text="" dxfId="0">
      <formula>I12</formula>
    </cfRule>
  </conditionalFormatting>
  <conditionalFormatting sqref="M13">
    <cfRule type="cellIs" priority="13" operator="lessThanOrEqual" aboveAverage="0" equalAverage="0" bottom="0" percent="0" rank="0" text="" dxfId="0">
      <formula>I13</formula>
    </cfRule>
  </conditionalFormatting>
  <conditionalFormatting sqref="M14">
    <cfRule type="cellIs" priority="14" operator="lessThanOrEqual" aboveAverage="0" equalAverage="0" bottom="0" percent="0" rank="0" text="" dxfId="0">
      <formula>I14</formula>
    </cfRule>
  </conditionalFormatting>
  <conditionalFormatting sqref="M7">
    <cfRule type="cellIs" priority="15" operator="lessThanOrEqual" aboveAverage="0" equalAverage="0" bottom="0" percent="0" rank="0" text="" dxfId="0">
      <formula>I7</formula>
    </cfRule>
  </conditionalFormatting>
  <conditionalFormatting sqref="M8">
    <cfRule type="cellIs" priority="16" operator="lessThanOrEqual" aboveAverage="0" equalAverage="0" bottom="0" percent="0" rank="0" text="" dxfId="0">
      <formula>I8</formula>
    </cfRule>
  </conditionalFormatting>
  <conditionalFormatting sqref="M9">
    <cfRule type="cellIs" priority="17" operator="lessThanOrEqual" aboveAverage="0" equalAverage="0" bottom="0" percent="0" rank="0" text="" dxfId="0">
      <formula>I9</formula>
    </cfRule>
  </conditionalFormatting>
  <conditionalFormatting sqref="R10">
    <cfRule type="cellIs" priority="18" operator="lessThanOrEqual" aboveAverage="0" equalAverage="0" bottom="0" percent="0" rank="0" text="" dxfId="0">
      <formula>H10</formula>
    </cfRule>
  </conditionalFormatting>
  <conditionalFormatting sqref="R11">
    <cfRule type="cellIs" priority="19" operator="lessThanOrEqual" aboveAverage="0" equalAverage="0" bottom="0" percent="0" rank="0" text="" dxfId="0">
      <formula>H11</formula>
    </cfRule>
  </conditionalFormatting>
  <conditionalFormatting sqref="R12">
    <cfRule type="cellIs" priority="20" operator="lessThanOrEqual" aboveAverage="0" equalAverage="0" bottom="0" percent="0" rank="0" text="" dxfId="0">
      <formula>H12</formula>
    </cfRule>
  </conditionalFormatting>
  <conditionalFormatting sqref="R9">
    <cfRule type="cellIs" priority="21" operator="lessThanOrEqual" aboveAverage="0" equalAverage="0" bottom="0" percent="0" rank="0" text="" dxfId="0">
      <formula>H9</formula>
    </cfRule>
  </conditionalFormatting>
  <conditionalFormatting sqref="S10">
    <cfRule type="cellIs" priority="22" operator="lessThanOrEqual" aboveAverage="0" equalAverage="0" bottom="0" percent="0" rank="0" text="" dxfId="0">
      <formula>I10</formula>
    </cfRule>
  </conditionalFormatting>
  <conditionalFormatting sqref="S11">
    <cfRule type="cellIs" priority="23" operator="lessThanOrEqual" aboveAverage="0" equalAverage="0" bottom="0" percent="0" rank="0" text="" dxfId="0">
      <formula>I11</formula>
    </cfRule>
  </conditionalFormatting>
  <conditionalFormatting sqref="S12">
    <cfRule type="cellIs" priority="24" operator="lessThanOrEqual" aboveAverage="0" equalAverage="0" bottom="0" percent="0" rank="0" text="" dxfId="0">
      <formula>I12</formula>
    </cfRule>
  </conditionalFormatting>
  <conditionalFormatting sqref="S9">
    <cfRule type="cellIs" priority="25" operator="lessThanOrEqual" aboveAverage="0" equalAverage="0" bottom="0" percent="0" rank="0" text="" dxfId="0">
      <formula>I9</formula>
    </cfRule>
  </conditionalFormatting>
  <conditionalFormatting sqref="X12">
    <cfRule type="cellIs" priority="26" operator="lessThanOrEqual" aboveAverage="0" equalAverage="0" bottom="0" percent="0" rank="0" text="" dxfId="0">
      <formula>H12</formula>
    </cfRule>
  </conditionalFormatting>
  <conditionalFormatting sqref="X8">
    <cfRule type="cellIs" priority="27" operator="lessThanOrEqual" aboveAverage="0" equalAverage="0" bottom="0" percent="0" rank="0" text="" dxfId="0">
      <formula>H8</formula>
    </cfRule>
  </conditionalFormatting>
  <conditionalFormatting sqref="X9">
    <cfRule type="cellIs" priority="28" operator="lessThanOrEqual" aboveAverage="0" equalAverage="0" bottom="0" percent="0" rank="0" text="" dxfId="0">
      <formula>H9</formula>
    </cfRule>
  </conditionalFormatting>
  <conditionalFormatting sqref="Y12">
    <cfRule type="cellIs" priority="29" operator="lessThanOrEqual" aboveAverage="0" equalAverage="0" bottom="0" percent="0" rank="0" text="" dxfId="0">
      <formula>I12</formula>
    </cfRule>
  </conditionalFormatting>
  <conditionalFormatting sqref="Y8">
    <cfRule type="cellIs" priority="30" operator="lessThanOrEqual" aboveAverage="0" equalAverage="0" bottom="0" percent="0" rank="0" text="" dxfId="0">
      <formula>I8</formula>
    </cfRule>
  </conditionalFormatting>
  <conditionalFormatting sqref="Y9">
    <cfRule type="cellIs" priority="31" operator="lessThanOrEqual" aboveAverage="0" equalAverage="0" bottom="0" percent="0" rank="0" text="" dxfId="0">
      <formula>I9</formula>
    </cfRule>
  </conditionalFormatting>
  <hyperlinks>
    <hyperlink ref="O7" r:id="rId2" display="Link"/>
    <hyperlink ref="O8" r:id="rId3" display="Link"/>
    <hyperlink ref="AA8" r:id="rId4" display="Link"/>
    <hyperlink ref="O9" r:id="rId5" display="Link"/>
    <hyperlink ref="U9" r:id="rId6" display="Link"/>
    <hyperlink ref="AA9" r:id="rId7" display="Link"/>
    <hyperlink ref="O10" r:id="rId8" display="Link"/>
    <hyperlink ref="U10" r:id="rId9" display="Link"/>
    <hyperlink ref="O11" r:id="rId10" display="Link"/>
    <hyperlink ref="U11" r:id="rId11" display="Link"/>
    <hyperlink ref="AA11" r:id="rId12" display="Link"/>
    <hyperlink ref="O12" r:id="rId13" display="Link"/>
    <hyperlink ref="U12" r:id="rId14" display="Link"/>
    <hyperlink ref="AA12" r:id="rId15" display="Link"/>
    <hyperlink ref="O13" r:id="rId16" display="Link"/>
    <hyperlink ref="O14" r:id="rId17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2016-08-09T05:42:13Z</dcterms:created>
  <dc:language>es-AR</dc:language>
  <dcterms:modified xsi:type="dcterms:W3CDTF">2016-08-09T02:43:50Z</dcterms:modified>
  <cp:revision>1</cp:revision>
</cp:coreProperties>
</file>