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KiCost" sheetId="1" state="visible" r:id="rId2"/>
  </sheets>
  <definedNames>
    <definedName function="false" hidden="false" name="BoardQty" vbProcedure="false">KiCost!$I$1</definedName>
    <definedName function="false" hidden="false" name="digikey_part_data" vbProcedure="false">KiCost!$J$5:$O$10</definedName>
    <definedName function="false" hidden="false" name="global_part_data" vbProcedure="false">KiCost!$A$5:$I$10</definedName>
    <definedName function="false" hidden="false" name="mouser_part_data" vbProcedure="false">KiCost!$P$5:$U$10</definedName>
    <definedName function="false" hidden="false" name="newark_part_data" vbProcedure="false">KiCost!$V$5:$AA$10</definedName>
    <definedName function="false" hidden="false" name="TotalCost" vbProcedure="false">KiCost!$I$2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<sst xmlns="http://schemas.openxmlformats.org/spreadsheetml/2006/main" count="76" uniqueCount="51">
  <si>
    <t>Board Qty:</t>
  </si>
  <si>
    <t>Total Cost:</t>
  </si>
  <si>
    <t>Unit Cost:</t>
  </si>
  <si>
    <t>Global Part Info</t>
  </si>
  <si>
    <t>Digi-Key</t>
  </si>
  <si>
    <t>Mouser</t>
  </si>
  <si>
    <t>Newark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</si>
  <si>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</si>
  <si>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</si>
  <si>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</si>
  <si>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</si>
  <si>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</si>
  <si>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</si>
  <si>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</si>
  <si>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</si>
  <si>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</si>
  <si>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</si>
  <si>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</si>
  <si>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</si>
  <si>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</si>
  <si>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XA1</t>
  </si>
  <si>
    <t>Conn_Poncho2P_2x_20x2</t>
  </si>
  <si>
    <t>ej2:Conn_Poncho_Derecha</t>
  </si>
  <si>
    <t>Harwin</t>
  </si>
  <si>
    <t>M50-3502042</t>
  </si>
  <si>
    <t>952-1387-ND</t>
  </si>
  <si>
    <t>Link</t>
  </si>
  <si>
    <t>855-M50-3502042</t>
  </si>
  <si>
    <t>C1-C5</t>
  </si>
  <si>
    <t>1uF</t>
  </si>
  <si>
    <t>ej2:C_Radial_D5_L6_P2.5</t>
  </si>
  <si>
    <t>Nichicon</t>
  </si>
  <si>
    <t>UMF1V010MDD1TP</t>
  </si>
  <si>
    <t>493-10230-1-ND</t>
  </si>
  <si>
    <t>647-UMF1V010MDD1TP</t>
  </si>
  <si>
    <t>U1</t>
  </si>
  <si>
    <t>MAX232</t>
  </si>
  <si>
    <t>ej2:DIP-16_W7.62mm_LongPads</t>
  </si>
  <si>
    <t>Texas</t>
  </si>
  <si>
    <t>MAX232NE4</t>
  </si>
  <si>
    <t>296-1402-5-ND</t>
  </si>
  <si>
    <t>595-MAX232NE4</t>
  </si>
  <si>
    <t>92B8965</t>
  </si>
  <si>
    <t>J1</t>
  </si>
  <si>
    <t>DB9-F</t>
  </si>
  <si>
    <t>ej2:DB9_F_TH</t>
  </si>
  <si>
    <t>AMP</t>
  </si>
  <si>
    <t>1734354-1</t>
  </si>
  <si>
    <t>A35107-ND</t>
  </si>
  <si>
    <t>571-1734354-1</t>
  </si>
  <si>
    <t>16M2768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</si>
</sst>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scripts/DkSearch/dksus.dll?WT.z_header=search_go&amp;lang=en&amp;keywords=952-1387-ND%20Harwin" TargetMode="External"/><Relationship Id="rId3" Type="http://schemas.openxmlformats.org/officeDocument/2006/relationships/hyperlink" Target="http://www.mouser.com/Search/Refine.aspx?Keyword=M50-3502042%20Harwin" TargetMode="External"/><Relationship Id="rId4" Type="http://schemas.openxmlformats.org/officeDocument/2006/relationships/hyperlink" Target="http://www.newark.com/webapp/wcs/stores/servlet/Search?catalogId=15003&amp;langId=-1&amp;storeId=10194&amp;gs=true&amp;st=M50-3502042%20Harwin" TargetMode="External"/><Relationship Id="rId5" Type="http://schemas.openxmlformats.org/officeDocument/2006/relationships/hyperlink" Target="http://www.digikey.com/product-detail/en/nichicon/UMF1V010MDD1TP/493-10230-1-ND/4312489" TargetMode="External"/><Relationship Id="rId6" Type="http://schemas.openxmlformats.org/officeDocument/2006/relationships/hyperlink" Target="http://www.mouser.com/Search/Refine.aspx?Keyword=UMF1V010MDD1TP%20Nichicon" TargetMode="External"/><Relationship Id="rId7" Type="http://schemas.openxmlformats.org/officeDocument/2006/relationships/hyperlink" Target="http://www.newark.com/webapp/wcs/stores/servlet/Search?catalogId=15003&amp;langId=-1&amp;storeId=10194&amp;gs=true&amp;st=UMF1V010MDD1TP%20Nichicon" TargetMode="External"/><Relationship Id="rId8" Type="http://schemas.openxmlformats.org/officeDocument/2006/relationships/hyperlink" Target="http://www.digikey.com/product-detail/en/texas-instruments/MAX232N/296-1402-5-ND/277048" TargetMode="External"/><Relationship Id="rId9" Type="http://schemas.openxmlformats.org/officeDocument/2006/relationships/hyperlink" Target="http://www.mouser.com/Search/Refine.aspx?Keyword=MAX232NE4%20Texas" TargetMode="External"/><Relationship Id="rId10" Type="http://schemas.openxmlformats.org/officeDocument/2006/relationships/hyperlink" Target="http://www.newark.com/texas-instruments/max232in/rs-232-transceiver-5v-dip-16/dp/92B8965" TargetMode="External"/><Relationship Id="rId11" Type="http://schemas.openxmlformats.org/officeDocument/2006/relationships/hyperlink" Target="http://www.digikey.com/scripts/DkSearch/dksus.dll?WT.z_header=search_go&amp;lang=en&amp;keywords=A35107-ND%20AMP" TargetMode="External"/><Relationship Id="rId12" Type="http://schemas.openxmlformats.org/officeDocument/2006/relationships/hyperlink" Target="http://www.mouser.com/Search/Refine.aspx?Keyword=1734354-1%20AMP" TargetMode="External"/><Relationship Id="rId13" Type="http://schemas.openxmlformats.org/officeDocument/2006/relationships/hyperlink" Target="http://www.newark.com/webapp/wcs/stores/servlet/Search?catalogId=15003&amp;langId=-1&amp;storeId=10194&amp;gs=true&amp;st=1734354-1%20AMP" TargetMode="External"/><Relationship Id="rId1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I1" activeCellId="0" sqref="I1"/>
    </sheetView>
  </sheetViews>
  <sheetFormatPr defaultRowHeight="15"/>
  <cols>
    <col collapsed="false" hidden="false" max="8" min="1" style="0" width="9.1417004048583"/>
    <col collapsed="false" hidden="false" max="9" min="9" style="0" width="15.7125506072875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5" min="14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1025" min="28" style="0" width="8.5748987854251"/>
  </cols>
  <sheetData>
    <row r="1" customFormat="false" ht="15" hidden="false" customHeight="false" outlineLevel="0" collapsed="false">
      <c r="H1" s="1" t="s">
        <v>0</v>
      </c>
      <c r="I1" s="1" t="n">
        <v>10</v>
      </c>
    </row>
    <row r="2" customFormat="false" ht="15" hidden="false" customHeight="false" outlineLevel="0" collapsed="false">
      <c r="H2" s="2" t="s">
        <v>1</v>
      </c>
      <c r="I2" s="3" t="n">
        <f aca="false">SUM(I7:I10)</f>
        <v>68.56</v>
      </c>
      <c r="M2" s="3" t="n">
        <f aca="false">SUM(M7:M10)</f>
        <v>72.28</v>
      </c>
      <c r="S2" s="3" t="n">
        <f aca="false">SUM(S7:S10)</f>
        <v>68.56</v>
      </c>
      <c r="Y2" s="3" t="n">
        <f aca="false">SUM(Y7:Y10)</f>
        <v>23.51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6.856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</row>
    <row r="6" customFormat="false" ht="15" hidden="false" customHeight="false" outlineLevel="0" collapsed="false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14</v>
      </c>
      <c r="M6" s="9" t="s">
        <v>15</v>
      </c>
      <c r="N6" s="9" t="s">
        <v>18</v>
      </c>
      <c r="O6" s="9" t="s">
        <v>19</v>
      </c>
      <c r="P6" s="9" t="s">
        <v>16</v>
      </c>
      <c r="Q6" s="9" t="s">
        <v>17</v>
      </c>
      <c r="R6" s="9" t="s">
        <v>14</v>
      </c>
      <c r="S6" s="9" t="s">
        <v>15</v>
      </c>
      <c r="T6" s="9" t="s">
        <v>18</v>
      </c>
      <c r="U6" s="9" t="s">
        <v>19</v>
      </c>
      <c r="V6" s="9" t="s">
        <v>16</v>
      </c>
      <c r="W6" s="9" t="s">
        <v>17</v>
      </c>
      <c r="X6" s="9" t="s">
        <v>14</v>
      </c>
      <c r="Y6" s="9" t="s">
        <v>15</v>
      </c>
      <c r="Z6" s="9" t="s">
        <v>18</v>
      </c>
      <c r="AA6" s="9" t="s">
        <v>19</v>
      </c>
    </row>
    <row r="7" customFormat="false" ht="15" hidden="false" customHeight="false" outlineLevel="0" collapsed="false">
      <c r="A7" s="0" t="s">
        <v>20</v>
      </c>
      <c r="B7" s="0" t="s">
        <v>21</v>
      </c>
      <c r="D7" s="0" t="s">
        <v>22</v>
      </c>
      <c r="E7" s="0" t="s">
        <v>23</v>
      </c>
      <c r="F7" s="0" t="s">
        <v>24</v>
      </c>
      <c r="G7" s="0" t="n">
        <f aca="false">BoardQty*1</f>
        <v>10</v>
      </c>
      <c r="H7" s="10" t="n">
        <f aca="true">MINA(INDIRECT(ADDRESS(ROW(),COLUMN(newark_part_data)+2)),INDIRECT(ADDRESS(ROW(),COLUMN(digikey_part_data)+2)),INDIRECT(ADDRESS(ROW(),COLUMN(mouser_part_data)+2)))</f>
        <v>3.17</v>
      </c>
      <c r="I7" s="10" t="n">
        <f aca="false">IFERROR(G7*H7,"")</f>
        <v>31.7</v>
      </c>
      <c r="J7" s="0" t="n">
        <v>613</v>
      </c>
      <c r="L7" s="10" t="n">
        <f aca="false">IFERROR(LOOKUP(IF(K7="",G7,K7),{0,1,10,100,500,1000,5000,10000},{0,3.82,3.422,2.8182,2.22772,1.91235,1.7446,1.6775}),"")</f>
        <v>3.422</v>
      </c>
      <c r="M7" s="10" t="n">
        <f aca="false">IFERROR(IF(K7="",G7,K7)*L7,"")</f>
        <v>34.22</v>
      </c>
      <c r="N7" s="0" t="s">
        <v>25</v>
      </c>
      <c r="O7" s="11" t="s">
        <v>26</v>
      </c>
      <c r="P7" s="0" t="n">
        <v>185</v>
      </c>
      <c r="R7" s="10" t="n">
        <f aca="false">IFERROR(LOOKUP(IF(Q7="",G7,Q7),{0,1,10,25,100,250,500,1000,2500,5000},{0,3.3,3.17,2.77,2.65,2.31,2.25,1.92,1.79,1.71}),"")</f>
        <v>3.17</v>
      </c>
      <c r="S7" s="10" t="n">
        <f aca="false">IFERROR(IF(Q7="",G7,Q7)*R7,"")</f>
        <v>31.7</v>
      </c>
      <c r="T7" s="0" t="s">
        <v>27</v>
      </c>
      <c r="U7" s="11" t="s">
        <v>26</v>
      </c>
      <c r="AA7" s="11" t="s">
        <v>26</v>
      </c>
    </row>
    <row r="8" customFormat="false" ht="15" hidden="false" customHeight="false" outlineLevel="0" collapsed="false">
      <c r="A8" s="0" t="s">
        <v>28</v>
      </c>
      <c r="B8" s="0" t="s">
        <v>29</v>
      </c>
      <c r="D8" s="0" t="s">
        <v>30</v>
      </c>
      <c r="E8" s="0" t="s">
        <v>31</v>
      </c>
      <c r="F8" s="0" t="s">
        <v>32</v>
      </c>
      <c r="G8" s="0" t="n">
        <f aca="false">BoardQty*5</f>
        <v>50</v>
      </c>
      <c r="H8" s="10" t="n">
        <f aca="true">MINA(INDIRECT(ADDRESS(ROW(),COLUMN(newark_part_data)+2)),INDIRECT(ADDRESS(ROW(),COLUMN(digikey_part_data)+2)),INDIRECT(ADDRESS(ROW(),COLUMN(mouser_part_data)+2)))</f>
        <v>0.317</v>
      </c>
      <c r="I8" s="10" t="n">
        <f aca="false">IFERROR(G8*H8,"")</f>
        <v>15.85</v>
      </c>
      <c r="J8" s="0" t="n">
        <v>2534</v>
      </c>
      <c r="L8" s="10" t="n">
        <f aca="false">IFERROR(LOOKUP(IF(K8="",G8,K8),{0,1,10,25,50,100,250,500,1000,2000,4000,10000,14000,50000,100000},{0,0.56,0.532,0.3772,0.3176,0.2581,0.2144,0.19454,0.17865,0.12704,0.1191,0.11116,0.10918,0.10322,0.09925}),"")</f>
        <v>0.3176</v>
      </c>
      <c r="M8" s="10" t="n">
        <f aca="false">IFERROR(IF(K8="",G8,K8)*L8,"")</f>
        <v>15.88</v>
      </c>
      <c r="N8" s="0" t="s">
        <v>33</v>
      </c>
      <c r="O8" s="11" t="s">
        <v>26</v>
      </c>
      <c r="P8" s="0" t="n">
        <v>1492</v>
      </c>
      <c r="R8" s="10" t="n">
        <f aca="false">IFERROR(LOOKUP(IF(Q8="",G8,Q8),{0,1,10,100,500,1000,2000,10000,24000,50000},{0,0.558,0.317,0.215,0.194,0.179,0.12,0.11,0.107,0.099}),"")</f>
        <v>0.317</v>
      </c>
      <c r="S8" s="10" t="n">
        <f aca="false">IFERROR(IF(Q8="",G8,Q8)*R8,"")</f>
        <v>15.85</v>
      </c>
      <c r="T8" s="0" t="s">
        <v>34</v>
      </c>
      <c r="U8" s="11" t="s">
        <v>26</v>
      </c>
      <c r="AA8" s="11" t="s">
        <v>26</v>
      </c>
    </row>
    <row r="9" customFormat="false" ht="15" hidden="false" customHeight="false" outlineLevel="0" collapsed="false">
      <c r="A9" s="0" t="s">
        <v>35</v>
      </c>
      <c r="B9" s="0" t="s">
        <v>36</v>
      </c>
      <c r="D9" s="0" t="s">
        <v>37</v>
      </c>
      <c r="E9" s="0" t="s">
        <v>38</v>
      </c>
      <c r="F9" s="0" t="s">
        <v>39</v>
      </c>
      <c r="G9" s="0" t="n">
        <f aca="false">BoardQty*1</f>
        <v>10</v>
      </c>
      <c r="H9" s="10" t="n">
        <f aca="true">MINA(INDIRECT(ADDRESS(ROW(),COLUMN(newark_part_data)+2)),INDIRECT(ADDRESS(ROW(),COLUMN(digikey_part_data)+2)),INDIRECT(ADDRESS(ROW(),COLUMN(mouser_part_data)+2)))</f>
        <v>0.911</v>
      </c>
      <c r="I9" s="10" t="n">
        <f aca="false">IFERROR(G9*H9,"")</f>
        <v>9.11</v>
      </c>
      <c r="J9" s="0" t="n">
        <v>10085</v>
      </c>
      <c r="L9" s="10" t="n">
        <f aca="false">IFERROR(LOOKUP(IF(K9="",G9,K9),{0,1,10,100,500,775,1000,2500,5000,10000},{0,1.09,0.974,0.759,0.627,0.62701,0.495,0.462,0.4389,0.4224}),"")</f>
        <v>0.974</v>
      </c>
      <c r="M9" s="10" t="n">
        <f aca="false">IFERROR(IF(K9="",G9,K9)*L9,"")</f>
        <v>9.74</v>
      </c>
      <c r="N9" s="0" t="s">
        <v>40</v>
      </c>
      <c r="O9" s="11" t="s">
        <v>26</v>
      </c>
      <c r="P9" s="0" t="n">
        <v>847</v>
      </c>
      <c r="R9" s="10" t="n">
        <f aca="false">IFERROR(LOOKUP(IF(Q9="",G9,Q9),{0,1,10,100,500,1000,2500,10000,25000},{0,1.06,0.911,0.701,0.618,0.488,0.431,0.415,0.412}),"")</f>
        <v>0.911</v>
      </c>
      <c r="S9" s="10" t="n">
        <f aca="false">IFERROR(IF(Q9="",G9,Q9)*R9,"")</f>
        <v>9.11</v>
      </c>
      <c r="T9" s="0" t="s">
        <v>41</v>
      </c>
      <c r="U9" s="11" t="s">
        <v>26</v>
      </c>
      <c r="V9" s="0" t="n">
        <v>682</v>
      </c>
      <c r="X9" s="10" t="n">
        <f aca="false">IFERROR(LOOKUP(IF(W9="",G9,W9),{0,1,10,100,500,1000,2500,10000,25000},{0,1.08,0.921,0.71,0.627,0.495,0.429,0.413,0.413}),"")</f>
        <v>0.921</v>
      </c>
      <c r="Y9" s="10" t="n">
        <f aca="false">IFERROR(IF(W9="",G9,W9)*X9,"")</f>
        <v>9.21</v>
      </c>
      <c r="Z9" s="0" t="s">
        <v>42</v>
      </c>
      <c r="AA9" s="11" t="s">
        <v>26</v>
      </c>
    </row>
    <row r="10" customFormat="false" ht="15" hidden="false" customHeight="false" outlineLevel="0" collapsed="false">
      <c r="A10" s="0" t="s">
        <v>43</v>
      </c>
      <c r="B10" s="0" t="s">
        <v>44</v>
      </c>
      <c r="D10" s="0" t="s">
        <v>45</v>
      </c>
      <c r="E10" s="0" t="s">
        <v>46</v>
      </c>
      <c r="F10" s="0" t="s">
        <v>47</v>
      </c>
      <c r="G10" s="0" t="n">
        <f aca="false">BoardQty*1</f>
        <v>10</v>
      </c>
      <c r="H10" s="10" t="n">
        <f aca="true">MINA(INDIRECT(ADDRESS(ROW(),COLUMN(newark_part_data)+2)),INDIRECT(ADDRESS(ROW(),COLUMN(digikey_part_data)+2)),INDIRECT(ADDRESS(ROW(),COLUMN(mouser_part_data)+2)))</f>
        <v>1.19</v>
      </c>
      <c r="I10" s="10" t="n">
        <f aca="false">IFERROR(G10*H10,"")</f>
        <v>11.9</v>
      </c>
      <c r="J10" s="0" t="n">
        <v>12342</v>
      </c>
      <c r="L10" s="10" t="n">
        <f aca="false">IFERROR(LOOKUP(IF(K10="",G10,K10),{0,1,10,50,100,250,500,1000,2500,5000},{0,1.37,1.244,1.1168,1.0661,0.96456,0.88842,0.76151,0.71074,0.6752}),"")</f>
        <v>1.244</v>
      </c>
      <c r="M10" s="10" t="n">
        <f aca="false">IFERROR(IF(K10="",G10,K10)*L10,"")</f>
        <v>12.44</v>
      </c>
      <c r="N10" s="0" t="s">
        <v>48</v>
      </c>
      <c r="O10" s="11" t="s">
        <v>26</v>
      </c>
      <c r="P10" s="0" t="n">
        <v>5108</v>
      </c>
      <c r="R10" s="10" t="n">
        <f aca="false">IFERROR(LOOKUP(IF(Q10="",G10,Q10),{0,1,25,50,100,500,1000,2500,5000},{0,1.19,1.17,1.07,0.925,0.85,0.727,0.678,0.661}),"")</f>
        <v>1.19</v>
      </c>
      <c r="S10" s="10" t="n">
        <f aca="false">IFERROR(IF(Q10="",G10,Q10)*R10,"")</f>
        <v>11.9</v>
      </c>
      <c r="T10" s="0" t="s">
        <v>49</v>
      </c>
      <c r="U10" s="11" t="s">
        <v>26</v>
      </c>
      <c r="V10" s="0" t="n">
        <v>35121</v>
      </c>
      <c r="X10" s="10" t="n">
        <f aca="false">IFERROR(LOOKUP(IF(W10="",G10,W10),{0,1,25,50,100,500,1000,2500,5000},{0,1.43,1.4,1.28,1.11,1.02,0.872,0.814,0.774}),"")</f>
        <v>1.43</v>
      </c>
      <c r="Y10" s="10" t="n">
        <f aca="false">IFERROR(IF(W10="",G10,W10)*X10,"")</f>
        <v>14.3</v>
      </c>
      <c r="Z10" s="0" t="s">
        <v>50</v>
      </c>
      <c r="AA10" s="11" t="s">
        <v>26</v>
      </c>
    </row>
    <row r="12" customFormat="false" ht="15" hidden="false" customHeight="false" outlineLevel="0" collapsed="false">
      <c r="K12" s="0" t="str">
        <f aca="false">IFERROR(CONCATENATE(TEXT(INDEX($K$7:$K$10,SMALL(IF($N$7:$N$10&lt;&gt;"",IF($K$7:$K$10&lt;&gt;"",ROW($K$7:$K$10)-MIN(ROW($K$7:$K$10))+1,""),""),ROW()-ROW(A$12)+1)),"##0"),","),"")</f>
        <v/>
      </c>
      <c r="L12" s="0" t="str">
        <f aca="false">IFERROR(CONCATENATE((INDEX($N$7:$N$10,SMALL(IF($N$7:$N$10&lt;&gt;"",IF($K$7:$K$10&lt;&gt;"",ROW($K$7:$K$10)-MIN(ROW($K$7:$K$10))+1,""),""),ROW()-ROW(A$12)+1))),","),"")</f>
        <v/>
      </c>
      <c r="M12" s="0" t="str">
        <f aca="false">IFERROR(CONCATENATE((INDEX($A$7:$A$10,SMALL(IF($N$7:$N$10&lt;&gt;"",IF($K$7:$K$10&lt;&gt;"",ROW($K$7:$K$10)-MIN(ROW($K$7:$K$10))+1,""),""),ROW()-ROW(A$12)+1))),),"")</f>
        <v/>
      </c>
      <c r="Q12" s="0" t="str">
        <f aca="false">IFERROR(CONCATENATE((INDEX($T$7:$T$10,SMALL(IF($T$7:$T$10&lt;&gt;"",IF($Q$7:$Q$10&lt;&gt;"",ROW($Q$7:$Q$10)-MIN(ROW($Q$7:$Q$10))+1,""),""),ROW()-ROW(A$12)+1)))," "),"")</f>
        <v/>
      </c>
      <c r="R12" s="0" t="str">
        <f aca="false">IFERROR(CONCATENATE(TEXT(INDEX($Q$7:$Q$10,SMALL(IF($T$7:$T$10&lt;&gt;"",IF($Q$7:$Q$10&lt;&gt;"",ROW($Q$7:$Q$10)-MIN(ROW($Q$7:$Q$10))+1,""),""),ROW()-ROW(A$12)+1)),"##0")," "),"")</f>
        <v/>
      </c>
      <c r="S12" s="0" t="str">
        <f aca="false">IFERROR(CONCATENATE((INDEX($A$7:$A$10,SMALL(IF($T$7:$T$10&lt;&gt;"",IF($Q$7:$Q$10&lt;&gt;"",ROW($Q$7:$Q$10)-MIN(ROW($Q$7:$Q$10))+1,""),""),ROW()-ROW(A$12)+1))),),"")</f>
        <v/>
      </c>
      <c r="W12" s="0" t="str">
        <f aca="false">IFERROR(CONCATENATE((INDEX($Z$7:$Z$10,SMALL(IF($Z$7:$Z$10&lt;&gt;"",IF($W$7:$W$10&lt;&gt;"",ROW($W$7:$W$10)-MIN(ROW($W$7:$W$10))+1,""),""),ROW()-ROW(A$12)+1))),","),"")</f>
        <v/>
      </c>
      <c r="X12" s="0" t="str">
        <f aca="false">IFERROR(CONCATENATE(TEXT(INDEX($W$7:$W$10,SMALL(IF($Z$7:$Z$10&lt;&gt;"",IF($W$7:$W$10&lt;&gt;"",ROW($W$7:$W$10)-MIN(ROW($W$7:$W$10))+1,""),""),ROW()-ROW(A$12)+1)),"##0"),","),"")</f>
        <v/>
      </c>
      <c r="Y12" s="0" t="str">
        <f aca="false">IFERROR(CONCATENATE((INDEX($A$7:$A$10,SMALL(IF($Z$7:$Z$10&lt;&gt;"",IF($W$7:$W$10&lt;&gt;"",ROW($W$7:$W$10)-MIN(ROW($W$7:$W$10))+1,""),""),ROW()-ROW(A$12)+1))),),"")</f>
        <v/>
      </c>
    </row>
    <row r="13" customFormat="false" ht="15" hidden="false" customHeight="false" outlineLevel="0" collapsed="false">
      <c r="K13" s="0" t="str">
        <f aca="false">IFERROR(CONCATENATE(TEXT(INDEX($K$7:$K$10,SMALL(IF($N$7:$N$10&lt;&gt;"",IF($K$7:$K$10&lt;&gt;"",ROW($K$7:$K$10)-MIN(ROW($K$7:$K$10))+1,""),""),ROW()-ROW(A$12)+1)),"##0"),","),"")</f>
        <v/>
      </c>
      <c r="L13" s="0" t="str">
        <f aca="false">IFERROR(CONCATENATE((INDEX($N$7:$N$10,SMALL(IF($N$7:$N$10&lt;&gt;"",IF($K$7:$K$10&lt;&gt;"",ROW($K$7:$K$10)-MIN(ROW($K$7:$K$10))+1,""),""),ROW()-ROW(A$12)+1))),","),"")</f>
        <v/>
      </c>
      <c r="M13" s="0" t="str">
        <f aca="false">IFERROR(CONCATENATE((INDEX($A$7:$A$10,SMALL(IF($N$7:$N$10&lt;&gt;"",IF($K$7:$K$10&lt;&gt;"",ROW($K$7:$K$10)-MIN(ROW($K$7:$K$10))+1,""),""),ROW()-ROW(A$12)+1))),),"")</f>
        <v/>
      </c>
      <c r="Q13" s="0" t="str">
        <f aca="false">IFERROR(CONCATENATE((INDEX($T$7:$T$10,SMALL(IF($T$7:$T$10&lt;&gt;"",IF($Q$7:$Q$10&lt;&gt;"",ROW($Q$7:$Q$10)-MIN(ROW($Q$7:$Q$10))+1,""),""),ROW()-ROW(A$12)+1)))," "),"")</f>
        <v/>
      </c>
      <c r="R13" s="0" t="str">
        <f aca="false">IFERROR(CONCATENATE(TEXT(INDEX($Q$7:$Q$10,SMALL(IF($T$7:$T$10&lt;&gt;"",IF($Q$7:$Q$10&lt;&gt;"",ROW($Q$7:$Q$10)-MIN(ROW($Q$7:$Q$10))+1,""),""),ROW()-ROW(A$12)+1)),"##0")," "),"")</f>
        <v/>
      </c>
      <c r="S13" s="0" t="str">
        <f aca="false">IFERROR(CONCATENATE((INDEX($A$7:$A$10,SMALL(IF($T$7:$T$10&lt;&gt;"",IF($Q$7:$Q$10&lt;&gt;"",ROW($Q$7:$Q$10)-MIN(ROW($Q$7:$Q$10))+1,""),""),ROW()-ROW(A$12)+1))),),"")</f>
        <v/>
      </c>
      <c r="W13" s="0" t="str">
        <f aca="false">IFERROR(CONCATENATE((INDEX($Z$7:$Z$10,SMALL(IF($Z$7:$Z$10&lt;&gt;"",IF($W$7:$W$10&lt;&gt;"",ROW($W$7:$W$10)-MIN(ROW($W$7:$W$10))+1,""),""),ROW()-ROW(A$12)+1))),","),"")</f>
        <v/>
      </c>
      <c r="X13" s="0" t="str">
        <f aca="false">IFERROR(CONCATENATE(TEXT(INDEX($W$7:$W$10,SMALL(IF($Z$7:$Z$10&lt;&gt;"",IF($W$7:$W$10&lt;&gt;"",ROW($W$7:$W$10)-MIN(ROW($W$7:$W$10))+1,""),""),ROW()-ROW(A$12)+1)),"##0"),","),"")</f>
        <v/>
      </c>
      <c r="Y13" s="0" t="str">
        <f aca="false">IFERROR(CONCATENATE((INDEX($A$7:$A$10,SMALL(IF($Z$7:$Z$10&lt;&gt;"",IF($W$7:$W$10&lt;&gt;"",ROW($W$7:$W$10)-MIN(ROW($W$7:$W$10))+1,""),""),ROW()-ROW(A$12)+1))),),"")</f>
        <v/>
      </c>
    </row>
    <row r="14" customFormat="false" ht="15" hidden="false" customHeight="false" outlineLevel="0" collapsed="false">
      <c r="K14" s="0" t="str">
        <f aca="false">IFERROR(CONCATENATE(TEXT(INDEX($K$7:$K$10,SMALL(IF($N$7:$N$10&lt;&gt;"",IF($K$7:$K$10&lt;&gt;"",ROW($K$7:$K$10)-MIN(ROW($K$7:$K$10))+1,""),""),ROW()-ROW(A$12)+1)),"##0"),","),"")</f>
        <v/>
      </c>
      <c r="L14" s="0" t="str">
        <f aca="false">IFERROR(CONCATENATE((INDEX($N$7:$N$10,SMALL(IF($N$7:$N$10&lt;&gt;"",IF($K$7:$K$10&lt;&gt;"",ROW($K$7:$K$10)-MIN(ROW($K$7:$K$10))+1,""),""),ROW()-ROW(A$12)+1))),","),"")</f>
        <v/>
      </c>
      <c r="M14" s="0" t="str">
        <f aca="false">IFERROR(CONCATENATE((INDEX($A$7:$A$10,SMALL(IF($N$7:$N$10&lt;&gt;"",IF($K$7:$K$10&lt;&gt;"",ROW($K$7:$K$10)-MIN(ROW($K$7:$K$10))+1,""),""),ROW()-ROW(A$12)+1))),),"")</f>
        <v/>
      </c>
      <c r="Q14" s="0" t="str">
        <f aca="false">IFERROR(CONCATENATE((INDEX($T$7:$T$10,SMALL(IF($T$7:$T$10&lt;&gt;"",IF($Q$7:$Q$10&lt;&gt;"",ROW($Q$7:$Q$10)-MIN(ROW($Q$7:$Q$10))+1,""),""),ROW()-ROW(A$12)+1)))," "),"")</f>
        <v/>
      </c>
      <c r="R14" s="0" t="str">
        <f aca="false">IFERROR(CONCATENATE(TEXT(INDEX($Q$7:$Q$10,SMALL(IF($T$7:$T$10&lt;&gt;"",IF($Q$7:$Q$10&lt;&gt;"",ROW($Q$7:$Q$10)-MIN(ROW($Q$7:$Q$10))+1,""),""),ROW()-ROW(A$12)+1)),"##0")," "),"")</f>
        <v/>
      </c>
      <c r="S14" s="0" t="str">
        <f aca="false">IFERROR(CONCATENATE((INDEX($A$7:$A$10,SMALL(IF($T$7:$T$10&lt;&gt;"",IF($Q$7:$Q$10&lt;&gt;"",ROW($Q$7:$Q$10)-MIN(ROW($Q$7:$Q$10))+1,""),""),ROW()-ROW(A$12)+1))),),"")</f>
        <v/>
      </c>
      <c r="W14" s="0" t="str">
        <f aca="false">IFERROR(CONCATENATE((INDEX($Z$7:$Z$10,SMALL(IF($Z$7:$Z$10&lt;&gt;"",IF($W$7:$W$10&lt;&gt;"",ROW($W$7:$W$10)-MIN(ROW($W$7:$W$10))+1,""),""),ROW()-ROW(A$12)+1))),","),"")</f>
        <v/>
      </c>
      <c r="X14" s="0" t="str">
        <f aca="false">IFERROR(CONCATENATE(TEXT(INDEX($W$7:$W$10,SMALL(IF($Z$7:$Z$10&lt;&gt;"",IF($W$7:$W$10&lt;&gt;"",ROW($W$7:$W$10)-MIN(ROW($W$7:$W$10))+1,""),""),ROW()-ROW(A$12)+1)),"##0"),","),"")</f>
        <v/>
      </c>
      <c r="Y14" s="0" t="str">
        <f aca="false">IFERROR(CONCATENATE((INDEX($A$7:$A$10,SMALL(IF($Z$7:$Z$10&lt;&gt;"",IF($W$7:$W$10&lt;&gt;"",ROW($W$7:$W$10)-MIN(ROW($W$7:$W$10))+1,""),""),ROW()-ROW(A$12)+1))),),"")</f>
        <v/>
      </c>
    </row>
    <row r="15" customFormat="false" ht="15" hidden="false" customHeight="false" outlineLevel="0" collapsed="false">
      <c r="K15" s="0" t="str">
        <f aca="false">IFERROR(CONCATENATE(TEXT(INDEX($K$7:$K$10,SMALL(IF($N$7:$N$10&lt;&gt;"",IF($K$7:$K$10&lt;&gt;"",ROW($K$7:$K$10)-MIN(ROW($K$7:$K$10))+1,""),""),ROW()-ROW(A$12)+1)),"##0"),","),"")</f>
        <v/>
      </c>
      <c r="L15" s="0" t="str">
        <f aca="false">IFERROR(CONCATENATE((INDEX($N$7:$N$10,SMALL(IF($N$7:$N$10&lt;&gt;"",IF($K$7:$K$10&lt;&gt;"",ROW($K$7:$K$10)-MIN(ROW($K$7:$K$10))+1,""),""),ROW()-ROW(A$12)+1))),","),"")</f>
        <v/>
      </c>
      <c r="M15" s="0" t="str">
        <f aca="false">IFERROR(CONCATENATE((INDEX($A$7:$A$10,SMALL(IF($N$7:$N$10&lt;&gt;"",IF($K$7:$K$10&lt;&gt;"",ROW($K$7:$K$10)-MIN(ROW($K$7:$K$10))+1,""),""),ROW()-ROW(A$12)+1))),),"")</f>
        <v/>
      </c>
      <c r="Q15" s="0" t="str">
        <f aca="false">IFERROR(CONCATENATE((INDEX($T$7:$T$10,SMALL(IF($T$7:$T$10&lt;&gt;"",IF($Q$7:$Q$10&lt;&gt;"",ROW($Q$7:$Q$10)-MIN(ROW($Q$7:$Q$10))+1,""),""),ROW()-ROW(A$12)+1)))," "),"")</f>
        <v/>
      </c>
      <c r="R15" s="0" t="str">
        <f aca="false">IFERROR(CONCATENATE(TEXT(INDEX($Q$7:$Q$10,SMALL(IF($T$7:$T$10&lt;&gt;"",IF($Q$7:$Q$10&lt;&gt;"",ROW($Q$7:$Q$10)-MIN(ROW($Q$7:$Q$10))+1,""),""),ROW()-ROW(A$12)+1)),"##0")," "),"")</f>
        <v/>
      </c>
      <c r="S15" s="0" t="str">
        <f aca="false">IFERROR(CONCATENATE((INDEX($A$7:$A$10,SMALL(IF($T$7:$T$10&lt;&gt;"",IF($Q$7:$Q$10&lt;&gt;"",ROW($Q$7:$Q$10)-MIN(ROW($Q$7:$Q$10))+1,""),""),ROW()-ROW(A$12)+1))),),"")</f>
        <v/>
      </c>
      <c r="W15" s="0" t="str">
        <f aca="false">IFERROR(CONCATENATE((INDEX($Z$7:$Z$10,SMALL(IF($Z$7:$Z$10&lt;&gt;"",IF($W$7:$W$10&lt;&gt;"",ROW($W$7:$W$10)-MIN(ROW($W$7:$W$10))+1,""),""),ROW()-ROW(A$12)+1))),","),"")</f>
        <v/>
      </c>
      <c r="X15" s="0" t="str">
        <f aca="false">IFERROR(CONCATENATE(TEXT(INDEX($W$7:$W$10,SMALL(IF($Z$7:$Z$10&lt;&gt;"",IF($W$7:$W$10&lt;&gt;"",ROW($W$7:$W$10)-MIN(ROW($W$7:$W$10))+1,""),""),ROW()-ROW(A$12)+1)),"##0"),","),"")</f>
        <v/>
      </c>
      <c r="Y15" s="0" t="str">
        <f aca="false">IFERROR(CONCATENATE((INDEX($A$7:$A$10,SMALL(IF($Z$7:$Z$10&lt;&gt;"",IF($W$7:$W$10&lt;&gt;"",ROW($W$7:$W$10)-MIN(ROW($W$7:$W$10))+1,""),""),ROW()-ROW(A$12)+1))),),"")</f>
        <v/>
      </c>
    </row>
  </sheetData>
  <mergeCells count="4">
    <mergeCell ref="A5:I5"/>
    <mergeCell ref="J5:O5"/>
    <mergeCell ref="P5:U5"/>
    <mergeCell ref="V5:AA5"/>
  </mergeCells>
  <conditionalFormatting sqref="L10">
    <cfRule type="cellIs" priority="2" operator="lessThanOrEqual" aboveAverage="0" equalAverage="0" bottom="0" percent="0" rank="0" text="" dxfId="0">
      <formula>H10</formula>
    </cfRule>
  </conditionalFormatting>
  <conditionalFormatting sqref="L7">
    <cfRule type="cellIs" priority="3" operator="lessThanOrEqual" aboveAverage="0" equalAverage="0" bottom="0" percent="0" rank="0" text="" dxfId="0">
      <formula>H7</formula>
    </cfRule>
  </conditionalFormatting>
  <conditionalFormatting sqref="L8">
    <cfRule type="cellIs" priority="4" operator="lessThanOrEqual" aboveAverage="0" equalAverage="0" bottom="0" percent="0" rank="0" text="" dxfId="0">
      <formula>H8</formula>
    </cfRule>
  </conditionalFormatting>
  <conditionalFormatting sqref="L9">
    <cfRule type="cellIs" priority="5" operator="lessThanOrEqual" aboveAverage="0" equalAverage="0" bottom="0" percent="0" rank="0" text="" dxfId="0">
      <formula>H9</formula>
    </cfRule>
  </conditionalFormatting>
  <conditionalFormatting sqref="M10">
    <cfRule type="cellIs" priority="6" operator="lessThanOrEqual" aboveAverage="0" equalAverage="0" bottom="0" percent="0" rank="0" text="" dxfId="0">
      <formula>I10</formula>
    </cfRule>
  </conditionalFormatting>
  <conditionalFormatting sqref="M7">
    <cfRule type="cellIs" priority="7" operator="lessThanOrEqual" aboveAverage="0" equalAverage="0" bottom="0" percent="0" rank="0" text="" dxfId="0">
      <formula>I7</formula>
    </cfRule>
  </conditionalFormatting>
  <conditionalFormatting sqref="M8">
    <cfRule type="cellIs" priority="8" operator="lessThanOrEqual" aboveAverage="0" equalAverage="0" bottom="0" percent="0" rank="0" text="" dxfId="0">
      <formula>I8</formula>
    </cfRule>
  </conditionalFormatting>
  <conditionalFormatting sqref="M9">
    <cfRule type="cellIs" priority="9" operator="lessThanOrEqual" aboveAverage="0" equalAverage="0" bottom="0" percent="0" rank="0" text="" dxfId="0">
      <formula>I9</formula>
    </cfRule>
  </conditionalFormatting>
  <conditionalFormatting sqref="R10">
    <cfRule type="cellIs" priority="10" operator="lessThanOrEqual" aboveAverage="0" equalAverage="0" bottom="0" percent="0" rank="0" text="" dxfId="0">
      <formula>H10</formula>
    </cfRule>
  </conditionalFormatting>
  <conditionalFormatting sqref="R7">
    <cfRule type="cellIs" priority="11" operator="lessThanOrEqual" aboveAverage="0" equalAverage="0" bottom="0" percent="0" rank="0" text="" dxfId="0">
      <formula>H7</formula>
    </cfRule>
  </conditionalFormatting>
  <conditionalFormatting sqref="R8">
    <cfRule type="cellIs" priority="12" operator="lessThanOrEqual" aboveAverage="0" equalAverage="0" bottom="0" percent="0" rank="0" text="" dxfId="0">
      <formula>H8</formula>
    </cfRule>
  </conditionalFormatting>
  <conditionalFormatting sqref="R9">
    <cfRule type="cellIs" priority="13" operator="lessThanOrEqual" aboveAverage="0" equalAverage="0" bottom="0" percent="0" rank="0" text="" dxfId="0">
      <formula>H9</formula>
    </cfRule>
  </conditionalFormatting>
  <conditionalFormatting sqref="S10">
    <cfRule type="cellIs" priority="14" operator="lessThanOrEqual" aboveAverage="0" equalAverage="0" bottom="0" percent="0" rank="0" text="" dxfId="0">
      <formula>I10</formula>
    </cfRule>
  </conditionalFormatting>
  <conditionalFormatting sqref="S7">
    <cfRule type="cellIs" priority="15" operator="lessThanOrEqual" aboveAverage="0" equalAverage="0" bottom="0" percent="0" rank="0" text="" dxfId="0">
      <formula>I7</formula>
    </cfRule>
  </conditionalFormatting>
  <conditionalFormatting sqref="S8">
    <cfRule type="cellIs" priority="16" operator="lessThanOrEqual" aboveAverage="0" equalAverage="0" bottom="0" percent="0" rank="0" text="" dxfId="0">
      <formula>I8</formula>
    </cfRule>
  </conditionalFormatting>
  <conditionalFormatting sqref="S9">
    <cfRule type="cellIs" priority="17" operator="lessThanOrEqual" aboveAverage="0" equalAverage="0" bottom="0" percent="0" rank="0" text="" dxfId="0">
      <formula>I9</formula>
    </cfRule>
  </conditionalFormatting>
  <conditionalFormatting sqref="X10">
    <cfRule type="cellIs" priority="18" operator="lessThanOrEqual" aboveAverage="0" equalAverage="0" bottom="0" percent="0" rank="0" text="" dxfId="0">
      <formula>H10</formula>
    </cfRule>
  </conditionalFormatting>
  <conditionalFormatting sqref="X9">
    <cfRule type="cellIs" priority="19" operator="lessThanOrEqual" aboveAverage="0" equalAverage="0" bottom="0" percent="0" rank="0" text="" dxfId="0">
      <formula>H9</formula>
    </cfRule>
  </conditionalFormatting>
  <conditionalFormatting sqref="Y10">
    <cfRule type="cellIs" priority="20" operator="lessThanOrEqual" aboveAverage="0" equalAverage="0" bottom="0" percent="0" rank="0" text="" dxfId="0">
      <formula>I10</formula>
    </cfRule>
  </conditionalFormatting>
  <conditionalFormatting sqref="Y9">
    <cfRule type="cellIs" priority="21" operator="lessThanOrEqual" aboveAverage="0" equalAverage="0" bottom="0" percent="0" rank="0" text="" dxfId="0">
      <formula>I9</formula>
    </cfRule>
  </conditionalFormatting>
  <hyperlinks>
    <hyperlink ref="O7" r:id="rId2" display="Link"/>
    <hyperlink ref="U7" r:id="rId3" display="Link"/>
    <hyperlink ref="AA7" r:id="rId4" display="Link"/>
    <hyperlink ref="O8" r:id="rId5" display="Link"/>
    <hyperlink ref="U8" r:id="rId6" display="Link"/>
    <hyperlink ref="AA8" r:id="rId7" display="Link"/>
    <hyperlink ref="O9" r:id="rId8" display="Link"/>
    <hyperlink ref="U9" r:id="rId9" display="Link"/>
    <hyperlink ref="AA9" r:id="rId10" display="Link"/>
    <hyperlink ref="O10" r:id="rId11" display="Link"/>
    <hyperlink ref="U10" r:id="rId12" display="Link"/>
    <hyperlink ref="AA10" r:id="rId13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2016-05-29T01:54:22Z</dcterms:created>
  <dc:language>es-AR</dc:language>
  <dcterms:modified xsi:type="dcterms:W3CDTF">2016-05-28T22:57:20Z</dcterms:modified>
  <cp:revision>1</cp:revision>
</cp:coreProperties>
</file>