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Meine Ablage\paper\nature energy\repository\Perspective_Trade\table\"/>
    </mc:Choice>
  </mc:AlternateContent>
  <bookViews>
    <workbookView xWindow="0" yWindow="0" windowWidth="21945" windowHeight="8085" tabRatio="850" activeTab="6"/>
  </bookViews>
  <sheets>
    <sheet name="Solar, Wind Productivity" sheetId="7" r:id="rId1"/>
    <sheet name="CO2-Capture" sheetId="10" r:id="rId2"/>
    <sheet name="Biomass Productivity" sheetId="2" r:id="rId3"/>
    <sheet name="Technical Conversion Factors" sheetId="3" r:id="rId4"/>
    <sheet name="Energy Conversion Factors" sheetId="5" r:id="rId5"/>
    <sheet name="Land Productivity - Final Table" sheetId="6" r:id="rId6"/>
    <sheet name="References" sheetId="11" r:id="rId7"/>
  </sheets>
  <definedNames>
    <definedName name="sigfigs">'Land Productivity - Final Table'!$B$70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4" i="10" l="1"/>
  <c r="C19" i="10"/>
  <c r="C18" i="10"/>
  <c r="C17" i="10"/>
  <c r="C16" i="10"/>
  <c r="C15" i="10"/>
  <c r="C13" i="10"/>
  <c r="C12" i="10"/>
  <c r="C28" i="10"/>
  <c r="B28" i="10"/>
  <c r="A62" i="6" l="1"/>
  <c r="B62" i="6"/>
  <c r="C62" i="6"/>
  <c r="A63" i="6"/>
  <c r="B63" i="6"/>
  <c r="C63" i="6"/>
  <c r="A64" i="6"/>
  <c r="B64" i="6"/>
  <c r="C64" i="6"/>
  <c r="A65" i="6"/>
  <c r="B65" i="6"/>
  <c r="C65" i="6"/>
  <c r="A66" i="6"/>
  <c r="B66" i="6"/>
  <c r="C66" i="6"/>
  <c r="A67" i="6"/>
  <c r="B67" i="6"/>
  <c r="C67" i="6"/>
  <c r="A68" i="6"/>
  <c r="B68" i="6"/>
  <c r="C68" i="6"/>
  <c r="C54" i="6" l="1"/>
  <c r="B54" i="6"/>
  <c r="A54" i="6"/>
  <c r="A22" i="6" l="1"/>
  <c r="B22" i="6"/>
  <c r="C22" i="6"/>
  <c r="A23" i="6"/>
  <c r="B23" i="6"/>
  <c r="C23" i="6"/>
  <c r="A24" i="6"/>
  <c r="B24" i="6"/>
  <c r="C24" i="6"/>
  <c r="E47" i="6" l="1"/>
  <c r="E11" i="6"/>
  <c r="E28" i="6" s="1"/>
  <c r="G45" i="6" s="1"/>
  <c r="E62" i="6" s="1"/>
  <c r="G62" i="6" s="1"/>
  <c r="D11" i="6"/>
  <c r="D28" i="6" s="1"/>
  <c r="C11" i="10"/>
  <c r="F45" i="6" l="1"/>
  <c r="D62" i="6" s="1"/>
  <c r="F62" i="6" s="1"/>
  <c r="B29" i="10"/>
  <c r="E50" i="6" l="1"/>
  <c r="E49" i="6"/>
  <c r="E48" i="6"/>
  <c r="A27" i="6"/>
  <c r="A46" i="6" s="1"/>
  <c r="B27" i="6"/>
  <c r="B46" i="6" s="1"/>
  <c r="C27" i="6"/>
  <c r="A29" i="6"/>
  <c r="A47" i="6" s="1"/>
  <c r="B29" i="6"/>
  <c r="B47" i="6" s="1"/>
  <c r="C29" i="6"/>
  <c r="A30" i="6"/>
  <c r="A48" i="6" s="1"/>
  <c r="B30" i="6"/>
  <c r="B48" i="6" s="1"/>
  <c r="C30" i="6"/>
  <c r="A31" i="6"/>
  <c r="A49" i="6" s="1"/>
  <c r="B31" i="6"/>
  <c r="B49" i="6" s="1"/>
  <c r="C31" i="6"/>
  <c r="A32" i="6"/>
  <c r="A50" i="6" s="1"/>
  <c r="B32" i="6"/>
  <c r="B50" i="6" s="1"/>
  <c r="C32" i="6"/>
  <c r="A33" i="6"/>
  <c r="A51" i="6" s="1"/>
  <c r="B33" i="6"/>
  <c r="B51" i="6" s="1"/>
  <c r="C33" i="6"/>
  <c r="B26" i="6"/>
  <c r="B44" i="6" s="1"/>
  <c r="B61" i="6" s="1"/>
  <c r="C26" i="6"/>
  <c r="A26" i="6"/>
  <c r="A44" i="6" s="1"/>
  <c r="A61" i="6" s="1"/>
  <c r="A40" i="6"/>
  <c r="A57" i="6" s="1"/>
  <c r="B40" i="6"/>
  <c r="B57" i="6" s="1"/>
  <c r="C40" i="6"/>
  <c r="C57" i="6" s="1"/>
  <c r="A41" i="6"/>
  <c r="A58" i="6" s="1"/>
  <c r="B41" i="6"/>
  <c r="B58" i="6" s="1"/>
  <c r="C41" i="6"/>
  <c r="C58" i="6" s="1"/>
  <c r="A42" i="6"/>
  <c r="A59" i="6" s="1"/>
  <c r="B42" i="6"/>
  <c r="B59" i="6" s="1"/>
  <c r="C42" i="6"/>
  <c r="C59" i="6" s="1"/>
  <c r="B21" i="6"/>
  <c r="B39" i="6" s="1"/>
  <c r="B56" i="6" s="1"/>
  <c r="C21" i="6"/>
  <c r="C39" i="6" s="1"/>
  <c r="C56" i="6" s="1"/>
  <c r="A21" i="6"/>
  <c r="A39" i="6" s="1"/>
  <c r="A56" i="6" s="1"/>
  <c r="C9" i="10"/>
  <c r="B30" i="10" l="1"/>
  <c r="B31" i="10"/>
  <c r="C30" i="10"/>
  <c r="C44" i="6"/>
  <c r="C61" i="6" s="1"/>
  <c r="C46" i="6"/>
  <c r="C47" i="6"/>
  <c r="C48" i="6"/>
  <c r="C49" i="6"/>
  <c r="C50" i="6"/>
  <c r="C51" i="6"/>
  <c r="D50" i="6" l="1"/>
  <c r="D48" i="6"/>
  <c r="D47" i="6"/>
  <c r="D49" i="6"/>
  <c r="C31" i="10"/>
  <c r="C29" i="10"/>
  <c r="A25" i="6" l="1"/>
  <c r="A43" i="6" s="1"/>
  <c r="A60" i="6" s="1"/>
  <c r="A20" i="6"/>
  <c r="A38" i="6" s="1"/>
  <c r="A55" i="6" s="1"/>
  <c r="E10" i="6" l="1"/>
  <c r="E27" i="6" s="1"/>
  <c r="G46" i="6" s="1"/>
  <c r="E63" i="6" s="1"/>
  <c r="G63" i="6" s="1"/>
  <c r="D9" i="3"/>
  <c r="D10" i="6" s="1"/>
  <c r="D27" i="6" s="1"/>
  <c r="F10" i="5"/>
  <c r="F46" i="6" l="1"/>
  <c r="D63" i="6" s="1"/>
  <c r="F63" i="6" s="1"/>
  <c r="D8" i="2"/>
  <c r="F9" i="5"/>
  <c r="D7" i="2"/>
  <c r="F8" i="5" l="1"/>
  <c r="D8" i="7"/>
  <c r="D11" i="7"/>
  <c r="D7" i="7"/>
  <c r="D5" i="2"/>
  <c r="D4" i="2"/>
  <c r="F7" i="5"/>
  <c r="F6" i="5"/>
  <c r="G4" i="2"/>
  <c r="E4" i="6" l="1"/>
  <c r="E21" i="6" s="1"/>
  <c r="G39" i="6" s="1"/>
  <c r="E56" i="6" s="1"/>
  <c r="G56" i="6" s="1"/>
  <c r="C8" i="10"/>
  <c r="D13" i="7"/>
  <c r="E5" i="6" s="1"/>
  <c r="E22" i="6" s="1"/>
  <c r="D12" i="7"/>
  <c r="D5" i="6" s="1"/>
  <c r="D22" i="6" s="1"/>
  <c r="F40" i="6" s="1"/>
  <c r="D6" i="6"/>
  <c r="D23" i="6" s="1"/>
  <c r="F41" i="6" s="1"/>
  <c r="E6" i="6"/>
  <c r="E23" i="6" s="1"/>
  <c r="D16" i="6"/>
  <c r="D33" i="6" s="1"/>
  <c r="E7" i="6"/>
  <c r="D4" i="6"/>
  <c r="D21" i="6" s="1"/>
  <c r="D7" i="6"/>
  <c r="D9" i="6"/>
  <c r="D26" i="6" s="1"/>
  <c r="F44" i="6" l="1"/>
  <c r="D61" i="6" s="1"/>
  <c r="F61" i="6" s="1"/>
  <c r="F51" i="6"/>
  <c r="D68" i="6" s="1"/>
  <c r="F68" i="6" s="1"/>
  <c r="F39" i="6"/>
  <c r="D56" i="6" s="1"/>
  <c r="F56" i="6" s="1"/>
  <c r="D12" i="6"/>
  <c r="D29" i="6" s="1"/>
  <c r="F47" i="6" s="1"/>
  <c r="D64" i="6" s="1"/>
  <c r="F64" i="6" s="1"/>
  <c r="D58" i="6"/>
  <c r="F58" i="6" s="1"/>
  <c r="D24" i="6"/>
  <c r="F42" i="6" s="1"/>
  <c r="D59" i="6" s="1"/>
  <c r="F59" i="6" s="1"/>
  <c r="G41" i="6"/>
  <c r="E58" i="6" s="1"/>
  <c r="G58" i="6" s="1"/>
  <c r="E24" i="6"/>
  <c r="G42" i="6" s="1"/>
  <c r="E59" i="6" s="1"/>
  <c r="G59" i="6" s="1"/>
  <c r="E14" i="6"/>
  <c r="E31" i="6" s="1"/>
  <c r="E15" i="6"/>
  <c r="E32" i="6" s="1"/>
  <c r="D57" i="6"/>
  <c r="F57" i="6" s="1"/>
  <c r="D15" i="6"/>
  <c r="D32" i="6" s="1"/>
  <c r="F50" i="6" s="1"/>
  <c r="D67" i="6" s="1"/>
  <c r="F67" i="6" s="1"/>
  <c r="D14" i="6"/>
  <c r="D31" i="6" s="1"/>
  <c r="F49" i="6" s="1"/>
  <c r="D66" i="6" s="1"/>
  <c r="F66" i="6" s="1"/>
  <c r="G40" i="6"/>
  <c r="E57" i="6" s="1"/>
  <c r="G57" i="6" s="1"/>
  <c r="E13" i="6"/>
  <c r="E30" i="6" s="1"/>
  <c r="E12" i="6"/>
  <c r="E29" i="6" s="1"/>
  <c r="G47" i="6" s="1"/>
  <c r="E64" i="6" s="1"/>
  <c r="G64" i="6" s="1"/>
  <c r="E16" i="6"/>
  <c r="E33" i="6" s="1"/>
  <c r="G51" i="6" s="1"/>
  <c r="E68" i="6" s="1"/>
  <c r="G68" i="6" s="1"/>
  <c r="D13" i="6"/>
  <c r="D30" i="6" s="1"/>
  <c r="F48" i="6" s="1"/>
  <c r="D65" i="6" s="1"/>
  <c r="F65" i="6" s="1"/>
  <c r="E9" i="6"/>
  <c r="E26" i="6" s="1"/>
  <c r="G44" i="6" s="1"/>
  <c r="E61" i="6" s="1"/>
  <c r="G61" i="6" s="1"/>
  <c r="G50" i="6" l="1"/>
  <c r="E67" i="6" s="1"/>
  <c r="G67" i="6" s="1"/>
  <c r="G48" i="6"/>
  <c r="E65" i="6" s="1"/>
  <c r="G65" i="6" s="1"/>
  <c r="G49" i="6"/>
  <c r="E66" i="6" s="1"/>
  <c r="G66" i="6" s="1"/>
</calcChain>
</file>

<file path=xl/sharedStrings.xml><?xml version="1.0" encoding="utf-8"?>
<sst xmlns="http://schemas.openxmlformats.org/spreadsheetml/2006/main" count="356" uniqueCount="211">
  <si>
    <t>http://science.sciencemag.org/content/329/5993/790</t>
  </si>
  <si>
    <t>Source</t>
  </si>
  <si>
    <t>Electricity</t>
  </si>
  <si>
    <t>Unit</t>
  </si>
  <si>
    <t>https://en.wikipedia.org/wiki/Energy_content_of_biofuel</t>
  </si>
  <si>
    <t>https://www.nrel.gov/docs/fy09osti/45834.pdf</t>
  </si>
  <si>
    <t>0.3 ha/mw direct permanent, 0.7 direct temporary, 34.5 total area</t>
  </si>
  <si>
    <t>US</t>
  </si>
  <si>
    <t>https://www.nrel.gov/docs/fy13osti/56290.pdf</t>
  </si>
  <si>
    <t>5.9 acr/MW</t>
  </si>
  <si>
    <t>Comment</t>
  </si>
  <si>
    <t>Assuming that expansion of the amount of the crop used for nonfuel purposes continues at historical rates, approximately 60 Mha could eventually be available for fuel production (SOM text). If changes in fuel production technologies enabled the use of the polysaccharide component of bagasse to produce a liquid fuel, in addition to the fuel produced from sugar we estimate that Brazil could produce up to ~800 GLE (SOM text) or equivalent amounts of other liquid fuels (3).</t>
  </si>
  <si>
    <t>Input</t>
  </si>
  <si>
    <t>Ethanol</t>
  </si>
  <si>
    <t>min</t>
  </si>
  <si>
    <t>max</t>
  </si>
  <si>
    <t>Conversion unit in</t>
  </si>
  <si>
    <t>liter</t>
  </si>
  <si>
    <t>Conversion unit out</t>
  </si>
  <si>
    <t>-</t>
  </si>
  <si>
    <t>kWh</t>
  </si>
  <si>
    <t>Primary Resource</t>
  </si>
  <si>
    <t>Algae</t>
  </si>
  <si>
    <t>Production Location</t>
  </si>
  <si>
    <t>Type</t>
  </si>
  <si>
    <t> 4.6 Mha (4) resulted in about 27 GLE plus 2 GW electricity.</t>
  </si>
  <si>
    <t>Sugar cane - 1st Generation</t>
  </si>
  <si>
    <t>Sugar cane - 2nd Generation</t>
  </si>
  <si>
    <t>Harvest rate I</t>
  </si>
  <si>
    <t>Harvest Rate II</t>
  </si>
  <si>
    <t>Unit II</t>
  </si>
  <si>
    <t>Type II</t>
  </si>
  <si>
    <t>Liter Ethanol / ha</t>
  </si>
  <si>
    <t>GWh Electricity / ha</t>
  </si>
  <si>
    <t>Output</t>
  </si>
  <si>
    <t>Technology</t>
  </si>
  <si>
    <t>H2</t>
  </si>
  <si>
    <t>Electrolysis</t>
  </si>
  <si>
    <t>Conversion Factor Low</t>
  </si>
  <si>
    <t>Conversion Factor High</t>
  </si>
  <si>
    <t>Methane</t>
  </si>
  <si>
    <t>Methanol</t>
  </si>
  <si>
    <t>Technical Conversion factors</t>
  </si>
  <si>
    <t>Product</t>
  </si>
  <si>
    <t>mean</t>
  </si>
  <si>
    <t>https://onlinelibrary.wiley.com/doi/full/10.1002/bbb.186</t>
  </si>
  <si>
    <t>Table 1</t>
  </si>
  <si>
    <t>Sugar Cane -Traditional*</t>
  </si>
  <si>
    <t>Coproduct of Electricity of 3.8MWh/ha</t>
  </si>
  <si>
    <t>Wind power</t>
  </si>
  <si>
    <t>Average Brazilian Solar Radiation Conditions</t>
  </si>
  <si>
    <t>http://ons.org.br/Paginas/resultados-da-operacao/historico-da-operacao/geracao_energia.aspx</t>
  </si>
  <si>
    <t>Average Brazilian Wind Conditions 2017</t>
  </si>
  <si>
    <t>GWh</t>
  </si>
  <si>
    <t>Total Generation</t>
  </si>
  <si>
    <t>Installed Capacity</t>
  </si>
  <si>
    <t>http://ons.org.br/Paginas/resultados-da-operacao/historico-da-operacao/capacidade_instalada.aspx</t>
  </si>
  <si>
    <t>Renewable electricity source</t>
  </si>
  <si>
    <t>Resource</t>
  </si>
  <si>
    <t>Variable Type</t>
  </si>
  <si>
    <t>Calculated from Above</t>
  </si>
  <si>
    <t>MW</t>
  </si>
  <si>
    <t>Value</t>
  </si>
  <si>
    <t>Full Load Hours</t>
  </si>
  <si>
    <t>MW/ha</t>
  </si>
  <si>
    <t>PV power</t>
  </si>
  <si>
    <t>PV Power</t>
  </si>
  <si>
    <t xml:space="preserve">General conversion factors </t>
  </si>
  <si>
    <t>acre</t>
  </si>
  <si>
    <t>ha</t>
  </si>
  <si>
    <t>http://www.pnas.org/content/107/8/3388</t>
  </si>
  <si>
    <t>Average Pará Solar Radiation Conditions</t>
  </si>
  <si>
    <t>Liter Biodiesel /ha</t>
  </si>
  <si>
    <t>Biodiesel</t>
  </si>
  <si>
    <t>Oil Palm</t>
  </si>
  <si>
    <t>Liter Biodiesel / ha</t>
  </si>
  <si>
    <t>Table S2</t>
  </si>
  <si>
    <t>Solar &amp; Wind Productivity</t>
  </si>
  <si>
    <t>Biomass Productivity</t>
  </si>
  <si>
    <t>Land Productivity - Fuels</t>
  </si>
  <si>
    <t>Average installed capacity in 2017</t>
  </si>
  <si>
    <t>Total generation for whole of Brazil in 2017</t>
  </si>
  <si>
    <t>Total generation for whole of Brazil in 2016</t>
  </si>
  <si>
    <t>Text in Source</t>
  </si>
  <si>
    <t>http://www.pnas.org/content/111/23/8691</t>
  </si>
  <si>
    <t>Resulting yields are in accordance with oil palm yields in Brazil from census data for the 1990s (9) (Northeastern Pará: simulated = 11.4 Mg/ha, census = 13.6 Mg/ha; eastern Bahia: simulated = 3.3 Mg/ha, census = 4.1 Mg/ha; roughly 99% of Brazil’s oil palm area is located in these two regions). + Table S5</t>
  </si>
  <si>
    <t>https://www.agora-energiewende.de/fileadmin2/Projekte/2017/SynKost_2050/Agora_SynCost-PtG-PtL-Calculator_v1.0.xlsm</t>
  </si>
  <si>
    <t>Installed capacity in 2016.</t>
  </si>
  <si>
    <t>We take 2016 as reference years, as there was almost not built-out. 2017 had huge deployment during the year.</t>
  </si>
  <si>
    <t>https://www.sciencedirect.com/science/article/pii/S0306261909004942</t>
  </si>
  <si>
    <t>Woody biomass</t>
  </si>
  <si>
    <t>https://www.sciencedirect.com/science/article/pii/S0378112710000186</t>
  </si>
  <si>
    <t>tonne/ha-</t>
  </si>
  <si>
    <t>Eucalyptus</t>
  </si>
  <si>
    <t>Sao Paulo Radiation Conditions</t>
  </si>
  <si>
    <t>Based on the three sites that reached a full-rotation, the potential stem wood productivity based on current operational silviculture (applied with close scrutiny under research conditions) averaged about 25 Mg ha1 yr1 (MAI for TNU treatment in Fig. 7), or about 51 m3 ha1 yr1 . Removal of water limitation by irrigation raised the ceiling on potential productivity to about 32 Mg ha1 yr1 (about 65 m3 ha1 yr1 ).</t>
  </si>
  <si>
    <t>eucalyptus wood on average, with irrigation</t>
  </si>
  <si>
    <t>https://phyllis.nl/Browse/Standard/ECN-Phyllis#eucalyptus</t>
  </si>
  <si>
    <t>ton</t>
  </si>
  <si>
    <t>Direct land-use Wind Power</t>
  </si>
  <si>
    <t>Direct land-Use PV Power</t>
  </si>
  <si>
    <t xml:space="preserve">Commercially available technologies </t>
  </si>
  <si>
    <t>Technologies under development</t>
  </si>
  <si>
    <t>Process</t>
  </si>
  <si>
    <t>Transesterification</t>
  </si>
  <si>
    <t>Fermentation</t>
  </si>
  <si>
    <t>Gasification and Methanol Synthesis</t>
  </si>
  <si>
    <t>Electrolysis and Methanation</t>
  </si>
  <si>
    <t>Electrolysis and Methanol Synthesis</t>
  </si>
  <si>
    <t>Productivity (MWh ha-1 a-1) Low</t>
  </si>
  <si>
    <t>Productivity (MWh ha-1 a-1) high</t>
  </si>
  <si>
    <t>Electricity from Wind Power and CO2 from Air Capture</t>
  </si>
  <si>
    <t>Electricity from Photovoltaics and CO2 from Air Capture</t>
  </si>
  <si>
    <t>Methanisation</t>
  </si>
  <si>
    <t>tCO2/MWh Methane</t>
  </si>
  <si>
    <t>Methanol synthesis</t>
  </si>
  <si>
    <t>tCO2/MWh Methanol</t>
  </si>
  <si>
    <t>https://www.agora-energiewende.de/fileadmin2/Projekte/2017/SynKost_2050/Agora_SynKost_Study_EN_WEB.pdf</t>
  </si>
  <si>
    <t>CO2 Capture Land-Use</t>
  </si>
  <si>
    <t>Electricity Use</t>
  </si>
  <si>
    <t>MWh/tCO2</t>
  </si>
  <si>
    <t>Variable</t>
  </si>
  <si>
    <t>Co2-Capture</t>
  </si>
  <si>
    <t>Co2-Use</t>
  </si>
  <si>
    <t>MWh/MWh Methane</t>
  </si>
  <si>
    <t>MWh/MWh Methanol</t>
  </si>
  <si>
    <t>Calculated from above</t>
  </si>
  <si>
    <t>Calculate from above</t>
  </si>
  <si>
    <t>https://www.cell.com/joule/fulltext/S2542-4351(18)30225-3</t>
  </si>
  <si>
    <t>Land Productivity - Fuels per km-2</t>
  </si>
  <si>
    <t>Sugar Cane - 2nd Generation</t>
  </si>
  <si>
    <t>Hydrolysis of Bagasse and Fermentation</t>
  </si>
  <si>
    <t>Land-Use CO2Capture</t>
  </si>
  <si>
    <t>CO2-Capture (km2 MW-1)</t>
  </si>
  <si>
    <t>CO2-Capture (MW km-2)</t>
  </si>
  <si>
    <t>Land Productivity - Fuels per km-2 including CO2-Capture</t>
  </si>
  <si>
    <t>https://www.nature.com/articles/nclimate2870#supplementary-information</t>
  </si>
  <si>
    <t>Land-Use</t>
  </si>
  <si>
    <t>Includes Spacing!</t>
  </si>
  <si>
    <t>https://www.aps.org/policy/reports/assessments/upload/dac2011.pdf</t>
  </si>
  <si>
    <t>Source II</t>
  </si>
  <si>
    <t>Electrical efficiency co2-capture Low</t>
  </si>
  <si>
    <t>Electrical efficiency co2-capture High</t>
  </si>
  <si>
    <t>Productivity Low (MW km-2)</t>
  </si>
  <si>
    <t>Productivity High (MW km-2)</t>
  </si>
  <si>
    <t>km2 MW-1 CO2 Capture Low</t>
  </si>
  <si>
    <t>km2 MW-1 CO2 Capture High</t>
  </si>
  <si>
    <t>Total MW km-2 Low</t>
  </si>
  <si>
    <t>Total MW km-2 High</t>
  </si>
  <si>
    <t>Gasification and Methane Synthesis</t>
  </si>
  <si>
    <t>https://www.sciencedirect.com/science/article/pii/S0961953409001639</t>
  </si>
  <si>
    <t>Gasification</t>
  </si>
  <si>
    <t>MJ</t>
  </si>
  <si>
    <t>GJ</t>
  </si>
  <si>
    <t>Without spacing 18ha for 0.88MtCO2 per year</t>
  </si>
  <si>
    <t>tCO2/(m2 h)</t>
  </si>
  <si>
    <t>CO2-Capture</t>
  </si>
  <si>
    <t>CO2-Caputre</t>
  </si>
  <si>
    <t>Electricity from Photovoltaics (PV)</t>
  </si>
  <si>
    <t>Electricity from Wind Power</t>
  </si>
  <si>
    <t>Land Productivity - GWh per km-2 a-2 including CO2-Capture</t>
  </si>
  <si>
    <t>Total GWh km-2 a-1 Low</t>
  </si>
  <si>
    <t>Total GWh km-2 a-1 High</t>
  </si>
  <si>
    <t>sigfigs</t>
  </si>
  <si>
    <t>Convert to Signficiant Digits</t>
  </si>
  <si>
    <t>NREL Values, assuming double PV efficiency</t>
  </si>
  <si>
    <t>[1]</t>
  </si>
  <si>
    <t>[2]</t>
  </si>
  <si>
    <t>[3]</t>
  </si>
  <si>
    <t>[4]</t>
  </si>
  <si>
    <t>[6]</t>
  </si>
  <si>
    <t>[7]</t>
  </si>
  <si>
    <t>[9]</t>
  </si>
  <si>
    <t>[10]</t>
  </si>
  <si>
    <t>[11]</t>
  </si>
  <si>
    <t>[12]</t>
  </si>
  <si>
    <t>[13]</t>
  </si>
  <si>
    <t>[14]</t>
  </si>
  <si>
    <t>[15]</t>
  </si>
  <si>
    <t>[16]</t>
  </si>
  <si>
    <t>[17]</t>
  </si>
  <si>
    <t>[18]</t>
  </si>
  <si>
    <t>[19]</t>
  </si>
  <si>
    <t>[20]</t>
  </si>
  <si>
    <t>References</t>
  </si>
  <si>
    <t>Number</t>
  </si>
  <si>
    <t>Link</t>
  </si>
  <si>
    <t>Citeable reference</t>
  </si>
  <si>
    <t>[5]</t>
  </si>
  <si>
    <t>[8], Page 39</t>
  </si>
  <si>
    <r>
      <t xml:space="preserve">Keith, D. W., Holmes, G., Angelo, D. S. &amp; Heidel, K. A Process for Capturing CO2 from the Atmosphere. </t>
    </r>
    <r>
      <rPr>
        <i/>
        <sz val="11"/>
        <color theme="1"/>
        <rFont val="Calibri"/>
        <family val="2"/>
        <scheme val="minor"/>
      </rPr>
      <t>Joule</t>
    </r>
    <r>
      <rPr>
        <sz val="11"/>
        <color theme="1"/>
        <rFont val="Calibri"/>
        <family val="2"/>
        <scheme val="minor"/>
      </rPr>
      <t xml:space="preserve"> </t>
    </r>
    <r>
      <rPr>
        <b/>
        <sz val="11"/>
        <color theme="1"/>
        <rFont val="Calibri"/>
        <family val="2"/>
        <scheme val="minor"/>
      </rPr>
      <t>2</t>
    </r>
    <r>
      <rPr>
        <sz val="11"/>
        <color theme="1"/>
        <rFont val="Calibri"/>
        <family val="2"/>
        <scheme val="minor"/>
      </rPr>
      <t>, 1573–1594 (2018).</t>
    </r>
  </si>
  <si>
    <r>
      <t xml:space="preserve">Smith, P. </t>
    </r>
    <r>
      <rPr>
        <i/>
        <sz val="11"/>
        <color theme="1"/>
        <rFont val="Calibri"/>
        <family val="2"/>
        <scheme val="minor"/>
      </rPr>
      <t>et al.</t>
    </r>
    <r>
      <rPr>
        <sz val="11"/>
        <color theme="1"/>
        <rFont val="Calibri"/>
        <family val="2"/>
        <scheme val="minor"/>
      </rPr>
      <t xml:space="preserve"> Biophysical and economic limits to negative CO</t>
    </r>
    <r>
      <rPr>
        <vertAlign val="subscript"/>
        <sz val="11"/>
        <color theme="1"/>
        <rFont val="Calibri"/>
        <family val="2"/>
        <scheme val="minor"/>
      </rPr>
      <t>2</t>
    </r>
    <r>
      <rPr>
        <sz val="11"/>
        <color theme="1"/>
        <rFont val="Calibri"/>
        <family val="2"/>
        <scheme val="minor"/>
      </rPr>
      <t xml:space="preserve"> emissions. </t>
    </r>
    <r>
      <rPr>
        <i/>
        <sz val="11"/>
        <color theme="1"/>
        <rFont val="Calibri"/>
        <family val="2"/>
        <scheme val="minor"/>
      </rPr>
      <t>Nat. Clim. Change</t>
    </r>
    <r>
      <rPr>
        <sz val="11"/>
        <color theme="1"/>
        <rFont val="Calibri"/>
        <family val="2"/>
        <scheme val="minor"/>
      </rPr>
      <t xml:space="preserve"> </t>
    </r>
    <r>
      <rPr>
        <b/>
        <sz val="11"/>
        <color theme="1"/>
        <rFont val="Calibri"/>
        <family val="2"/>
        <scheme val="minor"/>
      </rPr>
      <t>6</t>
    </r>
    <r>
      <rPr>
        <sz val="11"/>
        <color theme="1"/>
        <rFont val="Calibri"/>
        <family val="2"/>
        <scheme val="minor"/>
      </rPr>
      <t>, 42–50 (2016).</t>
    </r>
  </si>
  <si>
    <r>
      <t xml:space="preserve">Somerville, C., Youngs, H., Taylor, C., Davis, S. C. &amp; Long, S. P. Feedstocks for Lignocellulosic Biofuels. </t>
    </r>
    <r>
      <rPr>
        <i/>
        <sz val="11"/>
        <color theme="1"/>
        <rFont val="Calibri"/>
        <family val="2"/>
        <scheme val="minor"/>
      </rPr>
      <t>Science</t>
    </r>
    <r>
      <rPr>
        <sz val="11"/>
        <color theme="1"/>
        <rFont val="Calibri"/>
        <family val="2"/>
        <scheme val="minor"/>
      </rPr>
      <t xml:space="preserve"> </t>
    </r>
    <r>
      <rPr>
        <b/>
        <sz val="11"/>
        <color theme="1"/>
        <rFont val="Calibri"/>
        <family val="2"/>
        <scheme val="minor"/>
      </rPr>
      <t>329</t>
    </r>
    <r>
      <rPr>
        <sz val="11"/>
        <color theme="1"/>
        <rFont val="Calibri"/>
        <family val="2"/>
        <scheme val="minor"/>
      </rPr>
      <t>, 790–792 (2010).</t>
    </r>
  </si>
  <si>
    <r>
      <t xml:space="preserve">Goldemberg, J. &amp; Guardabassi, P. The potential for first-generation ethanol production from sugarcane. </t>
    </r>
    <r>
      <rPr>
        <i/>
        <sz val="11"/>
        <color theme="1"/>
        <rFont val="Calibri"/>
        <family val="2"/>
        <scheme val="minor"/>
      </rPr>
      <t>Biofuels Bioprod. Biorefining</t>
    </r>
    <r>
      <rPr>
        <sz val="11"/>
        <color theme="1"/>
        <rFont val="Calibri"/>
        <family val="2"/>
        <scheme val="minor"/>
      </rPr>
      <t xml:space="preserve"> </t>
    </r>
    <r>
      <rPr>
        <b/>
        <sz val="11"/>
        <color theme="1"/>
        <rFont val="Calibri"/>
        <family val="2"/>
        <scheme val="minor"/>
      </rPr>
      <t>4</t>
    </r>
    <r>
      <rPr>
        <sz val="11"/>
        <color theme="1"/>
        <rFont val="Calibri"/>
        <family val="2"/>
        <scheme val="minor"/>
      </rPr>
      <t>, 17–24 (2010).</t>
    </r>
  </si>
  <si>
    <r>
      <t xml:space="preserve">Lapola, D. M. </t>
    </r>
    <r>
      <rPr>
        <i/>
        <sz val="11"/>
        <color theme="1"/>
        <rFont val="Calibri"/>
        <family val="2"/>
        <scheme val="minor"/>
      </rPr>
      <t>et al.</t>
    </r>
    <r>
      <rPr>
        <sz val="11"/>
        <color theme="1"/>
        <rFont val="Calibri"/>
        <family val="2"/>
        <scheme val="minor"/>
      </rPr>
      <t xml:space="preserve"> Indirect land-use changes can overcome carbon savings from biofuels in Brazil. </t>
    </r>
    <r>
      <rPr>
        <i/>
        <sz val="11"/>
        <color theme="1"/>
        <rFont val="Calibri"/>
        <family val="2"/>
        <scheme val="minor"/>
      </rPr>
      <t>Proc. Natl. Acad. Sci.</t>
    </r>
    <r>
      <rPr>
        <sz val="11"/>
        <color theme="1"/>
        <rFont val="Calibri"/>
        <family val="2"/>
        <scheme val="minor"/>
      </rPr>
      <t xml:space="preserve"> </t>
    </r>
    <r>
      <rPr>
        <b/>
        <sz val="11"/>
        <color theme="1"/>
        <rFont val="Calibri"/>
        <family val="2"/>
        <scheme val="minor"/>
      </rPr>
      <t>107</t>
    </r>
    <r>
      <rPr>
        <sz val="11"/>
        <color theme="1"/>
        <rFont val="Calibri"/>
        <family val="2"/>
        <scheme val="minor"/>
      </rPr>
      <t>, 3388–3393 (2010).</t>
    </r>
  </si>
  <si>
    <r>
      <t xml:space="preserve">Moody, J. W., McGinty, C. M. &amp; Quinn, J. C. Global evaluation of biofuel potential from microalgae. </t>
    </r>
    <r>
      <rPr>
        <i/>
        <sz val="11"/>
        <color theme="1"/>
        <rFont val="Calibri"/>
        <family val="2"/>
        <scheme val="minor"/>
      </rPr>
      <t>Proc. Natl. Acad. Sci.</t>
    </r>
    <r>
      <rPr>
        <sz val="11"/>
        <color theme="1"/>
        <rFont val="Calibri"/>
        <family val="2"/>
        <scheme val="minor"/>
      </rPr>
      <t xml:space="preserve"> </t>
    </r>
    <r>
      <rPr>
        <b/>
        <sz val="11"/>
        <color theme="1"/>
        <rFont val="Calibri"/>
        <family val="2"/>
        <scheme val="minor"/>
      </rPr>
      <t>111</t>
    </r>
    <r>
      <rPr>
        <sz val="11"/>
        <color theme="1"/>
        <rFont val="Calibri"/>
        <family val="2"/>
        <scheme val="minor"/>
      </rPr>
      <t>, 8691–8696 (2014).</t>
    </r>
  </si>
  <si>
    <r>
      <t xml:space="preserve">Stape, J. L. </t>
    </r>
    <r>
      <rPr>
        <i/>
        <sz val="11"/>
        <color theme="1"/>
        <rFont val="Calibri"/>
        <family val="2"/>
        <scheme val="minor"/>
      </rPr>
      <t>et al.</t>
    </r>
    <r>
      <rPr>
        <sz val="11"/>
        <color theme="1"/>
        <rFont val="Calibri"/>
        <family val="2"/>
        <scheme val="minor"/>
      </rPr>
      <t xml:space="preserve"> The Brazil Eucalyptus Potential Productivity Project: Influence of water, nutrients and stand uniformity on wood production. </t>
    </r>
    <r>
      <rPr>
        <i/>
        <sz val="11"/>
        <color theme="1"/>
        <rFont val="Calibri"/>
        <family val="2"/>
        <scheme val="minor"/>
      </rPr>
      <t>For. Ecol. Manag.</t>
    </r>
    <r>
      <rPr>
        <sz val="11"/>
        <color theme="1"/>
        <rFont val="Calibri"/>
        <family val="2"/>
        <scheme val="minor"/>
      </rPr>
      <t xml:space="preserve"> </t>
    </r>
    <r>
      <rPr>
        <b/>
        <sz val="11"/>
        <color theme="1"/>
        <rFont val="Calibri"/>
        <family val="2"/>
        <scheme val="minor"/>
      </rPr>
      <t>259</t>
    </r>
    <r>
      <rPr>
        <sz val="11"/>
        <color theme="1"/>
        <rFont val="Calibri"/>
        <family val="2"/>
        <scheme val="minor"/>
      </rPr>
      <t>, 1684–1694 (2010).</t>
    </r>
  </si>
  <si>
    <r>
      <t xml:space="preserve">Staffell, I. </t>
    </r>
    <r>
      <rPr>
        <i/>
        <sz val="11"/>
        <color theme="1"/>
        <rFont val="Calibri"/>
        <family val="2"/>
        <scheme val="minor"/>
      </rPr>
      <t>et al.</t>
    </r>
    <r>
      <rPr>
        <sz val="11"/>
        <color theme="1"/>
        <rFont val="Calibri"/>
        <family val="2"/>
        <scheme val="minor"/>
      </rPr>
      <t xml:space="preserve"> The role of hydrogen and fuel cells in the global energy system. </t>
    </r>
    <r>
      <rPr>
        <i/>
        <sz val="11"/>
        <color theme="1"/>
        <rFont val="Calibri"/>
        <family val="2"/>
        <scheme val="minor"/>
      </rPr>
      <t>Energy Environ. Sci.</t>
    </r>
    <r>
      <rPr>
        <sz val="11"/>
        <color theme="1"/>
        <rFont val="Calibri"/>
        <family val="2"/>
        <scheme val="minor"/>
      </rPr>
      <t xml:space="preserve"> (2018). doi:10.1039/C8EE01157E</t>
    </r>
  </si>
  <si>
    <r>
      <t xml:space="preserve">Gassner, M. &amp; Maréchal, F. Thermo-economic process model for thermochemical production of Synthetic Natural Gas (SNG) from lignocellulosic biomass. </t>
    </r>
    <r>
      <rPr>
        <i/>
        <sz val="11"/>
        <color theme="1"/>
        <rFont val="Calibri"/>
        <family val="2"/>
        <scheme val="minor"/>
      </rPr>
      <t>Biomass Bioenergy</t>
    </r>
    <r>
      <rPr>
        <sz val="11"/>
        <color theme="1"/>
        <rFont val="Calibri"/>
        <family val="2"/>
        <scheme val="minor"/>
      </rPr>
      <t xml:space="preserve"> </t>
    </r>
    <r>
      <rPr>
        <b/>
        <sz val="11"/>
        <color theme="1"/>
        <rFont val="Calibri"/>
        <family val="2"/>
        <scheme val="minor"/>
      </rPr>
      <t>33</t>
    </r>
    <r>
      <rPr>
        <sz val="11"/>
        <color theme="1"/>
        <rFont val="Calibri"/>
        <family val="2"/>
        <scheme val="minor"/>
      </rPr>
      <t>, 1587–1604 (2009).</t>
    </r>
  </si>
  <si>
    <t>Involved personal communicaiton with Keith et. Al.</t>
  </si>
  <si>
    <t>https://pubs.rsc.org/en/Content/ArticleLanding/2019/EE/C8EE01157E</t>
  </si>
  <si>
    <r>
      <t xml:space="preserve">Schmidt, J., Leduc, S., Dotzauer, E., Kindermann, G. &amp; Schmid, E. Cost-effective CO2 emission reduction through heat, power and biofuel production from woody biomass: A spatially explicit comparison of conversion technologies. </t>
    </r>
    <r>
      <rPr>
        <i/>
        <sz val="11"/>
        <color theme="1"/>
        <rFont val="Calibri"/>
        <family val="2"/>
        <scheme val="minor"/>
      </rPr>
      <t>Appl. Energy</t>
    </r>
    <r>
      <rPr>
        <sz val="11"/>
        <color theme="1"/>
        <rFont val="Calibri"/>
        <family val="2"/>
        <scheme val="minor"/>
      </rPr>
      <t xml:space="preserve"> </t>
    </r>
    <r>
      <rPr>
        <b/>
        <sz val="11"/>
        <color theme="1"/>
        <rFont val="Calibri"/>
        <family val="2"/>
        <scheme val="minor"/>
      </rPr>
      <t>87</t>
    </r>
    <r>
      <rPr>
        <sz val="11"/>
        <color theme="1"/>
        <rFont val="Calibri"/>
        <family val="2"/>
        <scheme val="minor"/>
      </rPr>
      <t>, 2128–2141 (2010).</t>
    </r>
  </si>
  <si>
    <t>Operador Nacional do Sistema. Histórico da Operação. Geração de Energia. 2018. Brazil</t>
  </si>
  <si>
    <t>Operador Nacional do Sistema. Histórico da Operação. Capacidade Instalada. 2018. Brazil</t>
  </si>
  <si>
    <t>American Physical Society. Direct Air Capture of CO2 with Chemicals A Technology Assessment for the APS Panel on Public Affairs. 2011. USA.</t>
  </si>
  <si>
    <t>Denholm, P., Hand, M., Jackson M. &amp; Ong, S. Technical Report National Renewable Energy Laboratory. Land-Use Requirements of Modern Wind Power Plants in the United States. 2009. USA</t>
  </si>
  <si>
    <t>Ong, S., Campbell,  C., Denholm, P., Margolis, R. &amp; Heath, G. Technical Report National Renewable Energy Laboratory. Land-Use Requirements for Solar Power Plants in the United States. 2013. USA</t>
  </si>
  <si>
    <t xml:space="preserve">Lövenich, A., Unteutsch, M. &amp; Perner A. Frontier Economics. PtG/Ptl Calculator: An interactive tool to determine the cost of Power-to-Gas (methane) and Power-to-Liquid. Commisioned by Agora Energiewende. 2018. Germany </t>
  </si>
  <si>
    <t>Perner, J., Unteutsch M. &amp; Lövenich., A. Frontier Economics Commisioned by Agora Energiewende. The Future Cost of Electricity-Based Synthetic Fuels. 2018. Germany</t>
  </si>
  <si>
    <t>Energy content of biofuel. Wikipedia, The Free Encyclopedia, https://en.wikipedia.org/w/index.php?title=Energy_content_of_biofuel&amp;oldid=847285485 (accessed December 20, 2018).</t>
  </si>
  <si>
    <t>Phyllis2, database for biomass and waste. https://www.ecn.nl/phyllis2 Energy research centre of the Netherlands (accessed December 20,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</si>
</sst>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000000"/>
    <numFmt numFmtId="165" formatCode="#,##0.000000"/>
    <numFmt numFmtId="166" formatCode="0.0000000"/>
    <numFmt numFmtId="167" formatCode="0.000"/>
    <numFmt numFmtId="168" formatCode="0.00000000000"/>
    <numFmt numFmtId="169" formatCode="0.0"/>
    <numFmt numFmtId="170" formatCode="0.00000"/>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9"/>
      <color rgb="FF222222"/>
      <name val="Arial"/>
      <family val="2"/>
    </font>
    <font>
      <b/>
      <sz val="24"/>
      <color theme="1"/>
      <name val="Calibri"/>
      <family val="2"/>
      <scheme val="minor"/>
    </font>
    <font>
      <i/>
      <sz val="11"/>
      <color theme="1"/>
      <name val="Calibri"/>
      <family val="2"/>
      <scheme val="minor"/>
    </font>
    <font>
      <i/>
      <sz val="9"/>
      <color rgb="FF000000"/>
      <name val="Garamond"/>
      <family val="1"/>
    </font>
    <font>
      <i/>
      <sz val="9"/>
      <color theme="1"/>
      <name val="Calibri"/>
      <family val="2"/>
      <scheme val="minor"/>
    </font>
    <font>
      <sz val="10"/>
      <color theme="1"/>
      <name val="Arial"/>
      <family val="2"/>
    </font>
    <font>
      <sz val="11"/>
      <color theme="1"/>
      <name val="Calibri"/>
      <family val="2"/>
      <scheme val="minor"/>
    </font>
    <font>
      <vertAlign val="subscript"/>
      <sz val="11"/>
      <color theme="1"/>
      <name val="Calibri"/>
      <family val="2"/>
      <scheme val="minor"/>
    </font>
  </fonts>
  <fills count="2">
    <fill>
      <patternFill patternType="none"/>
    </fill>
    <fill>
      <patternFill patternType="gray125"/>
    </fill>
  </fills>
  <borders count="2">
    <border>
      <left/>
      <right/>
      <top/>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3" fillId="0" borderId="0" xfId="0" applyFont="1"/>
    <xf numFmtId="0" fontId="1" fillId="0" borderId="0" xfId="0" applyFont="1"/>
    <xf numFmtId="1" fontId="0" fillId="0" borderId="0" xfId="0" applyNumberFormat="1"/>
    <xf numFmtId="0" fontId="4" fillId="0" borderId="0" xfId="0" applyFont="1"/>
    <xf numFmtId="2" fontId="0" fillId="0" borderId="0" xfId="0" applyNumberFormat="1"/>
    <xf numFmtId="0" fontId="0" fillId="0" borderId="0" xfId="0" applyFont="1"/>
    <xf numFmtId="0" fontId="0" fillId="0" borderId="0" xfId="1" applyFont="1"/>
    <xf numFmtId="0" fontId="6" fillId="0" borderId="0" xfId="0" applyFont="1"/>
    <xf numFmtId="0" fontId="0" fillId="0" borderId="0" xfId="0" applyBorder="1"/>
    <xf numFmtId="164" fontId="8" fillId="0" borderId="0" xfId="0" applyNumberFormat="1" applyFont="1" applyFill="1" applyBorder="1" applyAlignment="1">
      <alignment horizontal="center" vertical="center"/>
    </xf>
    <xf numFmtId="165" fontId="0" fillId="0" borderId="0" xfId="0" applyNumberFormat="1" applyBorder="1" applyAlignment="1">
      <alignment horizontal="center" vertical="center"/>
    </xf>
    <xf numFmtId="165" fontId="0" fillId="0" borderId="1" xfId="0" applyNumberFormat="1" applyBorder="1" applyAlignment="1">
      <alignment horizontal="center" vertical="center"/>
    </xf>
    <xf numFmtId="11" fontId="0" fillId="0" borderId="0" xfId="0" applyNumberFormat="1"/>
    <xf numFmtId="1" fontId="1" fillId="0" borderId="0" xfId="0" applyNumberFormat="1" applyFont="1"/>
    <xf numFmtId="0" fontId="0" fillId="0" borderId="0" xfId="0" applyFill="1"/>
    <xf numFmtId="1" fontId="0" fillId="0" borderId="0" xfId="0" applyNumberFormat="1" applyFill="1"/>
    <xf numFmtId="0" fontId="7" fillId="0" borderId="0" xfId="0" applyFont="1" applyFill="1"/>
    <xf numFmtId="0" fontId="0" fillId="0" borderId="0" xfId="0" applyFont="1" applyFill="1"/>
    <xf numFmtId="0" fontId="1" fillId="0" borderId="0" xfId="0" applyFont="1" applyFill="1"/>
    <xf numFmtId="0" fontId="4" fillId="0" borderId="0" xfId="0" applyFont="1" applyFill="1"/>
    <xf numFmtId="0" fontId="5" fillId="0" borderId="0" xfId="0" applyFont="1" applyFill="1"/>
    <xf numFmtId="2" fontId="0" fillId="0" borderId="0" xfId="0" applyNumberFormat="1" applyFill="1"/>
    <xf numFmtId="169" fontId="0" fillId="0" borderId="0" xfId="0" applyNumberFormat="1" applyFill="1"/>
    <xf numFmtId="1" fontId="1" fillId="0" borderId="0" xfId="0" applyNumberFormat="1" applyFont="1" applyFill="1"/>
    <xf numFmtId="0" fontId="1" fillId="0" borderId="0" xfId="0" applyFont="1" applyFill="1" applyAlignment="1">
      <alignment horizontal="right"/>
    </xf>
    <xf numFmtId="167" fontId="0" fillId="0" borderId="0" xfId="0" applyNumberFormat="1" applyFill="1"/>
    <xf numFmtId="167" fontId="0" fillId="0" borderId="0" xfId="0" applyNumberFormat="1" applyFont="1" applyFill="1"/>
    <xf numFmtId="168" fontId="0" fillId="0" borderId="0" xfId="0" applyNumberFormat="1" applyFill="1"/>
    <xf numFmtId="166" fontId="0" fillId="0" borderId="0" xfId="0" applyNumberFormat="1" applyFont="1" applyFill="1"/>
    <xf numFmtId="0" fontId="2" fillId="0" borderId="0" xfId="1"/>
    <xf numFmtId="170" fontId="0" fillId="0" borderId="0" xfId="0" applyNumberFormat="1"/>
    <xf numFmtId="0" fontId="9" fillId="0" borderId="0" xfId="1" applyFont="1"/>
    <xf numFmtId="0" fontId="0" fillId="0" borderId="0" xfId="0" applyAlignment="1">
      <alignment vertical="center"/>
    </xf>
    <xf numFmtId="0" fontId="0" fillId="0" borderId="0" xfId="0"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ell.com/joule/fulltext/S2542-4351(18)30225-3%20and%20personal%20communicaiton%20with%20Keith%20et.%20A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pnas.org/content/107/8/3388"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en.wikipedia.org/wiki/Energy_content_of_biofue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s://phyllis.nl/Browse/Standard/ECN-Phyllis" TargetMode="External"/><Relationship Id="rId3" Type="http://schemas.openxmlformats.org/officeDocument/2006/relationships/hyperlink" Target="https://pubs.rsc.org/en/Content/ArticleLanding/2019/EE/C8EE01157E" TargetMode="External"/><Relationship Id="rId7" Type="http://schemas.openxmlformats.org/officeDocument/2006/relationships/hyperlink" Target="https://www.agora-energiewende.de/fileadmin2/Projekte/2017/SynKost_2050/Agora_SynCost-PtG-PtL-Calculator_v1.0.xlsm" TargetMode="External"/><Relationship Id="rId2" Type="http://schemas.openxmlformats.org/officeDocument/2006/relationships/hyperlink" Target="https://www.cell.com/joule/fulltext/S2542-4351(18)30225-3" TargetMode="External"/><Relationship Id="rId1" Type="http://schemas.openxmlformats.org/officeDocument/2006/relationships/hyperlink" Target="https://en.wikipedia.org/wiki/Energy_content_of_biofuel" TargetMode="External"/><Relationship Id="rId6" Type="http://schemas.openxmlformats.org/officeDocument/2006/relationships/hyperlink" Target="https://www.aps.org/policy/reports/assessments/upload/dac2011.pdf" TargetMode="External"/><Relationship Id="rId5" Type="http://schemas.openxmlformats.org/officeDocument/2006/relationships/hyperlink" Target="https://www.agora-energiewende.de/fileadmin2/Projekte/2017/SynKost_2050/Agora_SynKost_Study_EN_WEB.pdf" TargetMode="External"/><Relationship Id="rId4" Type="http://schemas.openxmlformats.org/officeDocument/2006/relationships/hyperlink" Target="https://www.nrel.gov/docs/fy13osti/5629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8" sqref="A8"/>
    </sheetView>
  </sheetViews>
  <sheetFormatPr baseColWidth="10" defaultColWidth="11.42578125" defaultRowHeight="15" x14ac:dyDescent="0.25"/>
  <cols>
    <col min="1" max="1" width="22.28515625" customWidth="1"/>
    <col min="3" max="3" width="20.42578125" bestFit="1" customWidth="1"/>
    <col min="4" max="4" width="13.5703125" bestFit="1" customWidth="1"/>
    <col min="6" max="6" width="85.140625" bestFit="1" customWidth="1"/>
  </cols>
  <sheetData>
    <row r="1" spans="1:7" ht="31.5" x14ac:dyDescent="0.5">
      <c r="A1" s="4" t="s">
        <v>77</v>
      </c>
    </row>
    <row r="4" spans="1:7" x14ac:dyDescent="0.25">
      <c r="A4" s="2" t="s">
        <v>57</v>
      </c>
      <c r="B4" s="2" t="s">
        <v>58</v>
      </c>
      <c r="C4" s="2" t="s">
        <v>59</v>
      </c>
      <c r="D4" s="2" t="s">
        <v>62</v>
      </c>
      <c r="E4" s="2" t="s">
        <v>3</v>
      </c>
      <c r="F4" s="2" t="s">
        <v>1</v>
      </c>
      <c r="G4" s="2" t="s">
        <v>10</v>
      </c>
    </row>
    <row r="5" spans="1:7" x14ac:dyDescent="0.25">
      <c r="A5" t="s">
        <v>49</v>
      </c>
      <c r="B5" t="s">
        <v>52</v>
      </c>
      <c r="C5" t="s">
        <v>54</v>
      </c>
      <c r="D5" s="5">
        <v>42336.45</v>
      </c>
      <c r="E5" t="s">
        <v>53</v>
      </c>
      <c r="F5" t="s">
        <v>166</v>
      </c>
      <c r="G5" t="s">
        <v>81</v>
      </c>
    </row>
    <row r="6" spans="1:7" x14ac:dyDescent="0.25">
      <c r="A6" t="s">
        <v>49</v>
      </c>
      <c r="B6" t="s">
        <v>52</v>
      </c>
      <c r="C6" t="s">
        <v>55</v>
      </c>
      <c r="D6" s="5">
        <v>11257.43</v>
      </c>
      <c r="E6" t="s">
        <v>61</v>
      </c>
      <c r="F6" t="s">
        <v>167</v>
      </c>
      <c r="G6" t="s">
        <v>80</v>
      </c>
    </row>
    <row r="7" spans="1:7" x14ac:dyDescent="0.25">
      <c r="A7" t="s">
        <v>49</v>
      </c>
      <c r="B7" t="s">
        <v>52</v>
      </c>
      <c r="C7" t="s">
        <v>63</v>
      </c>
      <c r="D7" s="5">
        <f>8760*D5/(D6*8.76)</f>
        <v>3760.7562294413556</v>
      </c>
      <c r="E7" t="s">
        <v>63</v>
      </c>
      <c r="F7" t="s">
        <v>60</v>
      </c>
    </row>
    <row r="8" spans="1:7" x14ac:dyDescent="0.25">
      <c r="A8" t="s">
        <v>49</v>
      </c>
      <c r="B8" t="s">
        <v>7</v>
      </c>
      <c r="C8" t="s">
        <v>99</v>
      </c>
      <c r="D8" s="5">
        <f>1/0.3</f>
        <v>3.3333333333333335</v>
      </c>
      <c r="E8" t="s">
        <v>64</v>
      </c>
      <c r="F8" t="s">
        <v>168</v>
      </c>
      <c r="G8" t="s">
        <v>6</v>
      </c>
    </row>
    <row r="9" spans="1:7" x14ac:dyDescent="0.25">
      <c r="A9" t="s">
        <v>65</v>
      </c>
      <c r="B9" t="s">
        <v>52</v>
      </c>
      <c r="C9" t="s">
        <v>54</v>
      </c>
      <c r="D9" s="5">
        <v>30.74</v>
      </c>
      <c r="E9" t="s">
        <v>53</v>
      </c>
      <c r="F9" t="s">
        <v>166</v>
      </c>
      <c r="G9" t="s">
        <v>82</v>
      </c>
    </row>
    <row r="10" spans="1:7" x14ac:dyDescent="0.25">
      <c r="A10" t="s">
        <v>65</v>
      </c>
      <c r="B10" t="s">
        <v>52</v>
      </c>
      <c r="C10" t="s">
        <v>55</v>
      </c>
      <c r="D10" s="5">
        <v>19</v>
      </c>
      <c r="E10" t="s">
        <v>61</v>
      </c>
      <c r="F10" t="s">
        <v>167</v>
      </c>
      <c r="G10" t="s">
        <v>87</v>
      </c>
    </row>
    <row r="11" spans="1:7" x14ac:dyDescent="0.25">
      <c r="A11" t="s">
        <v>65</v>
      </c>
      <c r="B11" t="s">
        <v>52</v>
      </c>
      <c r="C11" t="s">
        <v>63</v>
      </c>
      <c r="D11" s="5">
        <f>8760*D9/(D10*8.76)</f>
        <v>1617.894736842105</v>
      </c>
      <c r="E11" t="s">
        <v>63</v>
      </c>
      <c r="F11" t="s">
        <v>60</v>
      </c>
      <c r="G11" t="s">
        <v>88</v>
      </c>
    </row>
    <row r="12" spans="1:7" x14ac:dyDescent="0.25">
      <c r="A12" t="s">
        <v>66</v>
      </c>
      <c r="B12" t="s">
        <v>7</v>
      </c>
      <c r="C12" t="s">
        <v>100</v>
      </c>
      <c r="D12" s="5">
        <f>1/(5.9*'Energy Conversion Factors'!F8)</f>
        <v>0.41882231019538313</v>
      </c>
      <c r="E12" t="s">
        <v>64</v>
      </c>
      <c r="F12" t="s">
        <v>169</v>
      </c>
      <c r="G12" t="s">
        <v>9</v>
      </c>
    </row>
    <row r="13" spans="1:7" x14ac:dyDescent="0.25">
      <c r="A13" t="s">
        <v>66</v>
      </c>
      <c r="B13" t="s">
        <v>7</v>
      </c>
      <c r="C13" t="s">
        <v>100</v>
      </c>
      <c r="D13" s="5">
        <f>1/(5.9*'Energy Conversion Factors'!F8)*2</f>
        <v>0.83764462039076626</v>
      </c>
      <c r="E13" t="s">
        <v>64</v>
      </c>
      <c r="F13" t="s">
        <v>169</v>
      </c>
      <c r="G13" t="s">
        <v>165</v>
      </c>
    </row>
  </sheetData>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selection activeCell="C8" sqref="C8"/>
    </sheetView>
  </sheetViews>
  <sheetFormatPr baseColWidth="10" defaultColWidth="11.42578125" defaultRowHeight="15" x14ac:dyDescent="0.25"/>
  <cols>
    <col min="1" max="1" width="45" bestFit="1" customWidth="1"/>
    <col min="2" max="2" width="45" customWidth="1"/>
    <col min="3" max="3" width="23.140625" bestFit="1" customWidth="1"/>
  </cols>
  <sheetData>
    <row r="1" spans="1:8" ht="31.5" x14ac:dyDescent="0.5">
      <c r="A1" s="4" t="s">
        <v>118</v>
      </c>
      <c r="B1" s="4"/>
    </row>
    <row r="6" spans="1:8" x14ac:dyDescent="0.25">
      <c r="A6" s="2" t="s">
        <v>103</v>
      </c>
      <c r="B6" s="2" t="s">
        <v>121</v>
      </c>
      <c r="C6" s="2" t="s">
        <v>62</v>
      </c>
      <c r="D6" s="2" t="s">
        <v>3</v>
      </c>
      <c r="E6" s="2" t="s">
        <v>10</v>
      </c>
      <c r="G6" s="2" t="s">
        <v>1</v>
      </c>
      <c r="H6" s="2" t="s">
        <v>140</v>
      </c>
    </row>
    <row r="7" spans="1:8" x14ac:dyDescent="0.25">
      <c r="A7" s="6" t="s">
        <v>122</v>
      </c>
      <c r="B7" t="s">
        <v>119</v>
      </c>
      <c r="C7" s="2">
        <v>0.36599999999999999</v>
      </c>
      <c r="D7" s="6" t="s">
        <v>120</v>
      </c>
      <c r="G7" t="s">
        <v>188</v>
      </c>
    </row>
    <row r="8" spans="1:8" x14ac:dyDescent="0.25">
      <c r="A8" t="s">
        <v>122</v>
      </c>
      <c r="B8" t="s">
        <v>119</v>
      </c>
      <c r="C8">
        <f>0.9*'Energy Conversion Factors'!F6</f>
        <v>0.24999993000000001</v>
      </c>
      <c r="D8" t="s">
        <v>120</v>
      </c>
      <c r="G8" t="s">
        <v>170</v>
      </c>
    </row>
    <row r="9" spans="1:8" x14ac:dyDescent="0.25">
      <c r="A9" t="s">
        <v>122</v>
      </c>
      <c r="B9" t="s">
        <v>119</v>
      </c>
      <c r="C9">
        <f>490000/10^6</f>
        <v>0.49</v>
      </c>
      <c r="D9" t="s">
        <v>120</v>
      </c>
      <c r="G9" t="s">
        <v>171</v>
      </c>
      <c r="H9" t="s">
        <v>189</v>
      </c>
    </row>
    <row r="10" spans="1:8" x14ac:dyDescent="0.25">
      <c r="A10" t="s">
        <v>113</v>
      </c>
      <c r="B10" t="s">
        <v>123</v>
      </c>
      <c r="C10">
        <v>0.19800000000000001</v>
      </c>
      <c r="D10" t="s">
        <v>114</v>
      </c>
      <c r="G10" t="s">
        <v>170</v>
      </c>
    </row>
    <row r="11" spans="1:8" ht="15.75" thickBot="1" x14ac:dyDescent="0.3">
      <c r="A11" t="s">
        <v>115</v>
      </c>
      <c r="B11" t="s">
        <v>123</v>
      </c>
      <c r="C11" s="12">
        <f>0.000250987654320988*1000</f>
        <v>0.25098765432098802</v>
      </c>
      <c r="D11" t="s">
        <v>116</v>
      </c>
      <c r="G11" t="s">
        <v>170</v>
      </c>
    </row>
    <row r="12" spans="1:8" x14ac:dyDescent="0.25">
      <c r="A12" t="s">
        <v>113</v>
      </c>
      <c r="B12" t="s">
        <v>119</v>
      </c>
      <c r="C12">
        <f>C8*C10</f>
        <v>4.9499986140000007E-2</v>
      </c>
      <c r="D12" t="s">
        <v>124</v>
      </c>
      <c r="G12" t="s">
        <v>126</v>
      </c>
    </row>
    <row r="13" spans="1:8" x14ac:dyDescent="0.25">
      <c r="A13" t="s">
        <v>115</v>
      </c>
      <c r="B13" t="s">
        <v>119</v>
      </c>
      <c r="C13">
        <f>C11*C8</f>
        <v>6.2746896011111206E-2</v>
      </c>
      <c r="D13" t="s">
        <v>125</v>
      </c>
      <c r="G13" t="s">
        <v>127</v>
      </c>
    </row>
    <row r="14" spans="1:8" x14ac:dyDescent="0.25">
      <c r="A14" t="s">
        <v>113</v>
      </c>
      <c r="B14" t="s">
        <v>141</v>
      </c>
      <c r="C14">
        <f>1-C8*C10</f>
        <v>0.95050001385999994</v>
      </c>
      <c r="D14" t="s">
        <v>124</v>
      </c>
      <c r="G14" t="s">
        <v>127</v>
      </c>
    </row>
    <row r="15" spans="1:8" x14ac:dyDescent="0.25">
      <c r="A15" t="s">
        <v>115</v>
      </c>
      <c r="B15" t="s">
        <v>141</v>
      </c>
      <c r="C15">
        <f>1-C8*C11</f>
        <v>0.93725310398888884</v>
      </c>
      <c r="D15" t="s">
        <v>125</v>
      </c>
      <c r="G15" t="s">
        <v>127</v>
      </c>
    </row>
    <row r="16" spans="1:8" x14ac:dyDescent="0.25">
      <c r="A16" t="s">
        <v>113</v>
      </c>
      <c r="B16" t="s">
        <v>142</v>
      </c>
      <c r="C16">
        <f>1-C9*C10</f>
        <v>0.90298</v>
      </c>
      <c r="D16" t="s">
        <v>124</v>
      </c>
      <c r="G16" t="s">
        <v>127</v>
      </c>
    </row>
    <row r="17" spans="1:7" x14ac:dyDescent="0.25">
      <c r="A17" t="s">
        <v>115</v>
      </c>
      <c r="B17" t="s">
        <v>142</v>
      </c>
      <c r="C17">
        <f>1-C9*C11</f>
        <v>0.87701604938271593</v>
      </c>
      <c r="D17" t="s">
        <v>125</v>
      </c>
      <c r="G17" t="s">
        <v>127</v>
      </c>
    </row>
    <row r="18" spans="1:7" x14ac:dyDescent="0.25">
      <c r="A18" t="s">
        <v>156</v>
      </c>
      <c r="B18" t="s">
        <v>137</v>
      </c>
      <c r="C18">
        <f>10^6/(150*10000)/8760</f>
        <v>7.6103500761035001E-5</v>
      </c>
      <c r="D18" t="s">
        <v>155</v>
      </c>
      <c r="E18" t="s">
        <v>138</v>
      </c>
      <c r="G18" t="s">
        <v>171</v>
      </c>
    </row>
    <row r="19" spans="1:7" x14ac:dyDescent="0.25">
      <c r="A19" t="s">
        <v>157</v>
      </c>
      <c r="B19" t="s">
        <v>137</v>
      </c>
      <c r="C19">
        <f>0.88*10^6/(18*10000)/8760</f>
        <v>5.5809233891425673E-4</v>
      </c>
      <c r="D19" t="s">
        <v>155</v>
      </c>
      <c r="E19" t="s">
        <v>154</v>
      </c>
      <c r="G19" s="32" t="s">
        <v>188</v>
      </c>
    </row>
    <row r="26" spans="1:7" ht="31.5" x14ac:dyDescent="0.5">
      <c r="A26" s="4" t="s">
        <v>132</v>
      </c>
    </row>
    <row r="27" spans="1:7" x14ac:dyDescent="0.25">
      <c r="B27" s="2" t="s">
        <v>133</v>
      </c>
      <c r="C27" s="2" t="s">
        <v>134</v>
      </c>
      <c r="D27" s="2" t="s">
        <v>1</v>
      </c>
    </row>
    <row r="28" spans="1:7" x14ac:dyDescent="0.25">
      <c r="A28" t="s">
        <v>113</v>
      </c>
      <c r="B28" s="31">
        <f>C10/C19/10^6</f>
        <v>3.5478000000000002E-4</v>
      </c>
      <c r="C28" s="3">
        <f>1/B28</f>
        <v>2818.6481763346296</v>
      </c>
      <c r="D28" t="s">
        <v>127</v>
      </c>
    </row>
    <row r="29" spans="1:7" x14ac:dyDescent="0.25">
      <c r="A29" t="s">
        <v>115</v>
      </c>
      <c r="B29" s="31">
        <f>C11/C19/10^6</f>
        <v>4.4972424242424309E-4</v>
      </c>
      <c r="C29" s="3">
        <f>1/B29</f>
        <v>2223.5848230228594</v>
      </c>
      <c r="D29" t="s">
        <v>127</v>
      </c>
    </row>
    <row r="30" spans="1:7" x14ac:dyDescent="0.25">
      <c r="A30" t="s">
        <v>113</v>
      </c>
      <c r="B30" s="31">
        <f>C10/C18/10^6</f>
        <v>2.6017200000000001E-3</v>
      </c>
      <c r="C30" s="3">
        <f>1/B30</f>
        <v>384.36111495472227</v>
      </c>
      <c r="D30" t="s">
        <v>127</v>
      </c>
    </row>
    <row r="31" spans="1:7" x14ac:dyDescent="0.25">
      <c r="A31" t="s">
        <v>115</v>
      </c>
      <c r="B31" s="31">
        <f>C11/C18/10^6</f>
        <v>3.2979777777777828E-3</v>
      </c>
      <c r="C31" s="3">
        <f>1/B31</f>
        <v>303.21611223038985</v>
      </c>
      <c r="D31" t="s">
        <v>127</v>
      </c>
    </row>
    <row r="32" spans="1:7" x14ac:dyDescent="0.25">
      <c r="A32" s="13"/>
    </row>
    <row r="36" spans="1:1" x14ac:dyDescent="0.25">
      <c r="A36" s="13"/>
    </row>
  </sheetData>
  <hyperlinks>
    <hyperlink ref="G19" r:id="rId1" display="https://www.cell.com/joule/fulltext/S2542-4351(18)30225-3 and personal communicaiton with Keith et. Al."/>
  </hyperlinks>
  <pageMargins left="0.7" right="0.7" top="0.78740157499999996" bottom="0.78740157499999996"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J10" sqref="J10"/>
    </sheetView>
  </sheetViews>
  <sheetFormatPr baseColWidth="10" defaultColWidth="11.42578125" defaultRowHeight="15" x14ac:dyDescent="0.25"/>
  <cols>
    <col min="1" max="1" width="41.7109375" customWidth="1"/>
    <col min="2" max="2" width="40.7109375" bestFit="1" customWidth="1"/>
    <col min="3" max="3" width="20.7109375" customWidth="1"/>
    <col min="5" max="5" width="17.42578125" customWidth="1"/>
  </cols>
  <sheetData>
    <row r="1" spans="1:10" ht="31.5" x14ac:dyDescent="0.5">
      <c r="A1" s="4" t="s">
        <v>78</v>
      </c>
      <c r="B1" s="4"/>
    </row>
    <row r="3" spans="1:10" x14ac:dyDescent="0.25">
      <c r="A3" s="2" t="s">
        <v>21</v>
      </c>
      <c r="B3" s="2" t="s">
        <v>23</v>
      </c>
      <c r="C3" s="2" t="s">
        <v>83</v>
      </c>
      <c r="D3" s="2" t="s">
        <v>28</v>
      </c>
      <c r="E3" s="2" t="s">
        <v>3</v>
      </c>
      <c r="F3" s="2" t="s">
        <v>24</v>
      </c>
      <c r="G3" s="2" t="s">
        <v>29</v>
      </c>
      <c r="H3" s="2" t="s">
        <v>30</v>
      </c>
      <c r="I3" s="2" t="s">
        <v>31</v>
      </c>
      <c r="J3" s="2" t="s">
        <v>1</v>
      </c>
    </row>
    <row r="4" spans="1:10" x14ac:dyDescent="0.25">
      <c r="A4" t="s">
        <v>26</v>
      </c>
      <c r="B4" t="s">
        <v>50</v>
      </c>
      <c r="C4" t="s">
        <v>25</v>
      </c>
      <c r="D4">
        <f>(27*10^9)/(4.6*10^6)</f>
        <v>5869.565217391304</v>
      </c>
      <c r="E4" t="s">
        <v>32</v>
      </c>
      <c r="F4" t="s">
        <v>13</v>
      </c>
      <c r="G4">
        <f>2*8760/(4.6*10^6)</f>
        <v>3.8086956521739129E-3</v>
      </c>
      <c r="H4" t="s">
        <v>33</v>
      </c>
      <c r="I4" t="s">
        <v>2</v>
      </c>
      <c r="J4" t="s">
        <v>172</v>
      </c>
    </row>
    <row r="5" spans="1:10" x14ac:dyDescent="0.25">
      <c r="A5" t="s">
        <v>27</v>
      </c>
      <c r="B5" t="s">
        <v>50</v>
      </c>
      <c r="C5" t="s">
        <v>11</v>
      </c>
      <c r="D5">
        <f>(800*10^9)/(60*10^6)</f>
        <v>13333.333333333334</v>
      </c>
      <c r="E5" t="s">
        <v>32</v>
      </c>
      <c r="F5" t="s">
        <v>13</v>
      </c>
      <c r="J5" t="s">
        <v>172</v>
      </c>
    </row>
    <row r="6" spans="1:10" x14ac:dyDescent="0.25">
      <c r="A6" t="s">
        <v>26</v>
      </c>
      <c r="B6" t="s">
        <v>50</v>
      </c>
      <c r="C6" t="s">
        <v>46</v>
      </c>
      <c r="D6">
        <v>6471</v>
      </c>
      <c r="E6" t="s">
        <v>32</v>
      </c>
      <c r="F6" t="s">
        <v>13</v>
      </c>
      <c r="J6" t="s">
        <v>173</v>
      </c>
    </row>
    <row r="7" spans="1:10" x14ac:dyDescent="0.25">
      <c r="A7" t="s">
        <v>74</v>
      </c>
      <c r="B7" t="s">
        <v>71</v>
      </c>
      <c r="C7" s="7" t="s">
        <v>85</v>
      </c>
      <c r="D7">
        <f>13.6*490</f>
        <v>6664</v>
      </c>
      <c r="E7" t="s">
        <v>72</v>
      </c>
      <c r="F7" t="s">
        <v>73</v>
      </c>
      <c r="J7" t="s">
        <v>174</v>
      </c>
    </row>
    <row r="8" spans="1:10" x14ac:dyDescent="0.25">
      <c r="A8" t="s">
        <v>22</v>
      </c>
      <c r="C8" t="s">
        <v>76</v>
      </c>
      <c r="D8">
        <f>279000000000/20600000</f>
        <v>13543.68932038835</v>
      </c>
      <c r="E8" t="s">
        <v>75</v>
      </c>
      <c r="J8" t="s">
        <v>175</v>
      </c>
    </row>
    <row r="9" spans="1:10" x14ac:dyDescent="0.25">
      <c r="A9" t="s">
        <v>93</v>
      </c>
      <c r="B9" t="s">
        <v>94</v>
      </c>
      <c r="C9" t="s">
        <v>95</v>
      </c>
      <c r="D9">
        <v>32</v>
      </c>
      <c r="E9" t="s">
        <v>92</v>
      </c>
      <c r="F9" t="s">
        <v>96</v>
      </c>
      <c r="J9" t="s">
        <v>176</v>
      </c>
    </row>
  </sheetData>
  <hyperlinks>
    <hyperlink ref="C7" r:id="rId1" location="ref-9" display="http://www.pnas.org/content/107/8/3388 - ref-9"/>
  </hyperlinks>
  <pageMargins left="0.7" right="0.7" top="0.78740157499999996" bottom="0.78740157499999996"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A11" sqref="A11"/>
    </sheetView>
  </sheetViews>
  <sheetFormatPr baseColWidth="10" defaultColWidth="11.42578125" defaultRowHeight="15" x14ac:dyDescent="0.25"/>
  <cols>
    <col min="1" max="1" width="41.7109375" customWidth="1"/>
    <col min="3" max="3" width="28" bestFit="1" customWidth="1"/>
    <col min="4" max="4" width="21" bestFit="1" customWidth="1"/>
    <col min="5" max="5" width="21.5703125" bestFit="1" customWidth="1"/>
    <col min="6" max="6" width="7" bestFit="1" customWidth="1"/>
  </cols>
  <sheetData>
    <row r="1" spans="1:8" ht="31.5" x14ac:dyDescent="0.5">
      <c r="A1" s="4" t="s">
        <v>42</v>
      </c>
    </row>
    <row r="4" spans="1:8" x14ac:dyDescent="0.25">
      <c r="A4" s="2" t="s">
        <v>12</v>
      </c>
      <c r="B4" s="2" t="s">
        <v>34</v>
      </c>
      <c r="C4" s="2" t="s">
        <v>35</v>
      </c>
      <c r="D4" s="2" t="s">
        <v>38</v>
      </c>
      <c r="E4" s="2" t="s">
        <v>39</v>
      </c>
      <c r="F4" s="2" t="s">
        <v>1</v>
      </c>
      <c r="G4" s="2"/>
    </row>
    <row r="5" spans="1:8" x14ac:dyDescent="0.25">
      <c r="A5" t="s">
        <v>2</v>
      </c>
      <c r="B5" t="s">
        <v>36</v>
      </c>
      <c r="C5" t="s">
        <v>37</v>
      </c>
      <c r="D5">
        <v>0.8</v>
      </c>
      <c r="E5">
        <v>0.8</v>
      </c>
      <c r="F5" t="s">
        <v>177</v>
      </c>
    </row>
    <row r="6" spans="1:8" x14ac:dyDescent="0.25">
      <c r="A6" t="s">
        <v>2</v>
      </c>
      <c r="B6" t="s">
        <v>36</v>
      </c>
      <c r="C6" t="s">
        <v>37</v>
      </c>
      <c r="D6">
        <v>0.51</v>
      </c>
      <c r="E6">
        <v>0.67</v>
      </c>
      <c r="F6" t="s">
        <v>178</v>
      </c>
    </row>
    <row r="7" spans="1:8" x14ac:dyDescent="0.25">
      <c r="A7" t="s">
        <v>36</v>
      </c>
      <c r="B7" t="s">
        <v>40</v>
      </c>
      <c r="D7">
        <v>0.8</v>
      </c>
      <c r="E7">
        <v>0.8</v>
      </c>
      <c r="F7" t="s">
        <v>177</v>
      </c>
    </row>
    <row r="8" spans="1:8" x14ac:dyDescent="0.25">
      <c r="A8" t="s">
        <v>36</v>
      </c>
      <c r="B8" t="s">
        <v>41</v>
      </c>
      <c r="D8">
        <v>0.8</v>
      </c>
      <c r="E8">
        <v>0.8</v>
      </c>
      <c r="F8" t="s">
        <v>177</v>
      </c>
    </row>
    <row r="9" spans="1:8" x14ac:dyDescent="0.25">
      <c r="A9" s="15" t="s">
        <v>90</v>
      </c>
      <c r="B9" s="15" t="s">
        <v>41</v>
      </c>
      <c r="C9" s="15" t="s">
        <v>151</v>
      </c>
      <c r="D9" s="15">
        <f>0.54</f>
        <v>0.54</v>
      </c>
      <c r="E9" s="15">
        <v>0.6</v>
      </c>
      <c r="F9" s="15" t="s">
        <v>179</v>
      </c>
      <c r="G9" s="15"/>
      <c r="H9" s="15"/>
    </row>
    <row r="10" spans="1:8" x14ac:dyDescent="0.25">
      <c r="A10" s="15" t="s">
        <v>90</v>
      </c>
      <c r="B10" s="15" t="s">
        <v>40</v>
      </c>
      <c r="C10" s="15" t="s">
        <v>151</v>
      </c>
      <c r="D10" s="15">
        <v>0.67</v>
      </c>
      <c r="E10" s="15">
        <v>0.74</v>
      </c>
      <c r="F10" s="15" t="s">
        <v>180</v>
      </c>
      <c r="G10" s="15"/>
      <c r="H10" s="15"/>
    </row>
    <row r="11" spans="1:8" x14ac:dyDescent="0.25">
      <c r="A11" s="15"/>
      <c r="B11" s="15"/>
      <c r="C11" s="15"/>
      <c r="D11" s="15"/>
      <c r="E11" s="15"/>
      <c r="F11" s="15"/>
      <c r="G11" s="15"/>
      <c r="H11" s="15"/>
    </row>
    <row r="12" spans="1:8" x14ac:dyDescent="0.25">
      <c r="A12" s="15"/>
      <c r="B12" s="15"/>
      <c r="C12" s="15"/>
      <c r="D12" s="15"/>
      <c r="E12" s="15"/>
      <c r="F12" s="15"/>
      <c r="G12" s="15"/>
      <c r="H12" s="15"/>
    </row>
    <row r="13" spans="1:8" x14ac:dyDescent="0.25">
      <c r="A13" s="10"/>
      <c r="B13" s="9"/>
      <c r="C13" s="9"/>
    </row>
    <row r="14" spans="1:8" x14ac:dyDescent="0.25">
      <c r="A14" s="9"/>
      <c r="B14" s="9"/>
      <c r="C14" s="9"/>
    </row>
    <row r="15" spans="1:8" x14ac:dyDescent="0.25">
      <c r="A15" s="11"/>
      <c r="B15" s="9"/>
      <c r="C15" s="9"/>
    </row>
    <row r="16" spans="1:8" x14ac:dyDescent="0.25">
      <c r="A16" s="9"/>
      <c r="B16" s="9"/>
      <c r="C16" s="9"/>
    </row>
    <row r="17" spans="1:3" x14ac:dyDescent="0.25">
      <c r="A17" s="9"/>
      <c r="B17" s="9"/>
      <c r="C17" s="9"/>
    </row>
    <row r="18" spans="1:3" x14ac:dyDescent="0.25">
      <c r="A18" s="9"/>
      <c r="B18" s="9"/>
      <c r="C18" s="9"/>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N15" sqref="N15"/>
    </sheetView>
  </sheetViews>
  <sheetFormatPr baseColWidth="10" defaultColWidth="11.42578125" defaultRowHeight="15" x14ac:dyDescent="0.25"/>
  <cols>
    <col min="2" max="2" width="22.5703125" bestFit="1" customWidth="1"/>
  </cols>
  <sheetData>
    <row r="1" spans="1:7" ht="31.5" x14ac:dyDescent="0.5">
      <c r="A1" s="4" t="s">
        <v>67</v>
      </c>
    </row>
    <row r="5" spans="1:7" x14ac:dyDescent="0.25">
      <c r="A5" s="2" t="s">
        <v>12</v>
      </c>
      <c r="B5" s="2" t="s">
        <v>16</v>
      </c>
      <c r="C5" s="2" t="s">
        <v>18</v>
      </c>
      <c r="D5" s="2" t="s">
        <v>14</v>
      </c>
      <c r="E5" s="2" t="s">
        <v>15</v>
      </c>
      <c r="F5" s="2" t="s">
        <v>44</v>
      </c>
      <c r="G5" s="2" t="s">
        <v>1</v>
      </c>
    </row>
    <row r="6" spans="1:7" x14ac:dyDescent="0.25">
      <c r="A6" t="s">
        <v>19</v>
      </c>
      <c r="B6" t="s">
        <v>152</v>
      </c>
      <c r="C6" t="s">
        <v>20</v>
      </c>
      <c r="D6">
        <v>0.27777770000000002</v>
      </c>
      <c r="E6">
        <v>0.27777770000000002</v>
      </c>
      <c r="F6">
        <f>(D6+E6)/2</f>
        <v>0.27777770000000002</v>
      </c>
    </row>
    <row r="7" spans="1:7" x14ac:dyDescent="0.25">
      <c r="A7" t="s">
        <v>13</v>
      </c>
      <c r="B7" t="s">
        <v>17</v>
      </c>
      <c r="C7" t="s">
        <v>152</v>
      </c>
      <c r="D7">
        <v>18.399999999999999</v>
      </c>
      <c r="E7">
        <v>21.2</v>
      </c>
      <c r="F7">
        <f>(D7+E7)/2</f>
        <v>19.799999999999997</v>
      </c>
      <c r="G7" s="30" t="s">
        <v>181</v>
      </c>
    </row>
    <row r="8" spans="1:7" x14ac:dyDescent="0.25">
      <c r="B8" t="s">
        <v>68</v>
      </c>
      <c r="C8" t="s">
        <v>69</v>
      </c>
      <c r="D8">
        <v>0.40468599999999999</v>
      </c>
      <c r="E8">
        <v>0.40468599999999999</v>
      </c>
      <c r="F8">
        <f>(D8+E8)/2</f>
        <v>0.40468599999999999</v>
      </c>
    </row>
    <row r="9" spans="1:7" x14ac:dyDescent="0.25">
      <c r="A9" t="s">
        <v>73</v>
      </c>
      <c r="B9" t="s">
        <v>17</v>
      </c>
      <c r="C9" t="s">
        <v>152</v>
      </c>
      <c r="D9" s="1">
        <v>33.299999999999997</v>
      </c>
      <c r="E9">
        <v>35.700000000000003</v>
      </c>
      <c r="F9">
        <f>(D9+E9)/2</f>
        <v>34.5</v>
      </c>
      <c r="G9" t="s">
        <v>182</v>
      </c>
    </row>
    <row r="10" spans="1:7" x14ac:dyDescent="0.25">
      <c r="A10" t="s">
        <v>93</v>
      </c>
      <c r="B10" t="s">
        <v>98</v>
      </c>
      <c r="C10" t="s">
        <v>153</v>
      </c>
      <c r="D10">
        <v>18.600000000000001</v>
      </c>
      <c r="E10">
        <v>18.600000000000001</v>
      </c>
      <c r="F10">
        <f>(D10+E10)/2</f>
        <v>18.600000000000001</v>
      </c>
      <c r="G10" t="s">
        <v>183</v>
      </c>
    </row>
  </sheetData>
  <hyperlinks>
    <hyperlink ref="G7" r:id="rId1" display="https://en.wikipedia.org/wiki/Energy_content_of_biofuel"/>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
  <sheetViews>
    <sheetView workbookViewId="0"/>
  </sheetViews>
  <sheetFormatPr baseColWidth="10" defaultColWidth="11.42578125" defaultRowHeight="15" x14ac:dyDescent="0.25"/>
  <cols>
    <col min="1" max="1" width="35.140625" bestFit="1" customWidth="1"/>
    <col min="2" max="2" width="33.5703125" bestFit="1" customWidth="1"/>
    <col min="3" max="3" width="18" customWidth="1"/>
    <col min="4" max="4" width="25.85546875" bestFit="1" customWidth="1"/>
    <col min="5" max="5" width="26.140625" bestFit="1" customWidth="1"/>
    <col min="7" max="7" width="27.5703125" bestFit="1" customWidth="1"/>
  </cols>
  <sheetData>
    <row r="1" spans="1:9" ht="31.5" x14ac:dyDescent="0.5">
      <c r="A1" s="4" t="s">
        <v>79</v>
      </c>
      <c r="B1" s="4"/>
    </row>
    <row r="2" spans="1:9" x14ac:dyDescent="0.25">
      <c r="A2" s="2" t="s">
        <v>21</v>
      </c>
      <c r="B2" s="2" t="s">
        <v>103</v>
      </c>
      <c r="C2" s="2" t="s">
        <v>43</v>
      </c>
      <c r="D2" s="2" t="s">
        <v>109</v>
      </c>
      <c r="E2" s="2" t="s">
        <v>110</v>
      </c>
      <c r="F2" s="2" t="s">
        <v>10</v>
      </c>
    </row>
    <row r="3" spans="1:9" x14ac:dyDescent="0.25">
      <c r="A3" s="8" t="s">
        <v>101</v>
      </c>
      <c r="B3" s="8"/>
      <c r="C3" s="2"/>
      <c r="D3" s="2"/>
      <c r="E3" s="2"/>
      <c r="F3" s="2"/>
    </row>
    <row r="4" spans="1:9" x14ac:dyDescent="0.25">
      <c r="A4" t="s">
        <v>74</v>
      </c>
      <c r="B4" t="s">
        <v>104</v>
      </c>
      <c r="C4" t="s">
        <v>73</v>
      </c>
      <c r="D4" s="3">
        <f>'Biomass Productivity'!D7*'Energy Conversion Factors'!D9*'Energy Conversion Factors'!F6/1000</f>
        <v>61.641982740239996</v>
      </c>
      <c r="E4" s="3">
        <f>'Biomass Productivity'!D7*'Energy Conversion Factors'!E9*'Energy Conversion Factors'!F6/1000</f>
        <v>66.084648162960008</v>
      </c>
    </row>
    <row r="5" spans="1:9" x14ac:dyDescent="0.25">
      <c r="A5" t="s">
        <v>158</v>
      </c>
      <c r="B5" t="s">
        <v>37</v>
      </c>
      <c r="C5" t="s">
        <v>36</v>
      </c>
      <c r="D5" s="3">
        <f>'Solar, Wind Productivity'!D12*'Solar, Wind Productivity'!D11*'Technical Conversion Factors'!D6</f>
        <v>345.58130978195254</v>
      </c>
      <c r="E5" s="3">
        <f>'Solar, Wind Productivity'!D13*'Solar, Wind Productivity'!D11*'Technical Conversion Factors'!E5</f>
        <v>1084.1766581394591</v>
      </c>
      <c r="H5" s="13"/>
    </row>
    <row r="6" spans="1:9" x14ac:dyDescent="0.25">
      <c r="A6" s="15" t="s">
        <v>159</v>
      </c>
      <c r="B6" s="15" t="s">
        <v>37</v>
      </c>
      <c r="C6" s="15" t="s">
        <v>36</v>
      </c>
      <c r="D6" s="16">
        <f>'Solar, Wind Productivity'!D8*'Solar, Wind Productivity'!D7*'Technical Conversion Factors'!D6</f>
        <v>6393.2855900503046</v>
      </c>
      <c r="E6" s="16">
        <f>'Solar, Wind Productivity'!D8*'Solar, Wind Productivity'!D7*'Technical Conversion Factors'!E5</f>
        <v>10028.683278510282</v>
      </c>
      <c r="F6" s="15"/>
      <c r="G6" s="15"/>
      <c r="H6" s="15"/>
      <c r="I6" s="15"/>
    </row>
    <row r="7" spans="1:9" x14ac:dyDescent="0.25">
      <c r="A7" t="s">
        <v>47</v>
      </c>
      <c r="B7" t="s">
        <v>105</v>
      </c>
      <c r="C7" t="s">
        <v>13</v>
      </c>
      <c r="D7" s="3">
        <f>'Biomass Productivity'!D4*'Energy Conversion Factors'!$F$7*'Energy Conversion Factors'!$F$6/1000</f>
        <v>32.282599656521732</v>
      </c>
      <c r="E7" s="3">
        <f>'Biomass Productivity'!D6*'Energy Conversion Factors'!$F$7*'Energy Conversion Factors'!$F$6/1000</f>
        <v>35.59049003466</v>
      </c>
      <c r="F7" s="6" t="s">
        <v>48</v>
      </c>
    </row>
    <row r="8" spans="1:9" x14ac:dyDescent="0.25">
      <c r="A8" s="17" t="s">
        <v>102</v>
      </c>
      <c r="B8" s="17"/>
      <c r="C8" s="15"/>
      <c r="D8" s="16"/>
      <c r="E8" s="16"/>
      <c r="F8" s="18"/>
      <c r="G8" s="15"/>
      <c r="H8" s="15"/>
      <c r="I8" s="15"/>
    </row>
    <row r="9" spans="1:9" x14ac:dyDescent="0.25">
      <c r="A9" s="15" t="s">
        <v>22</v>
      </c>
      <c r="B9" s="15" t="s">
        <v>104</v>
      </c>
      <c r="C9" s="15" t="s">
        <v>73</v>
      </c>
      <c r="D9" s="16">
        <f>'Biomass Productivity'!D8*'Energy Conversion Factors'!F9*'Energy Conversion Factors'!F6/1000</f>
        <v>129.79365297815536</v>
      </c>
      <c r="E9" s="16">
        <f>D9</f>
        <v>129.79365297815536</v>
      </c>
      <c r="F9" s="15"/>
      <c r="G9" s="15"/>
      <c r="H9" s="15"/>
      <c r="I9" s="15"/>
    </row>
    <row r="10" spans="1:9" x14ac:dyDescent="0.25">
      <c r="A10" s="15" t="s">
        <v>93</v>
      </c>
      <c r="B10" s="15" t="s">
        <v>106</v>
      </c>
      <c r="C10" s="15" t="s">
        <v>41</v>
      </c>
      <c r="D10" s="16">
        <f>'Biomass Productivity'!D9*'Energy Conversion Factors'!D10*'Energy Conversion Factors'!D6*'Technical Conversion Factors'!D9</f>
        <v>89.279975001600008</v>
      </c>
      <c r="E10" s="16">
        <f>'Biomass Productivity'!D9*'Energy Conversion Factors'!D10*'Energy Conversion Factors'!D6*'Technical Conversion Factors'!E9</f>
        <v>99.199972224000007</v>
      </c>
      <c r="F10" s="15"/>
      <c r="G10" s="15"/>
      <c r="H10" s="15"/>
      <c r="I10" s="15"/>
    </row>
    <row r="11" spans="1:9" x14ac:dyDescent="0.25">
      <c r="A11" s="15" t="s">
        <v>93</v>
      </c>
      <c r="B11" s="15" t="s">
        <v>149</v>
      </c>
      <c r="C11" s="15" t="s">
        <v>40</v>
      </c>
      <c r="D11" s="16">
        <f>'Biomass Productivity'!D9*'Energy Conversion Factors'!D10*'Energy Conversion Factors'!D6*'Technical Conversion Factors'!D10</f>
        <v>110.77330231680001</v>
      </c>
      <c r="E11" s="16">
        <f>'Biomass Productivity'!D9*'Energy Conversion Factors'!D10*'Energy Conversion Factors'!D6*'Technical Conversion Factors'!E10</f>
        <v>122.34663240960001</v>
      </c>
      <c r="F11" s="15"/>
      <c r="G11" s="15"/>
      <c r="H11" s="15"/>
      <c r="I11" s="15"/>
    </row>
    <row r="12" spans="1:9" x14ac:dyDescent="0.25">
      <c r="A12" s="15" t="s">
        <v>112</v>
      </c>
      <c r="B12" s="15" t="s">
        <v>107</v>
      </c>
      <c r="C12" s="15" t="s">
        <v>40</v>
      </c>
      <c r="D12" s="16">
        <f>(D5*'Technical Conversion Factors'!D7*'CO2-Capture'!$C$14)</f>
        <v>262.78003179000228</v>
      </c>
      <c r="E12" s="16">
        <f>E5*'Technical Conversion Factors'!E7*'CO2-Capture'!$C$16</f>
        <v>783.19187101341504</v>
      </c>
      <c r="F12" s="15"/>
      <c r="G12" s="15"/>
      <c r="H12" s="15"/>
      <c r="I12" s="15"/>
    </row>
    <row r="13" spans="1:9" x14ac:dyDescent="0.25">
      <c r="A13" s="15" t="s">
        <v>112</v>
      </c>
      <c r="B13" s="15" t="s">
        <v>108</v>
      </c>
      <c r="C13" s="15" t="s">
        <v>41</v>
      </c>
      <c r="D13" s="16">
        <f>D5*'Technical Conversion Factors'!D8*'CO2-Capture'!$C$15</f>
        <v>259.11772421894466</v>
      </c>
      <c r="E13" s="16">
        <f>E5*'Technical Conversion Factors'!E8*'CO2-Capture'!$C$17</f>
        <v>760.67226364353905</v>
      </c>
      <c r="F13" s="15"/>
      <c r="G13" s="15"/>
      <c r="H13" s="15"/>
      <c r="I13" s="15"/>
    </row>
    <row r="14" spans="1:9" x14ac:dyDescent="0.25">
      <c r="A14" s="15" t="s">
        <v>111</v>
      </c>
      <c r="B14" s="15" t="s">
        <v>107</v>
      </c>
      <c r="C14" s="15" t="s">
        <v>40</v>
      </c>
      <c r="D14" s="16">
        <f>D6*'Technical Conversion Factors'!E7*'CO2-Capture'!$C$15</f>
        <v>4793.7014111696662</v>
      </c>
      <c r="E14" s="16">
        <f>E6*'Technical Conversion Factors'!E7*'CO2-Capture'!$C$16</f>
        <v>7244.5603414633715</v>
      </c>
      <c r="F14" s="15"/>
      <c r="G14" s="15"/>
      <c r="H14" s="15"/>
      <c r="I14" s="15"/>
    </row>
    <row r="15" spans="1:9" x14ac:dyDescent="0.25">
      <c r="A15" s="15" t="s">
        <v>111</v>
      </c>
      <c r="B15" s="15" t="s">
        <v>108</v>
      </c>
      <c r="C15" s="15" t="s">
        <v>41</v>
      </c>
      <c r="D15" s="16">
        <f>D6*'Technical Conversion Factors'!D8*'CO2-Capture'!$C$15</f>
        <v>4793.7014111696662</v>
      </c>
      <c r="E15" s="16">
        <f>E6*'Technical Conversion Factors'!E8*'CO2-Capture'!$C$17</f>
        <v>7036.2529515436727</v>
      </c>
      <c r="F15" s="15"/>
      <c r="G15" s="15"/>
      <c r="H15" s="15"/>
      <c r="I15" s="15"/>
    </row>
    <row r="16" spans="1:9" x14ac:dyDescent="0.25">
      <c r="A16" s="15" t="s">
        <v>130</v>
      </c>
      <c r="B16" s="15" t="s">
        <v>131</v>
      </c>
      <c r="C16" s="16" t="s">
        <v>13</v>
      </c>
      <c r="D16" s="16">
        <f>'Biomass Productivity'!D5*'Energy Conversion Factors'!$F$7*'Energy Conversion Factors'!$F$6/1000</f>
        <v>73.333312800000002</v>
      </c>
      <c r="E16" s="16">
        <f>D16</f>
        <v>73.333312800000002</v>
      </c>
      <c r="F16" s="15"/>
      <c r="G16" s="15"/>
      <c r="H16" s="15"/>
      <c r="I16" s="15"/>
    </row>
    <row r="17" spans="1:9" x14ac:dyDescent="0.25">
      <c r="A17" s="15"/>
      <c r="B17" s="15"/>
      <c r="C17" s="19"/>
      <c r="D17" s="19"/>
      <c r="E17" s="19"/>
      <c r="F17" s="15"/>
      <c r="G17" s="15"/>
      <c r="H17" s="15"/>
      <c r="I17" s="15"/>
    </row>
    <row r="18" spans="1:9" ht="31.5" x14ac:dyDescent="0.5">
      <c r="A18" s="20" t="s">
        <v>129</v>
      </c>
      <c r="B18" s="15"/>
      <c r="C18" s="15"/>
      <c r="D18" s="15"/>
      <c r="E18" s="19"/>
      <c r="F18" s="15"/>
      <c r="G18" s="15"/>
      <c r="H18" s="15"/>
      <c r="I18" s="15"/>
    </row>
    <row r="19" spans="1:9" x14ac:dyDescent="0.25">
      <c r="A19" s="19" t="s">
        <v>21</v>
      </c>
      <c r="B19" s="19" t="s">
        <v>103</v>
      </c>
      <c r="C19" s="19" t="s">
        <v>43</v>
      </c>
      <c r="D19" s="19" t="s">
        <v>143</v>
      </c>
      <c r="E19" s="19" t="s">
        <v>144</v>
      </c>
      <c r="F19" s="15"/>
      <c r="G19" s="15"/>
      <c r="H19" s="15"/>
      <c r="I19" s="15"/>
    </row>
    <row r="20" spans="1:9" x14ac:dyDescent="0.25">
      <c r="A20" s="21" t="str">
        <f>A3</f>
        <v xml:space="preserve">Commercially available technologies </v>
      </c>
      <c r="B20" s="15"/>
      <c r="C20" s="15"/>
      <c r="D20" s="15"/>
      <c r="E20" s="15"/>
      <c r="F20" s="15"/>
      <c r="G20" s="15"/>
      <c r="H20" s="15"/>
      <c r="I20" s="15"/>
    </row>
    <row r="21" spans="1:9" x14ac:dyDescent="0.25">
      <c r="A21" s="15" t="str">
        <f>A4</f>
        <v>Oil Palm</v>
      </c>
      <c r="B21" s="15" t="str">
        <f>B4</f>
        <v>Transesterification</v>
      </c>
      <c r="C21" s="15" t="str">
        <f>C4</f>
        <v>Biodiesel</v>
      </c>
      <c r="D21" s="22">
        <f>((D4)*100/8760)</f>
        <v>0.70367560205753421</v>
      </c>
      <c r="E21" s="22">
        <f>((E4)*100/8760)</f>
        <v>0.75439096076438372</v>
      </c>
      <c r="F21" s="15"/>
      <c r="G21" s="15"/>
      <c r="H21" s="15"/>
      <c r="I21" s="15"/>
    </row>
    <row r="22" spans="1:9" x14ac:dyDescent="0.25">
      <c r="A22" s="15" t="str">
        <f t="shared" ref="A22:C22" si="0">A5</f>
        <v>Electricity from Photovoltaics (PV)</v>
      </c>
      <c r="B22" s="15" t="str">
        <f t="shared" si="0"/>
        <v>Electrolysis</v>
      </c>
      <c r="C22" s="15" t="str">
        <f t="shared" si="0"/>
        <v>H2</v>
      </c>
      <c r="D22" s="22">
        <f t="shared" ref="D22:E22" si="1">((D5)*100/8760)</f>
        <v>3.9449921207985446</v>
      </c>
      <c r="E22" s="22">
        <f t="shared" si="1"/>
        <v>12.376445869171906</v>
      </c>
      <c r="F22" s="15"/>
      <c r="G22" s="15"/>
      <c r="H22" s="15"/>
      <c r="I22" s="15"/>
    </row>
    <row r="23" spans="1:9" x14ac:dyDescent="0.25">
      <c r="A23" s="15" t="str">
        <f t="shared" ref="A23:C23" si="2">A6</f>
        <v>Electricity from Wind Power</v>
      </c>
      <c r="B23" s="15" t="str">
        <f t="shared" si="2"/>
        <v>Electrolysis</v>
      </c>
      <c r="C23" s="15" t="str">
        <f t="shared" si="2"/>
        <v>H2</v>
      </c>
      <c r="D23" s="22">
        <f t="shared" ref="D23:E23" si="3">((D6)*100/8760)</f>
        <v>72.982712215186126</v>
      </c>
      <c r="E23" s="22">
        <f t="shared" si="3"/>
        <v>114.48268582774294</v>
      </c>
      <c r="F23" s="15"/>
      <c r="G23" s="15"/>
      <c r="H23" s="15"/>
      <c r="I23" s="15"/>
    </row>
    <row r="24" spans="1:9" x14ac:dyDescent="0.25">
      <c r="A24" s="15" t="str">
        <f t="shared" ref="A24:C24" si="4">A7</f>
        <v>Sugar Cane -Traditional*</v>
      </c>
      <c r="B24" s="15" t="str">
        <f t="shared" si="4"/>
        <v>Fermentation</v>
      </c>
      <c r="C24" s="15" t="str">
        <f t="shared" si="4"/>
        <v>Ethanol</v>
      </c>
      <c r="D24" s="22">
        <f t="shared" ref="D24:E24" si="5">((D7)*100/8760)</f>
        <v>0.36852282712924356</v>
      </c>
      <c r="E24" s="22">
        <f t="shared" si="5"/>
        <v>0.40628413281575343</v>
      </c>
      <c r="F24" s="15"/>
      <c r="G24" s="15"/>
      <c r="H24" s="15"/>
      <c r="I24" s="15"/>
    </row>
    <row r="25" spans="1:9" x14ac:dyDescent="0.25">
      <c r="A25" s="21" t="str">
        <f t="shared" ref="A25" si="6">A8</f>
        <v>Technologies under development</v>
      </c>
      <c r="B25" s="15"/>
      <c r="C25" s="15"/>
      <c r="D25" s="16"/>
      <c r="E25" s="16"/>
      <c r="F25" s="15"/>
      <c r="G25" s="15"/>
      <c r="H25" s="15"/>
      <c r="I25" s="15"/>
    </row>
    <row r="26" spans="1:9" x14ac:dyDescent="0.25">
      <c r="A26" s="15" t="str">
        <f>A9</f>
        <v>Algae</v>
      </c>
      <c r="B26" s="15" t="str">
        <f t="shared" ref="B26:C26" si="7">B9</f>
        <v>Transesterification</v>
      </c>
      <c r="C26" s="15" t="str">
        <f t="shared" si="7"/>
        <v>Biodiesel</v>
      </c>
      <c r="D26" s="23">
        <f t="shared" ref="D26:E33" si="8">((D9)*100/8760)</f>
        <v>1.4816627052300841</v>
      </c>
      <c r="E26" s="23">
        <f t="shared" si="8"/>
        <v>1.4816627052300841</v>
      </c>
      <c r="F26" s="15"/>
      <c r="G26" s="15"/>
      <c r="H26" s="15"/>
      <c r="I26" s="15"/>
    </row>
    <row r="27" spans="1:9" x14ac:dyDescent="0.25">
      <c r="A27" s="15" t="str">
        <f t="shared" ref="A27:C27" si="9">A10</f>
        <v>Eucalyptus</v>
      </c>
      <c r="B27" s="15" t="str">
        <f t="shared" si="9"/>
        <v>Gasification and Methanol Synthesis</v>
      </c>
      <c r="C27" s="15" t="str">
        <f t="shared" si="9"/>
        <v>Methanol</v>
      </c>
      <c r="D27" s="23">
        <f t="shared" si="8"/>
        <v>1.019177796821918</v>
      </c>
      <c r="E27" s="23">
        <f t="shared" si="8"/>
        <v>1.1324197742465756</v>
      </c>
      <c r="F27" s="15"/>
      <c r="G27" s="15"/>
      <c r="H27" s="15"/>
      <c r="I27" s="15"/>
    </row>
    <row r="28" spans="1:9" x14ac:dyDescent="0.25">
      <c r="A28" s="15" t="s">
        <v>93</v>
      </c>
      <c r="B28" s="15" t="s">
        <v>149</v>
      </c>
      <c r="C28" s="15" t="s">
        <v>40</v>
      </c>
      <c r="D28" s="23">
        <f t="shared" si="8"/>
        <v>1.2645354145753427</v>
      </c>
      <c r="E28" s="23">
        <f t="shared" si="8"/>
        <v>1.3966510549041096</v>
      </c>
      <c r="F28" s="15"/>
      <c r="G28" s="15"/>
      <c r="H28" s="15"/>
      <c r="I28" s="15"/>
    </row>
    <row r="29" spans="1:9" x14ac:dyDescent="0.25">
      <c r="A29" s="15" t="str">
        <f t="shared" ref="A29:C29" si="10">A12</f>
        <v>Electricity from Photovoltaics and CO2 from Air Capture</v>
      </c>
      <c r="B29" s="15" t="str">
        <f t="shared" si="10"/>
        <v>Electrolysis and Methanation</v>
      </c>
      <c r="C29" s="15" t="str">
        <f t="shared" si="10"/>
        <v>Methane</v>
      </c>
      <c r="D29" s="23">
        <f t="shared" si="8"/>
        <v>2.9997720523972862</v>
      </c>
      <c r="E29" s="23">
        <f t="shared" si="8"/>
        <v>8.9405464727558801</v>
      </c>
      <c r="F29" s="15"/>
      <c r="G29" s="15"/>
      <c r="H29" s="15"/>
      <c r="I29" s="15"/>
    </row>
    <row r="30" spans="1:9" x14ac:dyDescent="0.25">
      <c r="A30" s="15" t="str">
        <f t="shared" ref="A30:C30" si="11">A13</f>
        <v>Electricity from Photovoltaics and CO2 from Air Capture</v>
      </c>
      <c r="B30" s="15" t="str">
        <f t="shared" si="11"/>
        <v>Electrolysis and Methanol Synthesis</v>
      </c>
      <c r="C30" s="15" t="str">
        <f t="shared" si="11"/>
        <v>Methanol</v>
      </c>
      <c r="D30" s="23">
        <f t="shared" si="8"/>
        <v>2.957964888344117</v>
      </c>
      <c r="E30" s="23">
        <f t="shared" si="8"/>
        <v>8.6834733292641442</v>
      </c>
      <c r="F30" s="15"/>
      <c r="G30" s="15"/>
      <c r="H30" s="15"/>
      <c r="I30" s="15"/>
    </row>
    <row r="31" spans="1:9" x14ac:dyDescent="0.25">
      <c r="A31" s="15" t="str">
        <f t="shared" ref="A31:C31" si="12">A14</f>
        <v>Electricity from Wind Power and CO2 from Air Capture</v>
      </c>
      <c r="B31" s="15" t="str">
        <f t="shared" si="12"/>
        <v>Electrolysis and Methanation</v>
      </c>
      <c r="C31" s="15" t="str">
        <f t="shared" si="12"/>
        <v>Methane</v>
      </c>
      <c r="D31" s="16">
        <f t="shared" si="8"/>
        <v>54.722618848968793</v>
      </c>
      <c r="E31" s="16">
        <f t="shared" si="8"/>
        <v>82.700460518988265</v>
      </c>
      <c r="F31" s="19"/>
      <c r="G31" s="15"/>
      <c r="H31" s="15"/>
      <c r="I31" s="15"/>
    </row>
    <row r="32" spans="1:9" x14ac:dyDescent="0.25">
      <c r="A32" s="15" t="str">
        <f t="shared" ref="A32:C32" si="13">A15</f>
        <v>Electricity from Wind Power and CO2 from Air Capture</v>
      </c>
      <c r="B32" s="15" t="str">
        <f t="shared" si="13"/>
        <v>Electrolysis and Methanol Synthesis</v>
      </c>
      <c r="C32" s="15" t="str">
        <f t="shared" si="13"/>
        <v>Methanol</v>
      </c>
      <c r="D32" s="16">
        <f t="shared" si="8"/>
        <v>54.722618848968793</v>
      </c>
      <c r="E32" s="16">
        <f t="shared" si="8"/>
        <v>80.3225222778958</v>
      </c>
      <c r="F32" s="15"/>
      <c r="G32" s="15"/>
      <c r="H32" s="15"/>
      <c r="I32" s="15"/>
    </row>
    <row r="33" spans="1:9" x14ac:dyDescent="0.25">
      <c r="A33" s="15" t="str">
        <f t="shared" ref="A33:C33" si="14">A16</f>
        <v>Sugar Cane - 2nd Generation</v>
      </c>
      <c r="B33" s="15" t="str">
        <f t="shared" si="14"/>
        <v>Hydrolysis of Bagasse and Fermentation</v>
      </c>
      <c r="C33" s="15" t="str">
        <f t="shared" si="14"/>
        <v>Ethanol</v>
      </c>
      <c r="D33" s="22">
        <f t="shared" si="8"/>
        <v>0.83713827397260276</v>
      </c>
      <c r="E33" s="22">
        <f t="shared" si="8"/>
        <v>0.83713827397260276</v>
      </c>
      <c r="F33" s="16"/>
      <c r="G33" s="15"/>
      <c r="H33" s="15"/>
      <c r="I33" s="15"/>
    </row>
    <row r="34" spans="1:9" x14ac:dyDescent="0.25">
      <c r="A34" s="15"/>
      <c r="B34" s="15"/>
      <c r="C34" s="15"/>
      <c r="D34" s="15"/>
      <c r="E34" s="15"/>
      <c r="F34" s="16"/>
      <c r="G34" s="15"/>
      <c r="H34" s="15"/>
      <c r="I34" s="15"/>
    </row>
    <row r="35" spans="1:9" x14ac:dyDescent="0.25">
      <c r="A35" s="15"/>
      <c r="B35" s="15"/>
      <c r="C35" s="15"/>
      <c r="D35" s="15"/>
      <c r="E35" s="15"/>
      <c r="F35" s="15"/>
      <c r="G35" s="15"/>
      <c r="H35" s="15"/>
      <c r="I35" s="15"/>
    </row>
    <row r="36" spans="1:9" ht="31.5" x14ac:dyDescent="0.5">
      <c r="A36" s="20" t="s">
        <v>135</v>
      </c>
      <c r="B36" s="15"/>
      <c r="C36" s="15"/>
      <c r="D36" s="15"/>
      <c r="E36" s="16"/>
      <c r="F36" s="16"/>
      <c r="G36" s="15"/>
      <c r="H36" s="15"/>
      <c r="I36" s="15"/>
    </row>
    <row r="37" spans="1:9" x14ac:dyDescent="0.25">
      <c r="A37" s="19" t="s">
        <v>21</v>
      </c>
      <c r="B37" s="19" t="s">
        <v>103</v>
      </c>
      <c r="C37" s="19" t="s">
        <v>43</v>
      </c>
      <c r="D37" s="24" t="s">
        <v>145</v>
      </c>
      <c r="E37" s="24" t="s">
        <v>146</v>
      </c>
      <c r="F37" s="24" t="s">
        <v>147</v>
      </c>
      <c r="G37" s="24" t="s">
        <v>148</v>
      </c>
      <c r="H37" s="15"/>
      <c r="I37" s="15"/>
    </row>
    <row r="38" spans="1:9" x14ac:dyDescent="0.25">
      <c r="A38" s="21" t="str">
        <f t="shared" ref="A38:A44" si="15">A20</f>
        <v xml:space="preserve">Commercially available technologies </v>
      </c>
      <c r="B38" s="21"/>
      <c r="C38" s="21"/>
      <c r="D38" s="25"/>
      <c r="E38" s="24"/>
      <c r="F38" s="16"/>
      <c r="G38" s="15"/>
      <c r="H38" s="15"/>
      <c r="I38" s="15"/>
    </row>
    <row r="39" spans="1:9" x14ac:dyDescent="0.25">
      <c r="A39" s="18" t="str">
        <f t="shared" si="15"/>
        <v>Oil Palm</v>
      </c>
      <c r="B39" s="18" t="str">
        <f t="shared" ref="B39:C39" si="16">B21</f>
        <v>Transesterification</v>
      </c>
      <c r="C39" s="18" t="str">
        <f t="shared" si="16"/>
        <v>Biodiesel</v>
      </c>
      <c r="D39" s="16">
        <v>0</v>
      </c>
      <c r="E39" s="26">
        <v>0</v>
      </c>
      <c r="F39" s="23">
        <f t="shared" ref="F39:F42" si="17">1/(1/D21+E39)</f>
        <v>0.70367560205753421</v>
      </c>
      <c r="G39" s="23">
        <f>1/(1/E21+E39)</f>
        <v>0.75439096076438372</v>
      </c>
      <c r="H39" s="15"/>
      <c r="I39" s="15"/>
    </row>
    <row r="40" spans="1:9" x14ac:dyDescent="0.25">
      <c r="A40" s="18" t="str">
        <f t="shared" si="15"/>
        <v>Electricity from Photovoltaics (PV)</v>
      </c>
      <c r="B40" s="18" t="str">
        <f t="shared" ref="B40:C42" si="18">B22</f>
        <v>Electrolysis</v>
      </c>
      <c r="C40" s="18" t="str">
        <f t="shared" si="18"/>
        <v>H2</v>
      </c>
      <c r="D40" s="15">
        <v>0</v>
      </c>
      <c r="E40" s="26">
        <v>0</v>
      </c>
      <c r="F40" s="23">
        <f t="shared" si="17"/>
        <v>3.9449921207985446</v>
      </c>
      <c r="G40" s="23">
        <f>1/(1/E22+E40)</f>
        <v>12.376445869171906</v>
      </c>
      <c r="H40" s="15"/>
      <c r="I40" s="15"/>
    </row>
    <row r="41" spans="1:9" x14ac:dyDescent="0.25">
      <c r="A41" s="18" t="str">
        <f t="shared" si="15"/>
        <v>Electricity from Wind Power</v>
      </c>
      <c r="B41" s="18" t="str">
        <f t="shared" si="18"/>
        <v>Electrolysis</v>
      </c>
      <c r="C41" s="18" t="str">
        <f t="shared" si="18"/>
        <v>H2</v>
      </c>
      <c r="D41" s="16">
        <v>0</v>
      </c>
      <c r="E41" s="26">
        <v>0</v>
      </c>
      <c r="F41" s="23">
        <f t="shared" si="17"/>
        <v>72.982712215186126</v>
      </c>
      <c r="G41" s="23">
        <f>1/(1/E23+E41)</f>
        <v>114.48268582774294</v>
      </c>
      <c r="H41" s="15"/>
      <c r="I41" s="15"/>
    </row>
    <row r="42" spans="1:9" x14ac:dyDescent="0.25">
      <c r="A42" s="18" t="str">
        <f t="shared" si="15"/>
        <v>Sugar Cane -Traditional*</v>
      </c>
      <c r="B42" s="18" t="str">
        <f t="shared" si="18"/>
        <v>Fermentation</v>
      </c>
      <c r="C42" s="18" t="str">
        <f t="shared" si="18"/>
        <v>Ethanol</v>
      </c>
      <c r="D42" s="16">
        <v>0</v>
      </c>
      <c r="E42" s="26">
        <v>0</v>
      </c>
      <c r="F42" s="23">
        <f t="shared" si="17"/>
        <v>0.36852282712924356</v>
      </c>
      <c r="G42" s="23">
        <f>1/(1/E24+E42)</f>
        <v>0.40628413281575343</v>
      </c>
      <c r="H42" s="15"/>
      <c r="I42" s="15"/>
    </row>
    <row r="43" spans="1:9" x14ac:dyDescent="0.25">
      <c r="A43" s="21" t="str">
        <f t="shared" si="15"/>
        <v>Technologies under development</v>
      </c>
      <c r="B43" s="21"/>
      <c r="C43" s="21"/>
      <c r="D43" s="16"/>
      <c r="E43" s="26"/>
      <c r="F43" s="23"/>
      <c r="G43" s="23"/>
      <c r="H43" s="15"/>
      <c r="I43" s="15"/>
    </row>
    <row r="44" spans="1:9" x14ac:dyDescent="0.25">
      <c r="A44" s="18" t="str">
        <f t="shared" si="15"/>
        <v>Algae</v>
      </c>
      <c r="B44" s="18" t="str">
        <f>B26</f>
        <v>Transesterification</v>
      </c>
      <c r="C44" s="18" t="str">
        <f>C26</f>
        <v>Biodiesel</v>
      </c>
      <c r="D44" s="16">
        <v>0</v>
      </c>
      <c r="E44" s="27">
        <v>0</v>
      </c>
      <c r="F44" s="23">
        <f t="shared" ref="F44" si="19">1/(1/D26+E44)</f>
        <v>1.4816627052300841</v>
      </c>
      <c r="G44" s="23">
        <f t="shared" ref="G44:G51" si="20">1/(1/E26+E44)</f>
        <v>1.4816627052300841</v>
      </c>
      <c r="H44" s="15"/>
      <c r="I44" s="15"/>
    </row>
    <row r="45" spans="1:9" x14ac:dyDescent="0.25">
      <c r="A45" s="15" t="s">
        <v>93</v>
      </c>
      <c r="B45" s="15" t="s">
        <v>149</v>
      </c>
      <c r="C45" s="15" t="s">
        <v>40</v>
      </c>
      <c r="D45" s="16">
        <v>0</v>
      </c>
      <c r="E45" s="27">
        <v>0</v>
      </c>
      <c r="F45" s="23">
        <f>1/(1/D28+E45)</f>
        <v>1.2645354145753427</v>
      </c>
      <c r="G45" s="23">
        <f>1/(1/E28+E45)</f>
        <v>1.3966510549041096</v>
      </c>
      <c r="H45" s="15"/>
      <c r="I45" s="15"/>
    </row>
    <row r="46" spans="1:9" x14ac:dyDescent="0.25">
      <c r="A46" s="18" t="str">
        <f>A27</f>
        <v>Eucalyptus</v>
      </c>
      <c r="B46" s="18" t="str">
        <f>B27</f>
        <v>Gasification and Methanol Synthesis</v>
      </c>
      <c r="C46" s="18" t="str">
        <f>C27</f>
        <v>Methanol</v>
      </c>
      <c r="D46" s="16">
        <v>0</v>
      </c>
      <c r="E46" s="27">
        <v>0</v>
      </c>
      <c r="F46" s="23">
        <f>1/(1/D27+E46)</f>
        <v>1.019177796821918</v>
      </c>
      <c r="G46" s="23">
        <f>1/(1/E27+E46)</f>
        <v>1.1324197742465756</v>
      </c>
      <c r="H46" s="15"/>
      <c r="I46" s="15"/>
    </row>
    <row r="47" spans="1:9" x14ac:dyDescent="0.25">
      <c r="A47" s="18" t="str">
        <f t="shared" ref="A47:B51" si="21">A29</f>
        <v>Electricity from Photovoltaics and CO2 from Air Capture</v>
      </c>
      <c r="B47" s="18" t="str">
        <f t="shared" si="21"/>
        <v>Electrolysis and Methanation</v>
      </c>
      <c r="C47" s="18" t="str">
        <f t="shared" ref="C47:C51" si="22">C29</f>
        <v>Methane</v>
      </c>
      <c r="D47" s="28">
        <f>'CO2-Capture'!B30</f>
        <v>2.6017200000000001E-3</v>
      </c>
      <c r="E47" s="29">
        <f>'CO2-Capture'!B28</f>
        <v>3.5478000000000002E-4</v>
      </c>
      <c r="F47" s="23">
        <f>1/(1/D29+E47)</f>
        <v>2.9965829116784777</v>
      </c>
      <c r="G47" s="23">
        <f t="shared" si="20"/>
        <v>8.9122773788148972</v>
      </c>
      <c r="H47" s="15"/>
      <c r="I47" s="15"/>
    </row>
    <row r="48" spans="1:9" x14ac:dyDescent="0.25">
      <c r="A48" s="18" t="str">
        <f t="shared" si="21"/>
        <v>Electricity from Photovoltaics and CO2 from Air Capture</v>
      </c>
      <c r="B48" s="18" t="str">
        <f t="shared" si="21"/>
        <v>Electrolysis and Methanol Synthesis</v>
      </c>
      <c r="C48" s="18" t="str">
        <f t="shared" si="22"/>
        <v>Methanol</v>
      </c>
      <c r="D48" s="28">
        <f>'CO2-Capture'!B31</f>
        <v>3.2979777777777828E-3</v>
      </c>
      <c r="E48" s="29">
        <f>'CO2-Capture'!B29</f>
        <v>4.4972424242424309E-4</v>
      </c>
      <c r="F48" s="23">
        <f t="shared" ref="F48:F51" si="23">1/(1/D30+E48)</f>
        <v>2.9540352282773168</v>
      </c>
      <c r="G48" s="23">
        <f t="shared" si="20"/>
        <v>8.6496948138485639</v>
      </c>
      <c r="H48" s="15"/>
      <c r="I48" s="15"/>
    </row>
    <row r="49" spans="1:9" x14ac:dyDescent="0.25">
      <c r="A49" s="18" t="str">
        <f t="shared" si="21"/>
        <v>Electricity from Wind Power and CO2 from Air Capture</v>
      </c>
      <c r="B49" s="18" t="str">
        <f t="shared" si="21"/>
        <v>Electrolysis and Methanation</v>
      </c>
      <c r="C49" s="18" t="str">
        <f t="shared" si="22"/>
        <v>Methane</v>
      </c>
      <c r="D49" s="28">
        <f>'CO2-Capture'!B30</f>
        <v>2.6017200000000001E-3</v>
      </c>
      <c r="E49" s="29">
        <f>'CO2-Capture'!B28</f>
        <v>3.5478000000000002E-4</v>
      </c>
      <c r="F49" s="23">
        <f t="shared" si="23"/>
        <v>53.680440436524059</v>
      </c>
      <c r="G49" s="23">
        <f t="shared" si="20"/>
        <v>80.343154649856402</v>
      </c>
      <c r="H49" s="15"/>
      <c r="I49" s="15"/>
    </row>
    <row r="50" spans="1:9" x14ac:dyDescent="0.25">
      <c r="A50" s="18" t="str">
        <f t="shared" si="21"/>
        <v>Electricity from Wind Power and CO2 from Air Capture</v>
      </c>
      <c r="B50" s="18" t="str">
        <f t="shared" si="21"/>
        <v>Electrolysis and Methanol Synthesis</v>
      </c>
      <c r="C50" s="18" t="str">
        <f t="shared" si="22"/>
        <v>Methanol</v>
      </c>
      <c r="D50" s="28">
        <f>'CO2-Capture'!B31</f>
        <v>3.2979777777777828E-3</v>
      </c>
      <c r="E50" s="29">
        <f>'CO2-Capture'!B29</f>
        <v>4.4972424242424309E-4</v>
      </c>
      <c r="F50" s="23">
        <f t="shared" si="23"/>
        <v>53.408237410075181</v>
      </c>
      <c r="G50" s="23">
        <f t="shared" si="20"/>
        <v>77.522189357284859</v>
      </c>
      <c r="H50" s="15"/>
      <c r="I50" s="15"/>
    </row>
    <row r="51" spans="1:9" x14ac:dyDescent="0.25">
      <c r="A51" s="18" t="str">
        <f t="shared" si="21"/>
        <v>Sugar Cane - 2nd Generation</v>
      </c>
      <c r="B51" s="18" t="str">
        <f t="shared" si="21"/>
        <v>Hydrolysis of Bagasse and Fermentation</v>
      </c>
      <c r="C51" s="18" t="str">
        <f t="shared" si="22"/>
        <v>Ethanol</v>
      </c>
      <c r="D51" s="15">
        <v>0</v>
      </c>
      <c r="E51" s="27">
        <v>0</v>
      </c>
      <c r="F51" s="23">
        <f t="shared" si="23"/>
        <v>0.83713827397260288</v>
      </c>
      <c r="G51" s="23">
        <f t="shared" si="20"/>
        <v>0.83713827397260288</v>
      </c>
      <c r="H51" s="15"/>
      <c r="I51" s="15"/>
    </row>
    <row r="53" spans="1:9" ht="31.5" x14ac:dyDescent="0.5">
      <c r="A53" s="4" t="s">
        <v>160</v>
      </c>
      <c r="E53" s="3"/>
      <c r="F53" s="2" t="s">
        <v>164</v>
      </c>
    </row>
    <row r="54" spans="1:9" x14ac:dyDescent="0.25">
      <c r="A54" t="str">
        <f>A37</f>
        <v>Primary Resource</v>
      </c>
      <c r="B54" t="str">
        <f t="shared" ref="B54:C54" si="24">B37</f>
        <v>Process</v>
      </c>
      <c r="C54" t="str">
        <f t="shared" si="24"/>
        <v>Product</v>
      </c>
      <c r="D54" s="14" t="s">
        <v>161</v>
      </c>
      <c r="E54" s="14" t="s">
        <v>162</v>
      </c>
      <c r="F54" s="14" t="s">
        <v>161</v>
      </c>
      <c r="G54" s="14" t="s">
        <v>162</v>
      </c>
    </row>
    <row r="55" spans="1:9" x14ac:dyDescent="0.25">
      <c r="A55" t="str">
        <f t="shared" ref="A55:C61" si="25">A38</f>
        <v xml:space="preserve">Commercially available technologies </v>
      </c>
    </row>
    <row r="56" spans="1:9" x14ac:dyDescent="0.25">
      <c r="A56" t="str">
        <f t="shared" si="25"/>
        <v>Oil Palm</v>
      </c>
      <c r="B56" t="str">
        <f t="shared" si="25"/>
        <v>Transesterification</v>
      </c>
      <c r="C56" t="str">
        <f t="shared" si="25"/>
        <v>Biodiesel</v>
      </c>
      <c r="D56" s="3">
        <f>ROUND(F39*8.76,2-1+INT(LOG10(ABS(F39))))</f>
        <v>6</v>
      </c>
      <c r="E56" s="3">
        <f>ROUND(G39*8.76,2-1+INT(LOG10(ABS(G39))))</f>
        <v>7</v>
      </c>
      <c r="F56" s="3" t="str">
        <f t="shared" ref="F56:G59" si="26">TEXT(TEXT(D56,"."&amp;REPT("0",sigfigs)&amp;"E+000"),"0"&amp;REPT(".",(sigfigs-(1+INT(LOG10(ABS(1*TEXT(D56,"."&amp;REPT("0",sigfigs)&amp;"E+000"))))))&gt;0)&amp; REPT("0",(sigfigs-(1+INT(LOG10(ABS(1*TEXT(D56,"."&amp;REPT("0",sigfigs)&amp;"E+000"))))))*((sigfigs-(1+INT(LOG10(ABS(D56)))))&gt;0)))</f>
        <v>6.0</v>
      </c>
      <c r="G56" s="3" t="str">
        <f t="shared" si="26"/>
        <v>7.0</v>
      </c>
    </row>
    <row r="57" spans="1:9" x14ac:dyDescent="0.25">
      <c r="A57" t="str">
        <f t="shared" si="25"/>
        <v>Electricity from Photovoltaics (PV)</v>
      </c>
      <c r="B57" t="str">
        <f t="shared" si="25"/>
        <v>Electrolysis</v>
      </c>
      <c r="C57" t="str">
        <f t="shared" si="25"/>
        <v>H2</v>
      </c>
      <c r="D57" s="3">
        <f>ROUND(F40*8.76,2-1+INT(LOG10(ABS(F40))))</f>
        <v>34.6</v>
      </c>
      <c r="E57" s="3">
        <f t="shared" ref="E57" si="27">ROUND(G40*8.76,2-1+INT(LOG10(ABS(G40))))</f>
        <v>108.42</v>
      </c>
      <c r="F57" s="3" t="str">
        <f t="shared" si="26"/>
        <v>35</v>
      </c>
      <c r="G57" s="3" t="str">
        <f t="shared" si="26"/>
        <v>110</v>
      </c>
    </row>
    <row r="58" spans="1:9" x14ac:dyDescent="0.25">
      <c r="A58" t="str">
        <f t="shared" si="25"/>
        <v>Electricity from Wind Power</v>
      </c>
      <c r="B58" t="str">
        <f t="shared" si="25"/>
        <v>Electrolysis</v>
      </c>
      <c r="C58" t="str">
        <f t="shared" si="25"/>
        <v>H2</v>
      </c>
      <c r="D58" s="3">
        <f t="shared" ref="D58:E59" si="28">ROUND(F41*8.76,2-1+INT(LOG10(ABS(F41))))</f>
        <v>639.33000000000004</v>
      </c>
      <c r="E58" s="3">
        <f t="shared" si="28"/>
        <v>1002.8680000000001</v>
      </c>
      <c r="F58" s="3" t="str">
        <f t="shared" si="26"/>
        <v>640</v>
      </c>
      <c r="G58" s="3" t="str">
        <f t="shared" si="26"/>
        <v>1000</v>
      </c>
    </row>
    <row r="59" spans="1:9" x14ac:dyDescent="0.25">
      <c r="A59" t="str">
        <f t="shared" si="25"/>
        <v>Sugar Cane -Traditional*</v>
      </c>
      <c r="B59" t="str">
        <f t="shared" si="25"/>
        <v>Fermentation</v>
      </c>
      <c r="C59" t="str">
        <f t="shared" si="25"/>
        <v>Ethanol</v>
      </c>
      <c r="D59" s="3">
        <f t="shared" si="28"/>
        <v>3</v>
      </c>
      <c r="E59" s="3">
        <f t="shared" si="28"/>
        <v>4</v>
      </c>
      <c r="F59" s="3" t="str">
        <f t="shared" si="26"/>
        <v>3.0</v>
      </c>
      <c r="G59" s="3" t="str">
        <f t="shared" si="26"/>
        <v>4.0</v>
      </c>
    </row>
    <row r="60" spans="1:9" x14ac:dyDescent="0.25">
      <c r="A60" t="str">
        <f t="shared" si="25"/>
        <v>Technologies under development</v>
      </c>
      <c r="D60" s="3"/>
      <c r="E60" s="3"/>
      <c r="F60" s="3"/>
      <c r="G60" s="3"/>
    </row>
    <row r="61" spans="1:9" x14ac:dyDescent="0.25">
      <c r="A61" t="str">
        <f t="shared" si="25"/>
        <v>Algae</v>
      </c>
      <c r="B61" t="str">
        <f t="shared" si="25"/>
        <v>Transesterification</v>
      </c>
      <c r="C61" t="str">
        <f t="shared" si="25"/>
        <v>Biodiesel</v>
      </c>
      <c r="D61" s="3">
        <f t="shared" ref="D61:E61" si="29">ROUND(F44*8.76,2-1+INT(LOG10(ABS(F44))))</f>
        <v>13</v>
      </c>
      <c r="E61" s="3">
        <f t="shared" si="29"/>
        <v>13</v>
      </c>
      <c r="F61" s="3" t="str">
        <f t="shared" ref="F61:G68" si="30">TEXT(TEXT(D61,"."&amp;REPT("0",sigfigs)&amp;"E+000"),"0"&amp;REPT(".",(sigfigs-(1+INT(LOG10(ABS(1*TEXT(D61,"."&amp;REPT("0",sigfigs)&amp;"E+000"))))))&gt;0)&amp; REPT("0",(sigfigs-(1+INT(LOG10(ABS(1*TEXT(D61,"."&amp;REPT("0",sigfigs)&amp;"E+000"))))))*((sigfigs-(1+INT(LOG10(ABS(D61)))))&gt;0)))</f>
        <v>13</v>
      </c>
      <c r="G61" s="3" t="str">
        <f t="shared" si="30"/>
        <v>13</v>
      </c>
    </row>
    <row r="62" spans="1:9" x14ac:dyDescent="0.25">
      <c r="A62" t="str">
        <f t="shared" ref="A62:C62" si="31">A45</f>
        <v>Eucalyptus</v>
      </c>
      <c r="B62" t="str">
        <f t="shared" si="31"/>
        <v>Gasification and Methane Synthesis</v>
      </c>
      <c r="C62" t="str">
        <f t="shared" si="31"/>
        <v>Methane</v>
      </c>
      <c r="D62" s="3">
        <f t="shared" ref="D62:D68" si="32">ROUND(F45*8.76,2-1+INT(LOG10(ABS(F45))))</f>
        <v>11.1</v>
      </c>
      <c r="E62" s="3">
        <f t="shared" ref="E62:E68" si="33">ROUND(G45*8.76,2-1+INT(LOG10(ABS(G45))))</f>
        <v>12.2</v>
      </c>
      <c r="F62" s="3" t="str">
        <f t="shared" si="30"/>
        <v>11</v>
      </c>
      <c r="G62" s="3" t="str">
        <f t="shared" si="30"/>
        <v>12</v>
      </c>
    </row>
    <row r="63" spans="1:9" x14ac:dyDescent="0.25">
      <c r="A63" t="str">
        <f t="shared" ref="A63:C63" si="34">A46</f>
        <v>Eucalyptus</v>
      </c>
      <c r="B63" t="str">
        <f t="shared" si="34"/>
        <v>Gasification and Methanol Synthesis</v>
      </c>
      <c r="C63" t="str">
        <f t="shared" si="34"/>
        <v>Methanol</v>
      </c>
      <c r="D63" s="3">
        <f t="shared" si="32"/>
        <v>8.9</v>
      </c>
      <c r="E63" s="3">
        <f t="shared" si="33"/>
        <v>9.9</v>
      </c>
      <c r="F63" s="3" t="str">
        <f t="shared" si="30"/>
        <v>8.9</v>
      </c>
      <c r="G63" s="3" t="str">
        <f t="shared" si="30"/>
        <v>9.9</v>
      </c>
    </row>
    <row r="64" spans="1:9" x14ac:dyDescent="0.25">
      <c r="A64" t="str">
        <f t="shared" ref="A64:C64" si="35">A47</f>
        <v>Electricity from Photovoltaics and CO2 from Air Capture</v>
      </c>
      <c r="B64" t="str">
        <f t="shared" si="35"/>
        <v>Electrolysis and Methanation</v>
      </c>
      <c r="C64" t="str">
        <f t="shared" si="35"/>
        <v>Methane</v>
      </c>
      <c r="D64" s="3">
        <f t="shared" si="32"/>
        <v>26.3</v>
      </c>
      <c r="E64" s="3">
        <f t="shared" si="33"/>
        <v>78.099999999999994</v>
      </c>
      <c r="F64" s="3" t="str">
        <f t="shared" si="30"/>
        <v>26</v>
      </c>
      <c r="G64" s="3" t="str">
        <f t="shared" si="30"/>
        <v>78</v>
      </c>
    </row>
    <row r="65" spans="1:7" x14ac:dyDescent="0.25">
      <c r="A65" t="str">
        <f t="shared" ref="A65:C65" si="36">A48</f>
        <v>Electricity from Photovoltaics and CO2 from Air Capture</v>
      </c>
      <c r="B65" t="str">
        <f t="shared" si="36"/>
        <v>Electrolysis and Methanol Synthesis</v>
      </c>
      <c r="C65" t="str">
        <f t="shared" si="36"/>
        <v>Methanol</v>
      </c>
      <c r="D65" s="3">
        <f t="shared" si="32"/>
        <v>25.9</v>
      </c>
      <c r="E65" s="3">
        <f t="shared" si="33"/>
        <v>75.8</v>
      </c>
      <c r="F65" s="3" t="str">
        <f t="shared" si="30"/>
        <v>26</v>
      </c>
      <c r="G65" s="3" t="str">
        <f t="shared" si="30"/>
        <v>76</v>
      </c>
    </row>
    <row r="66" spans="1:7" x14ac:dyDescent="0.25">
      <c r="A66" t="str">
        <f t="shared" ref="A66:C66" si="37">A49</f>
        <v>Electricity from Wind Power and CO2 from Air Capture</v>
      </c>
      <c r="B66" t="str">
        <f t="shared" si="37"/>
        <v>Electrolysis and Methanation</v>
      </c>
      <c r="C66" t="str">
        <f t="shared" si="37"/>
        <v>Methane</v>
      </c>
      <c r="D66" s="3">
        <f t="shared" si="32"/>
        <v>470.24</v>
      </c>
      <c r="E66" s="3">
        <f t="shared" si="33"/>
        <v>703.81</v>
      </c>
      <c r="F66" s="3" t="str">
        <f t="shared" si="30"/>
        <v>470</v>
      </c>
      <c r="G66" s="3" t="str">
        <f t="shared" si="30"/>
        <v>700</v>
      </c>
    </row>
    <row r="67" spans="1:7" x14ac:dyDescent="0.25">
      <c r="A67" t="str">
        <f t="shared" ref="A67:C67" si="38">A50</f>
        <v>Electricity from Wind Power and CO2 from Air Capture</v>
      </c>
      <c r="B67" t="str">
        <f t="shared" si="38"/>
        <v>Electrolysis and Methanol Synthesis</v>
      </c>
      <c r="C67" t="str">
        <f t="shared" si="38"/>
        <v>Methanol</v>
      </c>
      <c r="D67" s="3">
        <f t="shared" si="32"/>
        <v>467.86</v>
      </c>
      <c r="E67" s="3">
        <f t="shared" si="33"/>
        <v>679.09</v>
      </c>
      <c r="F67" s="3" t="str">
        <f t="shared" si="30"/>
        <v>470</v>
      </c>
      <c r="G67" s="3" t="str">
        <f t="shared" si="30"/>
        <v>680</v>
      </c>
    </row>
    <row r="68" spans="1:7" x14ac:dyDescent="0.25">
      <c r="A68" t="str">
        <f t="shared" ref="A68:C68" si="39">A51</f>
        <v>Sugar Cane - 2nd Generation</v>
      </c>
      <c r="B68" t="str">
        <f t="shared" si="39"/>
        <v>Hydrolysis of Bagasse and Fermentation</v>
      </c>
      <c r="C68" t="str">
        <f t="shared" si="39"/>
        <v>Ethanol</v>
      </c>
      <c r="D68" s="3">
        <f t="shared" si="32"/>
        <v>7</v>
      </c>
      <c r="E68" s="3">
        <f t="shared" si="33"/>
        <v>7</v>
      </c>
      <c r="F68" s="3" t="str">
        <f t="shared" si="30"/>
        <v>7.0</v>
      </c>
      <c r="G68" s="3" t="str">
        <f t="shared" si="30"/>
        <v>7.0</v>
      </c>
    </row>
    <row r="70" spans="1:7" x14ac:dyDescent="0.25">
      <c r="A70" t="s">
        <v>163</v>
      </c>
      <c r="B70">
        <v>2</v>
      </c>
    </row>
  </sheetData>
  <pageMargins left="0.7" right="0.7" top="0.78740157499999996" bottom="0.78740157499999996"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abSelected="1" workbookViewId="0">
      <selection activeCell="B22" sqref="B22"/>
    </sheetView>
  </sheetViews>
  <sheetFormatPr baseColWidth="10" defaultRowHeight="15" x14ac:dyDescent="0.25"/>
  <cols>
    <col min="2" max="2" width="90.5703125" customWidth="1"/>
    <col min="3" max="3" width="20.28515625" customWidth="1"/>
  </cols>
  <sheetData>
    <row r="1" spans="1:4" ht="31.5" x14ac:dyDescent="0.5">
      <c r="A1" s="4" t="s">
        <v>184</v>
      </c>
    </row>
    <row r="2" spans="1:4" x14ac:dyDescent="0.25">
      <c r="A2" t="s">
        <v>185</v>
      </c>
      <c r="B2" t="s">
        <v>187</v>
      </c>
      <c r="C2" t="s">
        <v>10</v>
      </c>
      <c r="D2" t="s">
        <v>186</v>
      </c>
    </row>
    <row r="3" spans="1:4" x14ac:dyDescent="0.25">
      <c r="A3">
        <v>1</v>
      </c>
      <c r="B3" t="s">
        <v>202</v>
      </c>
      <c r="D3" t="s">
        <v>51</v>
      </c>
    </row>
    <row r="4" spans="1:4" x14ac:dyDescent="0.25">
      <c r="A4">
        <v>2</v>
      </c>
      <c r="B4" t="s">
        <v>203</v>
      </c>
      <c r="D4" t="s">
        <v>56</v>
      </c>
    </row>
    <row r="5" spans="1:4" x14ac:dyDescent="0.25">
      <c r="A5">
        <v>3</v>
      </c>
      <c r="B5" t="s">
        <v>205</v>
      </c>
      <c r="D5" t="s">
        <v>5</v>
      </c>
    </row>
    <row r="6" spans="1:4" ht="30" x14ac:dyDescent="0.25">
      <c r="A6">
        <v>4</v>
      </c>
      <c r="B6" s="34" t="s">
        <v>206</v>
      </c>
      <c r="D6" s="30" t="s">
        <v>8</v>
      </c>
    </row>
    <row r="7" spans="1:4" x14ac:dyDescent="0.25">
      <c r="A7">
        <v>5</v>
      </c>
      <c r="B7" s="33" t="s">
        <v>190</v>
      </c>
      <c r="C7" t="s">
        <v>199</v>
      </c>
      <c r="D7" s="30" t="s">
        <v>128</v>
      </c>
    </row>
    <row r="8" spans="1:4" x14ac:dyDescent="0.25">
      <c r="A8">
        <v>6</v>
      </c>
      <c r="B8" t="s">
        <v>208</v>
      </c>
      <c r="D8" s="30" t="s">
        <v>117</v>
      </c>
    </row>
    <row r="9" spans="1:4" ht="18" x14ac:dyDescent="0.25">
      <c r="A9">
        <v>7</v>
      </c>
      <c r="B9" s="33" t="s">
        <v>191</v>
      </c>
      <c r="D9" t="s">
        <v>136</v>
      </c>
    </row>
    <row r="10" spans="1:4" x14ac:dyDescent="0.25">
      <c r="A10">
        <v>8</v>
      </c>
      <c r="B10" t="s">
        <v>204</v>
      </c>
      <c r="D10" s="30" t="s">
        <v>139</v>
      </c>
    </row>
    <row r="11" spans="1:4" x14ac:dyDescent="0.25">
      <c r="A11">
        <v>9</v>
      </c>
      <c r="B11" s="33" t="s">
        <v>192</v>
      </c>
      <c r="D11" t="s">
        <v>0</v>
      </c>
    </row>
    <row r="12" spans="1:4" x14ac:dyDescent="0.25">
      <c r="A12">
        <v>10</v>
      </c>
      <c r="B12" s="33" t="s">
        <v>193</v>
      </c>
      <c r="D12" t="s">
        <v>45</v>
      </c>
    </row>
    <row r="13" spans="1:4" x14ac:dyDescent="0.25">
      <c r="A13">
        <v>11</v>
      </c>
      <c r="B13" s="33" t="s">
        <v>194</v>
      </c>
      <c r="D13" t="s">
        <v>70</v>
      </c>
    </row>
    <row r="14" spans="1:4" x14ac:dyDescent="0.25">
      <c r="A14">
        <v>12</v>
      </c>
      <c r="B14" s="33" t="s">
        <v>195</v>
      </c>
      <c r="D14" t="s">
        <v>84</v>
      </c>
    </row>
    <row r="15" spans="1:4" x14ac:dyDescent="0.25">
      <c r="A15">
        <v>13</v>
      </c>
      <c r="B15" s="33" t="s">
        <v>196</v>
      </c>
      <c r="D15" t="s">
        <v>91</v>
      </c>
    </row>
    <row r="16" spans="1:4" x14ac:dyDescent="0.25">
      <c r="A16">
        <v>14</v>
      </c>
      <c r="B16" s="33" t="s">
        <v>207</v>
      </c>
      <c r="D16" s="30" t="s">
        <v>86</v>
      </c>
    </row>
    <row r="17" spans="1:8" x14ac:dyDescent="0.25">
      <c r="A17">
        <v>15</v>
      </c>
      <c r="B17" s="33" t="s">
        <v>197</v>
      </c>
      <c r="D17" s="30" t="s">
        <v>200</v>
      </c>
    </row>
    <row r="18" spans="1:8" x14ac:dyDescent="0.25">
      <c r="A18">
        <v>16</v>
      </c>
      <c r="B18" s="33" t="s">
        <v>201</v>
      </c>
      <c r="D18" s="15" t="s">
        <v>89</v>
      </c>
    </row>
    <row r="19" spans="1:8" x14ac:dyDescent="0.25">
      <c r="A19">
        <v>17</v>
      </c>
      <c r="B19" s="33" t="s">
        <v>198</v>
      </c>
      <c r="D19" s="15" t="s">
        <v>150</v>
      </c>
    </row>
    <row r="20" spans="1:8" x14ac:dyDescent="0.25">
      <c r="A20">
        <v>18</v>
      </c>
      <c r="B20" s="33" t="s">
        <v>209</v>
      </c>
      <c r="D20" s="30" t="s">
        <v>4</v>
      </c>
    </row>
    <row r="21" spans="1:8" x14ac:dyDescent="0.25">
      <c r="A21">
        <v>19</v>
      </c>
      <c r="B21" s="33" t="s">
        <v>209</v>
      </c>
      <c r="D21" t="s">
        <v>4</v>
      </c>
    </row>
    <row r="22" spans="1:8" x14ac:dyDescent="0.25">
      <c r="A22">
        <v>20</v>
      </c>
      <c r="B22" s="33" t="s">
        <v>210</v>
      </c>
      <c r="D22" s="30" t="s">
        <v>97</v>
      </c>
    </row>
    <row r="24" spans="1:8" x14ac:dyDescent="0.25">
      <c r="G24" s="33"/>
      <c r="H24" s="33"/>
    </row>
    <row r="25" spans="1:8" x14ac:dyDescent="0.25">
      <c r="G25" s="33"/>
      <c r="H25" s="33"/>
    </row>
    <row r="26" spans="1:8" x14ac:dyDescent="0.25">
      <c r="G26" s="33"/>
      <c r="H26" s="33"/>
    </row>
    <row r="27" spans="1:8" x14ac:dyDescent="0.25">
      <c r="G27" s="33"/>
      <c r="H27" s="33"/>
    </row>
    <row r="28" spans="1:8" x14ac:dyDescent="0.25">
      <c r="G28" s="33"/>
      <c r="H28" s="33"/>
    </row>
    <row r="29" spans="1:8" x14ac:dyDescent="0.25">
      <c r="G29" s="33"/>
      <c r="H29" s="33"/>
    </row>
    <row r="30" spans="1:8" x14ac:dyDescent="0.25">
      <c r="G30" s="33"/>
      <c r="H30" s="33"/>
    </row>
    <row r="31" spans="1:8" x14ac:dyDescent="0.25">
      <c r="G31" s="33"/>
      <c r="H31" s="33"/>
    </row>
    <row r="32" spans="1:8" x14ac:dyDescent="0.25">
      <c r="G32" s="33"/>
      <c r="H32" s="33"/>
    </row>
  </sheetData>
  <hyperlinks>
    <hyperlink ref="D20" r:id="rId1"/>
    <hyperlink ref="D7" r:id="rId2"/>
    <hyperlink ref="D17" r:id="rId3"/>
    <hyperlink ref="D6" r:id="rId4"/>
    <hyperlink ref="D8" r:id="rId5"/>
    <hyperlink ref="D10" r:id="rId6"/>
    <hyperlink ref="D16" r:id="rId7"/>
    <hyperlink ref="D22" r:id="rId8" location="eucalyptus"/>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Solar, Wind Productivity</vt:lpstr>
      <vt:lpstr>CO2-Capture</vt:lpstr>
      <vt:lpstr>Biomass Productivity</vt:lpstr>
      <vt:lpstr>Technical Conversion Factors</vt:lpstr>
      <vt:lpstr>Energy Conversion Factors</vt:lpstr>
      <vt:lpstr>Land Productivity - Final Table</vt:lpstr>
      <vt:lpstr>References</vt:lpstr>
      <vt:lpstr>sigfigs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jschmidt</dc:creator>
  <cp:lastModifiedBy>jschmidt</cp:lastModifiedBy>
  <cp:lastPrinted>2018-10-15T13:35:59Z</cp:lastPrinted>
  <dcterms:created xsi:type="dcterms:W3CDTF">2018-10-03T07:38:41Z</dcterms:created>
  <dcterms:modified xsi:type="dcterms:W3CDTF">2018-12-20T14:13:14Z</dcterms:modified>
</cp:coreProperties>
</file>