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ine Ablage\paper\nature energy\repository\reFUEL_Perspective\data\"/>
    </mc:Choice>
  </mc:AlternateContent>
  <bookViews>
    <workbookView xWindow="0" yWindow="0" windowWidth="28800" windowHeight="12330" firstSheet="2" activeTab="5"/>
  </bookViews>
  <sheets>
    <sheet name="Start" sheetId="8" r:id="rId1"/>
    <sheet name="Miller Paper - Data" sheetId="9" r:id="rId2"/>
    <sheet name="Solar, Wind Productivity" sheetId="7" r:id="rId3"/>
    <sheet name="CO2-Capture" sheetId="10" r:id="rId4"/>
    <sheet name="Biomass Productivity" sheetId="2" r:id="rId5"/>
    <sheet name="Technical Conversion Factors" sheetId="3" r:id="rId6"/>
    <sheet name="Energy Conversion Factors" sheetId="5" r:id="rId7"/>
    <sheet name="Land Productivity - Final Table" sheetId="6" r:id="rId8"/>
  </sheets>
  <definedNames>
    <definedName name="sigfigs">'Land Productivity - Final Table'!$B$70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2" i="6" l="1"/>
  <c r="B62" i="6"/>
  <c r="C62" i="6"/>
  <c r="D62" i="6"/>
  <c r="F62" i="6" s="1"/>
  <c r="E62" i="6"/>
  <c r="G62" i="6"/>
  <c r="A63" i="6"/>
  <c r="B63" i="6"/>
  <c r="C63" i="6"/>
  <c r="D63" i="6"/>
  <c r="F63" i="6" s="1"/>
  <c r="E63" i="6"/>
  <c r="G63" i="6" s="1"/>
  <c r="A64" i="6"/>
  <c r="B64" i="6"/>
  <c r="C64" i="6"/>
  <c r="D64" i="6"/>
  <c r="E64" i="6"/>
  <c r="G64" i="6" s="1"/>
  <c r="F64" i="6"/>
  <c r="A65" i="6"/>
  <c r="B65" i="6"/>
  <c r="C65" i="6"/>
  <c r="D65" i="6"/>
  <c r="E65" i="6"/>
  <c r="F65" i="6"/>
  <c r="G65" i="6"/>
  <c r="A66" i="6"/>
  <c r="B66" i="6"/>
  <c r="C66" i="6"/>
  <c r="D66" i="6"/>
  <c r="F66" i="6" s="1"/>
  <c r="E66" i="6"/>
  <c r="G66" i="6"/>
  <c r="A67" i="6"/>
  <c r="B67" i="6"/>
  <c r="C67" i="6"/>
  <c r="D67" i="6"/>
  <c r="F67" i="6" s="1"/>
  <c r="E67" i="6"/>
  <c r="G67" i="6" s="1"/>
  <c r="A68" i="6"/>
  <c r="B68" i="6"/>
  <c r="C68" i="6"/>
  <c r="D68" i="6"/>
  <c r="E68" i="6"/>
  <c r="G68" i="6" s="1"/>
  <c r="F68" i="6"/>
  <c r="C54" i="6" l="1"/>
  <c r="B54" i="6"/>
  <c r="A54" i="6"/>
  <c r="A22" i="6" l="1"/>
  <c r="B22" i="6"/>
  <c r="C22" i="6"/>
  <c r="A23" i="6"/>
  <c r="B23" i="6"/>
  <c r="C23" i="6"/>
  <c r="A24" i="6"/>
  <c r="B24" i="6"/>
  <c r="C24" i="6"/>
  <c r="C19" i="10" l="1"/>
  <c r="B28" i="10" s="1"/>
  <c r="C28" i="10" l="1"/>
  <c r="E47" i="6"/>
  <c r="E11" i="6"/>
  <c r="E28" i="6" s="1"/>
  <c r="G45" i="6" s="1"/>
  <c r="D11" i="6"/>
  <c r="D28" i="6" s="1"/>
  <c r="C11" i="10"/>
  <c r="F45" i="6" l="1"/>
  <c r="B29" i="10"/>
  <c r="E50" i="6" l="1"/>
  <c r="E49" i="6"/>
  <c r="E48" i="6"/>
  <c r="A27" i="6"/>
  <c r="A46" i="6" s="1"/>
  <c r="B27" i="6"/>
  <c r="B46" i="6" s="1"/>
  <c r="C27" i="6"/>
  <c r="A29" i="6"/>
  <c r="A47" i="6" s="1"/>
  <c r="B29" i="6"/>
  <c r="B47" i="6" s="1"/>
  <c r="C29" i="6"/>
  <c r="A30" i="6"/>
  <c r="A48" i="6" s="1"/>
  <c r="B30" i="6"/>
  <c r="B48" i="6" s="1"/>
  <c r="C30" i="6"/>
  <c r="A31" i="6"/>
  <c r="A49" i="6" s="1"/>
  <c r="B31" i="6"/>
  <c r="B49" i="6" s="1"/>
  <c r="C31" i="6"/>
  <c r="A32" i="6"/>
  <c r="A50" i="6" s="1"/>
  <c r="B32" i="6"/>
  <c r="B50" i="6" s="1"/>
  <c r="C32" i="6"/>
  <c r="A33" i="6"/>
  <c r="A51" i="6" s="1"/>
  <c r="B33" i="6"/>
  <c r="B51" i="6" s="1"/>
  <c r="C33" i="6"/>
  <c r="B26" i="6"/>
  <c r="B44" i="6" s="1"/>
  <c r="B61" i="6" s="1"/>
  <c r="C26" i="6"/>
  <c r="A26" i="6"/>
  <c r="A44" i="6" s="1"/>
  <c r="A61" i="6" s="1"/>
  <c r="A40" i="6"/>
  <c r="A57" i="6" s="1"/>
  <c r="B40" i="6"/>
  <c r="B57" i="6" s="1"/>
  <c r="C40" i="6"/>
  <c r="C57" i="6" s="1"/>
  <c r="A41" i="6"/>
  <c r="A58" i="6" s="1"/>
  <c r="B41" i="6"/>
  <c r="B58" i="6" s="1"/>
  <c r="C41" i="6"/>
  <c r="C58" i="6" s="1"/>
  <c r="A42" i="6"/>
  <c r="A59" i="6" s="1"/>
  <c r="B42" i="6"/>
  <c r="B59" i="6" s="1"/>
  <c r="C42" i="6"/>
  <c r="C59" i="6" s="1"/>
  <c r="B21" i="6"/>
  <c r="B39" i="6" s="1"/>
  <c r="B56" i="6" s="1"/>
  <c r="C21" i="6"/>
  <c r="C39" i="6" s="1"/>
  <c r="C56" i="6" s="1"/>
  <c r="A21" i="6"/>
  <c r="A39" i="6" s="1"/>
  <c r="A56" i="6" s="1"/>
  <c r="C9" i="10"/>
  <c r="C16" i="10" s="1"/>
  <c r="C18" i="10"/>
  <c r="B30" i="10" l="1"/>
  <c r="B31" i="10"/>
  <c r="C30" i="10"/>
  <c r="C17" i="10"/>
  <c r="C44" i="6"/>
  <c r="C61" i="6" s="1"/>
  <c r="C46" i="6"/>
  <c r="C47" i="6"/>
  <c r="C48" i="6"/>
  <c r="C49" i="6"/>
  <c r="C50" i="6"/>
  <c r="C51" i="6"/>
  <c r="D50" i="6" l="1"/>
  <c r="D48" i="6"/>
  <c r="D47" i="6"/>
  <c r="D49" i="6"/>
  <c r="C31" i="10"/>
  <c r="C29" i="10"/>
  <c r="A25" i="6" l="1"/>
  <c r="A43" i="6" s="1"/>
  <c r="A60" i="6" s="1"/>
  <c r="A20" i="6"/>
  <c r="A38" i="6" s="1"/>
  <c r="A55" i="6" s="1"/>
  <c r="D26" i="3" l="1"/>
  <c r="D11" i="7" l="1"/>
  <c r="D10" i="7"/>
  <c r="C24" i="9"/>
  <c r="D9" i="7" s="1"/>
  <c r="B24" i="9"/>
  <c r="D17" i="7" s="1"/>
  <c r="C23" i="9"/>
  <c r="B23" i="9"/>
  <c r="C22" i="9"/>
  <c r="B22" i="9"/>
  <c r="C21" i="9"/>
  <c r="B21" i="9"/>
  <c r="C20" i="9"/>
  <c r="B20" i="9"/>
  <c r="C19" i="9"/>
  <c r="B19" i="9"/>
  <c r="C18" i="9"/>
  <c r="B18" i="9"/>
  <c r="C17" i="9"/>
  <c r="B17" i="9"/>
  <c r="E10" i="6" l="1"/>
  <c r="E27" i="6" s="1"/>
  <c r="G46" i="6" s="1"/>
  <c r="D19" i="3"/>
  <c r="D10" i="6" s="1"/>
  <c r="D27" i="6" s="1"/>
  <c r="F10" i="5"/>
  <c r="F46" i="6" l="1"/>
  <c r="D8" i="2"/>
  <c r="F9" i="5"/>
  <c r="D7" i="2"/>
  <c r="F8" i="5" l="1"/>
  <c r="D8" i="7"/>
  <c r="D14" i="7"/>
  <c r="D7" i="7"/>
  <c r="D5" i="2"/>
  <c r="D4" i="2"/>
  <c r="F7" i="5"/>
  <c r="F6" i="5"/>
  <c r="G4" i="2"/>
  <c r="E4" i="6" l="1"/>
  <c r="E21" i="6" s="1"/>
  <c r="G39" i="6" s="1"/>
  <c r="E56" i="6" s="1"/>
  <c r="G56" i="6" s="1"/>
  <c r="C8" i="10"/>
  <c r="D16" i="7"/>
  <c r="E5" i="6" s="1"/>
  <c r="E22" i="6" s="1"/>
  <c r="D15" i="7"/>
  <c r="D6" i="6"/>
  <c r="D23" i="6" s="1"/>
  <c r="F41" i="6" s="1"/>
  <c r="E6" i="6"/>
  <c r="E23" i="6" s="1"/>
  <c r="D16" i="6"/>
  <c r="D33" i="6" s="1"/>
  <c r="D5" i="6"/>
  <c r="D22" i="6" s="1"/>
  <c r="F40" i="6" s="1"/>
  <c r="E7" i="6"/>
  <c r="D4" i="6"/>
  <c r="D21" i="6" s="1"/>
  <c r="D7" i="6"/>
  <c r="D9" i="6"/>
  <c r="D26" i="6" s="1"/>
  <c r="F44" i="6" l="1"/>
  <c r="D61" i="6" s="1"/>
  <c r="F61" i="6" s="1"/>
  <c r="F51" i="6"/>
  <c r="F39" i="6"/>
  <c r="D56" i="6" s="1"/>
  <c r="F56" i="6" s="1"/>
  <c r="C14" i="10"/>
  <c r="D12" i="6" s="1"/>
  <c r="D29" i="6" s="1"/>
  <c r="F47" i="6" s="1"/>
  <c r="C12" i="10"/>
  <c r="C15" i="10"/>
  <c r="C13" i="10"/>
  <c r="D58" i="6"/>
  <c r="F58" i="6" s="1"/>
  <c r="D24" i="6"/>
  <c r="F42" i="6" s="1"/>
  <c r="D59" i="6" s="1"/>
  <c r="F59" i="6" s="1"/>
  <c r="G41" i="6"/>
  <c r="E58" i="6" s="1"/>
  <c r="G58" i="6" s="1"/>
  <c r="E24" i="6"/>
  <c r="G42" i="6" s="1"/>
  <c r="E59" i="6" s="1"/>
  <c r="G59" i="6" s="1"/>
  <c r="E14" i="6"/>
  <c r="E31" i="6" s="1"/>
  <c r="E15" i="6"/>
  <c r="E32" i="6" s="1"/>
  <c r="D57" i="6"/>
  <c r="F57" i="6" s="1"/>
  <c r="D15" i="6"/>
  <c r="D32" i="6" s="1"/>
  <c r="F50" i="6" s="1"/>
  <c r="D14" i="6"/>
  <c r="D31" i="6" s="1"/>
  <c r="F49" i="6" s="1"/>
  <c r="G40" i="6"/>
  <c r="E57" i="6" s="1"/>
  <c r="G57" i="6" s="1"/>
  <c r="E13" i="6"/>
  <c r="E30" i="6" s="1"/>
  <c r="E12" i="6"/>
  <c r="E29" i="6" s="1"/>
  <c r="G47" i="6" s="1"/>
  <c r="E16" i="6"/>
  <c r="E33" i="6" s="1"/>
  <c r="G51" i="6" s="1"/>
  <c r="D13" i="6"/>
  <c r="D30" i="6" s="1"/>
  <c r="F48" i="6" s="1"/>
  <c r="E9" i="6"/>
  <c r="E26" i="6" s="1"/>
  <c r="G44" i="6" s="1"/>
  <c r="E61" i="6" s="1"/>
  <c r="G61" i="6" s="1"/>
  <c r="G50" i="6" l="1"/>
  <c r="G48" i="6"/>
  <c r="G49" i="6"/>
</calcChain>
</file>

<file path=xl/sharedStrings.xml><?xml version="1.0" encoding="utf-8"?>
<sst xmlns="http://schemas.openxmlformats.org/spreadsheetml/2006/main" count="423" uniqueCount="229">
  <si>
    <t>http://science.sciencemag.org/content/329/5993/790</t>
  </si>
  <si>
    <t>Source</t>
  </si>
  <si>
    <t>Electricity</t>
  </si>
  <si>
    <t>Unit</t>
  </si>
  <si>
    <t>https://en.wikipedia.org/wiki/Energy_content_of_biofuel</t>
  </si>
  <si>
    <t>https://www.nrel.gov/docs/fy09osti/45834.pdf</t>
  </si>
  <si>
    <t>0.3 ha/mw direct permanent, 0.7 direct temporary, 34.5 total area</t>
  </si>
  <si>
    <t>US</t>
  </si>
  <si>
    <t>https://www.nrel.gov/docs/fy13osti/56290.pdf</t>
  </si>
  <si>
    <t>5.9 acr/MW</t>
  </si>
  <si>
    <t>Comment</t>
  </si>
  <si>
    <t>https://www.mpoweruk.com/fc_comparison.htm</t>
  </si>
  <si>
    <t>Assuming that expansion of the amount of the crop used for nonfuel purposes continues at historical rates, approximately 60 Mha could eventually be available for fuel production (SOM text). If changes in fuel production technologies enabled the use of the polysaccharide component of bagasse to produce a liquid fuel, in addition to the fuel produced from sugar we estimate that Brazil could produce up to ~800 GLE (SOM text) or equivalent amounts of other liquid fuels (3).</t>
  </si>
  <si>
    <t>Wind</t>
  </si>
  <si>
    <t>PV</t>
  </si>
  <si>
    <t>Input</t>
  </si>
  <si>
    <t>Ethanol</t>
  </si>
  <si>
    <t>min</t>
  </si>
  <si>
    <t>max</t>
  </si>
  <si>
    <t>Conversion unit in</t>
  </si>
  <si>
    <t>liter</t>
  </si>
  <si>
    <t>Conversion unit out</t>
  </si>
  <si>
    <t>-</t>
  </si>
  <si>
    <t>kWh</t>
  </si>
  <si>
    <t>Primary Resource</t>
  </si>
  <si>
    <t>Algae</t>
  </si>
  <si>
    <t>Production Location</t>
  </si>
  <si>
    <t>Type</t>
  </si>
  <si>
    <t> 4.6 Mha (4) resulted in about 27 GLE plus 2 GW electricity.</t>
  </si>
  <si>
    <t>Sugar cane - 1st Generation</t>
  </si>
  <si>
    <t>Sugar cane - 2nd Generation</t>
  </si>
  <si>
    <t>Harvest rate I</t>
  </si>
  <si>
    <t>Harvest Rate II</t>
  </si>
  <si>
    <t>Unit II</t>
  </si>
  <si>
    <t>Type II</t>
  </si>
  <si>
    <t>Liter Ethanol / ha</t>
  </si>
  <si>
    <t>GWh Electricity / ha</t>
  </si>
  <si>
    <t>Output</t>
  </si>
  <si>
    <t>Technology</t>
  </si>
  <si>
    <t>H2</t>
  </si>
  <si>
    <t>Electrolysis</t>
  </si>
  <si>
    <t>Fuel cell</t>
  </si>
  <si>
    <t>https://www.sciencedirect.com/science/article/pii/S0360319914031383</t>
  </si>
  <si>
    <t>Conversion Factor Low</t>
  </si>
  <si>
    <t>Conversion Factor High</t>
  </si>
  <si>
    <t>CHP Fuel Cell</t>
  </si>
  <si>
    <t>https://www.sciencedirect.com/science/article/pii/S030626191500094X#s0025</t>
  </si>
  <si>
    <t>comment</t>
  </si>
  <si>
    <t>Fuel Cell</t>
  </si>
  <si>
    <t xml:space="preserve">Ethanol </t>
  </si>
  <si>
    <t>Higher number: In case complete electrochemical reaction occurs with the involvement of all electrons.</t>
  </si>
  <si>
    <t>https://osf.io/bc47v/</t>
  </si>
  <si>
    <t>Depending on cell type 60% is higher level of SOFC.</t>
  </si>
  <si>
    <t>Methane</t>
  </si>
  <si>
    <t>Methanol</t>
  </si>
  <si>
    <t>Combined Cycle Gas Power Plant</t>
  </si>
  <si>
    <t>https://www.sciencedirect.com/science/article/pii/S1364032114010211</t>
  </si>
  <si>
    <t>Technical Conversion factors</t>
  </si>
  <si>
    <t>Product</t>
  </si>
  <si>
    <t>mean</t>
  </si>
  <si>
    <t>https://onlinelibrary.wiley.com/doi/full/10.1002/bbb.186</t>
  </si>
  <si>
    <t>Table 1</t>
  </si>
  <si>
    <t>Sugar Cane -Traditional*</t>
  </si>
  <si>
    <t>Coproduct of Electricity of 3.8MWh/ha</t>
  </si>
  <si>
    <t>Wind power</t>
  </si>
  <si>
    <t>Average Brazilian Solar Radiation Conditions</t>
  </si>
  <si>
    <t>http://ons.org.br/Paginas/resultados-da-operacao/historico-da-operacao/geracao_energia.aspx</t>
  </si>
  <si>
    <t>Average Brazilian Wind Conditions 2017</t>
  </si>
  <si>
    <t>GWh</t>
  </si>
  <si>
    <t>Total Generation</t>
  </si>
  <si>
    <t>Installed Capacity</t>
  </si>
  <si>
    <t>http://ons.org.br/Paginas/resultados-da-operacao/historico-da-operacao/capacidade_instalada.aspx</t>
  </si>
  <si>
    <t>Renewable electricity source</t>
  </si>
  <si>
    <t>Resource</t>
  </si>
  <si>
    <t>Variable Type</t>
  </si>
  <si>
    <t>Calculated from Above</t>
  </si>
  <si>
    <t>MW</t>
  </si>
  <si>
    <t>Value</t>
  </si>
  <si>
    <t>Full Load Hours</t>
  </si>
  <si>
    <t>MW/ha</t>
  </si>
  <si>
    <t>PV power</t>
  </si>
  <si>
    <t>PV Power</t>
  </si>
  <si>
    <t xml:space="preserve">General conversion factors </t>
  </si>
  <si>
    <t>acre</t>
  </si>
  <si>
    <t>ha</t>
  </si>
  <si>
    <t>https://www.sciencedirect.com/science/article/pii/S0196890415010687#s0015</t>
  </si>
  <si>
    <t>Diesel</t>
  </si>
  <si>
    <t>Combined Cycle Power Plant</t>
  </si>
  <si>
    <t>http://www.pnas.org/content/107/8/3388</t>
  </si>
  <si>
    <t>Average Pará Solar Radiation Conditions</t>
  </si>
  <si>
    <t>Liter Biodiesel /ha</t>
  </si>
  <si>
    <t>Biodiesel</t>
  </si>
  <si>
    <t>Oil Palm</t>
  </si>
  <si>
    <t>Liter Biodiesel / ha</t>
  </si>
  <si>
    <t>Table S2</t>
  </si>
  <si>
    <t>Solar &amp; Wind Productivity</t>
  </si>
  <si>
    <t>Drivers of long-distance trade of energy carriers in future low-carbon energy systems</t>
  </si>
  <si>
    <t>Deriving Land-use Efficiencies</t>
  </si>
  <si>
    <t>The final table can be found on the sheet land productivity. All other sheets contain relevant input data.</t>
  </si>
  <si>
    <t>Biomass Productivity</t>
  </si>
  <si>
    <t>Land Productivity - Fuels</t>
  </si>
  <si>
    <t>Average installed capacity in 2017</t>
  </si>
  <si>
    <t>Total generation for whole of Brazil in 2017</t>
  </si>
  <si>
    <t>Total generation for whole of Brazil in 2016</t>
  </si>
  <si>
    <t>Text in Source</t>
  </si>
  <si>
    <t>http://www.pnas.org/content/111/23/8691</t>
  </si>
  <si>
    <t>Resulting yields are in accordance with oil palm yields in Brazil from census data for the 1990s (9) (Northeastern Pará: simulated = 11.4 Mg/ha, census = 13.6 Mg/ha; eastern Bahia: simulated = 3.3 Mg/ha, census = 4.1 Mg/ha; roughly 99% of Brazil’s oil palm area is located in these two regions). + Table S5</t>
  </si>
  <si>
    <t>https://www.agora-energiewende.de/fileadmin2/Projekte/2017/SynKost_2050/Agora_SynCost-PtG-PtL-Calculator_v1.0.xlsm</t>
  </si>
  <si>
    <t>https://data.open-power-system-data.org/conventional_power_plants/2018-02-27/conventional_power_plants_DE.csv</t>
  </si>
  <si>
    <t>Average Productivity of Solar &amp; Wind Generation in Brazil per MW, Average land-use of solar and wind generation facilities in US</t>
  </si>
  <si>
    <t>Average Biomass Productivity for different biomass sources for Brazil</t>
  </si>
  <si>
    <t>Sheet</t>
  </si>
  <si>
    <t>Content</t>
  </si>
  <si>
    <t>Conversion factors for different H2/electricity technologies</t>
  </si>
  <si>
    <t>Technical Conversion Factors</t>
  </si>
  <si>
    <t>General Conversion Factors</t>
  </si>
  <si>
    <t>Unit conversion and heating value for different fuels</t>
  </si>
  <si>
    <t>Land Productivity - Final Table</t>
  </si>
  <si>
    <t>Final calculation of land productivities</t>
  </si>
  <si>
    <t>https://www.power-technology.com/projects/ethanol-power-plant/</t>
  </si>
  <si>
    <t>Single Cycle</t>
  </si>
  <si>
    <t>0.3 oder so laut sebastian</t>
  </si>
  <si>
    <t>Installed capacity in 2016.</t>
  </si>
  <si>
    <t>We take 2016 as reference years, as there was almost not built-out. 2017 had huge deployment during the year.</t>
  </si>
  <si>
    <t>https://www.sciencedirect.com/science/article/pii/S0306261909004942</t>
  </si>
  <si>
    <t>Woody biomass</t>
  </si>
  <si>
    <t>Combined Cycle Gas Power Plant, Gasification</t>
  </si>
  <si>
    <t>https://www.sciencedirect.com/science/article/pii/S0378112710000186</t>
  </si>
  <si>
    <t>tonne/ha-</t>
  </si>
  <si>
    <t>Eucalyptus</t>
  </si>
  <si>
    <t>Sao Paulo Radiation Conditions</t>
  </si>
  <si>
    <t>Based on the three sites that reached a full-rotation, the potential stem wood productivity based on current operational silviculture (applied with close scrutiny under research conditions) averaged about 25 Mg ha1 yr1 (MAI for TNU treatment in Fig. 7), or about 51 m3 ha1 yr1 . Removal of water limitation by irrigation raised the ceiling on potential productivity to about 32 Mg ha1 yr1 (about 65 m3 ha1 yr1 ).</t>
  </si>
  <si>
    <t>eucalyptus wood on average, with irrigation</t>
  </si>
  <si>
    <t>https://phyllis.nl/Browse/Standard/ECN-Phyllis#eucalyptus</t>
  </si>
  <si>
    <t>ton</t>
  </si>
  <si>
    <t>Pellets</t>
  </si>
  <si>
    <t>Pelletization</t>
  </si>
  <si>
    <t>Power density</t>
  </si>
  <si>
    <t>http://iopscience.iop.org/article/10.1088/1748-9326/aae102/pdf</t>
  </si>
  <si>
    <t>18 665</t>
  </si>
  <si>
    <t>22 693</t>
  </si>
  <si>
    <t>26 506</t>
  </si>
  <si>
    <t>33 026</t>
  </si>
  <si>
    <t>34 019</t>
  </si>
  <si>
    <t>38 262</t>
  </si>
  <si>
    <t>43 737</t>
  </si>
  <si>
    <t>Data taken from Miller et al.</t>
  </si>
  <si>
    <t>PV (MW/ha)</t>
  </si>
  <si>
    <t>Wind (MW/ha)</t>
  </si>
  <si>
    <t>Data Table 1 Miller et al.</t>
  </si>
  <si>
    <t>Mean</t>
  </si>
  <si>
    <t>---&gt;Miller Paper takes capacity factors into account, we have to reverse that calculation to get installed capacities.</t>
  </si>
  <si>
    <t>Austria</t>
  </si>
  <si>
    <t>Power density - Mean</t>
  </si>
  <si>
    <t>Power density - Max</t>
  </si>
  <si>
    <t>Table 5</t>
  </si>
  <si>
    <t>Wind power potential assessment
for the Czech Republic based on
Austrian and Danish site
characteristics, Felix Nitsch. Master Thesis. University of Natural Resources and Life Sciences, Vienna.</t>
  </si>
  <si>
    <t>Direct land-use Wind Power</t>
  </si>
  <si>
    <t>Direct land-Use PV Power</t>
  </si>
  <si>
    <t xml:space="preserve">Commercially available technologies </t>
  </si>
  <si>
    <t>Technologies under development</t>
  </si>
  <si>
    <t>Process</t>
  </si>
  <si>
    <t>Transesterification</t>
  </si>
  <si>
    <t>Fermentation</t>
  </si>
  <si>
    <t>Gasification and Methanol Synthesis</t>
  </si>
  <si>
    <t>Electrolysis and Methanation</t>
  </si>
  <si>
    <t>Electrolysis and Methanol Synthesis</t>
  </si>
  <si>
    <t>Productivity (MWh ha-1 a-1) Low</t>
  </si>
  <si>
    <t>Productivity (MWh ha-1 a-1) high</t>
  </si>
  <si>
    <t>Electricity from Wind Power and CO2 from Air Capture</t>
  </si>
  <si>
    <t>Electricity from Photovoltaics and CO2 from Air Capture</t>
  </si>
  <si>
    <t>Methanisation</t>
  </si>
  <si>
    <t>Input Combinations</t>
  </si>
  <si>
    <t>tCO2/MWh Methane</t>
  </si>
  <si>
    <t>Methanol synthesis</t>
  </si>
  <si>
    <t>tCO2/MWh Methanol</t>
  </si>
  <si>
    <t>https://www.agora-energiewende.de/fileadmin2/Projekte/2017/SynKost_2050/Agora_SynKost_Study_EN_WEB.pdf</t>
  </si>
  <si>
    <t>CO2 Capture Land-Use</t>
  </si>
  <si>
    <t>Electricity Use</t>
  </si>
  <si>
    <t>MWh/tCO2</t>
  </si>
  <si>
    <t>Variable</t>
  </si>
  <si>
    <t>Co2-Capture</t>
  </si>
  <si>
    <t>Co2-Use</t>
  </si>
  <si>
    <t>MWh/MWh Methane</t>
  </si>
  <si>
    <t>MWh/MWh Methanol</t>
  </si>
  <si>
    <t>Calculated from above</t>
  </si>
  <si>
    <t>Calculate from above</t>
  </si>
  <si>
    <t>https://www.cell.com/joule/fulltext/S2542-4351(18)30225-3</t>
  </si>
  <si>
    <t>Land Productivity - Fuels per km-2</t>
  </si>
  <si>
    <t>Sugar Cane - 2nd Generation</t>
  </si>
  <si>
    <t>Hydrolysis of Bagasse and Fermentation</t>
  </si>
  <si>
    <t>Land-Use CO2Capture</t>
  </si>
  <si>
    <t>CO2-Capture (km2 MW-1)</t>
  </si>
  <si>
    <t>CO2-Capture (MW km-2)</t>
  </si>
  <si>
    <t>Land Productivity - Fuels per km-2 including CO2-Capture</t>
  </si>
  <si>
    <t>https://www.nature.com/articles/nclimate2870#supplementary-information</t>
  </si>
  <si>
    <t>Land-Use</t>
  </si>
  <si>
    <t>Nature Climate Change</t>
  </si>
  <si>
    <t>Includes Spacing!</t>
  </si>
  <si>
    <t>https://www.aps.org/policy/reports/assessments/upload/dac2011.pdf</t>
  </si>
  <si>
    <t>Source II</t>
  </si>
  <si>
    <t>Page 39</t>
  </si>
  <si>
    <t>Electrical efficiency co2-capture Low</t>
  </si>
  <si>
    <t>Electrical efficiency co2-capture High</t>
  </si>
  <si>
    <t>Productivity Low (MW km-2)</t>
  </si>
  <si>
    <t>Productivity High (MW km-2)</t>
  </si>
  <si>
    <t>km2 MW-1 CO2 Capture Low</t>
  </si>
  <si>
    <t>km2 MW-1 CO2 Capture High</t>
  </si>
  <si>
    <t>Total MW km-2 Low</t>
  </si>
  <si>
    <t>Total MW km-2 High</t>
  </si>
  <si>
    <t>assuming double efficiency</t>
  </si>
  <si>
    <t>Miller is with spacing</t>
  </si>
  <si>
    <t>Gasification and Methane Synthesis</t>
  </si>
  <si>
    <t>https://www.sciencedirect.com/science/article/pii/S0961953409001639</t>
  </si>
  <si>
    <t>Gasification</t>
  </si>
  <si>
    <t>MJ</t>
  </si>
  <si>
    <t>GJ</t>
  </si>
  <si>
    <t>Without spacing 18ha for 0.88MtCO2 per year</t>
  </si>
  <si>
    <t>tCO2/(m2 h)</t>
  </si>
  <si>
    <t>CO2-Capture</t>
  </si>
  <si>
    <t>CO2-Caputre</t>
  </si>
  <si>
    <t>Electricity from Photovoltaics (PV)</t>
  </si>
  <si>
    <t>Electricity from Wind Power</t>
  </si>
  <si>
    <t>Land Productivity - GWh per km-2 a-2 including CO2-Capture</t>
  </si>
  <si>
    <t>Total GWh km-2 a-1 Low</t>
  </si>
  <si>
    <t>Total GWh km-2 a-1 High</t>
  </si>
  <si>
    <t>sigfigs</t>
  </si>
  <si>
    <t>Convert to Signficiant Digits</t>
  </si>
  <si>
    <t>https://www.cell.com/joule/fulltext/S2542-4351(18)30225-3 and personal communicaiton with Keith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</si>
</sst>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00"/>
    <numFmt numFmtId="165" formatCode="#,##0.000000"/>
    <numFmt numFmtId="166" formatCode="0.0000000"/>
    <numFmt numFmtId="167" formatCode="0.000"/>
    <numFmt numFmtId="168" formatCode="0.00000000000"/>
    <numFmt numFmtId="169" formatCode="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Arial"/>
      <family val="2"/>
    </font>
    <font>
      <b/>
      <sz val="24"/>
      <color theme="1"/>
      <name val="Calibri"/>
      <family val="2"/>
      <scheme val="minor"/>
    </font>
    <font>
      <b/>
      <sz val="16"/>
      <color theme="1"/>
      <name val="Calibri"/>
      <family val="2"/>
      <scheme val="minor"/>
    </font>
    <font>
      <i/>
      <sz val="11"/>
      <color theme="1"/>
      <name val="Calibri"/>
      <family val="2"/>
      <scheme val="minor"/>
    </font>
    <font>
      <sz val="10"/>
      <color theme="1"/>
      <name val="Times New Roman"/>
      <family val="1"/>
    </font>
    <font>
      <i/>
      <sz val="9"/>
      <color rgb="FF000000"/>
      <name val="Garamond"/>
      <family val="1"/>
    </font>
    <font>
      <i/>
      <sz val="9"/>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3" fillId="0" borderId="0" xfId="0" applyFont="1"/>
    <xf numFmtId="0" fontId="1" fillId="0" borderId="0" xfId="0" applyFont="1"/>
    <xf numFmtId="1" fontId="0" fillId="0" borderId="0" xfId="0" applyNumberFormat="1"/>
    <xf numFmtId="0" fontId="4" fillId="0" borderId="0" xfId="0" applyFont="1"/>
    <xf numFmtId="2" fontId="0" fillId="0" borderId="0" xfId="0" applyNumberFormat="1"/>
    <xf numFmtId="0" fontId="0" fillId="0" borderId="0" xfId="0" applyFont="1"/>
    <xf numFmtId="0" fontId="5" fillId="0" borderId="0" xfId="0" applyFont="1" applyAlignment="1">
      <alignment vertical="center"/>
    </xf>
    <xf numFmtId="0" fontId="0" fillId="0" borderId="0" xfId="1" applyFont="1"/>
    <xf numFmtId="0" fontId="7" fillId="0" borderId="0" xfId="0" applyFont="1" applyAlignment="1">
      <alignment vertical="center"/>
    </xf>
    <xf numFmtId="0" fontId="0" fillId="0" borderId="0" xfId="0" quotePrefix="1"/>
    <xf numFmtId="0" fontId="0" fillId="0" borderId="0" xfId="0" applyAlignment="1">
      <alignment wrapText="1"/>
    </xf>
    <xf numFmtId="0" fontId="8" fillId="0" borderId="0" xfId="0" applyFont="1"/>
    <xf numFmtId="0" fontId="1" fillId="0" borderId="0" xfId="0" applyFont="1" applyBorder="1"/>
    <xf numFmtId="0" fontId="0" fillId="0" borderId="0" xfId="0" applyBorder="1"/>
    <xf numFmtId="164" fontId="10" fillId="0" borderId="0" xfId="0" applyNumberFormat="1" applyFont="1" applyFill="1" applyBorder="1" applyAlignment="1">
      <alignment horizontal="center" vertical="center"/>
    </xf>
    <xf numFmtId="165" fontId="0" fillId="0" borderId="0" xfId="0" applyNumberFormat="1" applyBorder="1" applyAlignment="1">
      <alignment horizontal="center" vertical="center"/>
    </xf>
    <xf numFmtId="165" fontId="0" fillId="0" borderId="1" xfId="0" applyNumberFormat="1" applyBorder="1" applyAlignment="1">
      <alignment horizontal="center" vertical="center"/>
    </xf>
    <xf numFmtId="11" fontId="0" fillId="0" borderId="0" xfId="0" applyNumberFormat="1"/>
    <xf numFmtId="1" fontId="1" fillId="0" borderId="0" xfId="0" applyNumberFormat="1" applyFont="1"/>
    <xf numFmtId="0" fontId="0" fillId="0" borderId="0" xfId="0" applyFill="1"/>
    <xf numFmtId="1" fontId="0" fillId="0" borderId="0" xfId="0" applyNumberFormat="1" applyFill="1"/>
    <xf numFmtId="0" fontId="9" fillId="0" borderId="0" xfId="0" applyFont="1" applyFill="1"/>
    <xf numFmtId="0" fontId="0" fillId="0" borderId="0" xfId="0" applyFont="1" applyFill="1"/>
    <xf numFmtId="0" fontId="1" fillId="0" borderId="0" xfId="0" applyFont="1" applyFill="1"/>
    <xf numFmtId="0" fontId="4" fillId="0" borderId="0" xfId="0" applyFont="1" applyFill="1"/>
    <xf numFmtId="0" fontId="6" fillId="0" borderId="0" xfId="0" applyFont="1" applyFill="1"/>
    <xf numFmtId="2" fontId="0" fillId="0" borderId="0" xfId="0" applyNumberFormat="1" applyFill="1"/>
    <xf numFmtId="169" fontId="0" fillId="0" borderId="0" xfId="0" applyNumberFormat="1" applyFill="1"/>
    <xf numFmtId="1" fontId="1" fillId="0" borderId="0" xfId="0" applyNumberFormat="1" applyFont="1" applyFill="1"/>
    <xf numFmtId="0" fontId="1" fillId="0" borderId="0" xfId="0" applyFont="1" applyFill="1" applyAlignment="1">
      <alignment horizontal="right"/>
    </xf>
    <xf numFmtId="167" fontId="0" fillId="0" borderId="0" xfId="0" applyNumberFormat="1" applyFill="1"/>
    <xf numFmtId="167" fontId="0" fillId="0" borderId="0" xfId="0" applyNumberFormat="1" applyFont="1" applyFill="1"/>
    <xf numFmtId="168" fontId="0" fillId="0" borderId="0" xfId="0" applyNumberFormat="1" applyFill="1"/>
    <xf numFmtId="166" fontId="0" fillId="0" borderId="0" xfId="0" applyNumberFormat="1" applyFont="1" applyFill="1"/>
    <xf numFmtId="0" fontId="2" fillId="0" borderId="0" xfId="1"/>
    <xf numFmtId="171" fontId="0" fillId="0" borderId="0" xfId="0" applyNumberForma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ell.com/joule/fulltext/S2542-4351(18)30225-3%20and%20personal%20communicaiton%20with%20Keith%20et.%20Al." TargetMode="External"/><Relationship Id="rId2" Type="http://schemas.openxmlformats.org/officeDocument/2006/relationships/hyperlink" Target="https://www.cell.com/joule/fulltext/S2542-4351(18)30225-3%20and%20personal%20communicaiton%20with%20Keith%20et.%20Al." TargetMode="External"/><Relationship Id="rId1" Type="http://schemas.openxmlformats.org/officeDocument/2006/relationships/hyperlink" Target="https://www.cell.com/joule/fulltext/S2542-4351(18)30225-3%20and%20personal%20communicaiton%20with%20Keith%20et.%20A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nas.org/content/107/8/338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2" sqref="B12"/>
    </sheetView>
  </sheetViews>
  <sheetFormatPr baseColWidth="10" defaultColWidth="11.42578125" defaultRowHeight="15" x14ac:dyDescent="0.25"/>
  <cols>
    <col min="1" max="1" width="31.85546875" customWidth="1"/>
  </cols>
  <sheetData>
    <row r="1" spans="1:2" ht="21" x14ac:dyDescent="0.25">
      <c r="A1" s="7" t="s">
        <v>96</v>
      </c>
    </row>
    <row r="3" spans="1:2" x14ac:dyDescent="0.25">
      <c r="A3" t="s">
        <v>97</v>
      </c>
    </row>
    <row r="4" spans="1:2" x14ac:dyDescent="0.25">
      <c r="A4" t="s">
        <v>98</v>
      </c>
    </row>
    <row r="6" spans="1:2" x14ac:dyDescent="0.25">
      <c r="A6" s="2" t="s">
        <v>111</v>
      </c>
      <c r="B6" s="2" t="s">
        <v>112</v>
      </c>
    </row>
    <row r="7" spans="1:2" x14ac:dyDescent="0.25">
      <c r="A7" s="6" t="s">
        <v>95</v>
      </c>
      <c r="B7" t="s">
        <v>109</v>
      </c>
    </row>
    <row r="8" spans="1:2" x14ac:dyDescent="0.25">
      <c r="A8" s="6" t="s">
        <v>99</v>
      </c>
      <c r="B8" t="s">
        <v>110</v>
      </c>
    </row>
    <row r="9" spans="1:2" x14ac:dyDescent="0.25">
      <c r="A9" s="6" t="s">
        <v>114</v>
      </c>
      <c r="B9" t="s">
        <v>113</v>
      </c>
    </row>
    <row r="10" spans="1:2" x14ac:dyDescent="0.25">
      <c r="A10" s="6" t="s">
        <v>115</v>
      </c>
      <c r="B10" t="s">
        <v>116</v>
      </c>
    </row>
    <row r="11" spans="1:2" x14ac:dyDescent="0.25">
      <c r="A11" s="6" t="s">
        <v>117</v>
      </c>
      <c r="B11" t="s">
        <v>118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B17" sqref="B17"/>
    </sheetView>
  </sheetViews>
  <sheetFormatPr baseColWidth="10" defaultColWidth="11.42578125" defaultRowHeight="15" x14ac:dyDescent="0.25"/>
  <sheetData>
    <row r="1" spans="1:8" ht="31.5" x14ac:dyDescent="0.5">
      <c r="A1" s="4" t="s">
        <v>146</v>
      </c>
    </row>
    <row r="2" spans="1:8" ht="31.5" x14ac:dyDescent="0.5">
      <c r="A2" s="4"/>
    </row>
    <row r="3" spans="1:8" ht="15" customHeight="1" x14ac:dyDescent="0.25">
      <c r="A3" s="6" t="s">
        <v>138</v>
      </c>
    </row>
    <row r="4" spans="1:8" ht="15" customHeight="1" x14ac:dyDescent="0.25">
      <c r="A4" s="6"/>
    </row>
    <row r="5" spans="1:8" x14ac:dyDescent="0.25">
      <c r="A5" s="2" t="s">
        <v>149</v>
      </c>
    </row>
    <row r="6" spans="1:8" x14ac:dyDescent="0.25">
      <c r="C6" s="2" t="s">
        <v>14</v>
      </c>
      <c r="G6" s="2" t="s">
        <v>13</v>
      </c>
    </row>
    <row r="7" spans="1:8" x14ac:dyDescent="0.25">
      <c r="A7" s="9">
        <v>2010</v>
      </c>
      <c r="B7" s="9">
        <v>133</v>
      </c>
      <c r="C7" s="9">
        <v>116</v>
      </c>
      <c r="D7" s="9">
        <v>21.82</v>
      </c>
      <c r="E7" s="9">
        <v>5.73</v>
      </c>
      <c r="F7" s="9" t="s">
        <v>139</v>
      </c>
      <c r="G7" s="9">
        <v>30.02</v>
      </c>
      <c r="H7" s="9">
        <v>0.52</v>
      </c>
    </row>
    <row r="8" spans="1:8" x14ac:dyDescent="0.25">
      <c r="A8" s="9">
        <v>2011</v>
      </c>
      <c r="B8" s="9">
        <v>306</v>
      </c>
      <c r="C8" s="9">
        <v>267</v>
      </c>
      <c r="D8" s="9">
        <v>19.079999999999998</v>
      </c>
      <c r="E8" s="9">
        <v>5</v>
      </c>
      <c r="F8" s="9" t="s">
        <v>140</v>
      </c>
      <c r="G8" s="9">
        <v>31.37</v>
      </c>
      <c r="H8" s="9">
        <v>0.52</v>
      </c>
    </row>
    <row r="9" spans="1:8" x14ac:dyDescent="0.25">
      <c r="A9" s="9">
        <v>2012</v>
      </c>
      <c r="B9" s="9">
        <v>1257</v>
      </c>
      <c r="C9" s="9">
        <v>1052</v>
      </c>
      <c r="D9" s="9">
        <v>20</v>
      </c>
      <c r="E9" s="9">
        <v>5.08</v>
      </c>
      <c r="F9" s="9" t="s">
        <v>141</v>
      </c>
      <c r="G9" s="9">
        <v>31.29</v>
      </c>
      <c r="H9" s="9">
        <v>0.51</v>
      </c>
    </row>
    <row r="10" spans="1:8" x14ac:dyDescent="0.25">
      <c r="A10" s="9">
        <v>2013</v>
      </c>
      <c r="B10" s="9">
        <v>2467</v>
      </c>
      <c r="C10" s="9">
        <v>2041</v>
      </c>
      <c r="D10" s="9">
        <v>22.16</v>
      </c>
      <c r="E10" s="9">
        <v>5.53</v>
      </c>
      <c r="F10" s="9" t="s">
        <v>142</v>
      </c>
      <c r="G10" s="9">
        <v>30.58</v>
      </c>
      <c r="H10" s="9">
        <v>0.49</v>
      </c>
    </row>
    <row r="11" spans="1:8" x14ac:dyDescent="0.25">
      <c r="A11" s="9">
        <v>2014</v>
      </c>
      <c r="B11" s="9">
        <v>3876</v>
      </c>
      <c r="C11" s="9">
        <v>3154</v>
      </c>
      <c r="D11" s="9">
        <v>22.26</v>
      </c>
      <c r="E11" s="9">
        <v>5.47</v>
      </c>
      <c r="F11" s="9" t="s">
        <v>143</v>
      </c>
      <c r="G11" s="9">
        <v>31.96</v>
      </c>
      <c r="H11" s="9">
        <v>0.5</v>
      </c>
    </row>
    <row r="12" spans="1:8" x14ac:dyDescent="0.25">
      <c r="A12" s="9">
        <v>2015</v>
      </c>
      <c r="B12" s="9">
        <v>5729</v>
      </c>
      <c r="C12" s="9">
        <v>4660</v>
      </c>
      <c r="D12" s="9">
        <v>22.09</v>
      </c>
      <c r="E12" s="9">
        <v>5.41</v>
      </c>
      <c r="F12" s="9" t="s">
        <v>144</v>
      </c>
      <c r="G12" s="9">
        <v>30.77</v>
      </c>
      <c r="H12" s="9">
        <v>0.46</v>
      </c>
    </row>
    <row r="13" spans="1:8" x14ac:dyDescent="0.25">
      <c r="A13" s="9">
        <v>2016</v>
      </c>
      <c r="B13" s="9">
        <v>9812</v>
      </c>
      <c r="C13" s="9">
        <v>7922</v>
      </c>
      <c r="D13" s="9">
        <v>22.07</v>
      </c>
      <c r="E13" s="9">
        <v>5.38</v>
      </c>
      <c r="F13" s="9" t="s">
        <v>145</v>
      </c>
      <c r="G13" s="9">
        <v>33</v>
      </c>
      <c r="H13" s="9">
        <v>0.5</v>
      </c>
    </row>
    <row r="14" spans="1:8" x14ac:dyDescent="0.25">
      <c r="A14" s="9"/>
    </row>
    <row r="15" spans="1:8" x14ac:dyDescent="0.25">
      <c r="A15" s="10" t="s">
        <v>151</v>
      </c>
    </row>
    <row r="16" spans="1:8" x14ac:dyDescent="0.25">
      <c r="B16" s="2" t="s">
        <v>147</v>
      </c>
      <c r="C16" s="2" t="s">
        <v>148</v>
      </c>
    </row>
    <row r="17" spans="1:3" x14ac:dyDescent="0.25">
      <c r="A17" s="9">
        <v>2010</v>
      </c>
      <c r="B17" s="5">
        <f t="shared" ref="B17:B23" si="0">E7/D7</f>
        <v>0.2626031164069661</v>
      </c>
      <c r="C17" s="5">
        <f t="shared" ref="C17:C23" si="1">H7/G7</f>
        <v>1.7321785476349102E-2</v>
      </c>
    </row>
    <row r="18" spans="1:3" x14ac:dyDescent="0.25">
      <c r="A18" s="9">
        <v>2011</v>
      </c>
      <c r="B18" s="5">
        <f t="shared" si="0"/>
        <v>0.26205450733752622</v>
      </c>
      <c r="C18" s="5">
        <f t="shared" si="1"/>
        <v>1.6576346828179791E-2</v>
      </c>
    </row>
    <row r="19" spans="1:3" x14ac:dyDescent="0.25">
      <c r="A19" s="9">
        <v>2012</v>
      </c>
      <c r="B19" s="5">
        <f t="shared" si="0"/>
        <v>0.254</v>
      </c>
      <c r="C19" s="5">
        <f t="shared" si="1"/>
        <v>1.6299137104506232E-2</v>
      </c>
    </row>
    <row r="20" spans="1:3" x14ac:dyDescent="0.25">
      <c r="A20" s="9">
        <v>2013</v>
      </c>
      <c r="B20" s="5">
        <f t="shared" si="0"/>
        <v>0.24954873646209388</v>
      </c>
      <c r="C20" s="5">
        <f t="shared" si="1"/>
        <v>1.6023544800523218E-2</v>
      </c>
    </row>
    <row r="21" spans="1:3" x14ac:dyDescent="0.25">
      <c r="A21" s="9">
        <v>2014</v>
      </c>
      <c r="B21" s="5">
        <f t="shared" si="0"/>
        <v>0.24573225516621741</v>
      </c>
      <c r="C21" s="5">
        <f t="shared" si="1"/>
        <v>1.5644555694618274E-2</v>
      </c>
    </row>
    <row r="22" spans="1:3" x14ac:dyDescent="0.25">
      <c r="A22" s="9">
        <v>2015</v>
      </c>
      <c r="B22" s="5">
        <f t="shared" si="0"/>
        <v>0.24490719782707107</v>
      </c>
      <c r="C22" s="5">
        <f t="shared" si="1"/>
        <v>1.4949626259343518E-2</v>
      </c>
    </row>
    <row r="23" spans="1:3" x14ac:dyDescent="0.25">
      <c r="A23" s="9">
        <v>2016</v>
      </c>
      <c r="B23" s="5">
        <f t="shared" si="0"/>
        <v>0.24376982328953328</v>
      </c>
      <c r="C23" s="5">
        <f t="shared" si="1"/>
        <v>1.5151515151515152E-2</v>
      </c>
    </row>
    <row r="24" spans="1:3" x14ac:dyDescent="0.25">
      <c r="A24" s="9" t="s">
        <v>150</v>
      </c>
      <c r="B24" s="5">
        <f>AVERAGE(B17:B23)</f>
        <v>0.25180223378420113</v>
      </c>
      <c r="C24" s="5">
        <f>AVERAGE(C17:C23)</f>
        <v>1.5995215902147898E-2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F23" sqref="F23"/>
    </sheetView>
  </sheetViews>
  <sheetFormatPr baseColWidth="10" defaultColWidth="11.42578125" defaultRowHeight="15" x14ac:dyDescent="0.25"/>
  <cols>
    <col min="1" max="1" width="22.28515625" customWidth="1"/>
    <col min="3" max="3" width="20.42578125" bestFit="1" customWidth="1"/>
    <col min="4" max="4" width="13.5703125" bestFit="1" customWidth="1"/>
    <col min="6" max="6" width="85.140625" bestFit="1" customWidth="1"/>
  </cols>
  <sheetData>
    <row r="1" spans="1:8" ht="31.5" x14ac:dyDescent="0.5">
      <c r="A1" s="4" t="s">
        <v>95</v>
      </c>
    </row>
    <row r="4" spans="1:8" x14ac:dyDescent="0.25">
      <c r="A4" s="2" t="s">
        <v>72</v>
      </c>
      <c r="B4" s="2" t="s">
        <v>73</v>
      </c>
      <c r="C4" s="2" t="s">
        <v>74</v>
      </c>
      <c r="D4" s="2" t="s">
        <v>77</v>
      </c>
      <c r="E4" s="2" t="s">
        <v>3</v>
      </c>
      <c r="F4" s="2" t="s">
        <v>1</v>
      </c>
      <c r="G4" s="2" t="s">
        <v>10</v>
      </c>
    </row>
    <row r="5" spans="1:8" x14ac:dyDescent="0.25">
      <c r="A5" t="s">
        <v>64</v>
      </c>
      <c r="B5" t="s">
        <v>67</v>
      </c>
      <c r="C5" t="s">
        <v>69</v>
      </c>
      <c r="D5" s="5">
        <v>42336.45</v>
      </c>
      <c r="E5" t="s">
        <v>68</v>
      </c>
      <c r="F5" t="s">
        <v>66</v>
      </c>
      <c r="G5" t="s">
        <v>102</v>
      </c>
    </row>
    <row r="6" spans="1:8" x14ac:dyDescent="0.25">
      <c r="A6" t="s">
        <v>64</v>
      </c>
      <c r="B6" t="s">
        <v>67</v>
      </c>
      <c r="C6" t="s">
        <v>70</v>
      </c>
      <c r="D6" s="5">
        <v>11257.43</v>
      </c>
      <c r="E6" t="s">
        <v>76</v>
      </c>
      <c r="F6" t="s">
        <v>71</v>
      </c>
      <c r="G6" t="s">
        <v>101</v>
      </c>
    </row>
    <row r="7" spans="1:8" x14ac:dyDescent="0.25">
      <c r="A7" t="s">
        <v>64</v>
      </c>
      <c r="B7" t="s">
        <v>67</v>
      </c>
      <c r="C7" t="s">
        <v>78</v>
      </c>
      <c r="D7" s="5">
        <f>8760*D5/(D6*8.76)</f>
        <v>3760.7562294413556</v>
      </c>
      <c r="E7" t="s">
        <v>78</v>
      </c>
      <c r="F7" t="s">
        <v>75</v>
      </c>
    </row>
    <row r="8" spans="1:8" x14ac:dyDescent="0.25">
      <c r="A8" t="s">
        <v>64</v>
      </c>
      <c r="B8" t="s">
        <v>7</v>
      </c>
      <c r="C8" t="s">
        <v>157</v>
      </c>
      <c r="D8" s="5">
        <f>1/0.3</f>
        <v>3.3333333333333335</v>
      </c>
      <c r="E8" t="s">
        <v>79</v>
      </c>
      <c r="F8" t="s">
        <v>5</v>
      </c>
      <c r="G8" t="s">
        <v>6</v>
      </c>
    </row>
    <row r="9" spans="1:8" x14ac:dyDescent="0.25">
      <c r="A9" t="s">
        <v>64</v>
      </c>
      <c r="B9" t="s">
        <v>7</v>
      </c>
      <c r="C9" t="s">
        <v>137</v>
      </c>
      <c r="D9" s="5">
        <f>'Miller Paper - Data'!C24</f>
        <v>1.5995215902147898E-2</v>
      </c>
      <c r="E9" t="s">
        <v>79</v>
      </c>
      <c r="F9" t="s">
        <v>138</v>
      </c>
      <c r="G9" t="s">
        <v>61</v>
      </c>
      <c r="H9" t="s">
        <v>211</v>
      </c>
    </row>
    <row r="10" spans="1:8" ht="75" x14ac:dyDescent="0.25">
      <c r="A10" t="s">
        <v>64</v>
      </c>
      <c r="B10" t="s">
        <v>152</v>
      </c>
      <c r="C10" t="s">
        <v>153</v>
      </c>
      <c r="D10" s="5">
        <f>4.79/100</f>
        <v>4.7899999999999998E-2</v>
      </c>
      <c r="E10" t="s">
        <v>79</v>
      </c>
      <c r="F10" s="11" t="s">
        <v>156</v>
      </c>
      <c r="G10" t="s">
        <v>155</v>
      </c>
    </row>
    <row r="11" spans="1:8" ht="75" x14ac:dyDescent="0.25">
      <c r="A11" t="s">
        <v>64</v>
      </c>
      <c r="B11" t="s">
        <v>152</v>
      </c>
      <c r="C11" t="s">
        <v>154</v>
      </c>
      <c r="D11" s="5">
        <f>19/100</f>
        <v>0.19</v>
      </c>
      <c r="E11" t="s">
        <v>79</v>
      </c>
      <c r="F11" s="11" t="s">
        <v>156</v>
      </c>
      <c r="G11" t="s">
        <v>155</v>
      </c>
    </row>
    <row r="12" spans="1:8" x14ac:dyDescent="0.25">
      <c r="A12" t="s">
        <v>80</v>
      </c>
      <c r="B12" t="s">
        <v>67</v>
      </c>
      <c r="C12" t="s">
        <v>69</v>
      </c>
      <c r="D12" s="5">
        <v>30.74</v>
      </c>
      <c r="E12" t="s">
        <v>68</v>
      </c>
      <c r="F12" t="s">
        <v>66</v>
      </c>
      <c r="G12" t="s">
        <v>103</v>
      </c>
    </row>
    <row r="13" spans="1:8" x14ac:dyDescent="0.25">
      <c r="A13" t="s">
        <v>80</v>
      </c>
      <c r="B13" t="s">
        <v>67</v>
      </c>
      <c r="C13" t="s">
        <v>70</v>
      </c>
      <c r="D13" s="5">
        <v>19</v>
      </c>
      <c r="E13" t="s">
        <v>76</v>
      </c>
      <c r="F13" t="s">
        <v>71</v>
      </c>
      <c r="G13" t="s">
        <v>122</v>
      </c>
    </row>
    <row r="14" spans="1:8" x14ac:dyDescent="0.25">
      <c r="A14" t="s">
        <v>80</v>
      </c>
      <c r="B14" t="s">
        <v>67</v>
      </c>
      <c r="C14" t="s">
        <v>78</v>
      </c>
      <c r="D14" s="5">
        <f>8760*D12/(D13*8.76)</f>
        <v>1617.894736842105</v>
      </c>
      <c r="E14" t="s">
        <v>78</v>
      </c>
      <c r="F14" t="s">
        <v>75</v>
      </c>
      <c r="G14" t="s">
        <v>123</v>
      </c>
    </row>
    <row r="15" spans="1:8" x14ac:dyDescent="0.25">
      <c r="A15" t="s">
        <v>81</v>
      </c>
      <c r="B15" t="s">
        <v>7</v>
      </c>
      <c r="C15" t="s">
        <v>158</v>
      </c>
      <c r="D15" s="5">
        <f>1/(5.9*'Energy Conversion Factors'!F8)</f>
        <v>0.41882231019538313</v>
      </c>
      <c r="E15" t="s">
        <v>79</v>
      </c>
      <c r="F15" t="s">
        <v>8</v>
      </c>
      <c r="G15" t="s">
        <v>9</v>
      </c>
    </row>
    <row r="16" spans="1:8" x14ac:dyDescent="0.25">
      <c r="A16" t="s">
        <v>81</v>
      </c>
      <c r="B16" t="s">
        <v>7</v>
      </c>
      <c r="C16" t="s">
        <v>158</v>
      </c>
      <c r="D16" s="5">
        <f>1/(5.9*'Energy Conversion Factors'!F8)*2</f>
        <v>0.83764462039076626</v>
      </c>
      <c r="E16" t="s">
        <v>79</v>
      </c>
      <c r="F16" t="s">
        <v>8</v>
      </c>
      <c r="G16" t="s">
        <v>210</v>
      </c>
    </row>
    <row r="17" spans="1:8" x14ac:dyDescent="0.25">
      <c r="A17" t="s">
        <v>80</v>
      </c>
      <c r="B17" t="s">
        <v>7</v>
      </c>
      <c r="C17" t="s">
        <v>137</v>
      </c>
      <c r="D17" s="5">
        <f>'Miller Paper - Data'!B24</f>
        <v>0.25180223378420113</v>
      </c>
      <c r="E17" t="s">
        <v>79</v>
      </c>
      <c r="F17" t="s">
        <v>138</v>
      </c>
      <c r="G17" t="s">
        <v>61</v>
      </c>
      <c r="H17" t="s">
        <v>211</v>
      </c>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F33" sqref="F33"/>
    </sheetView>
  </sheetViews>
  <sheetFormatPr baseColWidth="10" defaultColWidth="11.42578125" defaultRowHeight="15" x14ac:dyDescent="0.25"/>
  <cols>
    <col min="1" max="1" width="45" bestFit="1" customWidth="1"/>
    <col min="2" max="2" width="45" customWidth="1"/>
    <col min="3" max="3" width="23.140625" bestFit="1" customWidth="1"/>
  </cols>
  <sheetData>
    <row r="1" spans="1:9" ht="31.5" x14ac:dyDescent="0.5">
      <c r="A1" s="4" t="s">
        <v>177</v>
      </c>
      <c r="B1" s="4"/>
    </row>
    <row r="6" spans="1:9" x14ac:dyDescent="0.25">
      <c r="A6" s="2" t="s">
        <v>161</v>
      </c>
      <c r="B6" s="2" t="s">
        <v>180</v>
      </c>
      <c r="C6" s="2" t="s">
        <v>77</v>
      </c>
      <c r="D6" s="2" t="s">
        <v>3</v>
      </c>
      <c r="E6" s="2" t="s">
        <v>10</v>
      </c>
      <c r="G6" s="2" t="s">
        <v>1</v>
      </c>
      <c r="H6" s="2" t="s">
        <v>200</v>
      </c>
    </row>
    <row r="7" spans="1:9" x14ac:dyDescent="0.25">
      <c r="A7" s="6" t="s">
        <v>181</v>
      </c>
      <c r="B7" t="s">
        <v>178</v>
      </c>
      <c r="C7" s="2">
        <v>0.36599999999999999</v>
      </c>
      <c r="D7" s="6" t="s">
        <v>179</v>
      </c>
      <c r="G7" t="s">
        <v>187</v>
      </c>
    </row>
    <row r="8" spans="1:9" x14ac:dyDescent="0.25">
      <c r="A8" t="s">
        <v>181</v>
      </c>
      <c r="B8" t="s">
        <v>178</v>
      </c>
      <c r="C8">
        <f>0.9*'Energy Conversion Factors'!F6</f>
        <v>0.24999993000000001</v>
      </c>
      <c r="D8" t="s">
        <v>179</v>
      </c>
      <c r="G8" t="s">
        <v>176</v>
      </c>
    </row>
    <row r="9" spans="1:9" x14ac:dyDescent="0.25">
      <c r="A9" t="s">
        <v>181</v>
      </c>
      <c r="B9" t="s">
        <v>178</v>
      </c>
      <c r="C9">
        <f>490000/10^6</f>
        <v>0.49</v>
      </c>
      <c r="D9" t="s">
        <v>179</v>
      </c>
      <c r="G9" t="s">
        <v>195</v>
      </c>
      <c r="H9" t="s">
        <v>199</v>
      </c>
      <c r="I9" t="s">
        <v>201</v>
      </c>
    </row>
    <row r="10" spans="1:9" x14ac:dyDescent="0.25">
      <c r="A10" t="s">
        <v>171</v>
      </c>
      <c r="B10" t="s">
        <v>182</v>
      </c>
      <c r="C10">
        <v>0.19800000000000001</v>
      </c>
      <c r="D10" t="s">
        <v>173</v>
      </c>
      <c r="G10" t="s">
        <v>176</v>
      </c>
    </row>
    <row r="11" spans="1:9" ht="15.75" thickBot="1" x14ac:dyDescent="0.3">
      <c r="A11" t="s">
        <v>174</v>
      </c>
      <c r="B11" t="s">
        <v>182</v>
      </c>
      <c r="C11" s="17">
        <f>0.000250987654320988*1000</f>
        <v>0.25098765432098802</v>
      </c>
      <c r="D11" t="s">
        <v>175</v>
      </c>
      <c r="G11" t="s">
        <v>176</v>
      </c>
    </row>
    <row r="12" spans="1:9" x14ac:dyDescent="0.25">
      <c r="A12" t="s">
        <v>171</v>
      </c>
      <c r="B12" t="s">
        <v>178</v>
      </c>
      <c r="C12">
        <f>C8*C10</f>
        <v>4.9499986140000007E-2</v>
      </c>
      <c r="D12" t="s">
        <v>183</v>
      </c>
      <c r="G12" t="s">
        <v>185</v>
      </c>
    </row>
    <row r="13" spans="1:9" x14ac:dyDescent="0.25">
      <c r="A13" t="s">
        <v>174</v>
      </c>
      <c r="B13" t="s">
        <v>178</v>
      </c>
      <c r="C13">
        <f>C11*C8</f>
        <v>6.2746896011111206E-2</v>
      </c>
      <c r="D13" t="s">
        <v>184</v>
      </c>
      <c r="G13" t="s">
        <v>186</v>
      </c>
    </row>
    <row r="14" spans="1:9" x14ac:dyDescent="0.25">
      <c r="A14" t="s">
        <v>171</v>
      </c>
      <c r="B14" t="s">
        <v>202</v>
      </c>
      <c r="C14">
        <f>1-C8*C10</f>
        <v>0.95050001385999994</v>
      </c>
      <c r="D14" t="s">
        <v>183</v>
      </c>
    </row>
    <row r="15" spans="1:9" x14ac:dyDescent="0.25">
      <c r="A15" t="s">
        <v>174</v>
      </c>
      <c r="B15" t="s">
        <v>202</v>
      </c>
      <c r="C15">
        <f>1-C8*C11</f>
        <v>0.93725310398888884</v>
      </c>
      <c r="D15" t="s">
        <v>184</v>
      </c>
    </row>
    <row r="16" spans="1:9" x14ac:dyDescent="0.25">
      <c r="A16" t="s">
        <v>171</v>
      </c>
      <c r="B16" t="s">
        <v>203</v>
      </c>
      <c r="C16">
        <f>1-C9*C10</f>
        <v>0.90298</v>
      </c>
      <c r="D16" t="s">
        <v>183</v>
      </c>
    </row>
    <row r="17" spans="1:7" x14ac:dyDescent="0.25">
      <c r="A17" t="s">
        <v>174</v>
      </c>
      <c r="B17" t="s">
        <v>203</v>
      </c>
      <c r="C17">
        <f>1-C9*C11</f>
        <v>0.87701604938271593</v>
      </c>
      <c r="D17" t="s">
        <v>184</v>
      </c>
    </row>
    <row r="18" spans="1:7" x14ac:dyDescent="0.25">
      <c r="A18" t="s">
        <v>219</v>
      </c>
      <c r="B18" t="s">
        <v>196</v>
      </c>
      <c r="C18">
        <f>10^6/(150*10000)/8760</f>
        <v>7.6103500761035001E-5</v>
      </c>
      <c r="D18" t="s">
        <v>218</v>
      </c>
      <c r="E18" t="s">
        <v>198</v>
      </c>
      <c r="G18" t="s">
        <v>195</v>
      </c>
    </row>
    <row r="19" spans="1:7" x14ac:dyDescent="0.25">
      <c r="A19" t="s">
        <v>220</v>
      </c>
      <c r="B19" t="s">
        <v>196</v>
      </c>
      <c r="C19">
        <f>0.88*10^6/(18*10000)/8760</f>
        <v>5.5809233891425673E-4</v>
      </c>
      <c r="D19" t="s">
        <v>218</v>
      </c>
      <c r="E19" t="s">
        <v>217</v>
      </c>
      <c r="G19" s="35" t="s">
        <v>228</v>
      </c>
    </row>
    <row r="26" spans="1:7" ht="31.5" x14ac:dyDescent="0.5">
      <c r="A26" s="4" t="s">
        <v>191</v>
      </c>
    </row>
    <row r="27" spans="1:7" x14ac:dyDescent="0.25">
      <c r="B27" s="2" t="s">
        <v>192</v>
      </c>
      <c r="C27" s="2" t="s">
        <v>193</v>
      </c>
      <c r="D27" s="2" t="s">
        <v>1</v>
      </c>
    </row>
    <row r="28" spans="1:7" x14ac:dyDescent="0.25">
      <c r="A28" t="s">
        <v>171</v>
      </c>
      <c r="B28" s="36">
        <f>C10/C19/10^6</f>
        <v>3.5478000000000002E-4</v>
      </c>
      <c r="C28" s="3">
        <f>1/B28</f>
        <v>2818.6481763346296</v>
      </c>
      <c r="D28" s="35" t="s">
        <v>228</v>
      </c>
    </row>
    <row r="29" spans="1:7" x14ac:dyDescent="0.25">
      <c r="A29" t="s">
        <v>174</v>
      </c>
      <c r="B29" s="36">
        <f>C11/C19/10^6</f>
        <v>4.4972424242424309E-4</v>
      </c>
      <c r="C29" s="3">
        <f>1/B29</f>
        <v>2223.5848230228594</v>
      </c>
      <c r="D29" s="35" t="s">
        <v>228</v>
      </c>
    </row>
    <row r="30" spans="1:7" x14ac:dyDescent="0.25">
      <c r="A30" t="s">
        <v>171</v>
      </c>
      <c r="B30" s="36">
        <f>C10/C18/10^6</f>
        <v>2.6017200000000001E-3</v>
      </c>
      <c r="C30" s="3">
        <f>1/B30</f>
        <v>384.36111495472227</v>
      </c>
      <c r="D30" t="s">
        <v>197</v>
      </c>
    </row>
    <row r="31" spans="1:7" x14ac:dyDescent="0.25">
      <c r="A31" t="s">
        <v>174</v>
      </c>
      <c r="B31" s="36">
        <f>C11/C18/10^6</f>
        <v>3.2979777777777828E-3</v>
      </c>
      <c r="C31" s="3">
        <f>1/B31</f>
        <v>303.21611223038985</v>
      </c>
      <c r="D31" t="s">
        <v>197</v>
      </c>
    </row>
    <row r="32" spans="1:7" x14ac:dyDescent="0.25">
      <c r="A32" s="18"/>
    </row>
    <row r="36" spans="1:1" x14ac:dyDescent="0.25">
      <c r="A36" s="18"/>
    </row>
  </sheetData>
  <hyperlinks>
    <hyperlink ref="D28" r:id="rId1"/>
    <hyperlink ref="D29" r:id="rId2"/>
    <hyperlink ref="G19" r:id="rId3"/>
  </hyperlinks>
  <pageMargins left="0.7" right="0.7" top="0.78740157499999996" bottom="0.78740157499999996"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9" sqref="D9"/>
    </sheetView>
  </sheetViews>
  <sheetFormatPr baseColWidth="10" defaultColWidth="11.42578125" defaultRowHeight="15" x14ac:dyDescent="0.25"/>
  <cols>
    <col min="1" max="1" width="41.7109375" customWidth="1"/>
    <col min="2" max="2" width="40.7109375" bestFit="1" customWidth="1"/>
    <col min="3" max="3" width="20.7109375" customWidth="1"/>
    <col min="5" max="5" width="17.42578125" customWidth="1"/>
  </cols>
  <sheetData>
    <row r="1" spans="1:10" ht="31.5" x14ac:dyDescent="0.5">
      <c r="A1" s="4" t="s">
        <v>99</v>
      </c>
      <c r="B1" s="4"/>
    </row>
    <row r="3" spans="1:10" x14ac:dyDescent="0.25">
      <c r="A3" s="2" t="s">
        <v>24</v>
      </c>
      <c r="B3" s="2" t="s">
        <v>26</v>
      </c>
      <c r="C3" s="2" t="s">
        <v>104</v>
      </c>
      <c r="D3" s="2" t="s">
        <v>31</v>
      </c>
      <c r="E3" s="2" t="s">
        <v>3</v>
      </c>
      <c r="F3" s="2" t="s">
        <v>27</v>
      </c>
      <c r="G3" s="2" t="s">
        <v>32</v>
      </c>
      <c r="H3" s="2" t="s">
        <v>33</v>
      </c>
      <c r="I3" s="2" t="s">
        <v>34</v>
      </c>
      <c r="J3" s="2" t="s">
        <v>1</v>
      </c>
    </row>
    <row r="4" spans="1:10" x14ac:dyDescent="0.25">
      <c r="A4" t="s">
        <v>29</v>
      </c>
      <c r="B4" t="s">
        <v>65</v>
      </c>
      <c r="C4" t="s">
        <v>28</v>
      </c>
      <c r="D4">
        <f>(27*10^9)/(4.6*10^6)</f>
        <v>5869.565217391304</v>
      </c>
      <c r="E4" t="s">
        <v>35</v>
      </c>
      <c r="F4" t="s">
        <v>16</v>
      </c>
      <c r="G4">
        <f>2*8760/(4.6*10^6)</f>
        <v>3.8086956521739129E-3</v>
      </c>
      <c r="H4" t="s">
        <v>36</v>
      </c>
      <c r="I4" t="s">
        <v>2</v>
      </c>
      <c r="J4" t="s">
        <v>0</v>
      </c>
    </row>
    <row r="5" spans="1:10" x14ac:dyDescent="0.25">
      <c r="A5" t="s">
        <v>30</v>
      </c>
      <c r="B5" t="s">
        <v>65</v>
      </c>
      <c r="C5" t="s">
        <v>12</v>
      </c>
      <c r="D5">
        <f>(800*10^9)/(60*10^6)</f>
        <v>13333.333333333334</v>
      </c>
      <c r="E5" t="s">
        <v>35</v>
      </c>
      <c r="F5" t="s">
        <v>16</v>
      </c>
      <c r="J5" t="s">
        <v>0</v>
      </c>
    </row>
    <row r="6" spans="1:10" x14ac:dyDescent="0.25">
      <c r="A6" t="s">
        <v>29</v>
      </c>
      <c r="B6" t="s">
        <v>65</v>
      </c>
      <c r="C6" t="s">
        <v>61</v>
      </c>
      <c r="D6">
        <v>6471</v>
      </c>
      <c r="E6" t="s">
        <v>35</v>
      </c>
      <c r="F6" t="s">
        <v>16</v>
      </c>
      <c r="J6" t="s">
        <v>60</v>
      </c>
    </row>
    <row r="7" spans="1:10" x14ac:dyDescent="0.25">
      <c r="A7" t="s">
        <v>92</v>
      </c>
      <c r="B7" t="s">
        <v>89</v>
      </c>
      <c r="C7" s="8" t="s">
        <v>106</v>
      </c>
      <c r="D7">
        <f>13.6*490</f>
        <v>6664</v>
      </c>
      <c r="E7" t="s">
        <v>90</v>
      </c>
      <c r="F7" t="s">
        <v>91</v>
      </c>
      <c r="J7" t="s">
        <v>88</v>
      </c>
    </row>
    <row r="8" spans="1:10" x14ac:dyDescent="0.25">
      <c r="A8" t="s">
        <v>25</v>
      </c>
      <c r="C8" t="s">
        <v>94</v>
      </c>
      <c r="D8">
        <f>279000000000/20600000</f>
        <v>13543.68932038835</v>
      </c>
      <c r="E8" t="s">
        <v>93</v>
      </c>
      <c r="J8" t="s">
        <v>105</v>
      </c>
    </row>
    <row r="9" spans="1:10" x14ac:dyDescent="0.25">
      <c r="A9" t="s">
        <v>129</v>
      </c>
      <c r="B9" t="s">
        <v>130</v>
      </c>
      <c r="C9" t="s">
        <v>131</v>
      </c>
      <c r="D9">
        <v>32</v>
      </c>
      <c r="E9" t="s">
        <v>128</v>
      </c>
      <c r="F9" t="s">
        <v>132</v>
      </c>
      <c r="J9" t="s">
        <v>127</v>
      </c>
    </row>
  </sheetData>
  <hyperlinks>
    <hyperlink ref="C7" r:id="rId1" location="ref-9" display="http://www.pnas.org/content/107/8/3388 - ref-9"/>
  </hyperlinks>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selection activeCell="F13" sqref="F13"/>
    </sheetView>
  </sheetViews>
  <sheetFormatPr baseColWidth="10" defaultColWidth="11.42578125" defaultRowHeight="15" x14ac:dyDescent="0.25"/>
  <cols>
    <col min="1" max="1" width="41.7109375" customWidth="1"/>
    <col min="3" max="3" width="28" bestFit="1" customWidth="1"/>
    <col min="4" max="4" width="21" bestFit="1" customWidth="1"/>
    <col min="5" max="5" width="21.5703125" bestFit="1" customWidth="1"/>
    <col min="6" max="6" width="25.42578125" customWidth="1"/>
  </cols>
  <sheetData>
    <row r="1" spans="1:8" ht="31.5" x14ac:dyDescent="0.5">
      <c r="A1" s="4" t="s">
        <v>57</v>
      </c>
    </row>
    <row r="4" spans="1:8" x14ac:dyDescent="0.25">
      <c r="A4" s="2" t="s">
        <v>15</v>
      </c>
      <c r="B4" s="2" t="s">
        <v>37</v>
      </c>
      <c r="C4" s="2" t="s">
        <v>38</v>
      </c>
      <c r="D4" s="2" t="s">
        <v>43</v>
      </c>
      <c r="E4" s="2" t="s">
        <v>44</v>
      </c>
      <c r="F4" s="2" t="s">
        <v>1</v>
      </c>
      <c r="G4" s="2" t="s">
        <v>47</v>
      </c>
    </row>
    <row r="5" spans="1:8" x14ac:dyDescent="0.25">
      <c r="A5" t="s">
        <v>2</v>
      </c>
      <c r="B5" t="s">
        <v>39</v>
      </c>
      <c r="C5" t="s">
        <v>40</v>
      </c>
      <c r="D5">
        <v>0.8</v>
      </c>
      <c r="E5">
        <v>0.8</v>
      </c>
      <c r="F5" t="s">
        <v>107</v>
      </c>
    </row>
    <row r="6" spans="1:8" x14ac:dyDescent="0.25">
      <c r="A6" t="s">
        <v>2</v>
      </c>
      <c r="B6" t="s">
        <v>39</v>
      </c>
      <c r="C6" t="s">
        <v>40</v>
      </c>
      <c r="D6">
        <v>0.51</v>
      </c>
      <c r="E6">
        <v>0.67</v>
      </c>
      <c r="F6" t="s">
        <v>51</v>
      </c>
    </row>
    <row r="7" spans="1:8" x14ac:dyDescent="0.25">
      <c r="A7" t="s">
        <v>39</v>
      </c>
      <c r="B7" t="s">
        <v>2</v>
      </c>
      <c r="C7" t="s">
        <v>41</v>
      </c>
      <c r="D7">
        <v>0.6</v>
      </c>
      <c r="E7">
        <v>0.6</v>
      </c>
      <c r="F7" t="s">
        <v>11</v>
      </c>
    </row>
    <row r="8" spans="1:8" x14ac:dyDescent="0.25">
      <c r="A8" t="s">
        <v>39</v>
      </c>
      <c r="B8" t="s">
        <v>2</v>
      </c>
      <c r="C8" t="s">
        <v>45</v>
      </c>
      <c r="D8" s="5">
        <v>0.42</v>
      </c>
      <c r="E8" s="5">
        <v>0.47</v>
      </c>
      <c r="F8" t="s">
        <v>42</v>
      </c>
    </row>
    <row r="9" spans="1:8" x14ac:dyDescent="0.25">
      <c r="A9" t="s">
        <v>39</v>
      </c>
      <c r="B9" t="s">
        <v>2</v>
      </c>
      <c r="C9" t="s">
        <v>48</v>
      </c>
      <c r="D9">
        <v>0.54</v>
      </c>
      <c r="E9">
        <v>0.54</v>
      </c>
      <c r="F9" t="s">
        <v>46</v>
      </c>
    </row>
    <row r="10" spans="1:8" x14ac:dyDescent="0.25">
      <c r="A10" t="s">
        <v>39</v>
      </c>
      <c r="B10" t="s">
        <v>2</v>
      </c>
      <c r="C10" t="s">
        <v>45</v>
      </c>
      <c r="D10">
        <v>0.35</v>
      </c>
      <c r="E10">
        <v>0.6</v>
      </c>
      <c r="F10" t="s">
        <v>51</v>
      </c>
      <c r="G10" t="s">
        <v>52</v>
      </c>
    </row>
    <row r="11" spans="1:8" x14ac:dyDescent="0.25">
      <c r="A11" t="s">
        <v>39</v>
      </c>
      <c r="B11" t="s">
        <v>53</v>
      </c>
      <c r="D11">
        <v>0.8</v>
      </c>
      <c r="E11">
        <v>0.8</v>
      </c>
      <c r="F11" t="s">
        <v>107</v>
      </c>
    </row>
    <row r="12" spans="1:8" x14ac:dyDescent="0.25">
      <c r="A12" t="s">
        <v>39</v>
      </c>
      <c r="B12" t="s">
        <v>54</v>
      </c>
      <c r="D12">
        <v>0.8</v>
      </c>
      <c r="E12">
        <v>0.8</v>
      </c>
      <c r="F12" t="s">
        <v>107</v>
      </c>
    </row>
    <row r="13" spans="1:8" x14ac:dyDescent="0.25">
      <c r="A13" t="s">
        <v>53</v>
      </c>
      <c r="B13" t="s">
        <v>2</v>
      </c>
      <c r="C13" t="s">
        <v>55</v>
      </c>
      <c r="D13">
        <v>0.56000000000000005</v>
      </c>
      <c r="E13">
        <v>0.56000000000000005</v>
      </c>
      <c r="F13" t="s">
        <v>56</v>
      </c>
    </row>
    <row r="14" spans="1:8" x14ac:dyDescent="0.25">
      <c r="A14" t="s">
        <v>53</v>
      </c>
      <c r="B14" t="s">
        <v>2</v>
      </c>
      <c r="C14" t="s">
        <v>55</v>
      </c>
      <c r="D14">
        <v>0.6</v>
      </c>
      <c r="E14">
        <v>0.6</v>
      </c>
      <c r="F14" t="s">
        <v>108</v>
      </c>
    </row>
    <row r="15" spans="1:8" x14ac:dyDescent="0.25">
      <c r="A15" s="20" t="s">
        <v>49</v>
      </c>
      <c r="B15" s="20" t="s">
        <v>2</v>
      </c>
      <c r="C15" s="20" t="s">
        <v>48</v>
      </c>
      <c r="D15" s="20">
        <v>0.14000000000000001</v>
      </c>
      <c r="E15" s="20">
        <v>0.43</v>
      </c>
      <c r="F15" s="20" t="s">
        <v>46</v>
      </c>
      <c r="G15" s="20" t="s">
        <v>50</v>
      </c>
      <c r="H15" s="20"/>
    </row>
    <row r="16" spans="1:8" x14ac:dyDescent="0.25">
      <c r="A16" s="20" t="s">
        <v>86</v>
      </c>
      <c r="B16" s="20" t="s">
        <v>2</v>
      </c>
      <c r="C16" s="20" t="s">
        <v>87</v>
      </c>
      <c r="D16" s="20">
        <v>0.42</v>
      </c>
      <c r="E16" s="20">
        <v>0.42</v>
      </c>
      <c r="F16" s="20" t="s">
        <v>85</v>
      </c>
      <c r="G16" s="20"/>
      <c r="H16" s="20"/>
    </row>
    <row r="17" spans="1:8" x14ac:dyDescent="0.25">
      <c r="A17" s="20" t="s">
        <v>49</v>
      </c>
      <c r="B17" s="20" t="s">
        <v>2</v>
      </c>
      <c r="C17" s="20" t="s">
        <v>120</v>
      </c>
      <c r="D17" s="20">
        <v>0.3</v>
      </c>
      <c r="E17" s="20">
        <v>0.3</v>
      </c>
      <c r="F17" s="20" t="s">
        <v>119</v>
      </c>
      <c r="G17" s="20" t="s">
        <v>121</v>
      </c>
      <c r="H17" s="20"/>
    </row>
    <row r="18" spans="1:8" x14ac:dyDescent="0.25">
      <c r="A18" s="20" t="s">
        <v>125</v>
      </c>
      <c r="B18" s="20" t="s">
        <v>2</v>
      </c>
      <c r="C18" s="20" t="s">
        <v>126</v>
      </c>
      <c r="D18" s="20">
        <v>0.34</v>
      </c>
      <c r="E18" s="20">
        <v>0.43</v>
      </c>
      <c r="F18" s="20" t="s">
        <v>124</v>
      </c>
      <c r="G18" s="20"/>
      <c r="H18" s="20"/>
    </row>
    <row r="19" spans="1:8" x14ac:dyDescent="0.25">
      <c r="A19" s="20" t="s">
        <v>125</v>
      </c>
      <c r="B19" s="20" t="s">
        <v>54</v>
      </c>
      <c r="C19" s="20" t="s">
        <v>214</v>
      </c>
      <c r="D19" s="20">
        <f>0.54</f>
        <v>0.54</v>
      </c>
      <c r="E19" s="20">
        <v>0.6</v>
      </c>
      <c r="F19" s="20" t="s">
        <v>124</v>
      </c>
      <c r="G19" s="20"/>
      <c r="H19" s="20"/>
    </row>
    <row r="20" spans="1:8" x14ac:dyDescent="0.25">
      <c r="A20" s="20" t="s">
        <v>125</v>
      </c>
      <c r="B20" s="20" t="s">
        <v>53</v>
      </c>
      <c r="C20" s="20" t="s">
        <v>214</v>
      </c>
      <c r="D20" s="20">
        <v>0.67</v>
      </c>
      <c r="E20" s="20">
        <v>0.74</v>
      </c>
      <c r="F20" s="20" t="s">
        <v>213</v>
      </c>
      <c r="G20" s="20"/>
      <c r="H20" s="20"/>
    </row>
    <row r="21" spans="1:8" x14ac:dyDescent="0.25">
      <c r="A21" s="20" t="s">
        <v>125</v>
      </c>
      <c r="B21" s="20" t="s">
        <v>135</v>
      </c>
      <c r="C21" s="20" t="s">
        <v>136</v>
      </c>
      <c r="D21" s="20">
        <v>0.79</v>
      </c>
      <c r="E21" s="20">
        <v>0.84</v>
      </c>
      <c r="F21" s="20" t="s">
        <v>124</v>
      </c>
      <c r="G21" s="20"/>
      <c r="H21" s="20"/>
    </row>
    <row r="22" spans="1:8" x14ac:dyDescent="0.25">
      <c r="A22" s="20"/>
      <c r="B22" s="20"/>
      <c r="C22" s="20"/>
      <c r="D22" s="20"/>
      <c r="E22" s="20"/>
      <c r="F22" s="20"/>
      <c r="G22" s="20"/>
      <c r="H22" s="20"/>
    </row>
    <row r="23" spans="1:8" x14ac:dyDescent="0.25">
      <c r="A23" s="20"/>
      <c r="B23" s="20"/>
      <c r="C23" s="20"/>
      <c r="D23" s="20"/>
      <c r="E23" s="20"/>
      <c r="F23" s="20"/>
      <c r="G23" s="20"/>
      <c r="H23" s="20"/>
    </row>
    <row r="24" spans="1:8" ht="31.5" x14ac:dyDescent="0.5">
      <c r="A24" s="25" t="s">
        <v>172</v>
      </c>
      <c r="B24" s="20"/>
      <c r="C24" s="20"/>
      <c r="D24" s="20"/>
      <c r="E24" s="20"/>
      <c r="F24" s="20"/>
      <c r="G24" s="20"/>
      <c r="H24" s="20"/>
    </row>
    <row r="25" spans="1:8" x14ac:dyDescent="0.25">
      <c r="A25" t="s">
        <v>39</v>
      </c>
      <c r="B25" t="s">
        <v>53</v>
      </c>
      <c r="C25" t="s">
        <v>171</v>
      </c>
      <c r="D25">
        <v>0.19800000000000001</v>
      </c>
      <c r="E25" t="s">
        <v>173</v>
      </c>
      <c r="F25" t="s">
        <v>107</v>
      </c>
    </row>
    <row r="26" spans="1:8" x14ac:dyDescent="0.25">
      <c r="A26" t="s">
        <v>39</v>
      </c>
      <c r="B26" t="s">
        <v>54</v>
      </c>
      <c r="C26" t="s">
        <v>174</v>
      </c>
      <c r="D26">
        <f>D25*1000</f>
        <v>198</v>
      </c>
      <c r="E26" t="s">
        <v>175</v>
      </c>
      <c r="F26" t="s">
        <v>107</v>
      </c>
    </row>
    <row r="27" spans="1:8" x14ac:dyDescent="0.25">
      <c r="A27" s="13"/>
      <c r="B27" s="13"/>
      <c r="C27" s="14"/>
    </row>
    <row r="28" spans="1:8" x14ac:dyDescent="0.25">
      <c r="A28" s="14"/>
      <c r="B28" s="14"/>
      <c r="C28" s="14"/>
    </row>
    <row r="29" spans="1:8" x14ac:dyDescent="0.25">
      <c r="A29" s="15"/>
      <c r="B29" s="14"/>
      <c r="C29" s="14"/>
    </row>
    <row r="30" spans="1:8" x14ac:dyDescent="0.25">
      <c r="A30" s="14"/>
      <c r="B30" s="14"/>
      <c r="C30" s="14"/>
    </row>
    <row r="31" spans="1:8" x14ac:dyDescent="0.25">
      <c r="A31" s="16"/>
      <c r="B31" s="14"/>
      <c r="C31" s="14"/>
    </row>
    <row r="32" spans="1:8" x14ac:dyDescent="0.25">
      <c r="A32" s="14"/>
      <c r="B32" s="14"/>
      <c r="C32" s="14"/>
    </row>
    <row r="33" spans="1:3" x14ac:dyDescent="0.25">
      <c r="A33" s="14"/>
      <c r="B33" s="14"/>
      <c r="C33" s="14"/>
    </row>
    <row r="34" spans="1:3" x14ac:dyDescent="0.25">
      <c r="A34" s="14"/>
      <c r="B34" s="14"/>
      <c r="C34" s="14"/>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1" sqref="C11"/>
    </sheetView>
  </sheetViews>
  <sheetFormatPr baseColWidth="10" defaultColWidth="11.42578125" defaultRowHeight="15" x14ac:dyDescent="0.25"/>
  <cols>
    <col min="2" max="2" width="22.5703125" bestFit="1" customWidth="1"/>
  </cols>
  <sheetData>
    <row r="1" spans="1:7" ht="31.5" x14ac:dyDescent="0.5">
      <c r="A1" s="4" t="s">
        <v>82</v>
      </c>
    </row>
    <row r="5" spans="1:7" x14ac:dyDescent="0.25">
      <c r="A5" s="2" t="s">
        <v>15</v>
      </c>
      <c r="B5" s="2" t="s">
        <v>19</v>
      </c>
      <c r="C5" s="2" t="s">
        <v>21</v>
      </c>
      <c r="D5" s="2" t="s">
        <v>17</v>
      </c>
      <c r="E5" s="2" t="s">
        <v>18</v>
      </c>
      <c r="F5" s="2" t="s">
        <v>59</v>
      </c>
      <c r="G5" s="2" t="s">
        <v>1</v>
      </c>
    </row>
    <row r="6" spans="1:7" x14ac:dyDescent="0.25">
      <c r="A6" t="s">
        <v>22</v>
      </c>
      <c r="B6" t="s">
        <v>215</v>
      </c>
      <c r="C6" t="s">
        <v>23</v>
      </c>
      <c r="D6">
        <v>0.27777770000000002</v>
      </c>
      <c r="E6">
        <v>0.27777770000000002</v>
      </c>
      <c r="F6">
        <f>(D6+E6)/2</f>
        <v>0.27777770000000002</v>
      </c>
    </row>
    <row r="7" spans="1:7" x14ac:dyDescent="0.25">
      <c r="A7" t="s">
        <v>16</v>
      </c>
      <c r="B7" t="s">
        <v>20</v>
      </c>
      <c r="C7" t="s">
        <v>215</v>
      </c>
      <c r="D7">
        <v>18.399999999999999</v>
      </c>
      <c r="E7">
        <v>21.2</v>
      </c>
      <c r="F7">
        <f>(D7+E7)/2</f>
        <v>19.799999999999997</v>
      </c>
      <c r="G7" t="s">
        <v>4</v>
      </c>
    </row>
    <row r="8" spans="1:7" x14ac:dyDescent="0.25">
      <c r="B8" t="s">
        <v>83</v>
      </c>
      <c r="C8" t="s">
        <v>84</v>
      </c>
      <c r="D8">
        <v>0.40468599999999999</v>
      </c>
      <c r="E8">
        <v>0.40468599999999999</v>
      </c>
      <c r="F8">
        <f>(D8+E8)/2</f>
        <v>0.40468599999999999</v>
      </c>
    </row>
    <row r="9" spans="1:7" x14ac:dyDescent="0.25">
      <c r="A9" t="s">
        <v>91</v>
      </c>
      <c r="B9" t="s">
        <v>20</v>
      </c>
      <c r="C9" t="s">
        <v>215</v>
      </c>
      <c r="D9" s="1">
        <v>33.299999999999997</v>
      </c>
      <c r="E9">
        <v>35.700000000000003</v>
      </c>
      <c r="F9">
        <f>(D9+E9)/2</f>
        <v>34.5</v>
      </c>
      <c r="G9" t="s">
        <v>4</v>
      </c>
    </row>
    <row r="10" spans="1:7" x14ac:dyDescent="0.25">
      <c r="A10" t="s">
        <v>129</v>
      </c>
      <c r="B10" t="s">
        <v>134</v>
      </c>
      <c r="C10" t="s">
        <v>216</v>
      </c>
      <c r="D10">
        <v>18.600000000000001</v>
      </c>
      <c r="E10">
        <v>18.600000000000001</v>
      </c>
      <c r="F10">
        <f>(D10+E10)/2</f>
        <v>18.600000000000001</v>
      </c>
      <c r="G10" t="s">
        <v>133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topLeftCell="A25" workbookViewId="0">
      <selection activeCell="B60" sqref="B60"/>
    </sheetView>
  </sheetViews>
  <sheetFormatPr baseColWidth="10" defaultColWidth="11.42578125" defaultRowHeight="15" x14ac:dyDescent="0.25"/>
  <cols>
    <col min="1" max="1" width="35.140625" bestFit="1" customWidth="1"/>
    <col min="2" max="2" width="33.5703125" bestFit="1" customWidth="1"/>
    <col min="3" max="3" width="18" customWidth="1"/>
    <col min="4" max="4" width="25.85546875" bestFit="1" customWidth="1"/>
    <col min="5" max="5" width="26.140625" bestFit="1" customWidth="1"/>
    <col min="7" max="7" width="27.5703125" bestFit="1" customWidth="1"/>
  </cols>
  <sheetData>
    <row r="1" spans="1:9" ht="31.5" x14ac:dyDescent="0.5">
      <c r="A1" s="4" t="s">
        <v>100</v>
      </c>
      <c r="B1" s="4"/>
    </row>
    <row r="2" spans="1:9" x14ac:dyDescent="0.25">
      <c r="A2" s="2" t="s">
        <v>24</v>
      </c>
      <c r="B2" s="2" t="s">
        <v>161</v>
      </c>
      <c r="C2" s="2" t="s">
        <v>58</v>
      </c>
      <c r="D2" s="2" t="s">
        <v>167</v>
      </c>
      <c r="E2" s="2" t="s">
        <v>168</v>
      </c>
      <c r="F2" s="2" t="s">
        <v>10</v>
      </c>
    </row>
    <row r="3" spans="1:9" x14ac:dyDescent="0.25">
      <c r="A3" s="12" t="s">
        <v>159</v>
      </c>
      <c r="B3" s="12"/>
      <c r="C3" s="2"/>
      <c r="D3" s="2"/>
      <c r="E3" s="2"/>
      <c r="F3" s="2"/>
    </row>
    <row r="4" spans="1:9" x14ac:dyDescent="0.25">
      <c r="A4" t="s">
        <v>92</v>
      </c>
      <c r="B4" t="s">
        <v>162</v>
      </c>
      <c r="C4" t="s">
        <v>91</v>
      </c>
      <c r="D4" s="3">
        <f>'Biomass Productivity'!D7*'Energy Conversion Factors'!D9*'Energy Conversion Factors'!F6/1000</f>
        <v>61.641982740239996</v>
      </c>
      <c r="E4" s="3">
        <f>'Biomass Productivity'!D7*'Energy Conversion Factors'!E9*'Energy Conversion Factors'!F6/1000</f>
        <v>66.084648162960008</v>
      </c>
    </row>
    <row r="5" spans="1:9" x14ac:dyDescent="0.25">
      <c r="A5" t="s">
        <v>221</v>
      </c>
      <c r="B5" t="s">
        <v>40</v>
      </c>
      <c r="C5" t="s">
        <v>39</v>
      </c>
      <c r="D5" s="3">
        <f>'Solar, Wind Productivity'!D15*'Solar, Wind Productivity'!D14*'Technical Conversion Factors'!D6</f>
        <v>345.58130978195254</v>
      </c>
      <c r="E5" s="3">
        <f>'Solar, Wind Productivity'!D16*'Solar, Wind Productivity'!D14*'Technical Conversion Factors'!E5</f>
        <v>1084.1766581394591</v>
      </c>
      <c r="H5" s="18"/>
    </row>
    <row r="6" spans="1:9" x14ac:dyDescent="0.25">
      <c r="A6" s="20" t="s">
        <v>222</v>
      </c>
      <c r="B6" s="20" t="s">
        <v>40</v>
      </c>
      <c r="C6" s="20" t="s">
        <v>39</v>
      </c>
      <c r="D6" s="21">
        <f>'Solar, Wind Productivity'!D8*'Solar, Wind Productivity'!D7*'Technical Conversion Factors'!D6</f>
        <v>6393.2855900503046</v>
      </c>
      <c r="E6" s="21">
        <f>'Solar, Wind Productivity'!D8*'Solar, Wind Productivity'!D7*'Technical Conversion Factors'!E5</f>
        <v>10028.683278510282</v>
      </c>
      <c r="F6" s="20"/>
      <c r="G6" s="20"/>
      <c r="H6" s="20"/>
      <c r="I6" s="20"/>
    </row>
    <row r="7" spans="1:9" x14ac:dyDescent="0.25">
      <c r="A7" t="s">
        <v>62</v>
      </c>
      <c r="B7" t="s">
        <v>163</v>
      </c>
      <c r="C7" t="s">
        <v>16</v>
      </c>
      <c r="D7" s="3">
        <f>'Biomass Productivity'!D4*'Energy Conversion Factors'!$F$7*'Energy Conversion Factors'!$F$6/1000</f>
        <v>32.282599656521732</v>
      </c>
      <c r="E7" s="3">
        <f>'Biomass Productivity'!D6*'Energy Conversion Factors'!$F$7*'Energy Conversion Factors'!$F$6/1000</f>
        <v>35.59049003466</v>
      </c>
      <c r="F7" s="6" t="s">
        <v>63</v>
      </c>
    </row>
    <row r="8" spans="1:9" x14ac:dyDescent="0.25">
      <c r="A8" s="22" t="s">
        <v>160</v>
      </c>
      <c r="B8" s="22"/>
      <c r="C8" s="20"/>
      <c r="D8" s="21"/>
      <c r="E8" s="21"/>
      <c r="F8" s="23"/>
      <c r="G8" s="20"/>
      <c r="H8" s="20"/>
      <c r="I8" s="20"/>
    </row>
    <row r="9" spans="1:9" x14ac:dyDescent="0.25">
      <c r="A9" s="20" t="s">
        <v>25</v>
      </c>
      <c r="B9" s="20" t="s">
        <v>162</v>
      </c>
      <c r="C9" s="20" t="s">
        <v>91</v>
      </c>
      <c r="D9" s="21">
        <f>'Biomass Productivity'!D8*'Energy Conversion Factors'!F9*'Energy Conversion Factors'!F6/1000</f>
        <v>129.79365297815536</v>
      </c>
      <c r="E9" s="21">
        <f>D9</f>
        <v>129.79365297815536</v>
      </c>
      <c r="F9" s="20"/>
      <c r="G9" s="20"/>
      <c r="H9" s="20"/>
      <c r="I9" s="20"/>
    </row>
    <row r="10" spans="1:9" x14ac:dyDescent="0.25">
      <c r="A10" s="20" t="s">
        <v>129</v>
      </c>
      <c r="B10" s="20" t="s">
        <v>164</v>
      </c>
      <c r="C10" s="20" t="s">
        <v>54</v>
      </c>
      <c r="D10" s="21">
        <f>'Biomass Productivity'!D9*'Energy Conversion Factors'!D10*'Energy Conversion Factors'!D6*'Technical Conversion Factors'!D19</f>
        <v>89.279975001600008</v>
      </c>
      <c r="E10" s="21">
        <f>'Biomass Productivity'!D9*'Energy Conversion Factors'!D10*'Energy Conversion Factors'!D6*'Technical Conversion Factors'!E19</f>
        <v>99.199972224000007</v>
      </c>
      <c r="F10" s="20"/>
      <c r="G10" s="20"/>
      <c r="H10" s="20"/>
      <c r="I10" s="20"/>
    </row>
    <row r="11" spans="1:9" x14ac:dyDescent="0.25">
      <c r="A11" s="20" t="s">
        <v>129</v>
      </c>
      <c r="B11" s="20" t="s">
        <v>212</v>
      </c>
      <c r="C11" s="20" t="s">
        <v>53</v>
      </c>
      <c r="D11" s="21">
        <f>'Biomass Productivity'!D9*'Energy Conversion Factors'!D10*'Energy Conversion Factors'!D6*'Technical Conversion Factors'!D20</f>
        <v>110.77330231680001</v>
      </c>
      <c r="E11" s="21">
        <f>'Biomass Productivity'!D9*'Energy Conversion Factors'!D10*'Energy Conversion Factors'!D6*'Technical Conversion Factors'!E20</f>
        <v>122.34663240960001</v>
      </c>
      <c r="F11" s="20"/>
      <c r="G11" s="20"/>
      <c r="H11" s="20"/>
      <c r="I11" s="20"/>
    </row>
    <row r="12" spans="1:9" x14ac:dyDescent="0.25">
      <c r="A12" s="20" t="s">
        <v>170</v>
      </c>
      <c r="B12" s="20" t="s">
        <v>165</v>
      </c>
      <c r="C12" s="20" t="s">
        <v>53</v>
      </c>
      <c r="D12" s="21">
        <f>(D5*'Technical Conversion Factors'!D11*'CO2-Capture'!$C$14)</f>
        <v>262.78003179000228</v>
      </c>
      <c r="E12" s="21">
        <f>E5*'Technical Conversion Factors'!E11*'CO2-Capture'!$C$16</f>
        <v>783.19187101341504</v>
      </c>
      <c r="F12" s="20"/>
      <c r="G12" s="20"/>
      <c r="H12" s="20"/>
      <c r="I12" s="20"/>
    </row>
    <row r="13" spans="1:9" x14ac:dyDescent="0.25">
      <c r="A13" s="20" t="s">
        <v>170</v>
      </c>
      <c r="B13" s="20" t="s">
        <v>166</v>
      </c>
      <c r="C13" s="20" t="s">
        <v>54</v>
      </c>
      <c r="D13" s="21">
        <f>D5*'Technical Conversion Factors'!D12*'CO2-Capture'!$C$15</f>
        <v>259.11772421894466</v>
      </c>
      <c r="E13" s="21">
        <f>E5*'Technical Conversion Factors'!E12*'CO2-Capture'!$C$17</f>
        <v>760.67226364353905</v>
      </c>
      <c r="F13" s="20"/>
      <c r="G13" s="20"/>
      <c r="H13" s="20"/>
      <c r="I13" s="20"/>
    </row>
    <row r="14" spans="1:9" x14ac:dyDescent="0.25">
      <c r="A14" s="20" t="s">
        <v>169</v>
      </c>
      <c r="B14" s="20" t="s">
        <v>165</v>
      </c>
      <c r="C14" s="20" t="s">
        <v>53</v>
      </c>
      <c r="D14" s="21">
        <f>D6*'Technical Conversion Factors'!E11*'CO2-Capture'!$C$15</f>
        <v>4793.7014111696662</v>
      </c>
      <c r="E14" s="21">
        <f>E6*'Technical Conversion Factors'!E11*'CO2-Capture'!$C$16</f>
        <v>7244.5603414633715</v>
      </c>
      <c r="F14" s="20"/>
      <c r="G14" s="20"/>
      <c r="H14" s="20"/>
      <c r="I14" s="20"/>
    </row>
    <row r="15" spans="1:9" x14ac:dyDescent="0.25">
      <c r="A15" s="20" t="s">
        <v>169</v>
      </c>
      <c r="B15" s="20" t="s">
        <v>166</v>
      </c>
      <c r="C15" s="20" t="s">
        <v>54</v>
      </c>
      <c r="D15" s="21">
        <f>D6*'Technical Conversion Factors'!D12*'CO2-Capture'!$C$15</f>
        <v>4793.7014111696662</v>
      </c>
      <c r="E15" s="21">
        <f>E6*'Technical Conversion Factors'!E12*'CO2-Capture'!$C$17</f>
        <v>7036.2529515436727</v>
      </c>
      <c r="F15" s="20"/>
      <c r="G15" s="20"/>
      <c r="H15" s="20"/>
      <c r="I15" s="20"/>
    </row>
    <row r="16" spans="1:9" x14ac:dyDescent="0.25">
      <c r="A16" s="20" t="s">
        <v>189</v>
      </c>
      <c r="B16" s="20" t="s">
        <v>190</v>
      </c>
      <c r="C16" s="21" t="s">
        <v>16</v>
      </c>
      <c r="D16" s="21">
        <f>'Biomass Productivity'!D5*'Energy Conversion Factors'!$F$7*'Energy Conversion Factors'!$F$6/1000</f>
        <v>73.333312800000002</v>
      </c>
      <c r="E16" s="21">
        <f>D16</f>
        <v>73.333312800000002</v>
      </c>
      <c r="F16" s="20"/>
      <c r="G16" s="20"/>
      <c r="H16" s="20"/>
      <c r="I16" s="20"/>
    </row>
    <row r="17" spans="1:9" x14ac:dyDescent="0.25">
      <c r="A17" s="20"/>
      <c r="B17" s="20"/>
      <c r="C17" s="24"/>
      <c r="D17" s="24"/>
      <c r="E17" s="24"/>
      <c r="F17" s="20"/>
      <c r="G17" s="20"/>
      <c r="H17" s="20"/>
      <c r="I17" s="20"/>
    </row>
    <row r="18" spans="1:9" ht="31.5" x14ac:dyDescent="0.5">
      <c r="A18" s="25" t="s">
        <v>188</v>
      </c>
      <c r="B18" s="20"/>
      <c r="C18" s="20"/>
      <c r="D18" s="20"/>
      <c r="E18" s="24"/>
      <c r="F18" s="20"/>
      <c r="G18" s="20"/>
      <c r="H18" s="20"/>
      <c r="I18" s="20"/>
    </row>
    <row r="19" spans="1:9" x14ac:dyDescent="0.25">
      <c r="A19" s="24" t="s">
        <v>24</v>
      </c>
      <c r="B19" s="24" t="s">
        <v>161</v>
      </c>
      <c r="C19" s="24" t="s">
        <v>58</v>
      </c>
      <c r="D19" s="24" t="s">
        <v>204</v>
      </c>
      <c r="E19" s="24" t="s">
        <v>205</v>
      </c>
      <c r="F19" s="20"/>
      <c r="G19" s="20"/>
      <c r="H19" s="20"/>
      <c r="I19" s="20"/>
    </row>
    <row r="20" spans="1:9" x14ac:dyDescent="0.25">
      <c r="A20" s="26" t="str">
        <f>A3</f>
        <v xml:space="preserve">Commercially available technologies </v>
      </c>
      <c r="B20" s="20"/>
      <c r="C20" s="20"/>
      <c r="D20" s="20"/>
      <c r="E20" s="20"/>
      <c r="F20" s="20"/>
      <c r="G20" s="20"/>
      <c r="H20" s="20"/>
      <c r="I20" s="20"/>
    </row>
    <row r="21" spans="1:9" x14ac:dyDescent="0.25">
      <c r="A21" s="20" t="str">
        <f>A4</f>
        <v>Oil Palm</v>
      </c>
      <c r="B21" s="20" t="str">
        <f>B4</f>
        <v>Transesterification</v>
      </c>
      <c r="C21" s="20" t="str">
        <f>C4</f>
        <v>Biodiesel</v>
      </c>
      <c r="D21" s="27">
        <f>((D4)*100/8760)</f>
        <v>0.70367560205753421</v>
      </c>
      <c r="E21" s="27">
        <f>((E4)*100/8760)</f>
        <v>0.75439096076438372</v>
      </c>
      <c r="F21" s="20"/>
      <c r="G21" s="20"/>
      <c r="H21" s="20"/>
      <c r="I21" s="20"/>
    </row>
    <row r="22" spans="1:9" x14ac:dyDescent="0.25">
      <c r="A22" s="20" t="str">
        <f t="shared" ref="A22:C22" si="0">A5</f>
        <v>Electricity from Photovoltaics (PV)</v>
      </c>
      <c r="B22" s="20" t="str">
        <f t="shared" si="0"/>
        <v>Electrolysis</v>
      </c>
      <c r="C22" s="20" t="str">
        <f t="shared" si="0"/>
        <v>H2</v>
      </c>
      <c r="D22" s="27">
        <f t="shared" ref="D22:E22" si="1">((D5)*100/8760)</f>
        <v>3.9449921207985446</v>
      </c>
      <c r="E22" s="27">
        <f t="shared" si="1"/>
        <v>12.376445869171906</v>
      </c>
      <c r="F22" s="20"/>
      <c r="G22" s="20"/>
      <c r="H22" s="20"/>
      <c r="I22" s="20"/>
    </row>
    <row r="23" spans="1:9" x14ac:dyDescent="0.25">
      <c r="A23" s="20" t="str">
        <f t="shared" ref="A23:C23" si="2">A6</f>
        <v>Electricity from Wind Power</v>
      </c>
      <c r="B23" s="20" t="str">
        <f t="shared" si="2"/>
        <v>Electrolysis</v>
      </c>
      <c r="C23" s="20" t="str">
        <f t="shared" si="2"/>
        <v>H2</v>
      </c>
      <c r="D23" s="27">
        <f t="shared" ref="D23:E23" si="3">((D6)*100/8760)</f>
        <v>72.982712215186126</v>
      </c>
      <c r="E23" s="27">
        <f t="shared" si="3"/>
        <v>114.48268582774294</v>
      </c>
      <c r="F23" s="20"/>
      <c r="G23" s="20"/>
      <c r="H23" s="20"/>
      <c r="I23" s="20"/>
    </row>
    <row r="24" spans="1:9" x14ac:dyDescent="0.25">
      <c r="A24" s="20" t="str">
        <f t="shared" ref="A24:C24" si="4">A7</f>
        <v>Sugar Cane -Traditional*</v>
      </c>
      <c r="B24" s="20" t="str">
        <f t="shared" si="4"/>
        <v>Fermentation</v>
      </c>
      <c r="C24" s="20" t="str">
        <f t="shared" si="4"/>
        <v>Ethanol</v>
      </c>
      <c r="D24" s="27">
        <f t="shared" ref="D24:E24" si="5">((D7)*100/8760)</f>
        <v>0.36852282712924356</v>
      </c>
      <c r="E24" s="27">
        <f t="shared" si="5"/>
        <v>0.40628413281575343</v>
      </c>
      <c r="F24" s="20"/>
      <c r="G24" s="20"/>
      <c r="H24" s="20"/>
      <c r="I24" s="20"/>
    </row>
    <row r="25" spans="1:9" x14ac:dyDescent="0.25">
      <c r="A25" s="26" t="str">
        <f t="shared" ref="A25" si="6">A8</f>
        <v>Technologies under development</v>
      </c>
      <c r="B25" s="20"/>
      <c r="C25" s="20"/>
      <c r="D25" s="21"/>
      <c r="E25" s="21"/>
      <c r="F25" s="20"/>
      <c r="G25" s="20"/>
      <c r="H25" s="20"/>
      <c r="I25" s="20"/>
    </row>
    <row r="26" spans="1:9" x14ac:dyDescent="0.25">
      <c r="A26" s="20" t="str">
        <f>A9</f>
        <v>Algae</v>
      </c>
      <c r="B26" s="20" t="str">
        <f t="shared" ref="B26:C26" si="7">B9</f>
        <v>Transesterification</v>
      </c>
      <c r="C26" s="20" t="str">
        <f t="shared" si="7"/>
        <v>Biodiesel</v>
      </c>
      <c r="D26" s="28">
        <f t="shared" ref="D26:E33" si="8">((D9)*100/8760)</f>
        <v>1.4816627052300841</v>
      </c>
      <c r="E26" s="28">
        <f t="shared" si="8"/>
        <v>1.4816627052300841</v>
      </c>
      <c r="F26" s="20"/>
      <c r="G26" s="20"/>
      <c r="H26" s="20"/>
      <c r="I26" s="20"/>
    </row>
    <row r="27" spans="1:9" x14ac:dyDescent="0.25">
      <c r="A27" s="20" t="str">
        <f t="shared" ref="A27:C27" si="9">A10</f>
        <v>Eucalyptus</v>
      </c>
      <c r="B27" s="20" t="str">
        <f t="shared" si="9"/>
        <v>Gasification and Methanol Synthesis</v>
      </c>
      <c r="C27" s="20" t="str">
        <f t="shared" si="9"/>
        <v>Methanol</v>
      </c>
      <c r="D27" s="28">
        <f t="shared" si="8"/>
        <v>1.019177796821918</v>
      </c>
      <c r="E27" s="28">
        <f t="shared" si="8"/>
        <v>1.1324197742465756</v>
      </c>
      <c r="F27" s="20"/>
      <c r="G27" s="20"/>
      <c r="H27" s="20"/>
      <c r="I27" s="20"/>
    </row>
    <row r="28" spans="1:9" x14ac:dyDescent="0.25">
      <c r="A28" s="20" t="s">
        <v>129</v>
      </c>
      <c r="B28" s="20" t="s">
        <v>212</v>
      </c>
      <c r="C28" s="20" t="s">
        <v>53</v>
      </c>
      <c r="D28" s="28">
        <f t="shared" si="8"/>
        <v>1.2645354145753427</v>
      </c>
      <c r="E28" s="28">
        <f t="shared" si="8"/>
        <v>1.3966510549041096</v>
      </c>
      <c r="F28" s="20"/>
      <c r="G28" s="20"/>
      <c r="H28" s="20"/>
      <c r="I28" s="20"/>
    </row>
    <row r="29" spans="1:9" x14ac:dyDescent="0.25">
      <c r="A29" s="20" t="str">
        <f t="shared" ref="A29:C29" si="10">A12</f>
        <v>Electricity from Photovoltaics and CO2 from Air Capture</v>
      </c>
      <c r="B29" s="20" t="str">
        <f t="shared" si="10"/>
        <v>Electrolysis and Methanation</v>
      </c>
      <c r="C29" s="20" t="str">
        <f t="shared" si="10"/>
        <v>Methane</v>
      </c>
      <c r="D29" s="28">
        <f t="shared" si="8"/>
        <v>2.9997720523972862</v>
      </c>
      <c r="E29" s="28">
        <f t="shared" si="8"/>
        <v>8.9405464727558801</v>
      </c>
      <c r="F29" s="20"/>
      <c r="G29" s="20"/>
      <c r="H29" s="20"/>
      <c r="I29" s="20"/>
    </row>
    <row r="30" spans="1:9" x14ac:dyDescent="0.25">
      <c r="A30" s="20" t="str">
        <f t="shared" ref="A30:C30" si="11">A13</f>
        <v>Electricity from Photovoltaics and CO2 from Air Capture</v>
      </c>
      <c r="B30" s="20" t="str">
        <f t="shared" si="11"/>
        <v>Electrolysis and Methanol Synthesis</v>
      </c>
      <c r="C30" s="20" t="str">
        <f t="shared" si="11"/>
        <v>Methanol</v>
      </c>
      <c r="D30" s="28">
        <f t="shared" si="8"/>
        <v>2.957964888344117</v>
      </c>
      <c r="E30" s="28">
        <f t="shared" si="8"/>
        <v>8.6834733292641442</v>
      </c>
      <c r="F30" s="20"/>
      <c r="G30" s="20"/>
      <c r="H30" s="20"/>
      <c r="I30" s="20"/>
    </row>
    <row r="31" spans="1:9" x14ac:dyDescent="0.25">
      <c r="A31" s="20" t="str">
        <f t="shared" ref="A31:C31" si="12">A14</f>
        <v>Electricity from Wind Power and CO2 from Air Capture</v>
      </c>
      <c r="B31" s="20" t="str">
        <f t="shared" si="12"/>
        <v>Electrolysis and Methanation</v>
      </c>
      <c r="C31" s="20" t="str">
        <f t="shared" si="12"/>
        <v>Methane</v>
      </c>
      <c r="D31" s="21">
        <f t="shared" si="8"/>
        <v>54.722618848968793</v>
      </c>
      <c r="E31" s="21">
        <f t="shared" si="8"/>
        <v>82.700460518988265</v>
      </c>
      <c r="F31" s="24"/>
      <c r="G31" s="20"/>
      <c r="H31" s="20"/>
      <c r="I31" s="20"/>
    </row>
    <row r="32" spans="1:9" x14ac:dyDescent="0.25">
      <c r="A32" s="20" t="str">
        <f t="shared" ref="A32:C32" si="13">A15</f>
        <v>Electricity from Wind Power and CO2 from Air Capture</v>
      </c>
      <c r="B32" s="20" t="str">
        <f t="shared" si="13"/>
        <v>Electrolysis and Methanol Synthesis</v>
      </c>
      <c r="C32" s="20" t="str">
        <f t="shared" si="13"/>
        <v>Methanol</v>
      </c>
      <c r="D32" s="21">
        <f t="shared" si="8"/>
        <v>54.722618848968793</v>
      </c>
      <c r="E32" s="21">
        <f t="shared" si="8"/>
        <v>80.3225222778958</v>
      </c>
      <c r="F32" s="20"/>
      <c r="G32" s="20"/>
      <c r="H32" s="20"/>
      <c r="I32" s="20"/>
    </row>
    <row r="33" spans="1:9" x14ac:dyDescent="0.25">
      <c r="A33" s="20" t="str">
        <f t="shared" ref="A33:C33" si="14">A16</f>
        <v>Sugar Cane - 2nd Generation</v>
      </c>
      <c r="B33" s="20" t="str">
        <f t="shared" si="14"/>
        <v>Hydrolysis of Bagasse and Fermentation</v>
      </c>
      <c r="C33" s="20" t="str">
        <f t="shared" si="14"/>
        <v>Ethanol</v>
      </c>
      <c r="D33" s="27">
        <f t="shared" si="8"/>
        <v>0.83713827397260276</v>
      </c>
      <c r="E33" s="27">
        <f t="shared" si="8"/>
        <v>0.83713827397260276</v>
      </c>
      <c r="F33" s="21"/>
      <c r="G33" s="20"/>
      <c r="H33" s="20"/>
      <c r="I33" s="20"/>
    </row>
    <row r="34" spans="1:9" x14ac:dyDescent="0.25">
      <c r="A34" s="20"/>
      <c r="B34" s="20"/>
      <c r="C34" s="20"/>
      <c r="D34" s="20"/>
      <c r="E34" s="20"/>
      <c r="F34" s="21"/>
      <c r="G34" s="20"/>
      <c r="H34" s="20"/>
      <c r="I34" s="20"/>
    </row>
    <row r="35" spans="1:9" x14ac:dyDescent="0.25">
      <c r="A35" s="20"/>
      <c r="B35" s="20"/>
      <c r="C35" s="20"/>
      <c r="D35" s="20"/>
      <c r="E35" s="20"/>
      <c r="F35" s="20"/>
      <c r="G35" s="20"/>
      <c r="H35" s="20"/>
      <c r="I35" s="20"/>
    </row>
    <row r="36" spans="1:9" ht="31.5" x14ac:dyDescent="0.5">
      <c r="A36" s="25" t="s">
        <v>194</v>
      </c>
      <c r="B36" s="20"/>
      <c r="C36" s="20"/>
      <c r="D36" s="20"/>
      <c r="E36" s="21"/>
      <c r="F36" s="21"/>
      <c r="G36" s="20"/>
      <c r="H36" s="20"/>
      <c r="I36" s="20"/>
    </row>
    <row r="37" spans="1:9" x14ac:dyDescent="0.25">
      <c r="A37" s="24" t="s">
        <v>24</v>
      </c>
      <c r="B37" s="24" t="s">
        <v>161</v>
      </c>
      <c r="C37" s="24" t="s">
        <v>58</v>
      </c>
      <c r="D37" s="29" t="s">
        <v>206</v>
      </c>
      <c r="E37" s="29" t="s">
        <v>207</v>
      </c>
      <c r="F37" s="29" t="s">
        <v>208</v>
      </c>
      <c r="G37" s="29" t="s">
        <v>209</v>
      </c>
      <c r="H37" s="20"/>
      <c r="I37" s="20"/>
    </row>
    <row r="38" spans="1:9" x14ac:dyDescent="0.25">
      <c r="A38" s="26" t="str">
        <f t="shared" ref="A38:A44" si="15">A20</f>
        <v xml:space="preserve">Commercially available technologies </v>
      </c>
      <c r="B38" s="26"/>
      <c r="C38" s="26"/>
      <c r="D38" s="30"/>
      <c r="E38" s="29"/>
      <c r="F38" s="21"/>
      <c r="G38" s="20"/>
      <c r="H38" s="20"/>
      <c r="I38" s="20"/>
    </row>
    <row r="39" spans="1:9" x14ac:dyDescent="0.25">
      <c r="A39" s="23" t="str">
        <f t="shared" si="15"/>
        <v>Oil Palm</v>
      </c>
      <c r="B39" s="23" t="str">
        <f t="shared" ref="B39:C39" si="16">B21</f>
        <v>Transesterification</v>
      </c>
      <c r="C39" s="23" t="str">
        <f t="shared" si="16"/>
        <v>Biodiesel</v>
      </c>
      <c r="D39" s="21">
        <v>0</v>
      </c>
      <c r="E39" s="31">
        <v>0</v>
      </c>
      <c r="F39" s="28">
        <f t="shared" ref="F39:F42" si="17">1/(1/D21+E39)</f>
        <v>0.70367560205753421</v>
      </c>
      <c r="G39" s="28">
        <f>1/(1/E21+E39)</f>
        <v>0.75439096076438372</v>
      </c>
      <c r="H39" s="20"/>
      <c r="I39" s="20"/>
    </row>
    <row r="40" spans="1:9" x14ac:dyDescent="0.25">
      <c r="A40" s="23" t="str">
        <f t="shared" si="15"/>
        <v>Electricity from Photovoltaics (PV)</v>
      </c>
      <c r="B40" s="23" t="str">
        <f t="shared" ref="B40:C42" si="18">B22</f>
        <v>Electrolysis</v>
      </c>
      <c r="C40" s="23" t="str">
        <f t="shared" si="18"/>
        <v>H2</v>
      </c>
      <c r="D40" s="20">
        <v>0</v>
      </c>
      <c r="E40" s="31">
        <v>0</v>
      </c>
      <c r="F40" s="28">
        <f t="shared" si="17"/>
        <v>3.9449921207985446</v>
      </c>
      <c r="G40" s="28">
        <f>1/(1/E22+E40)</f>
        <v>12.376445869171906</v>
      </c>
      <c r="H40" s="20"/>
      <c r="I40" s="20"/>
    </row>
    <row r="41" spans="1:9" x14ac:dyDescent="0.25">
      <c r="A41" s="23" t="str">
        <f t="shared" si="15"/>
        <v>Electricity from Wind Power</v>
      </c>
      <c r="B41" s="23" t="str">
        <f t="shared" si="18"/>
        <v>Electrolysis</v>
      </c>
      <c r="C41" s="23" t="str">
        <f t="shared" si="18"/>
        <v>H2</v>
      </c>
      <c r="D41" s="21">
        <v>0</v>
      </c>
      <c r="E41" s="31">
        <v>0</v>
      </c>
      <c r="F41" s="28">
        <f t="shared" si="17"/>
        <v>72.982712215186126</v>
      </c>
      <c r="G41" s="28">
        <f>1/(1/E23+E41)</f>
        <v>114.48268582774294</v>
      </c>
      <c r="H41" s="20"/>
      <c r="I41" s="20"/>
    </row>
    <row r="42" spans="1:9" x14ac:dyDescent="0.25">
      <c r="A42" s="23" t="str">
        <f t="shared" si="15"/>
        <v>Sugar Cane -Traditional*</v>
      </c>
      <c r="B42" s="23" t="str">
        <f t="shared" si="18"/>
        <v>Fermentation</v>
      </c>
      <c r="C42" s="23" t="str">
        <f t="shared" si="18"/>
        <v>Ethanol</v>
      </c>
      <c r="D42" s="21">
        <v>0</v>
      </c>
      <c r="E42" s="31">
        <v>0</v>
      </c>
      <c r="F42" s="28">
        <f t="shared" si="17"/>
        <v>0.36852282712924356</v>
      </c>
      <c r="G42" s="28">
        <f>1/(1/E24+E42)</f>
        <v>0.40628413281575343</v>
      </c>
      <c r="H42" s="20"/>
      <c r="I42" s="20"/>
    </row>
    <row r="43" spans="1:9" x14ac:dyDescent="0.25">
      <c r="A43" s="26" t="str">
        <f t="shared" si="15"/>
        <v>Technologies under development</v>
      </c>
      <c r="B43" s="26"/>
      <c r="C43" s="26"/>
      <c r="D43" s="21"/>
      <c r="E43" s="31"/>
      <c r="F43" s="28"/>
      <c r="G43" s="28"/>
      <c r="H43" s="20"/>
      <c r="I43" s="20"/>
    </row>
    <row r="44" spans="1:9" x14ac:dyDescent="0.25">
      <c r="A44" s="23" t="str">
        <f t="shared" si="15"/>
        <v>Algae</v>
      </c>
      <c r="B44" s="23" t="str">
        <f>B26</f>
        <v>Transesterification</v>
      </c>
      <c r="C44" s="23" t="str">
        <f>C26</f>
        <v>Biodiesel</v>
      </c>
      <c r="D44" s="21">
        <v>0</v>
      </c>
      <c r="E44" s="32">
        <v>0</v>
      </c>
      <c r="F44" s="28">
        <f t="shared" ref="F44" si="19">1/(1/D26+E44)</f>
        <v>1.4816627052300841</v>
      </c>
      <c r="G44" s="28">
        <f t="shared" ref="G44:G51" si="20">1/(1/E26+E44)</f>
        <v>1.4816627052300841</v>
      </c>
      <c r="H44" s="20"/>
      <c r="I44" s="20"/>
    </row>
    <row r="45" spans="1:9" x14ac:dyDescent="0.25">
      <c r="A45" s="20" t="s">
        <v>129</v>
      </c>
      <c r="B45" s="20" t="s">
        <v>212</v>
      </c>
      <c r="C45" s="20" t="s">
        <v>53</v>
      </c>
      <c r="D45" s="21">
        <v>0</v>
      </c>
      <c r="E45" s="32">
        <v>0</v>
      </c>
      <c r="F45" s="28">
        <f>1/(1/D28+E45)</f>
        <v>1.2645354145753427</v>
      </c>
      <c r="G45" s="28">
        <f>1/(1/E28+E45)</f>
        <v>1.3966510549041096</v>
      </c>
      <c r="H45" s="20"/>
      <c r="I45" s="20"/>
    </row>
    <row r="46" spans="1:9" x14ac:dyDescent="0.25">
      <c r="A46" s="23" t="str">
        <f>A27</f>
        <v>Eucalyptus</v>
      </c>
      <c r="B46" s="23" t="str">
        <f>B27</f>
        <v>Gasification and Methanol Synthesis</v>
      </c>
      <c r="C46" s="23" t="str">
        <f>C27</f>
        <v>Methanol</v>
      </c>
      <c r="D46" s="21">
        <v>0</v>
      </c>
      <c r="E46" s="32">
        <v>0</v>
      </c>
      <c r="F46" s="28">
        <f>1/(1/D27+E46)</f>
        <v>1.019177796821918</v>
      </c>
      <c r="G46" s="28">
        <f>1/(1/E27+E46)</f>
        <v>1.1324197742465756</v>
      </c>
      <c r="H46" s="20"/>
      <c r="I46" s="20"/>
    </row>
    <row r="47" spans="1:9" x14ac:dyDescent="0.25">
      <c r="A47" s="23" t="str">
        <f t="shared" ref="A47:B51" si="21">A29</f>
        <v>Electricity from Photovoltaics and CO2 from Air Capture</v>
      </c>
      <c r="B47" s="23" t="str">
        <f t="shared" si="21"/>
        <v>Electrolysis and Methanation</v>
      </c>
      <c r="C47" s="23" t="str">
        <f t="shared" ref="C47:C51" si="22">C29</f>
        <v>Methane</v>
      </c>
      <c r="D47" s="33">
        <f>'CO2-Capture'!B30</f>
        <v>2.6017200000000001E-3</v>
      </c>
      <c r="E47" s="34">
        <f>'CO2-Capture'!B28</f>
        <v>3.5478000000000002E-4</v>
      </c>
      <c r="F47" s="28">
        <f>1/(1/D29+E47)</f>
        <v>2.9965829116784777</v>
      </c>
      <c r="G47" s="28">
        <f t="shared" si="20"/>
        <v>8.9122773788148972</v>
      </c>
      <c r="H47" s="20"/>
      <c r="I47" s="20"/>
    </row>
    <row r="48" spans="1:9" x14ac:dyDescent="0.25">
      <c r="A48" s="23" t="str">
        <f t="shared" si="21"/>
        <v>Electricity from Photovoltaics and CO2 from Air Capture</v>
      </c>
      <c r="B48" s="23" t="str">
        <f t="shared" si="21"/>
        <v>Electrolysis and Methanol Synthesis</v>
      </c>
      <c r="C48" s="23" t="str">
        <f t="shared" si="22"/>
        <v>Methanol</v>
      </c>
      <c r="D48" s="33">
        <f>'CO2-Capture'!B31</f>
        <v>3.2979777777777828E-3</v>
      </c>
      <c r="E48" s="34">
        <f>'CO2-Capture'!B29</f>
        <v>4.4972424242424309E-4</v>
      </c>
      <c r="F48" s="28">
        <f t="shared" ref="F48:F51" si="23">1/(1/D30+E48)</f>
        <v>2.9540352282773168</v>
      </c>
      <c r="G48" s="28">
        <f t="shared" si="20"/>
        <v>8.6496948138485639</v>
      </c>
      <c r="H48" s="20"/>
      <c r="I48" s="20"/>
    </row>
    <row r="49" spans="1:9" x14ac:dyDescent="0.25">
      <c r="A49" s="23" t="str">
        <f t="shared" si="21"/>
        <v>Electricity from Wind Power and CO2 from Air Capture</v>
      </c>
      <c r="B49" s="23" t="str">
        <f t="shared" si="21"/>
        <v>Electrolysis and Methanation</v>
      </c>
      <c r="C49" s="23" t="str">
        <f t="shared" si="22"/>
        <v>Methane</v>
      </c>
      <c r="D49" s="33">
        <f>'CO2-Capture'!B30</f>
        <v>2.6017200000000001E-3</v>
      </c>
      <c r="E49" s="34">
        <f>'CO2-Capture'!B28</f>
        <v>3.5478000000000002E-4</v>
      </c>
      <c r="F49" s="28">
        <f t="shared" si="23"/>
        <v>53.680440436524059</v>
      </c>
      <c r="G49" s="28">
        <f t="shared" si="20"/>
        <v>80.343154649856402</v>
      </c>
      <c r="H49" s="20"/>
      <c r="I49" s="20"/>
    </row>
    <row r="50" spans="1:9" x14ac:dyDescent="0.25">
      <c r="A50" s="23" t="str">
        <f t="shared" si="21"/>
        <v>Electricity from Wind Power and CO2 from Air Capture</v>
      </c>
      <c r="B50" s="23" t="str">
        <f t="shared" si="21"/>
        <v>Electrolysis and Methanol Synthesis</v>
      </c>
      <c r="C50" s="23" t="str">
        <f t="shared" si="22"/>
        <v>Methanol</v>
      </c>
      <c r="D50" s="33">
        <f>'CO2-Capture'!B31</f>
        <v>3.2979777777777828E-3</v>
      </c>
      <c r="E50" s="34">
        <f>'CO2-Capture'!B29</f>
        <v>4.4972424242424309E-4</v>
      </c>
      <c r="F50" s="28">
        <f t="shared" si="23"/>
        <v>53.408237410075181</v>
      </c>
      <c r="G50" s="28">
        <f t="shared" si="20"/>
        <v>77.522189357284859</v>
      </c>
      <c r="H50" s="20"/>
      <c r="I50" s="20"/>
    </row>
    <row r="51" spans="1:9" x14ac:dyDescent="0.25">
      <c r="A51" s="23" t="str">
        <f t="shared" si="21"/>
        <v>Sugar Cane - 2nd Generation</v>
      </c>
      <c r="B51" s="23" t="str">
        <f t="shared" si="21"/>
        <v>Hydrolysis of Bagasse and Fermentation</v>
      </c>
      <c r="C51" s="23" t="str">
        <f t="shared" si="22"/>
        <v>Ethanol</v>
      </c>
      <c r="D51" s="20">
        <v>0</v>
      </c>
      <c r="E51" s="32">
        <v>0</v>
      </c>
      <c r="F51" s="28">
        <f t="shared" si="23"/>
        <v>0.83713827397260288</v>
      </c>
      <c r="G51" s="28">
        <f t="shared" si="20"/>
        <v>0.83713827397260288</v>
      </c>
      <c r="H51" s="20"/>
      <c r="I51" s="20"/>
    </row>
    <row r="53" spans="1:9" ht="31.5" x14ac:dyDescent="0.5">
      <c r="A53" s="4" t="s">
        <v>223</v>
      </c>
      <c r="E53" s="3"/>
      <c r="F53" s="2" t="s">
        <v>227</v>
      </c>
    </row>
    <row r="54" spans="1:9" x14ac:dyDescent="0.25">
      <c r="A54" t="str">
        <f>A37</f>
        <v>Primary Resource</v>
      </c>
      <c r="B54" t="str">
        <f t="shared" ref="B54:C54" si="24">B37</f>
        <v>Process</v>
      </c>
      <c r="C54" t="str">
        <f t="shared" si="24"/>
        <v>Product</v>
      </c>
      <c r="D54" s="19" t="s">
        <v>224</v>
      </c>
      <c r="E54" s="19" t="s">
        <v>225</v>
      </c>
      <c r="F54" s="19" t="s">
        <v>224</v>
      </c>
      <c r="G54" s="19" t="s">
        <v>225</v>
      </c>
    </row>
    <row r="55" spans="1:9" x14ac:dyDescent="0.25">
      <c r="A55" t="str">
        <f t="shared" ref="A55:C61" si="25">A38</f>
        <v xml:space="preserve">Commercially available technologies </v>
      </c>
    </row>
    <row r="56" spans="1:9" x14ac:dyDescent="0.25">
      <c r="A56" t="str">
        <f t="shared" si="25"/>
        <v>Oil Palm</v>
      </c>
      <c r="B56" t="str">
        <f t="shared" si="25"/>
        <v>Transesterification</v>
      </c>
      <c r="C56" t="str">
        <f t="shared" si="25"/>
        <v>Biodiesel</v>
      </c>
      <c r="D56" s="3">
        <f>ROUND(F39*8.76,2-1+INT(LOG10(ABS(F39))))</f>
        <v>6</v>
      </c>
      <c r="E56" s="3">
        <f>ROUND(G39*8.76,2-1+INT(LOG10(ABS(G39))))</f>
        <v>7</v>
      </c>
      <c r="F56" s="3" t="str">
        <f t="shared" ref="F56:G59" si="26">TEXT(TEXT(D56,"."&amp;REPT("0",sigfigs)&amp;"E+000"),"0"&amp;REPT(".",(sigfigs-(1+INT(LOG10(ABS(1*TEXT(D56,"."&amp;REPT("0",sigfigs)&amp;"E+000"))))))&gt;0)&amp; REPT("0",(sigfigs-(1+INT(LOG10(ABS(1*TEXT(D56,"."&amp;REPT("0",sigfigs)&amp;"E+000"))))))*((sigfigs-(1+INT(LOG10(ABS(D56)))))&gt;0)))</f>
        <v>6.0</v>
      </c>
      <c r="G56" s="3" t="str">
        <f t="shared" si="26"/>
        <v>7.0</v>
      </c>
    </row>
    <row r="57" spans="1:9" x14ac:dyDescent="0.25">
      <c r="A57" t="str">
        <f t="shared" si="25"/>
        <v>Electricity from Photovoltaics (PV)</v>
      </c>
      <c r="B57" t="str">
        <f t="shared" si="25"/>
        <v>Electrolysis</v>
      </c>
      <c r="C57" t="str">
        <f t="shared" si="25"/>
        <v>H2</v>
      </c>
      <c r="D57" s="3">
        <f>ROUND(F40*8.76,2-1+INT(LOG10(ABS(F40))))</f>
        <v>34.6</v>
      </c>
      <c r="E57" s="3">
        <f t="shared" ref="E57" si="27">ROUND(G40*8.76,2-1+INT(LOG10(ABS(G40))))</f>
        <v>108.42</v>
      </c>
      <c r="F57" s="3" t="str">
        <f t="shared" si="26"/>
        <v>35</v>
      </c>
      <c r="G57" s="3" t="str">
        <f t="shared" si="26"/>
        <v>110</v>
      </c>
    </row>
    <row r="58" spans="1:9" x14ac:dyDescent="0.25">
      <c r="A58" t="str">
        <f t="shared" si="25"/>
        <v>Electricity from Wind Power</v>
      </c>
      <c r="B58" t="str">
        <f t="shared" si="25"/>
        <v>Electrolysis</v>
      </c>
      <c r="C58" t="str">
        <f t="shared" si="25"/>
        <v>H2</v>
      </c>
      <c r="D58" s="3">
        <f t="shared" ref="D58:E59" si="28">ROUND(F41*8.76,2-1+INT(LOG10(ABS(F41))))</f>
        <v>639.33000000000004</v>
      </c>
      <c r="E58" s="3">
        <f t="shared" si="28"/>
        <v>1002.8680000000001</v>
      </c>
      <c r="F58" s="3" t="str">
        <f t="shared" si="26"/>
        <v>640</v>
      </c>
      <c r="G58" s="3" t="str">
        <f t="shared" si="26"/>
        <v>1000</v>
      </c>
    </row>
    <row r="59" spans="1:9" x14ac:dyDescent="0.25">
      <c r="A59" t="str">
        <f t="shared" si="25"/>
        <v>Sugar Cane -Traditional*</v>
      </c>
      <c r="B59" t="str">
        <f t="shared" si="25"/>
        <v>Fermentation</v>
      </c>
      <c r="C59" t="str">
        <f t="shared" si="25"/>
        <v>Ethanol</v>
      </c>
      <c r="D59" s="3">
        <f t="shared" si="28"/>
        <v>3</v>
      </c>
      <c r="E59" s="3">
        <f t="shared" si="28"/>
        <v>4</v>
      </c>
      <c r="F59" s="3" t="str">
        <f t="shared" si="26"/>
        <v>3.0</v>
      </c>
      <c r="G59" s="3" t="str">
        <f t="shared" si="26"/>
        <v>4.0</v>
      </c>
    </row>
    <row r="60" spans="1:9" x14ac:dyDescent="0.25">
      <c r="A60" t="str">
        <f t="shared" si="25"/>
        <v>Technologies under development</v>
      </c>
      <c r="D60" s="3"/>
      <c r="E60" s="3"/>
      <c r="F60" s="3"/>
      <c r="G60" s="3"/>
    </row>
    <row r="61" spans="1:9" x14ac:dyDescent="0.25">
      <c r="A61" t="str">
        <f t="shared" si="25"/>
        <v>Algae</v>
      </c>
      <c r="B61" t="str">
        <f t="shared" si="25"/>
        <v>Transesterification</v>
      </c>
      <c r="C61" t="str">
        <f t="shared" si="25"/>
        <v>Biodiesel</v>
      </c>
      <c r="D61" s="3">
        <f t="shared" ref="D61:E61" si="29">ROUND(F44*8.76,2-1+INT(LOG10(ABS(F44))))</f>
        <v>13</v>
      </c>
      <c r="E61" s="3">
        <f t="shared" si="29"/>
        <v>13</v>
      </c>
      <c r="F61" s="3" t="str">
        <f t="shared" ref="F61:G68" si="30">TEXT(TEXT(D61,"."&amp;REPT("0",sigfigs)&amp;"E+000"),"0"&amp;REPT(".",(sigfigs-(1+INT(LOG10(ABS(1*TEXT(D61,"."&amp;REPT("0",sigfigs)&amp;"E+000"))))))&gt;0)&amp; REPT("0",(sigfigs-(1+INT(LOG10(ABS(1*TEXT(D61,"."&amp;REPT("0",sigfigs)&amp;"E+000"))))))*((sigfigs-(1+INT(LOG10(ABS(D61)))))&gt;0)))</f>
        <v>13</v>
      </c>
      <c r="G61" s="3" t="str">
        <f t="shared" si="30"/>
        <v>13</v>
      </c>
    </row>
    <row r="62" spans="1:9" x14ac:dyDescent="0.25">
      <c r="A62" t="str">
        <f t="shared" ref="A62:C62" si="31">A45</f>
        <v>Eucalyptus</v>
      </c>
      <c r="B62" t="str">
        <f t="shared" si="31"/>
        <v>Gasification and Methane Synthesis</v>
      </c>
      <c r="C62" t="str">
        <f t="shared" si="31"/>
        <v>Methane</v>
      </c>
      <c r="D62" s="3">
        <f t="shared" ref="D62:D68" si="32">ROUND(F45*8.76,2-1+INT(LOG10(ABS(F45))))</f>
        <v>11.1</v>
      </c>
      <c r="E62" s="3">
        <f t="shared" ref="E62:E68" si="33">ROUND(G45*8.76,2-1+INT(LOG10(ABS(G45))))</f>
        <v>12.2</v>
      </c>
      <c r="F62" s="3" t="str">
        <f t="shared" si="30"/>
        <v>11</v>
      </c>
      <c r="G62" s="3" t="str">
        <f t="shared" si="30"/>
        <v>12</v>
      </c>
    </row>
    <row r="63" spans="1:9" x14ac:dyDescent="0.25">
      <c r="A63" t="str">
        <f t="shared" ref="A63:C63" si="34">A46</f>
        <v>Eucalyptus</v>
      </c>
      <c r="B63" t="str">
        <f t="shared" si="34"/>
        <v>Gasification and Methanol Synthesis</v>
      </c>
      <c r="C63" t="str">
        <f t="shared" si="34"/>
        <v>Methanol</v>
      </c>
      <c r="D63" s="3">
        <f t="shared" si="32"/>
        <v>8.9</v>
      </c>
      <c r="E63" s="3">
        <f t="shared" si="33"/>
        <v>9.9</v>
      </c>
      <c r="F63" s="3" t="str">
        <f t="shared" si="30"/>
        <v>8.9</v>
      </c>
      <c r="G63" s="3" t="str">
        <f t="shared" si="30"/>
        <v>9.9</v>
      </c>
    </row>
    <row r="64" spans="1:9" x14ac:dyDescent="0.25">
      <c r="A64" t="str">
        <f t="shared" ref="A64:C64" si="35">A47</f>
        <v>Electricity from Photovoltaics and CO2 from Air Capture</v>
      </c>
      <c r="B64" t="str">
        <f t="shared" si="35"/>
        <v>Electrolysis and Methanation</v>
      </c>
      <c r="C64" t="str">
        <f t="shared" si="35"/>
        <v>Methane</v>
      </c>
      <c r="D64" s="3">
        <f t="shared" si="32"/>
        <v>26.3</v>
      </c>
      <c r="E64" s="3">
        <f t="shared" si="33"/>
        <v>78.099999999999994</v>
      </c>
      <c r="F64" s="3" t="str">
        <f t="shared" si="30"/>
        <v>26</v>
      </c>
      <c r="G64" s="3" t="str">
        <f t="shared" si="30"/>
        <v>78</v>
      </c>
    </row>
    <row r="65" spans="1:7" x14ac:dyDescent="0.25">
      <c r="A65" t="str">
        <f t="shared" ref="A65:C65" si="36">A48</f>
        <v>Electricity from Photovoltaics and CO2 from Air Capture</v>
      </c>
      <c r="B65" t="str">
        <f t="shared" si="36"/>
        <v>Electrolysis and Methanol Synthesis</v>
      </c>
      <c r="C65" t="str">
        <f t="shared" si="36"/>
        <v>Methanol</v>
      </c>
      <c r="D65" s="3">
        <f t="shared" si="32"/>
        <v>25.9</v>
      </c>
      <c r="E65" s="3">
        <f t="shared" si="33"/>
        <v>75.8</v>
      </c>
      <c r="F65" s="3" t="str">
        <f t="shared" si="30"/>
        <v>26</v>
      </c>
      <c r="G65" s="3" t="str">
        <f t="shared" si="30"/>
        <v>76</v>
      </c>
    </row>
    <row r="66" spans="1:7" x14ac:dyDescent="0.25">
      <c r="A66" t="str">
        <f t="shared" ref="A66:C66" si="37">A49</f>
        <v>Electricity from Wind Power and CO2 from Air Capture</v>
      </c>
      <c r="B66" t="str">
        <f t="shared" si="37"/>
        <v>Electrolysis and Methanation</v>
      </c>
      <c r="C66" t="str">
        <f t="shared" si="37"/>
        <v>Methane</v>
      </c>
      <c r="D66" s="3">
        <f t="shared" si="32"/>
        <v>470.24</v>
      </c>
      <c r="E66" s="3">
        <f t="shared" si="33"/>
        <v>703.81</v>
      </c>
      <c r="F66" s="3" t="str">
        <f t="shared" si="30"/>
        <v>470</v>
      </c>
      <c r="G66" s="3" t="str">
        <f t="shared" si="30"/>
        <v>700</v>
      </c>
    </row>
    <row r="67" spans="1:7" x14ac:dyDescent="0.25">
      <c r="A67" t="str">
        <f t="shared" ref="A67:C67" si="38">A50</f>
        <v>Electricity from Wind Power and CO2 from Air Capture</v>
      </c>
      <c r="B67" t="str">
        <f t="shared" si="38"/>
        <v>Electrolysis and Methanol Synthesis</v>
      </c>
      <c r="C67" t="str">
        <f t="shared" si="38"/>
        <v>Methanol</v>
      </c>
      <c r="D67" s="3">
        <f t="shared" si="32"/>
        <v>467.86</v>
      </c>
      <c r="E67" s="3">
        <f t="shared" si="33"/>
        <v>679.09</v>
      </c>
      <c r="F67" s="3" t="str">
        <f t="shared" si="30"/>
        <v>470</v>
      </c>
      <c r="G67" s="3" t="str">
        <f t="shared" si="30"/>
        <v>680</v>
      </c>
    </row>
    <row r="68" spans="1:7" x14ac:dyDescent="0.25">
      <c r="A68" t="str">
        <f t="shared" ref="A68:C68" si="39">A51</f>
        <v>Sugar Cane - 2nd Generation</v>
      </c>
      <c r="B68" t="str">
        <f t="shared" si="39"/>
        <v>Hydrolysis of Bagasse and Fermentation</v>
      </c>
      <c r="C68" t="str">
        <f t="shared" si="39"/>
        <v>Ethanol</v>
      </c>
      <c r="D68" s="3">
        <f t="shared" si="32"/>
        <v>7</v>
      </c>
      <c r="E68" s="3">
        <f t="shared" si="33"/>
        <v>7</v>
      </c>
      <c r="F68" s="3" t="str">
        <f t="shared" si="30"/>
        <v>7.0</v>
      </c>
      <c r="G68" s="3" t="str">
        <f t="shared" si="30"/>
        <v>7.0</v>
      </c>
    </row>
    <row r="70" spans="1:7" x14ac:dyDescent="0.25">
      <c r="A70" t="s">
        <v>226</v>
      </c>
      <c r="B70">
        <v>2</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Start</vt:lpstr>
      <vt:lpstr>Miller Paper - Data</vt:lpstr>
      <vt:lpstr>Solar, Wind Productivity</vt:lpstr>
      <vt:lpstr>CO2-Capture</vt:lpstr>
      <vt:lpstr>Biomass Productivity</vt:lpstr>
      <vt:lpstr>Technical Conversion Factors</vt:lpstr>
      <vt:lpstr>Energy Conversion Factors</vt:lpstr>
      <vt:lpstr>Land Productivity - Final Table</vt:lpstr>
      <vt:lpstr>sigfigs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jschmidt</dc:creator>
  <cp:lastModifiedBy>jschmidt</cp:lastModifiedBy>
  <cp:lastPrinted>2018-10-15T13:35:59Z</cp:lastPrinted>
  <dcterms:created xsi:type="dcterms:W3CDTF">2018-10-03T07:38:41Z</dcterms:created>
  <dcterms:modified xsi:type="dcterms:W3CDTF">2018-12-20T09:36:53Z</dcterms:modified>
</cp:coreProperties>
</file>