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vallejosg\Desktop\TODO TEKNO\"/>
    </mc:Choice>
  </mc:AlternateContent>
  <xr:revisionPtr revIDLastSave="0" documentId="13_ncr:1_{970E004E-4C96-42D0-92D7-08479AFA8D01}" xr6:coauthVersionLast="47" xr6:coauthVersionMax="47" xr10:uidLastSave="{00000000-0000-0000-0000-000000000000}"/>
  <bookViews>
    <workbookView xWindow="-120" yWindow="-120" windowWidth="20730" windowHeight="11040" tabRatio="796" activeTab="3" xr2:uid="{00000000-000D-0000-FFFF-FFFF00000000}"/>
  </bookViews>
  <sheets>
    <sheet name="Tablero" sheetId="6" r:id="rId1"/>
    <sheet name="Mapa" sheetId="13" r:id="rId2"/>
    <sheet name="PADRON CAP" sheetId="3" r:id="rId3"/>
    <sheet name="PADRON INTERIOR" sheetId="5" r:id="rId4"/>
    <sheet name="PRESUPUESTO" sheetId="15" r:id="rId5"/>
  </sheets>
  <definedNames>
    <definedName name="_xlnm._FilterDatabase" localSheetId="2" hidden="1">'PADRON CAP'!$A$2:$I$342</definedName>
    <definedName name="_xlnm._FilterDatabase" localSheetId="3" hidden="1">'PADRON INTERIOR'!$A$2:$L$257</definedName>
    <definedName name="_xlnm.Print_Area" localSheetId="2">'PADRON CAP'!$C$1:$I$342</definedName>
    <definedName name="_xlnm.Print_Titles" localSheetId="2">'PADRON CAP'!$1:$2</definedName>
    <definedName name="_xlnm.Print_Titles" localSheetId="3">'PADRON INTERIOR'!$1:$2</definedName>
  </definedNames>
  <calcPr calcId="191029"/>
</workbook>
</file>

<file path=xl/calcChain.xml><?xml version="1.0" encoding="utf-8"?>
<calcChain xmlns="http://schemas.openxmlformats.org/spreadsheetml/2006/main">
  <c r="J14" i="15" l="1"/>
  <c r="C11" i="15"/>
  <c r="B11" i="15"/>
  <c r="B13" i="15" s="1"/>
  <c r="J263" i="5"/>
  <c r="D27" i="6" a="1"/>
  <c r="D27" i="6" s="1"/>
  <c r="D23" i="6" a="1"/>
  <c r="D23" i="6" s="1"/>
  <c r="I68" i="6"/>
  <c r="I54" i="6"/>
  <c r="I55" i="6" s="1"/>
  <c r="I56" i="6" s="1"/>
  <c r="I57" i="6" s="1"/>
  <c r="I58" i="6" s="1"/>
  <c r="I59" i="6" s="1"/>
  <c r="I53" i="6"/>
  <c r="D66" i="6"/>
  <c r="E54" i="6"/>
  <c r="E55" i="6" s="1"/>
  <c r="E56" i="6" s="1"/>
  <c r="E57" i="6" s="1"/>
  <c r="E58" i="6" s="1"/>
  <c r="E59" i="6" s="1"/>
  <c r="E53" i="6"/>
  <c r="E52" i="6"/>
  <c r="B19" i="15" l="1"/>
  <c r="B16" i="15"/>
  <c r="E25" i="6" a="1"/>
  <c r="E25" i="6" s="1"/>
  <c r="D28" i="6" a="1"/>
  <c r="D28" i="6" s="1"/>
  <c r="D26" i="6" a="1"/>
  <c r="D26" i="6" s="1"/>
  <c r="D25" i="6" a="1"/>
  <c r="D25" i="6" s="1"/>
  <c r="D24" i="6" a="1"/>
  <c r="D24" i="6" s="1"/>
  <c r="D29" i="6" l="1"/>
  <c r="O38" i="13"/>
  <c r="D54" i="6" l="1"/>
  <c r="D55" i="6"/>
  <c r="D56" i="6"/>
  <c r="D57" i="6"/>
  <c r="D58" i="6"/>
  <c r="D59" i="6"/>
  <c r="D53" i="6"/>
  <c r="D52" i="6"/>
  <c r="C54" i="6"/>
  <c r="C55" i="6"/>
  <c r="C56" i="6"/>
  <c r="C57" i="6"/>
  <c r="C58" i="6"/>
  <c r="C59" i="6"/>
  <c r="C53" i="6"/>
  <c r="C52" i="6"/>
  <c r="G54" i="6"/>
  <c r="G55" i="6"/>
  <c r="G56" i="6"/>
  <c r="G57" i="6"/>
  <c r="G58" i="6"/>
  <c r="G59" i="6"/>
  <c r="G53" i="6"/>
  <c r="G52" i="6"/>
  <c r="H54" i="6"/>
  <c r="H55" i="6"/>
  <c r="H56" i="6"/>
  <c r="H57" i="6"/>
  <c r="H58" i="6"/>
  <c r="H59" i="6"/>
  <c r="H53" i="6"/>
  <c r="H52" i="6" l="1"/>
  <c r="C60" i="6" l="1"/>
  <c r="G60" i="6"/>
  <c r="I52" i="6" l="1"/>
  <c r="H181" i="3" l="1"/>
  <c r="J270" i="5"/>
  <c r="I270" i="5"/>
  <c r="J269" i="5"/>
  <c r="I269" i="5"/>
  <c r="I357" i="3"/>
  <c r="H356" i="3"/>
  <c r="H357" i="3"/>
  <c r="I356" i="3"/>
  <c r="I19" i="6" a="1"/>
  <c r="I19" i="6" s="1"/>
  <c r="H19" i="6" a="1"/>
  <c r="H19" i="6" s="1"/>
  <c r="K9" i="6" l="1"/>
  <c r="H8" i="6"/>
  <c r="H182" i="3" l="1"/>
  <c r="H110" i="5"/>
  <c r="H201" i="5"/>
  <c r="L20" i="6" l="1"/>
  <c r="M20" i="6" l="1"/>
  <c r="H18" i="6" a="1"/>
  <c r="H18" i="6" s="1"/>
  <c r="O35" i="13" l="1"/>
  <c r="O37" i="13"/>
  <c r="O36" i="13"/>
  <c r="H234" i="3" l="1"/>
  <c r="H191" i="3" l="1"/>
  <c r="P30" i="13"/>
  <c r="Q30" i="13"/>
  <c r="H89" i="3" l="1"/>
  <c r="H88" i="3"/>
  <c r="H85" i="3"/>
  <c r="H84" i="3"/>
  <c r="H79" i="3"/>
  <c r="H78" i="3"/>
  <c r="H68" i="3"/>
  <c r="H69" i="3"/>
  <c r="H60" i="6"/>
  <c r="H28" i="3"/>
  <c r="H192" i="3"/>
  <c r="D60" i="6"/>
  <c r="C66" i="6" l="1"/>
  <c r="G64" i="6"/>
  <c r="D69" i="6" l="1"/>
  <c r="C69" i="6"/>
  <c r="H169" i="3"/>
  <c r="H168" i="3"/>
  <c r="H206" i="5"/>
  <c r="H136" i="3"/>
  <c r="H137" i="3"/>
  <c r="H145" i="3"/>
  <c r="H149" i="3"/>
  <c r="H205" i="5"/>
  <c r="H68" i="6" l="1"/>
  <c r="I71" i="6" s="1"/>
  <c r="I18" i="6" a="1"/>
  <c r="I18" i="6" s="1"/>
  <c r="L19" i="6"/>
  <c r="J9" i="6"/>
  <c r="G8" i="6"/>
  <c r="H71" i="6" l="1"/>
  <c r="H20" i="6"/>
  <c r="H11" i="3"/>
  <c r="H12" i="3"/>
  <c r="H13" i="3"/>
  <c r="H14" i="3"/>
  <c r="H15" i="3"/>
  <c r="H16" i="3"/>
  <c r="H21" i="3"/>
  <c r="H22" i="3"/>
  <c r="H29" i="3"/>
  <c r="H32" i="3"/>
  <c r="H34" i="3"/>
  <c r="H35" i="3"/>
  <c r="H37" i="3"/>
  <c r="H38" i="3"/>
  <c r="H41" i="3"/>
  <c r="H42" i="3"/>
  <c r="H45" i="3"/>
  <c r="H46" i="3"/>
  <c r="H47" i="3"/>
  <c r="H48" i="3"/>
  <c r="H49" i="3"/>
  <c r="H51" i="3"/>
  <c r="H52" i="3"/>
  <c r="H53" i="3"/>
  <c r="H54" i="3"/>
  <c r="H56" i="3"/>
  <c r="H64" i="3"/>
  <c r="H65" i="3"/>
  <c r="H90" i="3"/>
  <c r="H91" i="3"/>
  <c r="H92" i="3"/>
  <c r="H93" i="3"/>
  <c r="H102" i="3"/>
  <c r="H111" i="3"/>
  <c r="H120" i="3"/>
  <c r="H121" i="3"/>
  <c r="H130" i="3"/>
  <c r="H134" i="3"/>
  <c r="H135" i="3"/>
  <c r="H138" i="3"/>
  <c r="H139" i="3"/>
  <c r="H143" i="3"/>
  <c r="H144" i="3"/>
  <c r="H146" i="3"/>
  <c r="H147" i="3"/>
  <c r="H152" i="3"/>
  <c r="H154" i="3"/>
  <c r="H156" i="3"/>
  <c r="H161" i="3"/>
  <c r="H162" i="3"/>
  <c r="H164" i="3"/>
  <c r="H171" i="3"/>
  <c r="H172" i="3"/>
  <c r="H176" i="3"/>
  <c r="H178" i="3"/>
  <c r="H183" i="3"/>
  <c r="H184" i="3"/>
  <c r="H187" i="3"/>
  <c r="H188" i="3"/>
  <c r="H189" i="3"/>
  <c r="H193" i="3"/>
  <c r="H197" i="3"/>
  <c r="H198" i="3"/>
  <c r="H199" i="3"/>
  <c r="H210" i="3"/>
  <c r="H211" i="3"/>
  <c r="H216" i="3"/>
  <c r="H217" i="3"/>
  <c r="H59" i="3"/>
  <c r="H220" i="3"/>
  <c r="H223" i="3"/>
  <c r="H224" i="3"/>
  <c r="H227" i="3"/>
  <c r="H228" i="3"/>
  <c r="H235" i="3"/>
  <c r="H326" i="3" l="1"/>
  <c r="L21" i="6" l="1"/>
  <c r="I20" i="6"/>
  <c r="E13" i="6" l="1"/>
  <c r="I263" i="5"/>
  <c r="D13" i="6" s="1"/>
  <c r="H350" i="3"/>
  <c r="D16" i="6" s="1"/>
  <c r="I349" i="3"/>
  <c r="H349" i="3"/>
  <c r="D15" i="6" s="1"/>
  <c r="I348" i="3"/>
  <c r="H348" i="3"/>
  <c r="D10" i="6" s="1"/>
  <c r="I347" i="3"/>
  <c r="H347" i="3"/>
  <c r="D9" i="6" s="1"/>
  <c r="E15" i="6" l="1"/>
  <c r="E10" i="6"/>
  <c r="E9" i="6"/>
  <c r="H28" i="5" l="1"/>
  <c r="H27" i="5"/>
  <c r="H319" i="3" l="1"/>
  <c r="I350" i="3" s="1"/>
  <c r="E16" i="6" s="1"/>
  <c r="H101" i="5"/>
  <c r="H244" i="5" l="1"/>
  <c r="H9" i="6" l="1"/>
  <c r="K10" i="6"/>
  <c r="H131" i="5"/>
  <c r="H130" i="5" l="1"/>
  <c r="H213" i="5"/>
  <c r="H76" i="5"/>
  <c r="H40" i="5"/>
  <c r="H41" i="5"/>
  <c r="H187" i="5"/>
  <c r="H19" i="5"/>
  <c r="H3" i="3" l="1"/>
  <c r="H154" i="5"/>
  <c r="H153" i="5"/>
  <c r="H43" i="5"/>
  <c r="H250" i="5"/>
  <c r="H75" i="5" l="1"/>
  <c r="H325" i="3" l="1"/>
  <c r="H4" i="3"/>
  <c r="H351" i="3" l="1"/>
  <c r="D17" i="6" s="1"/>
  <c r="H132" i="5"/>
  <c r="H105" i="5"/>
  <c r="H29" i="5" l="1"/>
  <c r="H108" i="5" l="1"/>
  <c r="H109" i="5"/>
  <c r="H53" i="5"/>
  <c r="H52" i="5"/>
  <c r="H186" i="5"/>
  <c r="H185" i="5"/>
  <c r="H104" i="5" l="1"/>
  <c r="H166" i="5" l="1"/>
  <c r="H165" i="5"/>
  <c r="H243" i="5"/>
  <c r="H49" i="5"/>
  <c r="H126" i="5"/>
  <c r="H125" i="5"/>
  <c r="H8" i="3" l="1"/>
  <c r="I346" i="3" l="1"/>
  <c r="H26" i="5"/>
  <c r="H98" i="5" l="1"/>
  <c r="H23" i="5" l="1"/>
  <c r="H234" i="5"/>
  <c r="H242" i="5"/>
  <c r="H212" i="5"/>
  <c r="H211" i="5"/>
  <c r="I262" i="5" l="1"/>
  <c r="D12" i="6" s="1"/>
  <c r="J262" i="5"/>
  <c r="E12" i="6" s="1"/>
  <c r="H20" i="5" l="1"/>
  <c r="I261" i="5" l="1"/>
  <c r="H193" i="5"/>
  <c r="D11" i="6" l="1"/>
  <c r="J261" i="5"/>
  <c r="E11" i="6" s="1"/>
  <c r="H320" i="3"/>
  <c r="I351" i="3" l="1"/>
  <c r="H346" i="3"/>
  <c r="J264" i="5"/>
  <c r="I264" i="5"/>
  <c r="E29" i="6" l="1"/>
  <c r="D30" i="6" s="1"/>
  <c r="E17" i="6"/>
  <c r="E8" i="6"/>
  <c r="E14" i="6" s="1"/>
  <c r="I352" i="3"/>
  <c r="D8" i="6"/>
  <c r="D14" i="6" s="1"/>
  <c r="H352" i="3"/>
  <c r="D18" i="6" l="1"/>
  <c r="D33" i="6" s="1"/>
  <c r="E18" i="6"/>
  <c r="M19" i="6"/>
  <c r="M21" i="6" s="1"/>
  <c r="D34" i="6" l="1"/>
  <c r="D35" i="6" s="1"/>
  <c r="H35" i="6"/>
  <c r="H36" i="6"/>
  <c r="D38" i="6"/>
  <c r="D32" i="6"/>
  <c r="D40" i="6" l="1"/>
  <c r="H37" i="6"/>
  <c r="H40" i="6"/>
  <c r="H34" i="6"/>
  <c r="O30" i="13" l="1"/>
  <c r="H4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Gustavo Vallejos</author>
  </authors>
  <commentList>
    <comment ref="I6" authorId="0" shapeId="0" xr:uid="{07781073-C980-45F6-BDCC-CD4809F17631}">
      <text>
        <r>
          <rPr>
            <b/>
            <sz val="9"/>
            <color indexed="81"/>
            <rFont val="Tahoma"/>
            <family val="2"/>
          </rPr>
          <t>Gustavo Vallejos:</t>
        </r>
        <r>
          <rPr>
            <sz val="9"/>
            <color indexed="81"/>
            <rFont val="Tahoma"/>
            <family val="2"/>
          </rPr>
          <t xml:space="preserve">
Actualmente estamos en provisión del Plan 1 </t>
        </r>
      </text>
    </comment>
  </commentList>
</comments>
</file>

<file path=xl/sharedStrings.xml><?xml version="1.0" encoding="utf-8"?>
<sst xmlns="http://schemas.openxmlformats.org/spreadsheetml/2006/main" count="5225" uniqueCount="1642">
  <si>
    <t>Asociación Argentina Misionera</t>
  </si>
  <si>
    <t>Iglesia de Dios</t>
  </si>
  <si>
    <t>C.I.P.I. Nº 4 "Maria de Nazareth"</t>
  </si>
  <si>
    <t>Detrás de la Intendencia de Santa Rosa</t>
  </si>
  <si>
    <t>C.P.F. Nº 1 San Jose Obrero</t>
  </si>
  <si>
    <t>Larrea y Suipacha</t>
  </si>
  <si>
    <t>C.P.M. N° 18 "San Luisito"</t>
  </si>
  <si>
    <t>Mitre y Berón de Astrada - H.A. San Luisito</t>
  </si>
  <si>
    <t>C.P.M. Nº 16 "Sagrado Corazón de Jesús"</t>
  </si>
  <si>
    <t>B° San Antonio - Benedicta Medina Chacra N° 41</t>
  </si>
  <si>
    <t>C.P.M. Nº 17 "San Miguelito"</t>
  </si>
  <si>
    <t>Albergue Deportivo</t>
  </si>
  <si>
    <t>C.P.M. Nº 19 Niños Felices Anexo CIPI N° 6 Perlita</t>
  </si>
  <si>
    <t>Belgrano 1960</t>
  </si>
  <si>
    <t>C.P.M. Nº 20 Mi Esperanza</t>
  </si>
  <si>
    <t>Ex Estación de Ferrocarril</t>
  </si>
  <si>
    <t>C.P.M. Nº 21 "Mita Ñangareko - Ha"</t>
  </si>
  <si>
    <t>Ruta N°12 Villa Olivari - Ituzaingó</t>
  </si>
  <si>
    <t>C.P.M. Nº 22 Pago Redondo</t>
  </si>
  <si>
    <t>Ex Mercado de Abasto</t>
  </si>
  <si>
    <t>C.P.M. Nº 27 "Santa Rita"</t>
  </si>
  <si>
    <t>C.P.M. Nº 3 "Cambacito"</t>
  </si>
  <si>
    <t>25 de Mayo S/N (Al lado de Estación Terminal)</t>
  </si>
  <si>
    <t>C.P.M. Nº 30 San Pedro</t>
  </si>
  <si>
    <t>Club Marco Paz - Chavarria</t>
  </si>
  <si>
    <t>C.P.M. Nº 32 "Santa Rita"</t>
  </si>
  <si>
    <t>Barrio San Fernando - Los Ceibos S/N</t>
  </si>
  <si>
    <t>Bº Mancini - Los Sauces 1920 (detrás de la cancha San Martin)</t>
  </si>
  <si>
    <t>Cañada Quiróz II - Gruta de la Virgen</t>
  </si>
  <si>
    <t>Av. Alejo Rueda - Gruta de la Virgen</t>
  </si>
  <si>
    <t>Casita Verde</t>
  </si>
  <si>
    <t>Centro de Día "Días Felices"</t>
  </si>
  <si>
    <t>Av. España 875 - Goya</t>
  </si>
  <si>
    <t>Centro de Día "Solcito"</t>
  </si>
  <si>
    <t>Marcelino Dávila S/N (entre Rta. 12 y los Ceibos)</t>
  </si>
  <si>
    <t>Mitre 840 / Loreto</t>
  </si>
  <si>
    <t>Centro de Protección al Menor</t>
  </si>
  <si>
    <t>Centro Obispo "Alberto Devoto" (Esquina)</t>
  </si>
  <si>
    <t>B° San Antonio - Noain Ortigóza S/N (al lado de la Capilla San Antonio)</t>
  </si>
  <si>
    <t>Club Atlético Santa Rosa</t>
  </si>
  <si>
    <t>Gral. Ramírez N° 832</t>
  </si>
  <si>
    <t>Comedor Doña China</t>
  </si>
  <si>
    <t>Biblioteca Popular Ramón Barboza</t>
  </si>
  <si>
    <t>Delegación Acción Social S.L.P.</t>
  </si>
  <si>
    <t>Fruto Verde</t>
  </si>
  <si>
    <t>Riachuelo - 11 Leones (Zona Rural)</t>
  </si>
  <si>
    <t>G - Los Chiquilines</t>
  </si>
  <si>
    <t>Riachuelo Pueblo Echazarreta 103 - Dpto. de Empedrado</t>
  </si>
  <si>
    <t>H.A. Adelina B. de Ezcurra</t>
  </si>
  <si>
    <t>Av. España 244</t>
  </si>
  <si>
    <t>H.A. Casita de los Abuelos</t>
  </si>
  <si>
    <t>Calle Guzmán S/N  Ituzaingó</t>
  </si>
  <si>
    <t>H.A. Dr. Roman Itoiz</t>
  </si>
  <si>
    <t>Angel Blanco y Pueyrredón</t>
  </si>
  <si>
    <t>H.A. Florencia Nigthingale</t>
  </si>
  <si>
    <t>Lacour 1123</t>
  </si>
  <si>
    <t>H.A. Gregoria M. de San Martín</t>
  </si>
  <si>
    <t>Yatai 655 - Paso de los Libres</t>
  </si>
  <si>
    <t>H.A. Pedro José de Marchi</t>
  </si>
  <si>
    <t>Pedro R. Fernandez S/N - Mantilla</t>
  </si>
  <si>
    <t>H.A. Ramón Añasco</t>
  </si>
  <si>
    <t>Alberdi y Alsina</t>
  </si>
  <si>
    <t>H.A. Sagrado Corazón de Jesús</t>
  </si>
  <si>
    <t>Belgrano y San Martín</t>
  </si>
  <si>
    <t>H.A. San Benito</t>
  </si>
  <si>
    <t>Jujuy 324 - Loreto</t>
  </si>
  <si>
    <t>H.A. San José</t>
  </si>
  <si>
    <t>Sarmiento 687 - Saladas</t>
  </si>
  <si>
    <t>H.A. San Roque de Montpellier</t>
  </si>
  <si>
    <t>San Martin 1005</t>
  </si>
  <si>
    <t>H.A. San Vicente de Paul (Esquina)</t>
  </si>
  <si>
    <t>Gbdor. Velazco 687</t>
  </si>
  <si>
    <t>H.A. San Vicente de Paul (Santa Lucía)</t>
  </si>
  <si>
    <t>H.A. Teresa Faraone</t>
  </si>
  <si>
    <t>Alsina y 9 de Julio</t>
  </si>
  <si>
    <t>Iglesia Asamblea de Dios-Templo Filadelfia</t>
  </si>
  <si>
    <t>Institución Amas</t>
  </si>
  <si>
    <t>J.M. Adela Feris de Romero</t>
  </si>
  <si>
    <t>Independencia 547</t>
  </si>
  <si>
    <t>J.M. El Carmen</t>
  </si>
  <si>
    <t>Serrano Soto 66</t>
  </si>
  <si>
    <t>J.M. Mitaí Porá</t>
  </si>
  <si>
    <t>Barrio 200 Viv. - Entre 16 de Noviembre e Isabel La Católica</t>
  </si>
  <si>
    <t>J.M. Niño Rhupá I</t>
  </si>
  <si>
    <t>Yatai y A. J. Pereyra</t>
  </si>
  <si>
    <t>J.M. Niño Rhupá II</t>
  </si>
  <si>
    <t>J.M. Semillitas</t>
  </si>
  <si>
    <t>Jesús Misericordioso (Nº 73)</t>
  </si>
  <si>
    <t>Riachuelo - Rincón Roa Fopar</t>
  </si>
  <si>
    <t>La Gurisada</t>
  </si>
  <si>
    <t>Liga Bellavistense de Fútbol (Para 8 Clubes)</t>
  </si>
  <si>
    <t>Sucre y Montevideo - Bella Vista</t>
  </si>
  <si>
    <t>Liga Mercedeña de Fútbol  (Para 12 Clubes)</t>
  </si>
  <si>
    <t>Alfredo Ferreyra y Yataí</t>
  </si>
  <si>
    <t>Liga Santotomeña de Fútbol (para 13 clubes)</t>
  </si>
  <si>
    <t>Brasil y C. Pellegrini</t>
  </si>
  <si>
    <t>Liga Virasoro de Fútbol (Para 8 Clubes)</t>
  </si>
  <si>
    <t>Robert Shumtin e Hipólito Irigoyen</t>
  </si>
  <si>
    <t>Madres de Mburucuyá</t>
  </si>
  <si>
    <t>J.J.Silva y Lamadrid - Sr. Guastavino</t>
  </si>
  <si>
    <t>Barrio Santa Ana</t>
  </si>
  <si>
    <t>Merendero "Congregación Cristiana" - Paso de la Patria</t>
  </si>
  <si>
    <t>Rivadavia e/Salta y Bs.As. - Paso de la Patria</t>
  </si>
  <si>
    <t>Municipalidad</t>
  </si>
  <si>
    <t>Municipalidad - Gdor. Martínez</t>
  </si>
  <si>
    <t>Riachuelo (Nº 76)</t>
  </si>
  <si>
    <t>Santa Margarita</t>
  </si>
  <si>
    <t>Riachuelo - Barrio Sta. Margarita, Los Lapachos</t>
  </si>
  <si>
    <t>Sociedad Protectora de la Infancia</t>
  </si>
  <si>
    <t>Sarmiento 485</t>
  </si>
  <si>
    <t>Sarmiento 256</t>
  </si>
  <si>
    <t>Fundación "Pequeños Pasos"</t>
  </si>
  <si>
    <t>Sarmiento 274 - Santa Lucia</t>
  </si>
  <si>
    <t>Liga Esquinense de Fútbol (Para 6 Clubes)</t>
  </si>
  <si>
    <t>San Martín y Berón de Astrada - 9 de Julio</t>
  </si>
  <si>
    <t>H.A. Casa Bienestar del Anciano</t>
  </si>
  <si>
    <t>Eva Duarte de Perón 333</t>
  </si>
  <si>
    <t>J.M. "Jesús de Nazareth"</t>
  </si>
  <si>
    <t>Salta 102</t>
  </si>
  <si>
    <t>C.C.I. Virgen de Itatí­</t>
  </si>
  <si>
    <t>C.P.M. Nº 12 "Nuestra Señora de Fátima"</t>
  </si>
  <si>
    <t>Barrio Centenario - La Cruz</t>
  </si>
  <si>
    <t>H.A. Roberto Grenni</t>
  </si>
  <si>
    <t>Goya y Bartolomé Mitre - La Cruz - San Martin</t>
  </si>
  <si>
    <t>J.M. Centro Comunitario San Tarcisio</t>
  </si>
  <si>
    <t>Barrio Unión 848 - La Cruz</t>
  </si>
  <si>
    <t>CADI ITUZAINGÓ</t>
  </si>
  <si>
    <t>Liga Ituzaingueña de Fútbol (para 6 clubes)</t>
  </si>
  <si>
    <t>Comedor San Cayetano</t>
  </si>
  <si>
    <t>Liga Goyana de Fútbol (Para 7 Clubes)</t>
  </si>
  <si>
    <t>Av. Sarmiento 60</t>
  </si>
  <si>
    <t>Municipalidad de Goya</t>
  </si>
  <si>
    <t>C.P.M. Nº 15 Ñangarecó Porá</t>
  </si>
  <si>
    <t>3 de Abril y Perú</t>
  </si>
  <si>
    <t>Albergue Juvenil Hogar Rural</t>
  </si>
  <si>
    <t>C.P.M. Nº 25 "Arco Iris"</t>
  </si>
  <si>
    <t>Barrio Sarmiento - Goya</t>
  </si>
  <si>
    <t>C.P.M. Nº 29 "Chamiguitos"</t>
  </si>
  <si>
    <t>Barrio Costas Las Rosas - Goya</t>
  </si>
  <si>
    <t>Sargento Cabral 351 - Goya</t>
  </si>
  <si>
    <t>H.N. San Vicente de Paul</t>
  </si>
  <si>
    <t>Instituto de Orientación Juvenil</t>
  </si>
  <si>
    <t>Km. 6, Frente al Aeropuerto</t>
  </si>
  <si>
    <t>J.M. "Abuelo Justo"</t>
  </si>
  <si>
    <t>Barrio 432 Viviendas</t>
  </si>
  <si>
    <t>J.M. "Mamá Perla"</t>
  </si>
  <si>
    <t>Bella Vista</t>
  </si>
  <si>
    <t>Centro de Día "Ñanderoga"</t>
  </si>
  <si>
    <t>Florida 1147</t>
  </si>
  <si>
    <t>Mburucuyá</t>
  </si>
  <si>
    <t>J.M. Abuela Josefina</t>
  </si>
  <si>
    <t>1000 Vdas. / Mz. B / Casa 7 - Santa Lucia</t>
  </si>
  <si>
    <t>C.P.M. Nº 23 "Pomberito" (Anexo C.I.P.I. Nº 7 "Topo Gigio")</t>
  </si>
  <si>
    <t>Comedor Vecinos Barrio 30 Viviendas y Ayuda mutua</t>
  </si>
  <si>
    <t>H.N. San Benito</t>
  </si>
  <si>
    <t>Bartolomé Mitre S/N</t>
  </si>
  <si>
    <t>H.A. San Luisito</t>
  </si>
  <si>
    <t>Mitre y Berón de Astrada</t>
  </si>
  <si>
    <t>C.P.M. Nº 6 "Virgen de Itatí" Anexo CIPI Nº 7 Pinocho</t>
  </si>
  <si>
    <t>Barrio Hormiguero, ex Escuela Redonda</t>
  </si>
  <si>
    <t>H.N. San Francisco de Asís</t>
  </si>
  <si>
    <t>Pje. Atalaya / Colonia Gobernador</t>
  </si>
  <si>
    <t>C.I.P.I. Nº 1 "Ardillitas"</t>
  </si>
  <si>
    <t>Barrio Doctor Paiva</t>
  </si>
  <si>
    <t>C.P.M. Nº 13 "Nuestra Señora de la Merced"</t>
  </si>
  <si>
    <t>Barrio La Merced</t>
  </si>
  <si>
    <t>C.P.M. Nº 7 "Mitaí"</t>
  </si>
  <si>
    <t>Barrio Capilla Sagrado Corazón</t>
  </si>
  <si>
    <t>C.P.M. Nº 8 "Cruz de Los Milagros"</t>
  </si>
  <si>
    <t>Barrio Cruz de Los Milagros</t>
  </si>
  <si>
    <t>C.P.M. Nº 9 "Santa María"</t>
  </si>
  <si>
    <t>Ferreyra S/N</t>
  </si>
  <si>
    <t>Centro de Día "Un Niño me Llama"</t>
  </si>
  <si>
    <t>Mitre 1150</t>
  </si>
  <si>
    <t>J.M. Blancanieves</t>
  </si>
  <si>
    <t>Mitre 975 - Paso de los Libres</t>
  </si>
  <si>
    <t>Los Atacamas 2465 - Corrientes Capital</t>
  </si>
  <si>
    <t>Capilla Roselo</t>
  </si>
  <si>
    <t>Club Curupay 2</t>
  </si>
  <si>
    <t>Merendero Santa Ana</t>
  </si>
  <si>
    <t>C.D.I. San Jorge</t>
  </si>
  <si>
    <t>Bº Laguna Seca - Medrano S/N</t>
  </si>
  <si>
    <t>C.I.P.I. Nº 3 "Mi Pequeño Hogar"</t>
  </si>
  <si>
    <t>Barrio 3 de Abril - 22 Viv. / Casa 3</t>
  </si>
  <si>
    <t>C.P.M. Nº 10 "Jorge Mierez"</t>
  </si>
  <si>
    <t>Barrio Esperanza - Inst. Nº 10 Jorge Mierez</t>
  </si>
  <si>
    <t>Barrio Canal 13 - Cristo Obrero al 300</t>
  </si>
  <si>
    <t>C.P.M. Nº 4 "San Marcos"</t>
  </si>
  <si>
    <t>Capilla Virgen de Itatí (Nº 21)</t>
  </si>
  <si>
    <t>Barrio Irupé - Tacuarí y Cartagena</t>
  </si>
  <si>
    <t>Casa Madre Adol. Maria de Nazareth</t>
  </si>
  <si>
    <t>Gutiérrez y Centeno</t>
  </si>
  <si>
    <t>Casa Preegreso Mujeres Laura Vicuña</t>
  </si>
  <si>
    <t>Casa Preegreso Varones Miguel Magone</t>
  </si>
  <si>
    <t>Santa Fe 1349</t>
  </si>
  <si>
    <t>Centro de Día "Corazón de Niño"</t>
  </si>
  <si>
    <t>Hernán Cortez 331</t>
  </si>
  <si>
    <t>Centro Solidario San Jorge</t>
  </si>
  <si>
    <t>Av. J. D. Perón y Turán (CAPS 9)</t>
  </si>
  <si>
    <t>Hogar Domingo Savio</t>
  </si>
  <si>
    <t>Buenos Aires 1338</t>
  </si>
  <si>
    <t>Hogar Madre Teresa</t>
  </si>
  <si>
    <t>Castor de Leon S/N</t>
  </si>
  <si>
    <t>Hogar Misericordia</t>
  </si>
  <si>
    <t>Buenos Aires 796</t>
  </si>
  <si>
    <t>Hogar Sagrado Corazón</t>
  </si>
  <si>
    <t>25 de Mayo 2555</t>
  </si>
  <si>
    <t>Hogar Tía Amanda</t>
  </si>
  <si>
    <t>Gutenberg y Arequipa</t>
  </si>
  <si>
    <t>Iglesia de Jesucristo</t>
  </si>
  <si>
    <t>San Juan Nº 2500</t>
  </si>
  <si>
    <t>J.M. "Ara Porá"</t>
  </si>
  <si>
    <t>Av. El Maestro e Iberá</t>
  </si>
  <si>
    <t>J.M. "Mamá Margarita"</t>
  </si>
  <si>
    <t>Catamarca 1260</t>
  </si>
  <si>
    <t>J.M. "Mi Dulce Bebe"</t>
  </si>
  <si>
    <t>Barrio 9 de Julio - 70 Viv. / Mz.216 / Casa 74</t>
  </si>
  <si>
    <t>J.M. "Niño Feliz"</t>
  </si>
  <si>
    <t>Barrio Laguna Seca - Haway y Resoagli</t>
  </si>
  <si>
    <t>J.M. "Ñanderoga"</t>
  </si>
  <si>
    <t>Barrio 17 de Agosto - C.Corrent. y Artaza</t>
  </si>
  <si>
    <t>J.M. Anahí</t>
  </si>
  <si>
    <t>Mendoza 2780 - Capital</t>
  </si>
  <si>
    <t>J.M. Aventuras en Pañal</t>
  </si>
  <si>
    <t>Barrio Molina Punta - Las Margaritas S/N</t>
  </si>
  <si>
    <t>J.M. Grillito Saltarin</t>
  </si>
  <si>
    <t>Gutenberg e/Rafaela e Iberá</t>
  </si>
  <si>
    <t>J.M. Mamita</t>
  </si>
  <si>
    <t>Mendoza 2071</t>
  </si>
  <si>
    <t>J.M. Mis Ositos</t>
  </si>
  <si>
    <t>Bº F. J. Quintana (CAPS Nº 11)</t>
  </si>
  <si>
    <t>J.M. Padre Mujica</t>
  </si>
  <si>
    <t>Pje.Saenz 1370 Esq.Moreno</t>
  </si>
  <si>
    <t>J.M. Rayito de Luz</t>
  </si>
  <si>
    <t>BÂº Dr. Nicolini, Av. Cosquin</t>
  </si>
  <si>
    <t>J.M. Rosa Guarú</t>
  </si>
  <si>
    <t>3 de Abril 225 y Padre Borgatti (al lado de la penitenciaria)</t>
  </si>
  <si>
    <t>J.M. San Juancito</t>
  </si>
  <si>
    <t>Bº Laguna Brava</t>
  </si>
  <si>
    <t>J.M. Semillita</t>
  </si>
  <si>
    <t>Rta 12 / Km 8 / Bº San Francisco</t>
  </si>
  <si>
    <t>J.M. Tamborcito Tacuarí</t>
  </si>
  <si>
    <t>Pirovano 1900</t>
  </si>
  <si>
    <t>C.P.M. Nº 11 Gurisito Costero</t>
  </si>
  <si>
    <t>Belgrano y Costanera Zona Ribereña, El Carrizal</t>
  </si>
  <si>
    <t>H.A. Nuevo Amanecer</t>
  </si>
  <si>
    <t>Estrada 66 - Bella Vista</t>
  </si>
  <si>
    <t>J.M. Sagrado Corazón de Jesús</t>
  </si>
  <si>
    <t>Bº Los Pinos</t>
  </si>
  <si>
    <t>C.P.M. Nº 24 "Senderito de Luz"</t>
  </si>
  <si>
    <t>Barrio 81 Viviendas</t>
  </si>
  <si>
    <t>H.A. Madre Teresa</t>
  </si>
  <si>
    <t>Barrio 128 Vdas. / Casa 2 - El Toro</t>
  </si>
  <si>
    <t>H.T. Santa Teresita</t>
  </si>
  <si>
    <t>Barrio 40 Viviendas / Casa 7</t>
  </si>
  <si>
    <t>J.M. Niño Rhupá</t>
  </si>
  <si>
    <t>325 Viviendas - Virasoro</t>
  </si>
  <si>
    <t>J.M. Pequeño Mundo</t>
  </si>
  <si>
    <t>Barrio Unión Sepac - Virasoro</t>
  </si>
  <si>
    <t>Parroquia Nuestra Señora de Loreto</t>
  </si>
  <si>
    <t>Sabes Gallardo S/N  - Loreto</t>
  </si>
  <si>
    <t>ZONA</t>
  </si>
  <si>
    <t>CENTRO DE ENTREGA</t>
  </si>
  <si>
    <t>DIRECCIÓN</t>
  </si>
  <si>
    <t>CAPITAL</t>
  </si>
  <si>
    <t>Empedrado</t>
  </si>
  <si>
    <t>Riachuelo</t>
  </si>
  <si>
    <t>Saladas</t>
  </si>
  <si>
    <t>Esquina</t>
  </si>
  <si>
    <t>Goya</t>
  </si>
  <si>
    <t>Lavalle</t>
  </si>
  <si>
    <t>San Miguel</t>
  </si>
  <si>
    <t>Curuzú Cuatiá</t>
  </si>
  <si>
    <t>Monte Caseros</t>
  </si>
  <si>
    <t>Mercedes</t>
  </si>
  <si>
    <t>San Roque</t>
  </si>
  <si>
    <t>Concepción</t>
  </si>
  <si>
    <t>Santo Tomé</t>
  </si>
  <si>
    <t>Ituzaingó</t>
  </si>
  <si>
    <t>Paso de los Libres</t>
  </si>
  <si>
    <t>Itá Ibaté</t>
  </si>
  <si>
    <t>Berón de Astrada</t>
  </si>
  <si>
    <t>Delegación Desarrollo Social (Goya)</t>
  </si>
  <si>
    <t>CENTRO DE DISTRIBUCIÓN</t>
  </si>
  <si>
    <t>LOCALIDAD</t>
  </si>
  <si>
    <t>Gurisito Costero</t>
  </si>
  <si>
    <t>Parr. Ntra. Sra de Loreto</t>
  </si>
  <si>
    <t>H.A. Madre Teresa (Virasoro)</t>
  </si>
  <si>
    <t>Santa Lucía</t>
  </si>
  <si>
    <t>Santa Rosa</t>
  </si>
  <si>
    <t>General Paz</t>
  </si>
  <si>
    <t>9 de Julio</t>
  </si>
  <si>
    <t>Mantilla</t>
  </si>
  <si>
    <t>Sauce</t>
  </si>
  <si>
    <t>Alvear</t>
  </si>
  <si>
    <t>Villa Olivari</t>
  </si>
  <si>
    <t>Barrio Anahí - Cristo Obrero al 300</t>
  </si>
  <si>
    <t>Centro Laura Vicuña</t>
  </si>
  <si>
    <t>Cong. Cristiana B. Vista</t>
  </si>
  <si>
    <t>Centro Nº 3 Virgen de Itatí</t>
  </si>
  <si>
    <t>Lomas de González</t>
  </si>
  <si>
    <t>Rincón Navarro</t>
  </si>
  <si>
    <t>Comedor Mirta Centurión</t>
  </si>
  <si>
    <t>Mons. D`Andrea 132</t>
  </si>
  <si>
    <t>Comedor Vecinos Paraje</t>
  </si>
  <si>
    <t>La Loma</t>
  </si>
  <si>
    <t>Congregación Cristiana</t>
  </si>
  <si>
    <t>Bartolomé Mitre 1337</t>
  </si>
  <si>
    <t>I.M. Lopez y Gral. Belgrano</t>
  </si>
  <si>
    <t>Juan Pablo II "Mburucuyá"</t>
  </si>
  <si>
    <t>Iglesia Evangelista de Jesus Nombre sin igual</t>
  </si>
  <si>
    <t>Comedor Infantil Paso de Libres</t>
  </si>
  <si>
    <t>Isla Apipé Grande San Antonio</t>
  </si>
  <si>
    <t>Isla Apipé Gde. San Antonio</t>
  </si>
  <si>
    <t>Primera Sección - San Luis del Palmar</t>
  </si>
  <si>
    <t>Itatí</t>
  </si>
  <si>
    <t>San Cosme</t>
  </si>
  <si>
    <t>Caá Catí</t>
  </si>
  <si>
    <t>Chavarría</t>
  </si>
  <si>
    <t>La Cruz</t>
  </si>
  <si>
    <t>DETALLE SERV.</t>
  </si>
  <si>
    <t>Bº Santa Rita Norte mza 23 lote 8 avenida Centenario S/N</t>
  </si>
  <si>
    <t>Santa Rita</t>
  </si>
  <si>
    <t>Bº DR. MONTAÑA  Florencio Varela Nº 5772</t>
  </si>
  <si>
    <t xml:space="preserve">Pquia Santa Catalina de Alejandria </t>
  </si>
  <si>
    <t>Bº 17 DE AGOSTO  Calle: Verona Nº 5570</t>
  </si>
  <si>
    <t>Virgen de los Dolores</t>
  </si>
  <si>
    <t>Bº Cremonte -  Calle Av. Centenario y Ruta Nº 12</t>
  </si>
  <si>
    <t xml:space="preserve">La Eragia </t>
  </si>
  <si>
    <t>Ñanderete Mitaicito FTV</t>
  </si>
  <si>
    <t>Madariaga 3296</t>
  </si>
  <si>
    <t>BºCOLOMBIA GRANADERO, Chile entre Grla Paz y Pje Castellano</t>
  </si>
  <si>
    <t>DIVINO NIÑO</t>
  </si>
  <si>
    <t>CABO DE HORNOS</t>
  </si>
  <si>
    <t>Bº SAN JOSE, Moreno 4598</t>
  </si>
  <si>
    <t>EL OBRERITO</t>
  </si>
  <si>
    <t>3 DE ABRIL</t>
  </si>
  <si>
    <t>Bº SAN ROQUE OESTE, Rio Miriñay 2600</t>
  </si>
  <si>
    <t xml:space="preserve">Bª LOMAS mza 6 lote 37 </t>
  </si>
  <si>
    <t>IGLESIA BAUTISTA EVANGELICA REC.VIDA</t>
  </si>
  <si>
    <t>CAPILLA  SANTA MARTA</t>
  </si>
  <si>
    <t>Bº ESPERANZA calle Lombardero 91viv. C 1 Mz M</t>
  </si>
  <si>
    <t>ESPERANZA</t>
  </si>
  <si>
    <t>STA. Ma. DE LOS POBRES</t>
  </si>
  <si>
    <t>UNIVERSITARIO</t>
  </si>
  <si>
    <t>Bº SANTA ROSA , Gral Paz 2002</t>
  </si>
  <si>
    <t>Bº SERANTES BORGES Y LORETO</t>
  </si>
  <si>
    <t>Bº SAPUCAY, Ruta 5 Km 7 Mz I Lote 1 calle San Bernardita y S. Pio X</t>
  </si>
  <si>
    <t>Bº  SANTA TERESITA, Castelli 2082</t>
  </si>
  <si>
    <t>CIDECO</t>
  </si>
  <si>
    <t>Bº SAMELA SUR, Ruta 5 Km 2,5</t>
  </si>
  <si>
    <t>ESPIRITU SANTO</t>
  </si>
  <si>
    <t xml:space="preserve">SAGRADO CORAZON DE JESUS  </t>
  </si>
  <si>
    <t>Bº PUEBLITO BS AS -Pje Olivos 4315</t>
  </si>
  <si>
    <t>PUEBLITO BS.AS.</t>
  </si>
  <si>
    <t>C. D. BOSCO DOMINGO Y LAURA</t>
  </si>
  <si>
    <t xml:space="preserve"> Calle Cuarto Centenario 2892</t>
  </si>
  <si>
    <t>Bº PARQUE CADENA  NORTE  Mz 5 Lote 4 y 5</t>
  </si>
  <si>
    <t>GUADALUPE</t>
  </si>
  <si>
    <t>Bº CADENAS Sur, Lote 19 Sec 38</t>
  </si>
  <si>
    <t>VIRGEN DESATANUDOS</t>
  </si>
  <si>
    <t>TAITALO PUNTA</t>
  </si>
  <si>
    <t>Bº LOMA LINDA, Guemes Nº 2600</t>
  </si>
  <si>
    <t>LOMA LINDA</t>
  </si>
  <si>
    <t>Bº LAGUNA SECA Rio Janeiro 4592</t>
  </si>
  <si>
    <t>EMANUEL</t>
  </si>
  <si>
    <t>Bº LAGUNA SECA, Resoagli y Pitagoras</t>
  </si>
  <si>
    <t>SAN PANTALEON</t>
  </si>
  <si>
    <t>Bº LAGUNA PAMPIN detrás de la esc 599 (por calle fabrica postensa)</t>
  </si>
  <si>
    <t>LAGUNA PAMPIN</t>
  </si>
  <si>
    <t>Bº LAGUNA SOTO</t>
  </si>
  <si>
    <t>VIRGEN DE ITATI</t>
  </si>
  <si>
    <t>EL PASITO</t>
  </si>
  <si>
    <t>MARAVILLAS DE JESUS</t>
  </si>
  <si>
    <t>Bº Dr. MONTAÑA,MZ 64 C 34</t>
  </si>
  <si>
    <t>LOS DALMATAS</t>
  </si>
  <si>
    <t>Bº Dr MONTAÑAJose m. Aguirre s/n</t>
  </si>
  <si>
    <t>IGLESIA FILADELFIA</t>
  </si>
  <si>
    <t>PEQUEÑO REBAÑO</t>
  </si>
  <si>
    <t>Bº ARAZATI,  3 de Abril 38</t>
  </si>
  <si>
    <t>FUNDACION EVITA</t>
  </si>
  <si>
    <t>Bº SANTA LUCIA , Ramos Mejia y Verona</t>
  </si>
  <si>
    <t>NIÑO TRAVIESO</t>
  </si>
  <si>
    <t>Bº COLLANTES, Ruta 12 Km 4</t>
  </si>
  <si>
    <t>MEDALLA MILAGROSA</t>
  </si>
  <si>
    <t>DOMICILIO</t>
  </si>
  <si>
    <t>SUM SAN JORGE</t>
  </si>
  <si>
    <t>Bº Arazati Gral Paz 70</t>
  </si>
  <si>
    <t>Club curupay 1</t>
  </si>
  <si>
    <t>Merendero Cichero</t>
  </si>
  <si>
    <t>Merendero La Sagrada Familia II</t>
  </si>
  <si>
    <t>Mendoza Sur y Cabo de hornos</t>
  </si>
  <si>
    <t>Santa Ana</t>
  </si>
  <si>
    <t>Bº MOLINA PUNTA BELLA VISTA E/ PTA TACUARA Y PTA ÑARO</t>
  </si>
  <si>
    <t>Fundacion CONIN</t>
  </si>
  <si>
    <t>Centro Misionero Pompeya</t>
  </si>
  <si>
    <t>Merendero BENESER Asamblea de Dios</t>
  </si>
  <si>
    <t>Bº Santa Teresita - Las Heras Nº 3165</t>
  </si>
  <si>
    <t>Merendero Estudiando Juntos</t>
  </si>
  <si>
    <t>Capilla Virgen de Itati</t>
  </si>
  <si>
    <t>Bº Rio Parana (SEMBRANDO SUEÑOS)</t>
  </si>
  <si>
    <t>Bº Parque Cadena Norte Mz 19  Casa 20</t>
  </si>
  <si>
    <t xml:space="preserve">El Angel </t>
  </si>
  <si>
    <t>Merendero Santa Filomena</t>
  </si>
  <si>
    <t xml:space="preserve">SAN CAYETANO  Av. San Cayetano al 100 Quiosco Gonzalito </t>
  </si>
  <si>
    <t>Bº VILLA RAQUEL140 Viviendas, MZAG, Casa 8 por Saavedra e/ Cadiz y Andalucia</t>
  </si>
  <si>
    <t>Asociacion Civil la Amistad</t>
  </si>
  <si>
    <t xml:space="preserve">Bº PALOMA DE LA PAZ Calle Nicaragua S/N </t>
  </si>
  <si>
    <t>Merendero San Patricio</t>
  </si>
  <si>
    <t>Merendero Bº Rey David</t>
  </si>
  <si>
    <t xml:space="preserve">Bº SANTA TERESITA   Reconquista Nº 2274 </t>
  </si>
  <si>
    <t xml:space="preserve">Merendero Bº Santa Teresita            </t>
  </si>
  <si>
    <t xml:space="preserve">Merendero Club San Cayetano </t>
  </si>
  <si>
    <t>Bº SAN BENITO   Elias Abad y Perugorria</t>
  </si>
  <si>
    <t>Escuela Especial  CARIDI</t>
  </si>
  <si>
    <t>Bº POPULAR  Basavilvaso   Nº 990</t>
  </si>
  <si>
    <t xml:space="preserve">Merendero La Providencia </t>
  </si>
  <si>
    <t>Bº JUAN XXIII Potosi Nª 2470</t>
  </si>
  <si>
    <t>Juan XXIII Dulce Maria</t>
  </si>
  <si>
    <t>Asociacion civil misioneros de la esperanza</t>
  </si>
  <si>
    <t>Bº GALVAN  SECTOR B CASA 10 Nº 93</t>
  </si>
  <si>
    <t>Iglesia San Cayetano</t>
  </si>
  <si>
    <t>Bº La Olla  Avenida 200 y Calle Nueva     Nº 75</t>
  </si>
  <si>
    <t>Bº UNIVERSITARIO . Malabia y Bustamante            Nº 65</t>
  </si>
  <si>
    <t xml:space="preserve">Luz Verdadera </t>
  </si>
  <si>
    <t>Santa Teresita</t>
  </si>
  <si>
    <t>Si Dios Quiere</t>
  </si>
  <si>
    <t>Pquia. Ntra. Sra.de Itatí</t>
  </si>
  <si>
    <t>Bº SAN ANTONIO OESTE    Santa Catalina 4000               Nº 58</t>
  </si>
  <si>
    <t>San Marcos</t>
  </si>
  <si>
    <t>Bº SAN BENITO      Entre Rios 2021             Nº 55</t>
  </si>
  <si>
    <t>Com. San Benito</t>
  </si>
  <si>
    <t>C.C.I. Paranacito</t>
  </si>
  <si>
    <t>Bº QUINTA FERRE  19 de Mayo y Rafael Obligado                     Nº 52</t>
  </si>
  <si>
    <t>Bº QUINTA FERRE  Zacarías Sanchez 296           Nº 51</t>
  </si>
  <si>
    <t>Centro Integral Cruz Roja</t>
  </si>
  <si>
    <t>Capilla San José</t>
  </si>
  <si>
    <t>Bº PONCE   RUTA 5 km.1 calle Romulo Arturo    Com. Nº 46</t>
  </si>
  <si>
    <t>Pokemon</t>
  </si>
  <si>
    <t>Mis Niñitos</t>
  </si>
  <si>
    <t>C.C.I. Hectorcito</t>
  </si>
  <si>
    <t>Bº SANTA RITA calle Nº 1 Banda norte 2 cuadras y madia ruta Nº 5</t>
  </si>
  <si>
    <t>Centro Com. Santa Isabel</t>
  </si>
  <si>
    <t>Bº 17 de AGOSTO 25 Viv. G2 Casa 22    Nº 30   Sagr. Flia.</t>
  </si>
  <si>
    <t>Comedor Sagrada Familia II</t>
  </si>
  <si>
    <t>Pequeño Pony</t>
  </si>
  <si>
    <t xml:space="preserve">Asociacion Fotos del Alma </t>
  </si>
  <si>
    <t>C.C.I. María Auxiliadora</t>
  </si>
  <si>
    <t xml:space="preserve">Comedor Santa Cecilia </t>
  </si>
  <si>
    <t>C.C.I. M. Eva y J. Manuel</t>
  </si>
  <si>
    <t>Templo As.de Dios Filadelfia</t>
  </si>
  <si>
    <t>Bº BELGRANO  Almte. Brown y EEUU      Nº 4</t>
  </si>
  <si>
    <t>Centro At. Personas Esp.(CAPES SONUA)</t>
  </si>
  <si>
    <t xml:space="preserve">IGLESIA DE JESUCRISTO CODAZZI </t>
  </si>
  <si>
    <t xml:space="preserve">MOVIMIENTOS PASTORALES UNIDOS POR CORRIENTES </t>
  </si>
  <si>
    <t>MTL</t>
  </si>
  <si>
    <t>PUÑO Y SUDOR (LADRILLEROS)</t>
  </si>
  <si>
    <t>Barrio Ex Coca Cola - C. de Horno 3900</t>
  </si>
  <si>
    <t>MENDOZA AL SUR</t>
  </si>
  <si>
    <t>GAUCHITO ANTONIO GIL</t>
  </si>
  <si>
    <t>SAN CAMILO LELIS</t>
  </si>
  <si>
    <t>Barrio Sol de Mayo - Ángel Navea y 20 de Mayo</t>
  </si>
  <si>
    <t>SANTA CATALINA</t>
  </si>
  <si>
    <t>Barrio Río Paraná - Mocoretá S/N</t>
  </si>
  <si>
    <t>LOS MELLIZOS</t>
  </si>
  <si>
    <t>Barrio Taitalo Punta</t>
  </si>
  <si>
    <t>ISLAS MALVINAS</t>
  </si>
  <si>
    <t>Barrio Molina Punta - Antilla y Pasionaria (al lado de Asoc. de Ladri.)</t>
  </si>
  <si>
    <t>BARRIO ZONA SUR 2 - BAHÍA DEL SOL</t>
  </si>
  <si>
    <t>BARRIO ZONA SUR 1 - LA TOSQUERA</t>
  </si>
  <si>
    <t>BARRIO ESPERANZA</t>
  </si>
  <si>
    <t>BARRIO SOL DE MAYO (MITAÍ PORÁ)</t>
  </si>
  <si>
    <t>Barrio Sol de Mayo - Mercedes 202</t>
  </si>
  <si>
    <t>LOMAS DEL MIRADOR</t>
  </si>
  <si>
    <t>BARRIO SEMINARIO (SUEÑOS)</t>
  </si>
  <si>
    <t>Barrio Seminario - Chacabuco y R.Paraná / 100 Vdas. / Mz. E / Casa 4</t>
  </si>
  <si>
    <t>LOS SIMPSONS</t>
  </si>
  <si>
    <t>Barrio Caridi - Mza.F / Casa 9</t>
  </si>
  <si>
    <t>BARRIO LOMAS DEL MIRADOR</t>
  </si>
  <si>
    <t>BARRIO SOL DE MAYO</t>
  </si>
  <si>
    <t>BARRIO QUINTA FERRE</t>
  </si>
  <si>
    <t>ASOCIACIÓN CORRENTINA CRUZ DE LOS MILAGROS</t>
  </si>
  <si>
    <t>Capilla Guadalupe</t>
  </si>
  <si>
    <t>REFRIGERIOS</t>
  </si>
  <si>
    <t>COMIDAS</t>
  </si>
  <si>
    <t>TIPO RECEPTOR</t>
  </si>
  <si>
    <t>ACCION SOCIAL</t>
  </si>
  <si>
    <t>MIN. y FLIA.</t>
  </si>
  <si>
    <t>Niños Felices</t>
  </si>
  <si>
    <t>Servicio</t>
  </si>
  <si>
    <t>Merendero Los Peques</t>
  </si>
  <si>
    <t>C.C.I. Santa Rita (Nº 01)</t>
  </si>
  <si>
    <t>POR UNA SONRISA II</t>
  </si>
  <si>
    <t>Complejo Filadelfia (Nº 58)</t>
  </si>
  <si>
    <t>C.I.C. Sec. Des. Humano Monte Caseros</t>
  </si>
  <si>
    <t>C.I.C. Sec. Des. Humano Monte Caseros (ex Liga)</t>
  </si>
  <si>
    <t>BENEF</t>
  </si>
  <si>
    <t xml:space="preserve"> B</t>
  </si>
  <si>
    <t xml:space="preserve"> C</t>
  </si>
  <si>
    <t xml:space="preserve"> A</t>
  </si>
  <si>
    <t>Liga Libreña de Fútbol - Deleg. Secr. de Des. Humano</t>
  </si>
  <si>
    <t xml:space="preserve">COMEDORES Y MERENDEROS </t>
  </si>
  <si>
    <t>DEPARTAMENTO</t>
  </si>
  <si>
    <t xml:space="preserve"> Tabay</t>
  </si>
  <si>
    <t xml:space="preserve"> San Carlos</t>
  </si>
  <si>
    <t>Tapebicuá</t>
  </si>
  <si>
    <t>Paso de la Patria</t>
  </si>
  <si>
    <t xml:space="preserve"> Loreto</t>
  </si>
  <si>
    <t>Gob. Virasoro</t>
  </si>
  <si>
    <t>Av. IV Centenario 3400 (Mendoza al Sur)</t>
  </si>
  <si>
    <t>ASIST. LADR.</t>
  </si>
  <si>
    <t>MOV. SOC.</t>
  </si>
  <si>
    <t>MOV. PAST.</t>
  </si>
  <si>
    <t>C</t>
  </si>
  <si>
    <t xml:space="preserve">Centro Integral Municipal Sagrado Corazón </t>
  </si>
  <si>
    <t>Bº MOLINA PUNTA  136 VIV. LOTE 18</t>
  </si>
  <si>
    <t>RESPONSABLE</t>
  </si>
  <si>
    <t>RACIONES DIA</t>
  </si>
  <si>
    <t>ASISTENCIA A LADRILLEROS</t>
  </si>
  <si>
    <t>MOVIMIENTOS SOCIALES</t>
  </si>
  <si>
    <t>MOVIMIENTOS PASTORALES</t>
  </si>
  <si>
    <t>DETALLE</t>
  </si>
  <si>
    <t>INTERIOR</t>
  </si>
  <si>
    <t>Casita Verde (B. de Astrada)</t>
  </si>
  <si>
    <t>Asociación Centro de Discapacitados</t>
  </si>
  <si>
    <t>Merendero Medalla Milagrosa</t>
  </si>
  <si>
    <t>A</t>
  </si>
  <si>
    <t>Asoc. de Malloneros San Expedito</t>
  </si>
  <si>
    <t>Belgrano 750</t>
  </si>
  <si>
    <t>Bº Ongay - Valdepeña y Güemes</t>
  </si>
  <si>
    <t>Merendero Medalla Milagrosa (Pamela Barrios)</t>
  </si>
  <si>
    <t>Asoc. de Malloneros San Expedito (Tomasa Franco)</t>
  </si>
  <si>
    <t>Rodríguez Peña 2274</t>
  </si>
  <si>
    <t>B</t>
  </si>
  <si>
    <t>Club Rana Itá Ibaté</t>
  </si>
  <si>
    <t>SAN EXPEDITO</t>
  </si>
  <si>
    <t>Bº IRUPE GRUPO 16 CASANº 10 (BOSTON E/ ROMA Y PIROVANO</t>
  </si>
  <si>
    <t>NTRA. SRA. DE LOURDES</t>
  </si>
  <si>
    <t>FUNDACION UNIDOS</t>
  </si>
  <si>
    <t>Bº La Tosquera - Río Paraná Cabo de Hornos y Canteros (a 1/2 cuadra de la Comisaría Nº 15)</t>
  </si>
  <si>
    <t>Bº RIO PARANA - CABO DE HORNOS Y ANT. ARGENTINA (COM. 3 DE ABRIL)</t>
  </si>
  <si>
    <t>ALBERDI 2323</t>
  </si>
  <si>
    <t>BARRIO POPULAR MANZANA K CASA 14 - CALLE QUINQUELA MARTIN AL 800.</t>
  </si>
  <si>
    <t>Asociación Civil Juventud Loretana</t>
  </si>
  <si>
    <t>C.P.M. Nº 5 "Niño Jesús"</t>
  </si>
  <si>
    <t>Merendero Rayo de Luz</t>
  </si>
  <si>
    <t>Comedor Nueva Esperanza</t>
  </si>
  <si>
    <t>Perugorría</t>
  </si>
  <si>
    <t>Merendero Carita Feliz</t>
  </si>
  <si>
    <t>San Mateo al 100 (atrás de la Comisaría - San Cayetano)</t>
  </si>
  <si>
    <t>SAN ROQUE OESTE Nº 78</t>
  </si>
  <si>
    <t>Delegacion de Paso de los Libres</t>
  </si>
  <si>
    <t>San Cayetano-S.Pquial Nº 77 RUTA 8 KM 5</t>
  </si>
  <si>
    <t xml:space="preserve">Merendero S - San Cayetano </t>
  </si>
  <si>
    <t>Capilla San Marcos (Hernán Cortéz 331)</t>
  </si>
  <si>
    <t>Cartagena 4090 (a media cuadra de Las Piedras)</t>
  </si>
  <si>
    <t>Merendero COIMAC</t>
  </si>
  <si>
    <t>La Casa de mi Hermano</t>
  </si>
  <si>
    <t>Iglesia Visión, Amor y Acción</t>
  </si>
  <si>
    <t>Bº Juan XXIII Pje. Las Flores 3289</t>
  </si>
  <si>
    <t>Pastor Medina</t>
  </si>
  <si>
    <t>Iglesia Jesús Vive</t>
  </si>
  <si>
    <t>Bº San Roque - Guayquiraró 4266</t>
  </si>
  <si>
    <t>Comedor Manito Solidaria</t>
  </si>
  <si>
    <t>Bº CESAREO NAVAJAS CALLE ARTURO ILLIA 1497 - CACERES NOELIA NORALI D.N.I. 36319504</t>
  </si>
  <si>
    <t>Merendero "Angel Fermisito"</t>
  </si>
  <si>
    <t>Km. 34 / Rta. 12 - El Sombrero (Empedrado)</t>
  </si>
  <si>
    <t>Asociación Hogar de Niños Filadelfia</t>
  </si>
  <si>
    <t>ACCION SOCIAL *</t>
  </si>
  <si>
    <t>MINORIDAD Y FAMILIA *</t>
  </si>
  <si>
    <t>Comedor Denis Ituzaingo</t>
  </si>
  <si>
    <t>Bº Paraná - Calle Madariaga y Mendoza.</t>
  </si>
  <si>
    <t>Beltrán 612</t>
  </si>
  <si>
    <t>CPM Nueva Semilla</t>
  </si>
  <si>
    <t>C.I.C. Dr. René Favaloro</t>
  </si>
  <si>
    <t>Asociación Civil Barrio San Antonio</t>
  </si>
  <si>
    <t>Comedor San Expedito</t>
  </si>
  <si>
    <t>Comedor Santa Lucía</t>
  </si>
  <si>
    <t>Liga de Fútbol Gral. Belgrano</t>
  </si>
  <si>
    <t>Comedor Madre Maravilla</t>
  </si>
  <si>
    <t>SAGRADA FAMILIA (Nº 49)</t>
  </si>
  <si>
    <t>LA TOSQUERA Nº 5</t>
  </si>
  <si>
    <t>Carita de Ángel</t>
  </si>
  <si>
    <t>SAGRADO CORAZON</t>
  </si>
  <si>
    <t>Bº Juan XXIII 32 Vdas Mza 638 Casa 11</t>
  </si>
  <si>
    <t>Corazón Contento</t>
  </si>
  <si>
    <t>Bº Patono 126 Vdas. Casa 107 (Calle Argentina)</t>
  </si>
  <si>
    <t>Nueva Esperanza</t>
  </si>
  <si>
    <t>Merendero Los Gurises de Virasoro</t>
  </si>
  <si>
    <t>Alem 350</t>
  </si>
  <si>
    <t>Merendero Los Ñanducitos</t>
  </si>
  <si>
    <t>TELEFONO</t>
  </si>
  <si>
    <t xml:space="preserve">Bº Virgen de los Dolores mza 2 casa 2 </t>
  </si>
  <si>
    <t xml:space="preserve">Vélez Sarfield y Sgo. del Estero </t>
  </si>
  <si>
    <t xml:space="preserve">PIZARRO 3400 </t>
  </si>
  <si>
    <t>Ríos, Isabel</t>
  </si>
  <si>
    <t>Pastor Cristian Telechea  / Angélica Telechea</t>
  </si>
  <si>
    <t>Valenzuela, Ricardo</t>
  </si>
  <si>
    <t xml:space="preserve">Pastor Pujol </t>
  </si>
  <si>
    <t xml:space="preserve">ROMERO, LUCIANO </t>
  </si>
  <si>
    <t xml:space="preserve">Bº Galván II-Sc 2 Casa 9 </t>
  </si>
  <si>
    <t>Bº Juan XXIII Ricardo Gutiérrez 3245</t>
  </si>
  <si>
    <t xml:space="preserve">Mario J. Payes S/N (Frente al PRI) </t>
  </si>
  <si>
    <t>Granada al 600</t>
  </si>
  <si>
    <t>20 de Mayo al 100</t>
  </si>
  <si>
    <t>Entre Bahía del Sol y Molina Punta - Calle 8 de Diciembre</t>
  </si>
  <si>
    <t>Bº Alta Gracia Manz. 52 Casa 16</t>
  </si>
  <si>
    <t xml:space="preserve">25 de Mayo s/n frente a la Plaza </t>
  </si>
  <si>
    <t xml:space="preserve">Riachuelo - 11 Leones / Cuarta Sección - Domínguez Marta D.N.I. Nº: 21.870.412. </t>
  </si>
  <si>
    <t xml:space="preserve">Bº San Martín, bajar por Ruta Nac. 118 km 48 (2º Entrada a Tabay - Ermita de la Virgen de Luján - Galpones verdes de Coqui Palacio) Zunilda Palacio </t>
  </si>
  <si>
    <t xml:space="preserve">Ruta Nac. 118 km 49 (cerca Esc. Nº 211 - Adolfo Alvarez </t>
  </si>
  <si>
    <t xml:space="preserve">Gral. Ramírez N° 753 - Sr Ojeda </t>
  </si>
  <si>
    <t>Santiago del Estero 710</t>
  </si>
  <si>
    <t xml:space="preserve">25 de Mayo 480. Analía Ramírez </t>
  </si>
  <si>
    <t xml:space="preserve">Bº Avá Rapé e/ Villegas y 7 de Diciembre - Norberto Ramírez </t>
  </si>
  <si>
    <t xml:space="preserve">Ruta 12 km 1275 Luis Alberto Santibañez </t>
  </si>
  <si>
    <t xml:space="preserve">Chacabuco y Sgto. Cabral - Andrea Ganduya </t>
  </si>
  <si>
    <t>Av. San Martín (dentro del predio de Estación Sanitaria) Ana Galván / Graciela Insaurralde)</t>
  </si>
  <si>
    <t>CIC Bº Matadero (Jimena Vallejos)</t>
  </si>
  <si>
    <t xml:space="preserve">25 de mayo S/N </t>
  </si>
  <si>
    <t xml:space="preserve"> B° Vuelta del Ombú - Héroes de Malvinas Tomás Polonio Ávalos </t>
  </si>
  <si>
    <t>M.F. Mantilla 669 (Silvia Alezzandri)</t>
  </si>
  <si>
    <t>3794-204031  (Vanina Pavón)</t>
  </si>
  <si>
    <t>3786-511681 (Silvia Belarde)</t>
  </si>
  <si>
    <t>3777-554922 (Erika Carrasco)</t>
  </si>
  <si>
    <t>3794-037428 (Mónica Ortiz)</t>
  </si>
  <si>
    <t>3777-538746 (María Maciel)</t>
  </si>
  <si>
    <t>3794-922748 (Esther Bramante)</t>
  </si>
  <si>
    <t>3795-041166 (Norma Ramírez)</t>
  </si>
  <si>
    <t>3756-430830 (Sonia)</t>
  </si>
  <si>
    <t>3756-568184 (Kevin Quiróz)</t>
  </si>
  <si>
    <t>3795-014755 (Gisela Rodríguez)</t>
  </si>
  <si>
    <t>237 Vdas Sector A Casa 62 (calle Argentina y Bonastre)</t>
  </si>
  <si>
    <t>Delegación Desarrollo Social (Santa Lucía)</t>
  </si>
  <si>
    <t>Plácido Martínez y Colón - César Heine</t>
  </si>
  <si>
    <t>TOTAL</t>
  </si>
  <si>
    <t>Comedor Capilla San Cayetano</t>
  </si>
  <si>
    <t>Comedor Santa Lucía II</t>
  </si>
  <si>
    <t>Bº 17 de Agosto Sc. 9 Mza 53 Casa 16 (calle Sánchez de Bustamante)</t>
  </si>
  <si>
    <t>Merendero San Justo</t>
  </si>
  <si>
    <t>Bº ESPERANZA Lote B Casa 8 (frente al Vivero Municipal)</t>
  </si>
  <si>
    <t>Merendero Porá</t>
  </si>
  <si>
    <t>Merendero Santa Catalina</t>
  </si>
  <si>
    <t>Bº Santa Catalina - Cruz Mayor S/N</t>
  </si>
  <si>
    <t>3777-541427 (Susana Fernández)</t>
  </si>
  <si>
    <t>Club Lipton</t>
  </si>
  <si>
    <t>Av. Alberdi 2267</t>
  </si>
  <si>
    <t>Barrientos, Norma Beatríz</t>
  </si>
  <si>
    <t>Barberan, Elizabet</t>
  </si>
  <si>
    <t>Estiveros,  Sandra</t>
  </si>
  <si>
    <t xml:space="preserve">JOKMANOVICH, ROSSANA </t>
  </si>
  <si>
    <t>Sánchez, Estela</t>
  </si>
  <si>
    <t xml:space="preserve">SERVETTI, JUAN RAMON </t>
  </si>
  <si>
    <t>NUÑEZ, ANTONIA REGINA</t>
  </si>
  <si>
    <t>LOPEZ, NORMA-TOLEDO, ALEJANDRO</t>
  </si>
  <si>
    <t>BERNIE, JOSE LUIS</t>
  </si>
  <si>
    <t>BOGADO, ROSARIO</t>
  </si>
  <si>
    <t>ALDERETE, PABLO ALFREDO</t>
  </si>
  <si>
    <t>ALEGRE, CLAUDIA DEL PILAR</t>
  </si>
  <si>
    <t xml:space="preserve">Navarro, Tomasa </t>
  </si>
  <si>
    <t>Giménez, Florentino</t>
  </si>
  <si>
    <t>CORREA, ALFREDO SIMON</t>
  </si>
  <si>
    <t>Gómez, Oscar</t>
  </si>
  <si>
    <t>YEDRO, ELVA ITATI</t>
  </si>
  <si>
    <t>VALLEJOS, RITA ISABEL</t>
  </si>
  <si>
    <t xml:space="preserve">López Miranda, Micaela Daiana </t>
  </si>
  <si>
    <t>Roa, Domingo</t>
  </si>
  <si>
    <t>VILLALBA, SUSANA DIONISIA</t>
  </si>
  <si>
    <t>GILES, ISABEL</t>
  </si>
  <si>
    <t>ACOSTA, DAVID SIXTO</t>
  </si>
  <si>
    <t>CERDAN, CELESTINA</t>
  </si>
  <si>
    <t xml:space="preserve">Benítez, Paola </t>
  </si>
  <si>
    <t xml:space="preserve">VALLEJOS, ESTHER  </t>
  </si>
  <si>
    <t xml:space="preserve">Silva, Gladis  </t>
  </si>
  <si>
    <t>Falcón, Gladis Itatí</t>
  </si>
  <si>
    <t>VERON, RAQUEL</t>
  </si>
  <si>
    <t>Ramírez, Rita</t>
  </si>
  <si>
    <t>GONZALEZ, LORENZA</t>
  </si>
  <si>
    <t>MARMILICH, ELSA</t>
  </si>
  <si>
    <t>ESCOBAR, ALEJANDRO</t>
  </si>
  <si>
    <t xml:space="preserve">Ferreira, Vanina </t>
  </si>
  <si>
    <t>MARTINEZ METZGER, LUCIA</t>
  </si>
  <si>
    <t>LENCINA URBINA, MARIO</t>
  </si>
  <si>
    <t>Ortiz, Natalio</t>
  </si>
  <si>
    <t xml:space="preserve">López , Alicia </t>
  </si>
  <si>
    <t xml:space="preserve">Ojeda, Zulma </t>
  </si>
  <si>
    <t>MORALES, ANTONIA</t>
  </si>
  <si>
    <t>GONZALEZ, NORMA</t>
  </si>
  <si>
    <t>SANCHEZ, MARIA MERCEDES</t>
  </si>
  <si>
    <t>SAME, TOMASA</t>
  </si>
  <si>
    <t>Alfonso, Adriana Isabel</t>
  </si>
  <si>
    <t xml:space="preserve">Gallardo, José  </t>
  </si>
  <si>
    <t>Alderete, Héctor Omar</t>
  </si>
  <si>
    <t>Gadea, Susana</t>
  </si>
  <si>
    <t>Gómez, Nidia del Carmen</t>
  </si>
  <si>
    <t>Valdéz, Tomasa</t>
  </si>
  <si>
    <t>Olivera, Pascual</t>
  </si>
  <si>
    <t>Gómez, Angel Ramón</t>
  </si>
  <si>
    <t>Moreyra, Dominga</t>
  </si>
  <si>
    <t>Pelozo, Liliana</t>
  </si>
  <si>
    <t>CABRAL, RUBEN DARIO</t>
  </si>
  <si>
    <t>BARRIENTOS, YOLANDA</t>
  </si>
  <si>
    <t>MARTINEZ, SANDRA ELISABET</t>
  </si>
  <si>
    <t>BARRIOS, CLAUDIA ITATI</t>
  </si>
  <si>
    <t>Ramírez, Cristina</t>
  </si>
  <si>
    <t>ROLDAN, ANTONIA</t>
  </si>
  <si>
    <t>BAZANTE, SANDRA TERESA DEL C.</t>
  </si>
  <si>
    <t>CABRERA, ELENA ROSA</t>
  </si>
  <si>
    <t>RETAMOZO, ANTONIA</t>
  </si>
  <si>
    <t xml:space="preserve">Almeida, Fernando </t>
  </si>
  <si>
    <t>LESCANO, VILMA</t>
  </si>
  <si>
    <t xml:space="preserve">Cáceres, Ester Dominga </t>
  </si>
  <si>
    <t>DIAZ, ISABEL</t>
  </si>
  <si>
    <t xml:space="preserve">VILLALVA, RICARDO </t>
  </si>
  <si>
    <t>SALINAS, RITA ANGELICA</t>
  </si>
  <si>
    <t>SANCHEZ, TERESITA MIRTA</t>
  </si>
  <si>
    <t>AGUILAR, EDIT NOEMI</t>
  </si>
  <si>
    <t xml:space="preserve">Figuerero, Claudia </t>
  </si>
  <si>
    <t>ACOSTA, SUSANA</t>
  </si>
  <si>
    <t>ZABALA, OLGA</t>
  </si>
  <si>
    <t>GAUNA, REIMUNDO</t>
  </si>
  <si>
    <t>ZARACHO, MIRTA</t>
  </si>
  <si>
    <t xml:space="preserve">RIOS, WALTER HORACIO </t>
  </si>
  <si>
    <t>GUTIERREZ, RAMON</t>
  </si>
  <si>
    <t>NAVARRO, MERCEDES BEATRIZ</t>
  </si>
  <si>
    <t>Lugo, Nélida</t>
  </si>
  <si>
    <t xml:space="preserve">ZALAZAR, ANA MARIA </t>
  </si>
  <si>
    <t>Bº INDUSTRIAL Valentin Gómez 55</t>
  </si>
  <si>
    <t>Merendero Divino Niño</t>
  </si>
  <si>
    <t>Bº SAN GERONIMO   Domingo Lastra Nº770 y Juan Ramon Gimenez - Nº 8</t>
  </si>
  <si>
    <t>Merendero La Providencia II</t>
  </si>
  <si>
    <t>Sotomayor, Alcides</t>
  </si>
  <si>
    <t>Bº Quinta Ferré - Zacarías Sánchez 460 Sector 8 Casa 8</t>
  </si>
  <si>
    <t>Merendero Ntra. Sra. de Guadalupe</t>
  </si>
  <si>
    <t>Los Guaraníes 3115</t>
  </si>
  <si>
    <t>Pérez Cháves, Haydée</t>
  </si>
  <si>
    <t>Comedor Nueva Esperanza (ITATI)</t>
  </si>
  <si>
    <t>Delegación de Desarrollo Social Santo Tomé</t>
  </si>
  <si>
    <t>Hipólito Yrigoyen 876</t>
  </si>
  <si>
    <t>3756-417328 (Augusto Suaid)</t>
  </si>
  <si>
    <t>Asociación Civil Club Social y Deportivo Gaucho Gil</t>
  </si>
  <si>
    <t>Cnia. El Caimán Ruta Nac. 118 km 116 (cabina de teléfono)</t>
  </si>
  <si>
    <t>3794-750511 (Sergio Miño)</t>
  </si>
  <si>
    <t>Cnia. El Caimán</t>
  </si>
  <si>
    <t>3794-075879 (Carolina Fernández)</t>
  </si>
  <si>
    <t>Comedor Stella Maris</t>
  </si>
  <si>
    <t>Mayol, Mirta</t>
  </si>
  <si>
    <t>C.C.I. Caridi Nº 11</t>
  </si>
  <si>
    <t>Bº CARIDI - Ibañez y Suipacha (Nº 2200)</t>
  </si>
  <si>
    <t>Merendero Cap. Santos Francisco y Jacinta Pastorcito de Fátima</t>
  </si>
  <si>
    <t xml:space="preserve">Bº 3 de Abril-Cabo de Hornos al sur E/Fray IgnacioMarti y Portay calle Juan de Dios Gómez </t>
  </si>
  <si>
    <t xml:space="preserve">Castillo, Liliana  </t>
  </si>
  <si>
    <t>st</t>
  </si>
  <si>
    <t>Iglesia Soldados de Jesús II</t>
  </si>
  <si>
    <t>Bº Juan XXIII Pje.Callao 3719</t>
  </si>
  <si>
    <t>Pastor Torales</t>
  </si>
  <si>
    <t>Espacio de Primera Infancia (EPI) "Dulces Sueños</t>
  </si>
  <si>
    <t xml:space="preserve">Merendero "Ministerio, Poder y Potencia de Dios" </t>
  </si>
  <si>
    <t>Escuela ERAGIA</t>
  </si>
  <si>
    <t>Ruta 12 Km 1031</t>
  </si>
  <si>
    <t>Payes, Leopoldo José</t>
  </si>
  <si>
    <t>ONG RED MUNDIAL</t>
  </si>
  <si>
    <t>Bº Entel - Alberdi s/n -  Casa Nº 8 e/ Pedro Mola y 9 de Julio</t>
  </si>
  <si>
    <t>Capilla San Ignacio de Loyola (Nº 72)</t>
  </si>
  <si>
    <t>Bº ITATI   Amado Bonpland Nº 395  Sec 3  Casa 32</t>
  </si>
  <si>
    <t>Capilla Virgen del Carmen (Nº 19)</t>
  </si>
  <si>
    <t>Caritas Sucias (Nº 44)</t>
  </si>
  <si>
    <t>Bº PLACIDO MARTINEZ - Bonpland sec E casa 22</t>
  </si>
  <si>
    <t>Comedor Eyú Karú Porá</t>
  </si>
  <si>
    <t>Grupo de Pastores UPCC</t>
  </si>
  <si>
    <t>Morinigo, Marcela (28903647)</t>
  </si>
  <si>
    <t>Bº Cichero Mza 5 D casa 17</t>
  </si>
  <si>
    <t>APADEM (Asoc. Padres y Amigos del Discap. Mental)</t>
  </si>
  <si>
    <t>Corazón Contento de Arenruguá</t>
  </si>
  <si>
    <t xml:space="preserve">Capilla Virgen de Lujan </t>
  </si>
  <si>
    <t>Gómez, María Mercedes. DNI: 20676211</t>
  </si>
  <si>
    <t>C.P.M. Nº 33 Angel de la Guarda</t>
  </si>
  <si>
    <t>PADRE LEONARDO ENRIQUE GUEDES</t>
  </si>
  <si>
    <t>Cinthia Capelli</t>
  </si>
  <si>
    <t>Merendero San Jorge</t>
  </si>
  <si>
    <t>Mercedes Godoy</t>
  </si>
  <si>
    <t>Basilica de Itatí</t>
  </si>
  <si>
    <t>Monseñor Luis Niella 340</t>
  </si>
  <si>
    <t>Comedor Manuel Derqui</t>
  </si>
  <si>
    <t>Derqui</t>
  </si>
  <si>
    <t>B° Facundo Quiroga Mz A Casa 13 y Av 2 de abril</t>
  </si>
  <si>
    <t>Merendero Don Juan</t>
  </si>
  <si>
    <t>B° La Providencia. Esquina</t>
  </si>
  <si>
    <t>Maipú 129</t>
  </si>
  <si>
    <t>Organización Conciencia Popular</t>
  </si>
  <si>
    <t>Bº Molina Punta – Calle Pasionaria y Río Dulce</t>
  </si>
  <si>
    <t>Ivana Medina</t>
  </si>
  <si>
    <t>Movimiento Obrero</t>
  </si>
  <si>
    <t>Merendero Niños Felices II</t>
  </si>
  <si>
    <t>Bº Quintana – calle 510 y Milán</t>
  </si>
  <si>
    <t>Movimiento MIDJ</t>
  </si>
  <si>
    <t>Roxana Cardozo</t>
  </si>
  <si>
    <t>Bº Lomas – Ruta 5 Km 1 (entrada frente a la YPF Pacheco)</t>
  </si>
  <si>
    <t>Alberdi e/ Ituzaingó y Paraguay (Itá Ibaté)</t>
  </si>
  <si>
    <t>Barrio Seminario - EEUU y Río Paraná</t>
  </si>
  <si>
    <t>Comedor Pancita Llena</t>
  </si>
  <si>
    <t>Villalba, Emilce</t>
  </si>
  <si>
    <t>Sgo. del Estero 353 (Capilla San Martín de Porres)</t>
  </si>
  <si>
    <t>Loreto</t>
  </si>
  <si>
    <t>Iglesia Renacer</t>
  </si>
  <si>
    <t>Bartolomé Mitre y Salta s/n</t>
  </si>
  <si>
    <t>Alfonzo Walter Cel: 3794-665175/ Alegre Carina, Cel: 3794-597317</t>
  </si>
  <si>
    <t>Barrio 3 de Abril MZ. D Casa Nº 17 Grupo 21 Viv</t>
  </si>
  <si>
    <t xml:space="preserve">Juan Bautista Cabral 045 </t>
  </si>
  <si>
    <t>RAMIREZ, SILVIA VERÓNICA</t>
  </si>
  <si>
    <t>3782-525745 (Marcelo Otazo) - 3782-510835 (Lourdes Pereyra)</t>
  </si>
  <si>
    <t>Organización Social Libres del Sur</t>
  </si>
  <si>
    <t>C.I.C. de la localidad de Bella Vista</t>
  </si>
  <si>
    <t>Barrio 3 de Abril- Mendoza al Sur S/N (frente a Cancha Coca Cola)</t>
  </si>
  <si>
    <t>Silva, Noelia Soledad</t>
  </si>
  <si>
    <t>Movimiento Libre del Sur</t>
  </si>
  <si>
    <t>Madariaga 288</t>
  </si>
  <si>
    <t>Jesica Itatí Lorenza Salvani</t>
  </si>
  <si>
    <t>Marisa Beatriz Almirón</t>
  </si>
  <si>
    <t>Dto. de Bella Vista</t>
  </si>
  <si>
    <t>Dto. de Berón de Astrada</t>
  </si>
  <si>
    <t>Dto. de Concepción</t>
  </si>
  <si>
    <t>Dto. de Curuzú Cuatiá</t>
  </si>
  <si>
    <t>Dto. de Empedrado</t>
  </si>
  <si>
    <t>Dto. de Esquina</t>
  </si>
  <si>
    <t>Dto. de Goya</t>
  </si>
  <si>
    <t>Dto. de Itatí</t>
  </si>
  <si>
    <t>Dto. de Ituzaingó</t>
  </si>
  <si>
    <t>Dto. de Lavalle</t>
  </si>
  <si>
    <t>Dto. de Mburucuyá</t>
  </si>
  <si>
    <t>Dto. de Mercedes</t>
  </si>
  <si>
    <t>Dto. de Monte Caseros</t>
  </si>
  <si>
    <t>Dto. de Paso de los Libres</t>
  </si>
  <si>
    <t>Dto. de Saladas</t>
  </si>
  <si>
    <t>Dto. de San Cosme</t>
  </si>
  <si>
    <t>Dto. de San Luis del Palmar</t>
  </si>
  <si>
    <t>Dto. de San Martín</t>
  </si>
  <si>
    <t>Dto. de San Miguel</t>
  </si>
  <si>
    <t>Dto. de San Roque</t>
  </si>
  <si>
    <t>Dto. de Santo Tomé</t>
  </si>
  <si>
    <t>Dto. de Sauce</t>
  </si>
  <si>
    <t>San Luis del Palmar</t>
  </si>
  <si>
    <t>Maximiliano Morales</t>
  </si>
  <si>
    <t>J.R. Vidal Nº 2688</t>
  </si>
  <si>
    <t xml:space="preserve">Bº LOMAS DEL MIRADOR - Granada 700 esquina Sevilla (Ex Calle 11) </t>
  </si>
  <si>
    <t>Luis Aníbal López</t>
  </si>
  <si>
    <t>Delegación Desarrollo Social de Perugorría</t>
  </si>
  <si>
    <t>Pedro Nolasco S/N</t>
  </si>
  <si>
    <t>B° Belgrano Mz 133 calle Juan Curi entre Remedio de Escalada y Manuel Ocampo</t>
  </si>
  <si>
    <t>Rivadavia y H. Amarilla</t>
  </si>
  <si>
    <t>Barrio Belgrano Mz G Casa 1</t>
  </si>
  <si>
    <t>Ocampo, Miriam Matilde (Cel.11-2338-9298)</t>
  </si>
  <si>
    <t>Comedor Neneco</t>
  </si>
  <si>
    <t>Pasaje Lujambio Nº 180</t>
  </si>
  <si>
    <t>Romero, Alejandra Karina</t>
  </si>
  <si>
    <t>Movimiento Libre del Sur (Goya)</t>
  </si>
  <si>
    <t>Comedor Los Niños por una Sonrisa</t>
  </si>
  <si>
    <t>Villafañe Yedro, Analía Natalia</t>
  </si>
  <si>
    <t>Comedor Papa Francisco</t>
  </si>
  <si>
    <t>Comedor San Martín de Porres</t>
  </si>
  <si>
    <t>Silva, Ramona</t>
  </si>
  <si>
    <t>Lencinas, Francisco</t>
  </si>
  <si>
    <t>Comedor Santa Catalina</t>
  </si>
  <si>
    <t>Comedor Pequeño Milagro</t>
  </si>
  <si>
    <t>Comedor Barriguita Feliz</t>
  </si>
  <si>
    <t>C.P.C. Paloma de la Paz</t>
  </si>
  <si>
    <t>Comedor Pancita Feliz</t>
  </si>
  <si>
    <t>José María Rolón 2356</t>
  </si>
  <si>
    <t>Pereyra, Norma Angéli</t>
  </si>
  <si>
    <t>Rabez, Elcira Elizabet</t>
  </si>
  <si>
    <t>Ferreyra, Karina</t>
  </si>
  <si>
    <t>Olegaria Orrego</t>
  </si>
  <si>
    <t>C.P.M. Nº 2 "Anahí"</t>
  </si>
  <si>
    <t>MINISTERIO DE JUSTICIA *</t>
  </si>
  <si>
    <t>Mtrio. de Justicia</t>
  </si>
  <si>
    <t>ORGANISMO</t>
  </si>
  <si>
    <t>MIN. Y FLIA.</t>
  </si>
  <si>
    <t>TIPO DE RECEPTOR</t>
  </si>
  <si>
    <t>TOTAL RACIONES DIAS</t>
  </si>
  <si>
    <t>comidas</t>
  </si>
  <si>
    <t>TOTAL PUNTOS DE BAJADA*</t>
  </si>
  <si>
    <t>TOTAL DEPENDIENTES *</t>
  </si>
  <si>
    <t>Dto. de General Paz</t>
  </si>
  <si>
    <t>López Miranda, Ailin Melanie Milagros</t>
  </si>
  <si>
    <t>Comedor y merendero "Mamá Ata"</t>
  </si>
  <si>
    <t>López, Susana Elizabeth</t>
  </si>
  <si>
    <t>Comedor y merendero " Sol"</t>
  </si>
  <si>
    <t>Sánchez, Romina Belén</t>
  </si>
  <si>
    <t>Romero, Ramona</t>
  </si>
  <si>
    <t>Merendero Los Kunumies</t>
  </si>
  <si>
    <t>Aguirre, Norma Liliana</t>
  </si>
  <si>
    <t>Bº La Chola calle S/N entre Gato y Mancha y Argentina</t>
  </si>
  <si>
    <t>García, Analía</t>
  </si>
  <si>
    <t xml:space="preserve">Miranda,Lidia Beatriz  </t>
  </si>
  <si>
    <t xml:space="preserve">Miranda,Lidia Beatriz </t>
  </si>
  <si>
    <t>Díaz, Leticia - Ramirez Mirta</t>
  </si>
  <si>
    <t>LOPEZ, PEDRO - Gladys Araujo</t>
  </si>
  <si>
    <t>Claudia Beatriz Báez - Luis Vozza</t>
  </si>
  <si>
    <t>Clara Adance - Mayal Maria del Carmen</t>
  </si>
  <si>
    <t xml:space="preserve">Romero, Angel - Benita Catalina Ozuna </t>
  </si>
  <si>
    <t>Catougno, Analía</t>
  </si>
  <si>
    <t>OJEDA, MERCEDES - Belén Molina</t>
  </si>
  <si>
    <t>RAMIREZ, RAMON - Beronia González</t>
  </si>
  <si>
    <t>Caplan, María Paula</t>
  </si>
  <si>
    <t>VALLEJOS, JULIO ANTONIO - Olivares Mercedes</t>
  </si>
  <si>
    <t>GONZALEZ, FELISA - Olivares Mercedes</t>
  </si>
  <si>
    <t>BLANCO, RAMON ANDRES - García Lidia</t>
  </si>
  <si>
    <t>VANDECAVEYE, ANTONIO - Cardozo Nilda</t>
  </si>
  <si>
    <t xml:space="preserve">Mambrin Carmen </t>
  </si>
  <si>
    <t>MEDINA, PEDRO ALBERTO  - Barrios Pamela</t>
  </si>
  <si>
    <t>PÉREZ MARÍA ANTONIA - Benitez Alejandra</t>
  </si>
  <si>
    <t>Mendoza, Haidé</t>
  </si>
  <si>
    <t>Vallejos, Néstor Horacio - Ramirez Silvia</t>
  </si>
  <si>
    <t>Aderete Hector Omar</t>
  </si>
  <si>
    <t>Vera, Ramón Esteban</t>
  </si>
  <si>
    <t>Navorrete Augusto - González, Carmen</t>
  </si>
  <si>
    <t>Zalazar, Lucio - Pereira Zunilda</t>
  </si>
  <si>
    <t>CUENCA, SANTA MARIA DE ASIS - Marzoratti Elba</t>
  </si>
  <si>
    <t>MOLINA, JOSE RAMON - Soto, Ramona</t>
  </si>
  <si>
    <t>Romero, Raúl</t>
  </si>
  <si>
    <t>De los Santos, Nicolás</t>
  </si>
  <si>
    <t>López, Ramón</t>
  </si>
  <si>
    <t>Miño, Sandra</t>
  </si>
  <si>
    <t>Ruíz Díaz, Miguel</t>
  </si>
  <si>
    <t>Aguirre, Sandra</t>
  </si>
  <si>
    <t>Robledo, Ramón</t>
  </si>
  <si>
    <t>Romero, María Antonia</t>
  </si>
  <si>
    <t>Avasolo, Julio</t>
  </si>
  <si>
    <t>Soto, Oscar</t>
  </si>
  <si>
    <t>Lencina , Marta del carmen</t>
  </si>
  <si>
    <t>Martínez, Héctor</t>
  </si>
  <si>
    <t>Acuña, Daniela</t>
  </si>
  <si>
    <t>González, Zulema</t>
  </si>
  <si>
    <t>Zelaya, Sandra</t>
  </si>
  <si>
    <t>Fontela, María de los Ángeles</t>
  </si>
  <si>
    <t xml:space="preserve">Cabrera, Luisa Valentina </t>
  </si>
  <si>
    <t>Medina, María</t>
  </si>
  <si>
    <t>Vanesa, Salica</t>
  </si>
  <si>
    <t>Lafuente, Myriam</t>
  </si>
  <si>
    <t>Miranda, Catalina Antonia</t>
  </si>
  <si>
    <t>García, Miguelina</t>
  </si>
  <si>
    <t>Romero, Ramón</t>
  </si>
  <si>
    <t>Sor. Margarita Arque</t>
  </si>
  <si>
    <t xml:space="preserve">Hna. Antonella Maciel </t>
  </si>
  <si>
    <t>Yanina- directora</t>
  </si>
  <si>
    <t>Godoy, Miriam Belén</t>
  </si>
  <si>
    <t>Romero, Nancy</t>
  </si>
  <si>
    <t>Yufimchuk, Carmen</t>
  </si>
  <si>
    <t xml:space="preserve">Zibelman, Laura </t>
  </si>
  <si>
    <t>Benitez, Monica</t>
  </si>
  <si>
    <t>Acevedo, Alicia</t>
  </si>
  <si>
    <t>Monzón, Veronica</t>
  </si>
  <si>
    <t>Marin, Clelia Ester</t>
  </si>
  <si>
    <t>Romero, Claudia</t>
  </si>
  <si>
    <t>Vallejos, Teresita</t>
  </si>
  <si>
    <t>Azula, Mirta Alejandra</t>
  </si>
  <si>
    <t>Sanchez Andrea Edith</t>
  </si>
  <si>
    <t>Mersch, Raquel</t>
  </si>
  <si>
    <t>Billordo, Mariel</t>
  </si>
  <si>
    <t xml:space="preserve">Gimenez Yoana Marisol </t>
  </si>
  <si>
    <t xml:space="preserve">Flores Morel Lorena </t>
  </si>
  <si>
    <t>SAEZ, JAVIER  / Carolina</t>
  </si>
  <si>
    <t>Romero, Eva</t>
  </si>
  <si>
    <t>Castellari</t>
  </si>
  <si>
    <t>Comedor Fundación Animar</t>
  </si>
  <si>
    <t>B° Cacique Canindeyú - Goya N° 19</t>
  </si>
  <si>
    <t>B° Cacique Canindeyú - Goya N° 20</t>
  </si>
  <si>
    <t>Codazzi, Luis</t>
  </si>
  <si>
    <t>Com. Hermana Cristina Rosa Mística</t>
  </si>
  <si>
    <t xml:space="preserve">Com. Nuestra Sra. De Luján </t>
  </si>
  <si>
    <t>Comedor Ntra. Señora de Itatí</t>
  </si>
  <si>
    <t>Comedor Rincón de Luz y Doña Beba</t>
  </si>
  <si>
    <t>Lucrecia Ríos</t>
  </si>
  <si>
    <t>María Conti (CCC)</t>
  </si>
  <si>
    <t>Merendero La Edad Feliz</t>
  </si>
  <si>
    <t>Mi Bello Ángel Edgardo Gastón Benítez</t>
  </si>
  <si>
    <t>Pastorcito de Fátima</t>
  </si>
  <si>
    <t>Bº Ex Aero Club Sarmiento 2985 - Nº 24</t>
  </si>
  <si>
    <t xml:space="preserve">Bº Río Parana Mocoretá S/N </t>
  </si>
  <si>
    <t xml:space="preserve">Bº Dr. MONTAÑA - Conte y Lara </t>
  </si>
  <si>
    <t>Bº Galván - Piragini Niveyro y Av. 3 de Abril/ detrás del sap Bº Galvan II (Nº 18)</t>
  </si>
  <si>
    <t>Bº RIO PARANA  ALTA GRACIA Y CABO DE HORNO - Nº 53</t>
  </si>
  <si>
    <t>Bº Apipé, Colodrero y Sicilia</t>
  </si>
  <si>
    <t>Bº BAÑADO SUR - Cabo de Hornos 4000</t>
  </si>
  <si>
    <t>Bº SANTA MARTA -J.R. Vidal 4100 - Nº 69</t>
  </si>
  <si>
    <t>Los Tehuelches y Matacos - Bº San Antonio Oeste (Tunuyán 3376)</t>
  </si>
  <si>
    <t>Bº QUINTA FERRE ZACARIAS SANCHEZ S/N - Nº 50</t>
  </si>
  <si>
    <t>Bª PONCE  VIEJO - Vazquez esquina Moresi</t>
  </si>
  <si>
    <t>Bº GALVAN Alberdi 2979 - Nº 19</t>
  </si>
  <si>
    <t>Bº Virgen de los Dolores. Mz. 4. Casa 3, Calle Cabeza de Vaca</t>
  </si>
  <si>
    <t>Bº Bañado Norte Calle Colombia 86, Mz 9 Lote</t>
  </si>
  <si>
    <t>Santiago del Estero Nº 353 esquina Juncal.</t>
  </si>
  <si>
    <t>Bº Sargento Cabral - Calle Irala Nº 2470</t>
  </si>
  <si>
    <t>Bº Galván II MZ F 3 Casa 15</t>
  </si>
  <si>
    <t>Bº Quilmes, Hernandaria y Río Parana (DESCARGAR EN ALBERDI Nº 2792)</t>
  </si>
  <si>
    <t>Bº Bañado Sur, por calle Dr. Leloir MZ. 10 lote 16</t>
  </si>
  <si>
    <t>Bº Bañado Sur, por calle Dr. Leloir MZ. 10 lote 17</t>
  </si>
  <si>
    <t>Bº ASENTAMIENTO PATONO I - FACUNDO QUIROGA 967</t>
  </si>
  <si>
    <t>Bº Lomas del Mirador - Zaragoza al 599</t>
  </si>
  <si>
    <t>Bº Lomas del Mirador - Zaragoza al 600</t>
  </si>
  <si>
    <t>Bº GALVÁN - RIO IGUAZÚ Y GARCILAZO DE LA VEGA (FRENTE DE LA DELEGACIÓN DEL BARRIO GALVÁN)</t>
  </si>
  <si>
    <t>Bº Colombia Granaderos Sector 1 Casa 23 Mz. D</t>
  </si>
  <si>
    <t>Bº Progreso - Matheu Nº 2738</t>
  </si>
  <si>
    <t>Bº Arazaty - Gral Paz Nº 120</t>
  </si>
  <si>
    <t>Bº Esperanza - 70 Viv. - MZ L2  - Casa 10</t>
  </si>
  <si>
    <t>Bº Río Parana - Pje. Tosquera y Mocoretá</t>
  </si>
  <si>
    <t>Bº Pujol - Mz 11 / Casa 4 / Calle 24 de Agosto</t>
  </si>
  <si>
    <t xml:space="preserve">Bº Río Paraná - Cabo de Hornos al fondo (Tanque) </t>
  </si>
  <si>
    <t>Bº Santa Marta - J. R. Vidal al 4100 (al lado de la capilla)</t>
  </si>
  <si>
    <t>Bº Lomas del Mirador Seca del Puente Verde</t>
  </si>
  <si>
    <t>Bº PIRAYUÍ - CUBA 5428</t>
  </si>
  <si>
    <t>Bº Juan XXII - Gato y Mancha Nº 1150</t>
  </si>
  <si>
    <t>Bº Quintana. Mz 143 A. Grupo 2. Casa 14</t>
  </si>
  <si>
    <t>Bº La Chola calle Crespo y Argentina al 2000</t>
  </si>
  <si>
    <t>Zárate 3400</t>
  </si>
  <si>
    <t>Bº SOL DE MAYO   Angel Navea 3698</t>
  </si>
  <si>
    <t>Bº PATONO 51 VIV.  Mz  B Casa  6                   Nº 87</t>
  </si>
  <si>
    <t>Bº LAGUNA BRAVA  - calle 6 de Mayo y Ruta 5 km 7              Nº 27</t>
  </si>
  <si>
    <t>Bº Colombia Granadero,calle Garcia de Cossio 2755</t>
  </si>
  <si>
    <t>Bº PIRAYUI - Cuba y Nápoles                      Nº 43</t>
  </si>
  <si>
    <t>Bº SAN MARTIN  - Salta y Tte Ibañez            Nº 59</t>
  </si>
  <si>
    <t>Bº QUILMES - Zarate 3400</t>
  </si>
  <si>
    <t>Bº SAN MARCOS, Maipú y Roque Pérez</t>
  </si>
  <si>
    <t>Bº Cichero Roca y Río Paraná</t>
  </si>
  <si>
    <t>Bº VILLA GARCIA, Pje. París 4087</t>
  </si>
  <si>
    <t>Bº MOLINA PUNTA, Taitalo s/n</t>
  </si>
  <si>
    <t>3777-479009 (Graciela Lujan Gek)</t>
  </si>
  <si>
    <t>3777-304595 (Soto Sandra Leticia)</t>
  </si>
  <si>
    <t>3777-310761 (Fany Rolon)</t>
  </si>
  <si>
    <t>3777-609978 (Juan Insaurralde)</t>
  </si>
  <si>
    <t>3777-543472 (Carolina Zalazar)</t>
  </si>
  <si>
    <t>3794-237319 (Hugo Daniel Cerdan)</t>
  </si>
  <si>
    <t>3794652143 (Celida Noemí Voulquin)</t>
  </si>
  <si>
    <t>3794-273201 (Sandra Correa)</t>
  </si>
  <si>
    <t>3794-153881 (Lidia Esther Villan)</t>
  </si>
  <si>
    <t>3794-631346 (Claudia Roa)</t>
  </si>
  <si>
    <t>3794-002572 (Graciela González)</t>
  </si>
  <si>
    <t>3795-153281 (Marta Dominguez)</t>
  </si>
  <si>
    <t>3794-566852 (Celia Beatriz Maidana)</t>
  </si>
  <si>
    <t>3782-486684 (Zunilda Palacio )</t>
  </si>
  <si>
    <t>3794-347342 (Andrea Edith Sanchez)</t>
  </si>
  <si>
    <t>3795-160547 (Ramona Mercedes Cardozo)</t>
  </si>
  <si>
    <t>3774-402063 (Ariel Vallejos)</t>
  </si>
  <si>
    <t>3774-465885 (Carmen Marticorena)</t>
  </si>
  <si>
    <t>3774-465021 (Amalia Andrea Silva)</t>
  </si>
  <si>
    <t>3794-722934 (Martinez Silvia Noemi)</t>
  </si>
  <si>
    <t>3774-634021 (Daniel Ojeda)</t>
  </si>
  <si>
    <t>3774-630197 (Ana clara Jauregui)</t>
  </si>
  <si>
    <t>3777-415719 (Eliana Gimena López)</t>
  </si>
  <si>
    <t>3794-923704 (Catalina Cáceres)</t>
  </si>
  <si>
    <t>3794-027649 (Tomasa Franco)</t>
  </si>
  <si>
    <t>3795-063413 (Teresa Coronel)</t>
  </si>
  <si>
    <t>3782-431769 (Lidia Leañez)</t>
  </si>
  <si>
    <t>3777-611906 (Ana Isabel Rojo)</t>
  </si>
  <si>
    <t>3777-305306 (Lucrecia Martinez)</t>
  </si>
  <si>
    <t>3777-284428 (Jennifer Borda)</t>
  </si>
  <si>
    <t>3777-312095 (Ariel Grenat)</t>
  </si>
  <si>
    <t>3777-283833 (Silvia Ojeda)</t>
  </si>
  <si>
    <t>3778-283833 (Silvia Ojeda)</t>
  </si>
  <si>
    <t>3777-207724 (Nancy Martinez)</t>
  </si>
  <si>
    <t>3777-473420 (Carril Carlos)</t>
  </si>
  <si>
    <t>3794-982324 (Zulma Vallejos)</t>
  </si>
  <si>
    <t>3777-337735 (Luisa Bernasconi)</t>
  </si>
  <si>
    <t>Centro de entrega Avivamiento Cristiano de Caá Catí</t>
  </si>
  <si>
    <t>Av. David Martinez S/N entre Gervasio Blanco Hijo y Calle Itatí</t>
  </si>
  <si>
    <t>3794-817906 (Mariel Mendez)</t>
  </si>
  <si>
    <t>3794-885736 (Berenice Cáceres)</t>
  </si>
  <si>
    <t>378-1412983 (José Luis Rodriguez)</t>
  </si>
  <si>
    <t>3777-621686 (Raimundi Gladis)</t>
  </si>
  <si>
    <t>3777-400944 (Elizabeth Ayala)</t>
  </si>
  <si>
    <t>3777-558050 (Melina Belén Tones)</t>
  </si>
  <si>
    <t>3777-633284 (Julieta Gómez Muñoz)</t>
  </si>
  <si>
    <t>3794-597128 (Analia Segovia)</t>
  </si>
  <si>
    <t>3777648938 (Laura Medina)</t>
  </si>
  <si>
    <t>3777624146 (Belen Balestra)</t>
  </si>
  <si>
    <t>3777-637016 (Beatriz Lopez)</t>
  </si>
  <si>
    <t>3777-394195 (Marcelo Javier Fernández)</t>
  </si>
  <si>
    <t>3777-221962 (María Raquel Ortiz)</t>
  </si>
  <si>
    <t>11-3436-0047 (Porfirio Ramirez)</t>
  </si>
  <si>
    <t>3794121156 (Mirian Lugo)</t>
  </si>
  <si>
    <t xml:space="preserve">3795-330487 (Cynthya Elisabet Umbert) </t>
  </si>
  <si>
    <t>3795-164878 (Darío González)</t>
  </si>
  <si>
    <t>3758-403089 (Marta Ifran)</t>
  </si>
  <si>
    <t>3786-458870 (Irma Esther Marzoratti)</t>
  </si>
  <si>
    <t>3786-401215 (Paola salinas)</t>
  </si>
  <si>
    <t>3786-457697 (Tomasa Gauto)</t>
  </si>
  <si>
    <t>3786-451076 (Natalia Malavé)</t>
  </si>
  <si>
    <t>3777-410483  (Ana Galván) /  3794-340123 (Graciela Insaurralde)</t>
  </si>
  <si>
    <t>3777-312293 (Zunilda Martinez)</t>
  </si>
  <si>
    <t>3777-553562 (Valeria Aguirre)</t>
  </si>
  <si>
    <t>3777-633668 (Verónica Ruiz Diaz)</t>
  </si>
  <si>
    <t>3777-734587 (Mirta Gómez)</t>
  </si>
  <si>
    <t>3777-228365 (Valeria Pintos)</t>
  </si>
  <si>
    <t>3777-681145 (César Heine)</t>
  </si>
  <si>
    <t>3777-620734 (Norma Busellato)</t>
  </si>
  <si>
    <t>3777-616888 (Mariangel Aquino)</t>
  </si>
  <si>
    <t>3782-512773 (Maria Duarte)</t>
  </si>
  <si>
    <t>3782-546464 (Ramona Isabel Alvarez)</t>
  </si>
  <si>
    <t>3794726424 (Soledad Aquere)</t>
  </si>
  <si>
    <t>3773-468806 (Diana Patricia Martínez)</t>
  </si>
  <si>
    <t>3773-463610 (Valeria Pauli)</t>
  </si>
  <si>
    <t>3773-403002 (Jessica de Lucca)</t>
  </si>
  <si>
    <t>3773-450949 (Claudia Elías)</t>
  </si>
  <si>
    <t>3773-469101 (María Fernanda Ganduglia)</t>
  </si>
  <si>
    <t>3773-418750 (Silvia Alezzandri)</t>
  </si>
  <si>
    <t>3773-436313 (Víctor Gerardo Fernández)</t>
  </si>
  <si>
    <t>3775-404246 (Claudia Alvarez)</t>
  </si>
  <si>
    <t>3775-410943 (Soraya Cusinato)</t>
  </si>
  <si>
    <t>3772-408771 (Matias Velasco)</t>
  </si>
  <si>
    <t>3772-255357 (Perez Ramon Armando)</t>
  </si>
  <si>
    <t>3772-430334 (Duarte Churrua Daniela)</t>
  </si>
  <si>
    <t>3772-618312 (Legazpia Raul Antonio)</t>
  </si>
  <si>
    <t>3772-462635 (Acuña Mariana Ayelen)</t>
  </si>
  <si>
    <t>3772-504600 (Gordillo Walter Adrian)</t>
  </si>
  <si>
    <t>3772-409038 (Niveyro Silvio Antonio)</t>
  </si>
  <si>
    <t>3772-430473 (Depacce Genaro)</t>
  </si>
  <si>
    <t>3772-635612 (Pamela Niveyro)</t>
  </si>
  <si>
    <t>3772-502225 (Mouesca Silvina)</t>
  </si>
  <si>
    <t>3772-514212 (Javier Vallejos)</t>
  </si>
  <si>
    <t>3772-706985 (Andre Fernandez)</t>
  </si>
  <si>
    <t>3782-609770 (Luis Humberto Diez)</t>
  </si>
  <si>
    <t>3782-454305 (Miriam Romero)</t>
  </si>
  <si>
    <t>3794-056683 (Gustavo Sanchez)</t>
  </si>
  <si>
    <t>3794-338952 (Jimena Vallejos)</t>
  </si>
  <si>
    <t>3794-694402 (Pamela Barrios)</t>
  </si>
  <si>
    <t>3794-062849 (Ayelen Fernandez)</t>
  </si>
  <si>
    <t>3624-515998 (Angelica Aldavez)</t>
  </si>
  <si>
    <t>3795-076137 (Nelida Aguirre)</t>
  </si>
  <si>
    <t>3794-594111 (Marta Roa)/ 3794-027347 (Elsa Viviana Pavón)</t>
  </si>
  <si>
    <t>3795-588780 (Miriam Beatriz Medina)</t>
  </si>
  <si>
    <t>3794-287761 (Orlando Maidana)</t>
  </si>
  <si>
    <t>3794-238342 (Garcia Cinthya)</t>
  </si>
  <si>
    <t>3781-419321 (Veronica Edith Damasco)</t>
  </si>
  <si>
    <t>3777-735319 (Pabla Gutierrez)</t>
  </si>
  <si>
    <t>3773-415537 (Nilda Araceli Porcel)</t>
  </si>
  <si>
    <t>3777-245786 (Liseth Penzo)</t>
  </si>
  <si>
    <t>3777-246205 (Lidia Baéz)</t>
  </si>
  <si>
    <t>3756-463681 (Stefi Ifran)</t>
  </si>
  <si>
    <t>3574-403754 (Graciela Correa)</t>
  </si>
  <si>
    <t>3795-003096 (José Luis Aquino)</t>
  </si>
  <si>
    <t>3774-631704 (Ojeda Onelia)</t>
  </si>
  <si>
    <t>C.P.D. Nº 2 "Anahí"</t>
  </si>
  <si>
    <t>Cód. CERES</t>
  </si>
  <si>
    <t>Denominación 
CERES</t>
  </si>
  <si>
    <t>ACC-0081</t>
  </si>
  <si>
    <t>Asociación Fotos del Alma (Nº 24)</t>
  </si>
  <si>
    <t>MDS_07202405</t>
  </si>
  <si>
    <t>MDS_07202407</t>
  </si>
  <si>
    <t>ACC-8126</t>
  </si>
  <si>
    <t>ACC-0133</t>
  </si>
  <si>
    <t>Q1 - Merendero Cichero</t>
  </si>
  <si>
    <t>ACC-0012</t>
  </si>
  <si>
    <t>Taitalo Punta (Nº 37)</t>
  </si>
  <si>
    <t>CE_2565</t>
  </si>
  <si>
    <t>CE_2564</t>
  </si>
  <si>
    <t>CE_90781</t>
  </si>
  <si>
    <t>ACC-000032</t>
  </si>
  <si>
    <t>C.C.I. Paranacito (Nº 53)(A)</t>
  </si>
  <si>
    <t>ACC-8128</t>
  </si>
  <si>
    <t>Basílica de Itatí (ITATI)</t>
  </si>
  <si>
    <t>SDH-CD-151</t>
  </si>
  <si>
    <t>Asociación Divino Niño</t>
  </si>
  <si>
    <t>ACC-0115</t>
  </si>
  <si>
    <t>C - Asociación Civil Misioneros de la Esperanza</t>
  </si>
  <si>
    <t>ACC-0101</t>
  </si>
  <si>
    <t>C1 - Estudiando Juntos</t>
  </si>
  <si>
    <t>MDS_07202401</t>
  </si>
  <si>
    <t>MDS_07202402</t>
  </si>
  <si>
    <t>MDS_08022024</t>
  </si>
  <si>
    <t>ACC-0079</t>
  </si>
  <si>
    <t>Divino Niño (Nº 82)</t>
  </si>
  <si>
    <t>ACC-0015</t>
  </si>
  <si>
    <t>Espíritu Santo (Nº 54)</t>
  </si>
  <si>
    <t>ACC-0126</t>
  </si>
  <si>
    <t>F1 - Beneser Asamblea de Dios</t>
  </si>
  <si>
    <t>MDS-72019-011</t>
  </si>
  <si>
    <t>Iglesia Jesus Vive</t>
  </si>
  <si>
    <t>mds-2019-03</t>
  </si>
  <si>
    <t>CE_90992</t>
  </si>
  <si>
    <t>ACC-1003</t>
  </si>
  <si>
    <t>ACC-1000</t>
  </si>
  <si>
    <t>MDS-2022-001</t>
  </si>
  <si>
    <t>Soldado de Jesús II</t>
  </si>
  <si>
    <t>CE_90657</t>
  </si>
  <si>
    <t>CE_2579</t>
  </si>
  <si>
    <t>mds-2019-02</t>
  </si>
  <si>
    <t>CE_2566</t>
  </si>
  <si>
    <t>MDS_ACC_2617</t>
  </si>
  <si>
    <t>ACC-0087</t>
  </si>
  <si>
    <t>Casa Virgen de los Dolores (Nº 95)</t>
  </si>
  <si>
    <t>ACCSOC106</t>
  </si>
  <si>
    <t>Comedor "Corazón Contento"</t>
  </si>
  <si>
    <t>MDS_08012024</t>
  </si>
  <si>
    <t>Mer092020</t>
  </si>
  <si>
    <t>Comedor Mi Bello Angel "Edgardo Gastón Benítez"</t>
  </si>
  <si>
    <t>ACC_SOC_C1</t>
  </si>
  <si>
    <t>Comedor Ntra. Señora de Itati</t>
  </si>
  <si>
    <t>ACC-0200</t>
  </si>
  <si>
    <t>MDS_07202404</t>
  </si>
  <si>
    <t>MDS_0122023</t>
  </si>
  <si>
    <t>mds-2021-p7</t>
  </si>
  <si>
    <t>CE-MDS-2022</t>
  </si>
  <si>
    <t>MDS_08032024</t>
  </si>
  <si>
    <t>MDS_08042024</t>
  </si>
  <si>
    <t>ACC-1002</t>
  </si>
  <si>
    <t>ACC-01144</t>
  </si>
  <si>
    <t>Merendero Nuestra Señora de Guadalupe II</t>
  </si>
  <si>
    <t>ACC-1001</t>
  </si>
  <si>
    <t>ACC-0121</t>
  </si>
  <si>
    <t>N - Club San Cayetano</t>
  </si>
  <si>
    <t>ACC-0029</t>
  </si>
  <si>
    <t>Por una Sonrisa II (Nº 83)</t>
  </si>
  <si>
    <t>CE_2585</t>
  </si>
  <si>
    <t>CE_90991</t>
  </si>
  <si>
    <t>CE_4515</t>
  </si>
  <si>
    <t>CE_90398</t>
  </si>
  <si>
    <t>CE_2552</t>
  </si>
  <si>
    <t>CE_2553</t>
  </si>
  <si>
    <t>MDS_07202409</t>
  </si>
  <si>
    <t>ACC-0063</t>
  </si>
  <si>
    <t>Capilla San Pablo (Nº 64)</t>
  </si>
  <si>
    <t>ACC-0094</t>
  </si>
  <si>
    <t>Comedor Ladrilleros La Tosquera (Nº 5)</t>
  </si>
  <si>
    <t>MDS_08052024</t>
  </si>
  <si>
    <t>Comedor y merendero "Sol"</t>
  </si>
  <si>
    <t>ACC-0113</t>
  </si>
  <si>
    <t>I - Juan XXIII Dulce María</t>
  </si>
  <si>
    <t>ACC-0022</t>
  </si>
  <si>
    <t>Laguna Pampin (Nº 28)</t>
  </si>
  <si>
    <t>ACC -0050</t>
  </si>
  <si>
    <t>Merendero "Carita de Ángel"</t>
  </si>
  <si>
    <t>ACC - 0052</t>
  </si>
  <si>
    <t>Merendero "Sagrado Corazon"</t>
  </si>
  <si>
    <t>ACC-0074</t>
  </si>
  <si>
    <t>Parroquia Santa Catalina de Alejandria (Nº 96)</t>
  </si>
  <si>
    <t>ACC-0117</t>
  </si>
  <si>
    <t>W - El Angel</t>
  </si>
  <si>
    <t>CE_2551</t>
  </si>
  <si>
    <t>ACC-1309</t>
  </si>
  <si>
    <t>Merendero San Expedito</t>
  </si>
  <si>
    <t>ACC-0086</t>
  </si>
  <si>
    <t>C. D. Bosco Domingo y Laura (Nº 45)</t>
  </si>
  <si>
    <t>B° Quintana - Capital Nicaragua, Sta. Teresa de Calcuta y Suecia (Cel. 3794664602)</t>
  </si>
  <si>
    <t>SDH-CE-10</t>
  </si>
  <si>
    <t>NACC-16</t>
  </si>
  <si>
    <t>Comedor Santa Lucia II</t>
  </si>
  <si>
    <t>ACCSOC105</t>
  </si>
  <si>
    <t>ACC-0104</t>
  </si>
  <si>
    <t>H1 - Fundación CONIN</t>
  </si>
  <si>
    <t>ACC-0025</t>
  </si>
  <si>
    <t>Iglesia Filadelfia (Nº 14)</t>
  </si>
  <si>
    <t>ACC-0072</t>
  </si>
  <si>
    <t>Lucrecia Rios (Nº 93)</t>
  </si>
  <si>
    <t>ACSOC-2019-5</t>
  </si>
  <si>
    <t>ACC-0135</t>
  </si>
  <si>
    <t>S1 - NIÑOS FELICES</t>
  </si>
  <si>
    <t>SDH-CE-001</t>
  </si>
  <si>
    <t>T1 - La Edad Felíz</t>
  </si>
  <si>
    <t>CE_2275</t>
  </si>
  <si>
    <t>CE_2580</t>
  </si>
  <si>
    <t>CE_2582</t>
  </si>
  <si>
    <t>CE_2584</t>
  </si>
  <si>
    <t>CE_6276</t>
  </si>
  <si>
    <t>ACC-8127</t>
  </si>
  <si>
    <t>CE_2568</t>
  </si>
  <si>
    <t>ACC-0028</t>
  </si>
  <si>
    <t>Cabo de Hornos (Nº 81)</t>
  </si>
  <si>
    <t>ACC-0067</t>
  </si>
  <si>
    <t>Capilla San José (Nº 50)</t>
  </si>
  <si>
    <t>ACC-0049</t>
  </si>
  <si>
    <t>ACC-0006</t>
  </si>
  <si>
    <t>Centro Sol CIDECO (Nº 56)</t>
  </si>
  <si>
    <t>ACC_SOC_COM</t>
  </si>
  <si>
    <t>Comedor Santa Lucia I</t>
  </si>
  <si>
    <t>ACC-0127</t>
  </si>
  <si>
    <t>S - San Cayetano</t>
  </si>
  <si>
    <t>ACC-0051</t>
  </si>
  <si>
    <t>Universitario (Nº 65)</t>
  </si>
  <si>
    <t>ACC-0007</t>
  </si>
  <si>
    <t>Virgen de Itatí (Nº 26)</t>
  </si>
  <si>
    <t>CE_4516</t>
  </si>
  <si>
    <t>CE_2569</t>
  </si>
  <si>
    <t>CE_2589</t>
  </si>
  <si>
    <t>SDH-CE-14</t>
  </si>
  <si>
    <t>MDS-2021-159</t>
  </si>
  <si>
    <t>CE_2556</t>
  </si>
  <si>
    <t>ACC-0031</t>
  </si>
  <si>
    <t>ACC-0071</t>
  </si>
  <si>
    <t>ACC-0099</t>
  </si>
  <si>
    <t>G1 - Centro Misionero Pompeya</t>
  </si>
  <si>
    <t>ACC-0112</t>
  </si>
  <si>
    <t>H - Capilla Virgen de Luján</t>
  </si>
  <si>
    <t>ACC-0030</t>
  </si>
  <si>
    <t>La Sagrada Familia II (Nº 30 - Mitaí Porá)</t>
  </si>
  <si>
    <t>ACC-0134</t>
  </si>
  <si>
    <t>Merendero Barrio Santa Teresita</t>
  </si>
  <si>
    <t>ACC-01143</t>
  </si>
  <si>
    <t>SDH-CE-200</t>
  </si>
  <si>
    <t>ACC-0062</t>
  </si>
  <si>
    <t>Nuestra Señora de Fatima (Nº 25)</t>
  </si>
  <si>
    <t>ACC-0085</t>
  </si>
  <si>
    <t>Ñanderete Mitaicito FTV (Nº 90)</t>
  </si>
  <si>
    <t>ACC-0082</t>
  </si>
  <si>
    <t>Si Dios quiere (Nº 60)</t>
  </si>
  <si>
    <t>ACC-0008</t>
  </si>
  <si>
    <t>Virgen Desatanudos (Nº 39)</t>
  </si>
  <si>
    <t>CE_2314</t>
  </si>
  <si>
    <t>CE_2549</t>
  </si>
  <si>
    <t>ACC-CD-2</t>
  </si>
  <si>
    <t>ACC-0037</t>
  </si>
  <si>
    <t>C.C.I. María Eva y Juan Manuel (Nº 16)</t>
  </si>
  <si>
    <t>ACC-0038</t>
  </si>
  <si>
    <t>ACC-0047</t>
  </si>
  <si>
    <t>Iglesia San Cayetano (Nº 77)</t>
  </si>
  <si>
    <t>ACC-0005</t>
  </si>
  <si>
    <t>Medalla Milagrosa (Nº 02)</t>
  </si>
  <si>
    <t>SDH-CE-50</t>
  </si>
  <si>
    <t>SUM San Jorge</t>
  </si>
  <si>
    <t>CE_2208</t>
  </si>
  <si>
    <t>CE_2581</t>
  </si>
  <si>
    <t>CE_2548</t>
  </si>
  <si>
    <t>CE_4936</t>
  </si>
  <si>
    <t>SDH-CE-5052</t>
  </si>
  <si>
    <t>ACC-CD-15</t>
  </si>
  <si>
    <t>ACC-CD-12</t>
  </si>
  <si>
    <t>ACC-CD-14</t>
  </si>
  <si>
    <t>ACC-CD-13</t>
  </si>
  <si>
    <t>ACC-CD-18</t>
  </si>
  <si>
    <t>ACC-CD-19</t>
  </si>
  <si>
    <t>ACC-CD-20</t>
  </si>
  <si>
    <t>ACC-0069</t>
  </si>
  <si>
    <t>ACC-0054</t>
  </si>
  <si>
    <t>Centro Atención Personas Especiales (Nº 4 - CAPES SONUA)</t>
  </si>
  <si>
    <t>ACC-0009</t>
  </si>
  <si>
    <t>Comedor Filadelfia (Nº 8) - Templo Asamblea de Díos Filadelfía</t>
  </si>
  <si>
    <t>COM_ACC_Soc</t>
  </si>
  <si>
    <t>SDH-CE-300</t>
  </si>
  <si>
    <t>ACC-0131</t>
  </si>
  <si>
    <t>O1 - La Sagrada Familia II</t>
  </si>
  <si>
    <t>ACC-0039</t>
  </si>
  <si>
    <t>Parroquia Nuestra Señora de Itatí (Nº 59)</t>
  </si>
  <si>
    <t>ACC-0059</t>
  </si>
  <si>
    <t>Parroquia San Pantaleón (Nº 29)</t>
  </si>
  <si>
    <t>ACC-0024</t>
  </si>
  <si>
    <t>Pueblito Bs. As. (Nº 48)</t>
  </si>
  <si>
    <t>ACC-0097</t>
  </si>
  <si>
    <t>Santa Rita (Nº 98)</t>
  </si>
  <si>
    <t>CE_2555</t>
  </si>
  <si>
    <t>ACC-0035</t>
  </si>
  <si>
    <t>C.C.I. María Auxiliadora (Nº 18)</t>
  </si>
  <si>
    <t>ACC-0036</t>
  </si>
  <si>
    <t>Centro Integral Cruz Roja (Nº 51)</t>
  </si>
  <si>
    <t>ACC-0004</t>
  </si>
  <si>
    <t>El Obrerito (Nº 80)</t>
  </si>
  <si>
    <t>ACC-0068</t>
  </si>
  <si>
    <t>Pequeño Pony (Nº 27)</t>
  </si>
  <si>
    <t>ACC-0040</t>
  </si>
  <si>
    <t>Santa Teresita (Nº 61)</t>
  </si>
  <si>
    <t>ACC-CD-3</t>
  </si>
  <si>
    <t>ACC_SOC_C</t>
  </si>
  <si>
    <t>ACC-0061</t>
  </si>
  <si>
    <t>Sagrada Familia (Nº 49)</t>
  </si>
  <si>
    <t>ACC-0123</t>
  </si>
  <si>
    <t>Y - Barrio Río Paraná (Sembrando Sueños)</t>
  </si>
  <si>
    <t>ACC-0110</t>
  </si>
  <si>
    <t>J - Puertas del Cielo</t>
  </si>
  <si>
    <t>Puertas del Cielo</t>
  </si>
  <si>
    <t>ACC-0129</t>
  </si>
  <si>
    <t>M1 - Pastorcito de Fatima (Nº 99)</t>
  </si>
  <si>
    <t>ACC-0019</t>
  </si>
  <si>
    <t>Santa María de Los Pobres (Nº 66)</t>
  </si>
  <si>
    <t>CE_4935</t>
  </si>
  <si>
    <t>ACC-CD-8</t>
  </si>
  <si>
    <t>ACC-CD-7</t>
  </si>
  <si>
    <t>Tucumán y Pujol</t>
  </si>
  <si>
    <t>ACC-0034</t>
  </si>
  <si>
    <t>C.C.I. Hectorcito (Nº 35)</t>
  </si>
  <si>
    <t>ACC-0124</t>
  </si>
  <si>
    <t>K - La Providencia</t>
  </si>
  <si>
    <t>ACC-0066</t>
  </si>
  <si>
    <t>La ERAGIA (Nº 94)</t>
  </si>
  <si>
    <t>ACC-0011</t>
  </si>
  <si>
    <t>San Benito (Nº 55)</t>
  </si>
  <si>
    <t>ACC-0060</t>
  </si>
  <si>
    <t>San Marcos (Nº 57)</t>
  </si>
  <si>
    <t>ACC-CD-9</t>
  </si>
  <si>
    <t>ACC-0033</t>
  </si>
  <si>
    <t>C.C.I. Caridi (Nº 11)</t>
  </si>
  <si>
    <t>ACC-0052</t>
  </si>
  <si>
    <t>Iglesia Bautista (Nº 70)</t>
  </si>
  <si>
    <t>ACC-0114</t>
  </si>
  <si>
    <t>L - Escuela Especial CARIDI Jesús Nazareno</t>
  </si>
  <si>
    <t>ACC-0125</t>
  </si>
  <si>
    <t>T - Santa Filomena</t>
  </si>
  <si>
    <t>MDS_07202403</t>
  </si>
  <si>
    <t>Calle Curupy y San Martin- Colonia Tatacuá - (Cel. 3794075879 - Fernández)</t>
  </si>
  <si>
    <t>ACC-0048</t>
  </si>
  <si>
    <t>Centro Comedor Santa Isabel (Nº 34)</t>
  </si>
  <si>
    <t>ACC-0098</t>
  </si>
  <si>
    <t>El Pasito (Nº 22)</t>
  </si>
  <si>
    <t>ACC-0050</t>
  </si>
  <si>
    <t>Quinta Ferré (Nº 52) - "SAGRADO CORAZÓN DE JESÚS"</t>
  </si>
  <si>
    <t>CE_2572</t>
  </si>
  <si>
    <t>ACC-0046</t>
  </si>
  <si>
    <t>Capilla Santa Marta (Nº 69)</t>
  </si>
  <si>
    <t>SDH-CE-13</t>
  </si>
  <si>
    <t>Club Curupay 1</t>
  </si>
  <si>
    <t>MDS_07202408</t>
  </si>
  <si>
    <t>ACC-0014</t>
  </si>
  <si>
    <t>Niño Travieso (Nº 03)</t>
  </si>
  <si>
    <t>ACC-0020</t>
  </si>
  <si>
    <t>Nuestra Señora de Lujan (Nº 46)</t>
  </si>
  <si>
    <t>ACC-0118</t>
  </si>
  <si>
    <t>Z - Capilla Virgen de Itatí</t>
  </si>
  <si>
    <t>ACC-CD-11</t>
  </si>
  <si>
    <t>ACC-0111</t>
  </si>
  <si>
    <t>P - Barrio Rey David</t>
  </si>
  <si>
    <t>MDS_07202406</t>
  </si>
  <si>
    <t>ACC-CD-1</t>
  </si>
  <si>
    <t>ACC-CD-10</t>
  </si>
  <si>
    <t>ACC-CD-5</t>
  </si>
  <si>
    <t>ACC-0078</t>
  </si>
  <si>
    <t>Maravillas de Jesús (Nº 20)</t>
  </si>
  <si>
    <t>ACC-0002</t>
  </si>
  <si>
    <t>Nuestra Señora de Lourdes (Nº 62)</t>
  </si>
  <si>
    <t>SDH-CD-SV</t>
  </si>
  <si>
    <t>ACC-0021</t>
  </si>
  <si>
    <t>Emanuel (Nº 31)</t>
  </si>
  <si>
    <t>ACC-0042</t>
  </si>
  <si>
    <t>Pokemon (Nº 43 - Pirayuí)</t>
  </si>
  <si>
    <t>ACC-0003</t>
  </si>
  <si>
    <t>San Roque González (Nº 78)</t>
  </si>
  <si>
    <t>ACC-0044</t>
  </si>
  <si>
    <t>Loma Linda (Nº 33)</t>
  </si>
  <si>
    <t>ACC-0070</t>
  </si>
  <si>
    <t>Luz Verdadera Serantes (Nº 63)</t>
  </si>
  <si>
    <t>El Maestro y Belgrano (Monte Caseros) (Cel. 3775404246)</t>
  </si>
  <si>
    <t>ACC-0064</t>
  </si>
  <si>
    <t>Guadalupe (Nº 40)</t>
  </si>
  <si>
    <t>ACC-0001</t>
  </si>
  <si>
    <t>Santa Cecilia (Nº 17)</t>
  </si>
  <si>
    <t>Bº QUINTANA  142 viv Mz B Casa 8 Julio Verne y Renacimiento     Nº 17</t>
  </si>
  <si>
    <t>Bº QUINTANA  142 viv Mz B Casa 8 Julio Verni y Renacimiento     Nº 17</t>
  </si>
  <si>
    <t>ACC-CD-4</t>
  </si>
  <si>
    <t>ACC-0013</t>
  </si>
  <si>
    <t>Fundación Evita (Nº 09)</t>
  </si>
  <si>
    <t>ACC-0056</t>
  </si>
  <si>
    <t>San Miguel Arcangel (Nº 23)</t>
  </si>
  <si>
    <t>ACC-0017</t>
  </si>
  <si>
    <t>Los Dálmatas (Nº 15)</t>
  </si>
  <si>
    <t>ACC-0088</t>
  </si>
  <si>
    <t>Maria Conti (Nº 91)</t>
  </si>
  <si>
    <t>ACC-0065</t>
  </si>
  <si>
    <t>Mis Niñitos (Nº 42)</t>
  </si>
  <si>
    <t>ACC-0023</t>
  </si>
  <si>
    <t>3 de Abril (Nº 79)</t>
  </si>
  <si>
    <t>ACC-0073</t>
  </si>
  <si>
    <t>Hermana Cristina Rosa Mistica (Nº 75)</t>
  </si>
  <si>
    <t>ACC-0119</t>
  </si>
  <si>
    <t>Q - San Patricio</t>
  </si>
  <si>
    <t>ACC-0128</t>
  </si>
  <si>
    <t>R - Asociación Civil La Amistad</t>
  </si>
  <si>
    <t>SDH-CD-50</t>
  </si>
  <si>
    <t>IGLESIA DE JESUCRISTO CODAZZI</t>
  </si>
  <si>
    <t>ACC-0026</t>
  </si>
  <si>
    <t>Esperanza (Nº 68)</t>
  </si>
  <si>
    <t>SDH-CE-0006</t>
  </si>
  <si>
    <t>SDH-CE-0005</t>
  </si>
  <si>
    <t>SDH-CE-0004</t>
  </si>
  <si>
    <t>ORGANIZACIÓN SOCIAL LIBRES DEL SUR</t>
  </si>
  <si>
    <t>SDH-CD-003</t>
  </si>
  <si>
    <t>MOVIMIENTOS PASTORALES UNIDOS POR CORRIENTES</t>
  </si>
  <si>
    <t>ACC-0018</t>
  </si>
  <si>
    <t>Pequeño Rebaño (Nº 13)</t>
  </si>
  <si>
    <t>Fund. de Encuen. para el Desarrollo Integral</t>
  </si>
  <si>
    <t>Hipólito Yrigoyen S/N (a continuación de la calle Sarmiento)</t>
  </si>
  <si>
    <t>Mariano I. Loza S/N - Goya</t>
  </si>
  <si>
    <t>Pago Largo 1039</t>
  </si>
  <si>
    <t>Dto. de Alvear</t>
  </si>
  <si>
    <t>Dto. de Capital</t>
  </si>
  <si>
    <t xml:space="preserve">  </t>
  </si>
  <si>
    <t>CAPITAL (1)</t>
  </si>
  <si>
    <t>25 de Mayo casi Charcas S/N</t>
  </si>
  <si>
    <t>Gobernador Gómez 835 (detrás de la Terminal)</t>
  </si>
  <si>
    <t>Berón de Astrada entre 9 de julio y Alberdi</t>
  </si>
  <si>
    <t>Joaquín Madariaga S/N - Loc. de Palmar Grande (Carmen Alvarenga)</t>
  </si>
  <si>
    <t>Piragine Niveyro 730 - Goya</t>
  </si>
  <si>
    <t>Caá Catí 348 entre Belgrano y Moreno - Dpto. de Mburucuyá</t>
  </si>
  <si>
    <t>Batalla de Salta 503</t>
  </si>
  <si>
    <t>Félix María Gómez y A. Rojas (al lado Comisaria 3º)</t>
  </si>
  <si>
    <t>Pje.Castro 1675 - Paso de los Libres</t>
  </si>
  <si>
    <t>Julián González 449 B° Centro</t>
  </si>
  <si>
    <t>Comedor Mi Refugio</t>
  </si>
  <si>
    <t>MDS_0112025</t>
  </si>
  <si>
    <t>B° Virgen de los dolores - Gutnisky N° 3040</t>
  </si>
  <si>
    <t>Lugo, Estela Graciela</t>
  </si>
  <si>
    <t>Capital</t>
  </si>
  <si>
    <t>MDS_0212025</t>
  </si>
  <si>
    <t>Merendero Efrain</t>
  </si>
  <si>
    <t>B° 17 de Agosto - Cerdeña N° 5063</t>
  </si>
  <si>
    <t>Ruiz Díaz, Alberto - Glovasky, Mónica</t>
  </si>
  <si>
    <t>Bº Merceditas Collantes MZ 3 Casa 6</t>
  </si>
  <si>
    <t>Merendero Efraín</t>
  </si>
  <si>
    <t>Comedor Ebenezer</t>
  </si>
  <si>
    <t xml:space="preserve"> Gob. Martínez</t>
  </si>
  <si>
    <t>Sánchez, Yuliana Estefanía</t>
  </si>
  <si>
    <t>Pasaje Verona N° 6700</t>
  </si>
  <si>
    <t>B° Lomas del Mirador - Costanera Norte y Málaga</t>
  </si>
  <si>
    <t>Gómez, María</t>
  </si>
  <si>
    <t>Delegación Desarrollo Social (Mercedes)</t>
  </si>
  <si>
    <t>Licitado</t>
  </si>
  <si>
    <t>Plan</t>
  </si>
  <si>
    <t>Saldo</t>
  </si>
  <si>
    <t>inicio</t>
  </si>
  <si>
    <t>ancho</t>
  </si>
  <si>
    <t>fin</t>
  </si>
  <si>
    <t xml:space="preserve">valor </t>
  </si>
  <si>
    <t>Verano</t>
  </si>
  <si>
    <t>total</t>
  </si>
  <si>
    <t>Paré, María Gabriela</t>
  </si>
  <si>
    <t>Bº JUAN de VERA -Balboa  2900</t>
  </si>
  <si>
    <t>Benítez, Patricia Cristina</t>
  </si>
  <si>
    <t>Sarmiento y Deán Funes</t>
  </si>
  <si>
    <t>Grados</t>
  </si>
  <si>
    <t>x</t>
  </si>
  <si>
    <t>y</t>
  </si>
  <si>
    <t>inicial</t>
  </si>
  <si>
    <t>final</t>
  </si>
  <si>
    <t>C.I.C. Curuzú Cuatiá</t>
  </si>
  <si>
    <t>Ministerio de Desarrollo Social</t>
  </si>
  <si>
    <t>ACC SOC -0053</t>
  </si>
  <si>
    <t>Murcia 59</t>
  </si>
  <si>
    <t>Rac. Día Refrigerios (en %)</t>
  </si>
  <si>
    <t>Rac. Día Comidas (en %)</t>
  </si>
  <si>
    <t>Cantidad de Dependientes (en %)*</t>
  </si>
  <si>
    <t>Ntra Sra de Fátima Nº 25</t>
  </si>
  <si>
    <t xml:space="preserve">C </t>
  </si>
  <si>
    <t>Belgrano y Coronel Regera</t>
  </si>
  <si>
    <t>Cardozo, Ana Beatriz</t>
  </si>
  <si>
    <t>Romero, Rogelio Ramón</t>
  </si>
  <si>
    <t>Barrio 3 de Abril - Cabo de Horno 3900</t>
  </si>
  <si>
    <t>Benitez, Cristina Mabel</t>
  </si>
  <si>
    <t>Zarza, Walter Darío</t>
  </si>
  <si>
    <t>Bº Estrella del Sur Mz C C.22</t>
  </si>
  <si>
    <t>Fundación Colibrí Iberá</t>
  </si>
  <si>
    <t xml:space="preserve">AV. SAN MARTIN S/N. </t>
  </si>
  <si>
    <t>(3794-405985) ANA FIGUEROA</t>
  </si>
  <si>
    <t xml:space="preserve">(3777-273034) LEMOS SILVIA </t>
  </si>
  <si>
    <t>MERENDERO ANGEL DE LA GUARDA</t>
  </si>
  <si>
    <t xml:space="preserve">Bº ARROYITO - BERON DE ASTRADA 820 </t>
  </si>
  <si>
    <t>3777506248 (SOTELO ZUNILDA ISABEL)</t>
  </si>
  <si>
    <t>Torres, Catalina Dolores</t>
  </si>
  <si>
    <t>a</t>
  </si>
  <si>
    <t>b</t>
  </si>
  <si>
    <t>c</t>
  </si>
  <si>
    <t>capital</t>
  </si>
  <si>
    <t>Org.II</t>
  </si>
  <si>
    <t>refrigerios</t>
  </si>
  <si>
    <t>Av. San Martín entre Paraíso y Sta. Fe (Cel. 3773406627)</t>
  </si>
  <si>
    <t>CENTROS CAP. MIN y FLIA - CERRADOS (VERANO)</t>
  </si>
  <si>
    <t>CANT. DE CENTROS</t>
  </si>
  <si>
    <t>RAC. DIA</t>
  </si>
  <si>
    <t>CANTIDAD DE Centros de Distribución (Cabeceras) DE:</t>
  </si>
  <si>
    <t>CANTIDAD DE DEPENDIENTES
(retiran de los puntos de distribución) por:</t>
  </si>
  <si>
    <t>3786-618213-Dolores Toledo</t>
  </si>
  <si>
    <t>3786 40-3346 Walter Gómez</t>
  </si>
  <si>
    <t>Berón de Astrada 444 (frente al cementerio)</t>
  </si>
  <si>
    <t>TOTAL RAC. DIA PLAN 1 2026</t>
  </si>
  <si>
    <t>PADRON PLAN 1 AÑO 2026 - DIRECCION DE SEGURIDAD ALIMENTARIA (MINISTERIO DE DESARROLLO SOCIAL PROVINCIA DE CORRIENTES)  - CAPITAL</t>
  </si>
  <si>
    <t>PADRON PLAN 1 AÑO 2026 - DIRECCION DE SEGURIDAD ALIMENTARIA (MINISTERIO DE DESARROLLO SOCIAL PROVINCIA DE CORRIENTES)  - INTERIOR</t>
  </si>
  <si>
    <t>SUBTOTAL RAC. DIA PLAN 1 2026*</t>
  </si>
  <si>
    <t>3794344213 (Rocio Gomez )</t>
  </si>
  <si>
    <t>CAP. SAN PABLO (Nº 64)</t>
  </si>
  <si>
    <t>3794590348 (Sonia Acuña)</t>
  </si>
  <si>
    <t>3781-490095 Noelia Salazar</t>
  </si>
  <si>
    <t>3794-901512 (Mario Rodríguez)</t>
  </si>
  <si>
    <t>Remigio Fernández y Bension Pischik</t>
  </si>
  <si>
    <t>Sarmiento s/n</t>
  </si>
  <si>
    <t>3777-526829 Valeria Pérez / 3777-814831 Ivana Barbona</t>
  </si>
  <si>
    <t>MINORIDAD Y FAMILIA</t>
  </si>
  <si>
    <t>MINSTERIO DE JUSTICIA</t>
  </si>
  <si>
    <t>ASOC. LADRILLEROS (CAPITAL)</t>
  </si>
  <si>
    <t>Barrio Quintana - Héroes de Malvinas al 5000</t>
  </si>
  <si>
    <t>El Caimán</t>
  </si>
  <si>
    <t>3794-668956 (Pedro Vega)</t>
  </si>
  <si>
    <t xml:space="preserve">Ruta Nacional Nº 118, Km 115,5 </t>
  </si>
  <si>
    <t>3756-440769(José María Moraes)</t>
  </si>
  <si>
    <t>MONTIEL, MARIA</t>
  </si>
  <si>
    <t>PASTOR OLIVERA</t>
  </si>
  <si>
    <t>Raúl López</t>
  </si>
  <si>
    <t>CLARA FRANCO</t>
  </si>
  <si>
    <t>AMELIA FRETES</t>
  </si>
  <si>
    <t>VANESA SALICA</t>
  </si>
  <si>
    <t>MANCEDO ROXANA SILVIA</t>
  </si>
  <si>
    <t>LUISA CABRERA</t>
  </si>
  <si>
    <t>CATALINA MIRANDA</t>
  </si>
  <si>
    <t>BERTHA DE DAITTE</t>
  </si>
  <si>
    <t>JUANCY MARQUEZ (3777419085)</t>
  </si>
  <si>
    <t>ANTONIO BARBOZA (3772563367)</t>
  </si>
  <si>
    <t>SAN LUIS DEL PALMAR</t>
  </si>
  <si>
    <t>LOC. 9 DE JULIO</t>
  </si>
  <si>
    <t>30 VIV Y AYUDA MUTUA</t>
  </si>
  <si>
    <t>ITUZAINGÓ CTES.</t>
  </si>
  <si>
    <t>LOC. DE LAVALLE</t>
  </si>
  <si>
    <t>CALLE M 14 B° MIL VIV.</t>
  </si>
  <si>
    <t>RUTA PROV. 35</t>
  </si>
  <si>
    <t>3795-347363 carmen alvarenga</t>
  </si>
  <si>
    <t>ANGELA RIQUELME 3773406627</t>
  </si>
  <si>
    <t>Estela Godoy (3794080941)</t>
  </si>
  <si>
    <t>Nora Ester Segovia (03772 401412)</t>
  </si>
  <si>
    <t>Ramona Galeano (3786455020)</t>
  </si>
  <si>
    <t>Maria Muniagurria (3777-832080)</t>
  </si>
  <si>
    <t>Orlando Gómez (Director) (3773-412278)</t>
  </si>
  <si>
    <t>Norma Gómez de Ansola (Directora) (3773-544772)</t>
  </si>
  <si>
    <t>Duarte Liliana (03772435429)</t>
  </si>
  <si>
    <t>Serpa Alejandra (03772 638320)</t>
  </si>
  <si>
    <t>Gabriela Hinchauspe (01169358414)</t>
  </si>
  <si>
    <t>Cinthia Torres</t>
  </si>
  <si>
    <t>3758-433771 (TOMAS AVALOS)</t>
  </si>
  <si>
    <t>Mario Godoy (3756611781)</t>
  </si>
  <si>
    <t>ESTELA MARIS ROMERO (3774-40955)</t>
  </si>
  <si>
    <t>GLADYS ESTHER FERREYRA. 3756-447191.</t>
  </si>
  <si>
    <t>AMELIA ITATI BRUM. (3756-592135)</t>
  </si>
  <si>
    <t>VIGNOLE ZENOVIA (3756-435927)</t>
  </si>
  <si>
    <t>RAC. DÍA</t>
  </si>
  <si>
    <t xml:space="preserve">COMIDA </t>
  </si>
  <si>
    <t>PRECIO UNITARIO POR RAC.</t>
  </si>
  <si>
    <t>PRESUPUESTO DIARIO</t>
  </si>
  <si>
    <t>TOTAL DIARIO</t>
  </si>
  <si>
    <t xml:space="preserve">TOTAL 30 DIAS </t>
  </si>
  <si>
    <t>TOTAL 252 DÍAS (ANUAL)</t>
  </si>
  <si>
    <t>COBERTURA</t>
  </si>
  <si>
    <t>PLAN VERANO</t>
  </si>
  <si>
    <t>CANT. DÍAS</t>
  </si>
  <si>
    <t>PALN 1</t>
  </si>
  <si>
    <t>PLAN 2</t>
  </si>
  <si>
    <t>PLAN 3</t>
  </si>
  <si>
    <t>PLAN 4</t>
  </si>
  <si>
    <t xml:space="preserve">PLAN 5 </t>
  </si>
  <si>
    <t>PLAN 6</t>
  </si>
  <si>
    <t>PLAN 7</t>
  </si>
  <si>
    <t>DÍAS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</si>
</sst>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&quot;$&quot;\ #,##0.00"/>
  </numFmts>
  <fonts count="6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Calibri"/>
      <family val="2"/>
    </font>
    <font>
      <b/>
      <sz val="10"/>
      <name val="Calibri"/>
      <family val="2"/>
      <scheme val="minor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3"/>
      <name val="Calibri"/>
      <family val="2"/>
      <scheme val="minor"/>
    </font>
    <font>
      <b/>
      <sz val="13"/>
      <color theme="8" tint="-0.499984740745262"/>
      <name val="Calibri"/>
      <family val="2"/>
      <scheme val="minor"/>
    </font>
    <font>
      <b/>
      <sz val="12"/>
      <color theme="3" tint="-0.249977111117893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3"/>
      <color rgb="FF000000"/>
      <name val="Calibri"/>
      <family val="2"/>
    </font>
    <font>
      <sz val="13"/>
      <color theme="4" tint="-0.499984740745262"/>
      <name val="Calibri"/>
      <family val="2"/>
      <scheme val="minor"/>
    </font>
    <font>
      <sz val="13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10"/>
      <color theme="0"/>
      <name val="Arial"/>
      <family val="2"/>
    </font>
    <font>
      <b/>
      <sz val="15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i/>
      <sz val="10"/>
      <name val="Calibri"/>
      <family val="2"/>
      <scheme val="minor"/>
    </font>
    <font>
      <b/>
      <sz val="15"/>
      <color theme="3" tint="-0.249977111117893"/>
      <name val="Calibri"/>
      <family val="2"/>
      <scheme val="minor"/>
    </font>
    <font>
      <b/>
      <sz val="15"/>
      <color rgb="FF0A0A0A"/>
      <name val="Arial Unicode MS"/>
    </font>
    <font>
      <b/>
      <sz val="15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oLIIBRI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rgb="FF0000FF"/>
      </bottom>
      <diagonal/>
    </border>
    <border>
      <left style="thin">
        <color theme="0"/>
      </left>
      <right style="thin">
        <color theme="0"/>
      </right>
      <top/>
      <bottom style="thick">
        <color rgb="FF0000FF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ck">
        <color rgb="FF0000FF"/>
      </left>
      <right style="thin">
        <color theme="0"/>
      </right>
      <top style="thick">
        <color rgb="FF0000FF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rgb="FF0000FF"/>
      </top>
      <bottom style="thin">
        <color theme="0"/>
      </bottom>
      <diagonal/>
    </border>
    <border>
      <left style="thin">
        <color theme="0"/>
      </left>
      <right style="thick">
        <color rgb="FF0000FF"/>
      </right>
      <top style="thick">
        <color rgb="FF0000FF"/>
      </top>
      <bottom style="thin">
        <color theme="0"/>
      </bottom>
      <diagonal/>
    </border>
    <border>
      <left style="thick">
        <color rgb="FF0000FF"/>
      </left>
      <right style="thin">
        <color theme="0"/>
      </right>
      <top style="thin">
        <color theme="0"/>
      </top>
      <bottom style="thick">
        <color rgb="FF0000FF"/>
      </bottom>
      <diagonal/>
    </border>
    <border>
      <left style="thin">
        <color theme="0"/>
      </left>
      <right style="thick">
        <color rgb="FF0000FF"/>
      </right>
      <top style="thin">
        <color theme="0"/>
      </top>
      <bottom style="thick">
        <color rgb="FF0000FF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714">
    <xf numFmtId="0" fontId="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8" fillId="20" borderId="2" applyNumberFormat="0" applyAlignment="0" applyProtection="0"/>
    <xf numFmtId="0" fontId="18" fillId="20" borderId="2" applyNumberFormat="0" applyAlignment="0" applyProtection="0"/>
    <xf numFmtId="0" fontId="18" fillId="20" borderId="2" applyNumberFormat="0" applyAlignment="0" applyProtection="0"/>
    <xf numFmtId="0" fontId="18" fillId="20" borderId="2" applyNumberFormat="0" applyAlignment="0" applyProtection="0"/>
    <xf numFmtId="0" fontId="18" fillId="20" borderId="2" applyNumberFormat="0" applyAlignment="0" applyProtection="0"/>
    <xf numFmtId="0" fontId="18" fillId="20" borderId="2" applyNumberFormat="0" applyAlignment="0" applyProtection="0"/>
    <xf numFmtId="0" fontId="18" fillId="20" borderId="2" applyNumberFormat="0" applyAlignment="0" applyProtection="0"/>
    <xf numFmtId="0" fontId="18" fillId="20" borderId="2" applyNumberFormat="0" applyAlignment="0" applyProtection="0"/>
    <xf numFmtId="0" fontId="18" fillId="20" borderId="2" applyNumberFormat="0" applyAlignment="0" applyProtection="0"/>
    <xf numFmtId="0" fontId="18" fillId="20" borderId="2" applyNumberFormat="0" applyAlignment="0" applyProtection="0"/>
    <xf numFmtId="0" fontId="18" fillId="20" borderId="2" applyNumberFormat="0" applyAlignment="0" applyProtection="0"/>
    <xf numFmtId="0" fontId="18" fillId="20" borderId="2" applyNumberFormat="0" applyAlignment="0" applyProtection="0"/>
    <xf numFmtId="0" fontId="18" fillId="20" borderId="2" applyNumberFormat="0" applyAlignment="0" applyProtection="0"/>
    <xf numFmtId="0" fontId="18" fillId="20" borderId="2" applyNumberFormat="0" applyAlignment="0" applyProtection="0"/>
    <xf numFmtId="0" fontId="18" fillId="20" borderId="2" applyNumberFormat="0" applyAlignment="0" applyProtection="0"/>
    <xf numFmtId="0" fontId="18" fillId="20" borderId="2" applyNumberFormat="0" applyAlignment="0" applyProtection="0"/>
    <xf numFmtId="0" fontId="19" fillId="21" borderId="3" applyNumberFormat="0" applyAlignment="0" applyProtection="0"/>
    <xf numFmtId="0" fontId="19" fillId="21" borderId="3" applyNumberFormat="0" applyAlignment="0" applyProtection="0"/>
    <xf numFmtId="0" fontId="19" fillId="21" borderId="3" applyNumberFormat="0" applyAlignment="0" applyProtection="0"/>
    <xf numFmtId="0" fontId="19" fillId="21" borderId="3" applyNumberFormat="0" applyAlignment="0" applyProtection="0"/>
    <xf numFmtId="0" fontId="19" fillId="21" borderId="3" applyNumberFormat="0" applyAlignment="0" applyProtection="0"/>
    <xf numFmtId="0" fontId="19" fillId="21" borderId="3" applyNumberFormat="0" applyAlignment="0" applyProtection="0"/>
    <xf numFmtId="0" fontId="19" fillId="21" borderId="3" applyNumberFormat="0" applyAlignment="0" applyProtection="0"/>
    <xf numFmtId="0" fontId="19" fillId="21" borderId="3" applyNumberFormat="0" applyAlignment="0" applyProtection="0"/>
    <xf numFmtId="0" fontId="19" fillId="21" borderId="3" applyNumberFormat="0" applyAlignment="0" applyProtection="0"/>
    <xf numFmtId="0" fontId="19" fillId="21" borderId="3" applyNumberFormat="0" applyAlignment="0" applyProtection="0"/>
    <xf numFmtId="0" fontId="19" fillId="21" borderId="3" applyNumberFormat="0" applyAlignment="0" applyProtection="0"/>
    <xf numFmtId="0" fontId="19" fillId="21" borderId="3" applyNumberFormat="0" applyAlignment="0" applyProtection="0"/>
    <xf numFmtId="0" fontId="19" fillId="21" borderId="3" applyNumberFormat="0" applyAlignment="0" applyProtection="0"/>
    <xf numFmtId="0" fontId="19" fillId="21" borderId="3" applyNumberFormat="0" applyAlignment="0" applyProtection="0"/>
    <xf numFmtId="0" fontId="19" fillId="21" borderId="3" applyNumberFormat="0" applyAlignment="0" applyProtection="0"/>
    <xf numFmtId="0" fontId="19" fillId="21" borderId="3" applyNumberFormat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22" fillId="11" borderId="2" applyNumberFormat="0" applyAlignment="0" applyProtection="0"/>
    <xf numFmtId="0" fontId="22" fillId="11" borderId="2" applyNumberFormat="0" applyAlignment="0" applyProtection="0"/>
    <xf numFmtId="0" fontId="22" fillId="11" borderId="2" applyNumberFormat="0" applyAlignment="0" applyProtection="0"/>
    <xf numFmtId="0" fontId="22" fillId="11" borderId="2" applyNumberFormat="0" applyAlignment="0" applyProtection="0"/>
    <xf numFmtId="0" fontId="22" fillId="11" borderId="2" applyNumberFormat="0" applyAlignment="0" applyProtection="0"/>
    <xf numFmtId="0" fontId="22" fillId="11" borderId="2" applyNumberFormat="0" applyAlignment="0" applyProtection="0"/>
    <xf numFmtId="0" fontId="22" fillId="11" borderId="2" applyNumberFormat="0" applyAlignment="0" applyProtection="0"/>
    <xf numFmtId="0" fontId="22" fillId="11" borderId="2" applyNumberFormat="0" applyAlignment="0" applyProtection="0"/>
    <xf numFmtId="0" fontId="22" fillId="11" borderId="2" applyNumberFormat="0" applyAlignment="0" applyProtection="0"/>
    <xf numFmtId="0" fontId="22" fillId="11" borderId="2" applyNumberFormat="0" applyAlignment="0" applyProtection="0"/>
    <xf numFmtId="0" fontId="22" fillId="11" borderId="2" applyNumberFormat="0" applyAlignment="0" applyProtection="0"/>
    <xf numFmtId="0" fontId="22" fillId="11" borderId="2" applyNumberFormat="0" applyAlignment="0" applyProtection="0"/>
    <xf numFmtId="0" fontId="22" fillId="11" borderId="2" applyNumberFormat="0" applyAlignment="0" applyProtection="0"/>
    <xf numFmtId="0" fontId="22" fillId="11" borderId="2" applyNumberFormat="0" applyAlignment="0" applyProtection="0"/>
    <xf numFmtId="0" fontId="22" fillId="11" borderId="2" applyNumberFormat="0" applyAlignment="0" applyProtection="0"/>
    <xf numFmtId="0" fontId="22" fillId="11" borderId="2" applyNumberFormat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27" borderId="5" applyNumberFormat="0" applyFont="0" applyAlignment="0" applyProtection="0"/>
    <xf numFmtId="0" fontId="9" fillId="27" borderId="5" applyNumberFormat="0" applyFont="0" applyAlignment="0" applyProtection="0"/>
    <xf numFmtId="0" fontId="9" fillId="27" borderId="5" applyNumberFormat="0" applyFont="0" applyAlignment="0" applyProtection="0"/>
    <xf numFmtId="0" fontId="9" fillId="27" borderId="5" applyNumberFormat="0" applyFont="0" applyAlignment="0" applyProtection="0"/>
    <xf numFmtId="0" fontId="9" fillId="27" borderId="5" applyNumberFormat="0" applyFont="0" applyAlignment="0" applyProtection="0"/>
    <xf numFmtId="0" fontId="9" fillId="27" borderId="5" applyNumberFormat="0" applyFont="0" applyAlignment="0" applyProtection="0"/>
    <xf numFmtId="0" fontId="9" fillId="27" borderId="5" applyNumberFormat="0" applyFont="0" applyAlignment="0" applyProtection="0"/>
    <xf numFmtId="0" fontId="9" fillId="27" borderId="5" applyNumberFormat="0" applyFont="0" applyAlignment="0" applyProtection="0"/>
    <xf numFmtId="0" fontId="9" fillId="27" borderId="5" applyNumberFormat="0" applyFont="0" applyAlignment="0" applyProtection="0"/>
    <xf numFmtId="0" fontId="9" fillId="27" borderId="5" applyNumberFormat="0" applyFont="0" applyAlignment="0" applyProtection="0"/>
    <xf numFmtId="0" fontId="9" fillId="27" borderId="5" applyNumberFormat="0" applyFont="0" applyAlignment="0" applyProtection="0"/>
    <xf numFmtId="0" fontId="9" fillId="27" borderId="5" applyNumberFormat="0" applyFont="0" applyAlignment="0" applyProtection="0"/>
    <xf numFmtId="0" fontId="9" fillId="27" borderId="5" applyNumberFormat="0" applyFont="0" applyAlignment="0" applyProtection="0"/>
    <xf numFmtId="0" fontId="9" fillId="27" borderId="5" applyNumberFormat="0" applyFont="0" applyAlignment="0" applyProtection="0"/>
    <xf numFmtId="0" fontId="9" fillId="27" borderId="5" applyNumberFormat="0" applyFont="0" applyAlignment="0" applyProtection="0"/>
    <xf numFmtId="0" fontId="9" fillId="27" borderId="5" applyNumberFormat="0" applyFont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5" fillId="20" borderId="6" applyNumberFormat="0" applyAlignment="0" applyProtection="0"/>
    <xf numFmtId="0" fontId="25" fillId="20" borderId="6" applyNumberFormat="0" applyAlignment="0" applyProtection="0"/>
    <xf numFmtId="0" fontId="25" fillId="20" borderId="6" applyNumberFormat="0" applyAlignment="0" applyProtection="0"/>
    <xf numFmtId="0" fontId="25" fillId="20" borderId="6" applyNumberFormat="0" applyAlignment="0" applyProtection="0"/>
    <xf numFmtId="0" fontId="25" fillId="20" borderId="6" applyNumberFormat="0" applyAlignment="0" applyProtection="0"/>
    <xf numFmtId="0" fontId="25" fillId="20" borderId="6" applyNumberFormat="0" applyAlignment="0" applyProtection="0"/>
    <xf numFmtId="0" fontId="25" fillId="20" borderId="6" applyNumberFormat="0" applyAlignment="0" applyProtection="0"/>
    <xf numFmtId="0" fontId="25" fillId="20" borderId="6" applyNumberFormat="0" applyAlignment="0" applyProtection="0"/>
    <xf numFmtId="0" fontId="25" fillId="20" borderId="6" applyNumberFormat="0" applyAlignment="0" applyProtection="0"/>
    <xf numFmtId="0" fontId="25" fillId="20" borderId="6" applyNumberFormat="0" applyAlignment="0" applyProtection="0"/>
    <xf numFmtId="0" fontId="25" fillId="20" borderId="6" applyNumberFormat="0" applyAlignment="0" applyProtection="0"/>
    <xf numFmtId="0" fontId="25" fillId="20" borderId="6" applyNumberFormat="0" applyAlignment="0" applyProtection="0"/>
    <xf numFmtId="0" fontId="25" fillId="20" borderId="6" applyNumberFormat="0" applyAlignment="0" applyProtection="0"/>
    <xf numFmtId="0" fontId="25" fillId="20" borderId="6" applyNumberFormat="0" applyAlignment="0" applyProtection="0"/>
    <xf numFmtId="0" fontId="25" fillId="20" borderId="6" applyNumberFormat="0" applyAlignment="0" applyProtection="0"/>
    <xf numFmtId="0" fontId="25" fillId="20" borderId="6" applyNumberFormat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7" applyNumberFormat="0" applyFill="0" applyAlignment="0" applyProtection="0"/>
    <xf numFmtId="0" fontId="28" fillId="0" borderId="7" applyNumberFormat="0" applyFill="0" applyAlignment="0" applyProtection="0"/>
    <xf numFmtId="0" fontId="28" fillId="0" borderId="7" applyNumberFormat="0" applyFill="0" applyAlignment="0" applyProtection="0"/>
    <xf numFmtId="0" fontId="28" fillId="0" borderId="7" applyNumberFormat="0" applyFill="0" applyAlignment="0" applyProtection="0"/>
    <xf numFmtId="0" fontId="28" fillId="0" borderId="7" applyNumberFormat="0" applyFill="0" applyAlignment="0" applyProtection="0"/>
    <xf numFmtId="0" fontId="28" fillId="0" borderId="7" applyNumberFormat="0" applyFill="0" applyAlignment="0" applyProtection="0"/>
    <xf numFmtId="0" fontId="28" fillId="0" borderId="7" applyNumberFormat="0" applyFill="0" applyAlignment="0" applyProtection="0"/>
    <xf numFmtId="0" fontId="28" fillId="0" borderId="7" applyNumberFormat="0" applyFill="0" applyAlignment="0" applyProtection="0"/>
    <xf numFmtId="0" fontId="28" fillId="0" borderId="7" applyNumberFormat="0" applyFill="0" applyAlignment="0" applyProtection="0"/>
    <xf numFmtId="0" fontId="28" fillId="0" borderId="7" applyNumberFormat="0" applyFill="0" applyAlignment="0" applyProtection="0"/>
    <xf numFmtId="0" fontId="28" fillId="0" borderId="7" applyNumberFormat="0" applyFill="0" applyAlignment="0" applyProtection="0"/>
    <xf numFmtId="0" fontId="28" fillId="0" borderId="7" applyNumberFormat="0" applyFill="0" applyAlignment="0" applyProtection="0"/>
    <xf numFmtId="0" fontId="28" fillId="0" borderId="7" applyNumberFormat="0" applyFill="0" applyAlignment="0" applyProtection="0"/>
    <xf numFmtId="0" fontId="28" fillId="0" borderId="7" applyNumberFormat="0" applyFill="0" applyAlignment="0" applyProtection="0"/>
    <xf numFmtId="0" fontId="28" fillId="0" borderId="7" applyNumberFormat="0" applyFill="0" applyAlignment="0" applyProtection="0"/>
    <xf numFmtId="0" fontId="28" fillId="0" borderId="7" applyNumberFormat="0" applyFill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9" fontId="43" fillId="0" borderId="0" applyFont="0" applyFill="0" applyBorder="0" applyAlignment="0" applyProtection="0"/>
    <xf numFmtId="0" fontId="1" fillId="0" borderId="0"/>
  </cellStyleXfs>
  <cellXfs count="205">
    <xf numFmtId="0" fontId="0" fillId="0" borderId="0" xfId="0"/>
    <xf numFmtId="0" fontId="11" fillId="2" borderId="0" xfId="8" applyFont="1" applyFill="1"/>
    <xf numFmtId="0" fontId="11" fillId="2" borderId="1" xfId="8" applyFont="1" applyFill="1" applyBorder="1" applyAlignment="1">
      <alignment horizontal="center" vertical="center"/>
    </xf>
    <xf numFmtId="0" fontId="11" fillId="2" borderId="0" xfId="8" applyFont="1" applyFill="1" applyAlignment="1">
      <alignment horizontal="center"/>
    </xf>
    <xf numFmtId="3" fontId="11" fillId="2" borderId="0" xfId="8" applyNumberFormat="1" applyFont="1" applyFill="1" applyAlignment="1">
      <alignment horizontal="center"/>
    </xf>
    <xf numFmtId="0" fontId="11" fillId="2" borderId="0" xfId="0" applyFont="1" applyFill="1" applyAlignment="1">
      <alignment horizontal="center" vertical="center"/>
    </xf>
    <xf numFmtId="0" fontId="11" fillId="2" borderId="0" xfId="11" applyFont="1" applyFill="1"/>
    <xf numFmtId="0" fontId="11" fillId="2" borderId="0" xfId="0" applyFont="1" applyFill="1" applyAlignment="1">
      <alignment horizontal="left" vertical="center"/>
    </xf>
    <xf numFmtId="3" fontId="11" fillId="2" borderId="0" xfId="0" applyNumberFormat="1" applyFont="1" applyFill="1" applyAlignment="1">
      <alignment horizontal="center"/>
    </xf>
    <xf numFmtId="0" fontId="11" fillId="2" borderId="0" xfId="0" applyFont="1" applyFill="1"/>
    <xf numFmtId="0" fontId="11" fillId="2" borderId="0" xfId="0" applyFont="1" applyFill="1" applyAlignment="1">
      <alignment horizontal="center"/>
    </xf>
    <xf numFmtId="0" fontId="13" fillId="2" borderId="0" xfId="0" applyFont="1" applyFill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/>
    </xf>
    <xf numFmtId="0" fontId="11" fillId="4" borderId="0" xfId="0" applyFont="1" applyFill="1"/>
    <xf numFmtId="0" fontId="11" fillId="2" borderId="0" xfId="8" applyFont="1" applyFill="1" applyAlignment="1">
      <alignment horizontal="right"/>
    </xf>
    <xf numFmtId="0" fontId="13" fillId="2" borderId="1" xfId="0" applyFont="1" applyFill="1" applyBorder="1" applyAlignment="1">
      <alignment horizontal="center" vertical="center"/>
    </xf>
    <xf numFmtId="3" fontId="13" fillId="2" borderId="0" xfId="0" applyNumberFormat="1" applyFont="1" applyFill="1" applyAlignment="1">
      <alignment vertical="center"/>
    </xf>
    <xf numFmtId="0" fontId="12" fillId="2" borderId="0" xfId="8" applyFont="1" applyFill="1"/>
    <xf numFmtId="0" fontId="11" fillId="2" borderId="0" xfId="8" applyFont="1" applyFill="1" applyAlignment="1">
      <alignment horizontal="left"/>
    </xf>
    <xf numFmtId="0" fontId="33" fillId="0" borderId="0" xfId="8" applyFont="1"/>
    <xf numFmtId="0" fontId="33" fillId="0" borderId="0" xfId="8" applyFont="1" applyAlignment="1">
      <alignment horizontal="center"/>
    </xf>
    <xf numFmtId="0" fontId="34" fillId="2" borderId="0" xfId="8" applyFont="1" applyFill="1"/>
    <xf numFmtId="0" fontId="33" fillId="2" borderId="0" xfId="8" applyFont="1" applyFill="1"/>
    <xf numFmtId="0" fontId="33" fillId="2" borderId="0" xfId="8" applyFont="1" applyFill="1" applyAlignment="1">
      <alignment horizontal="center"/>
    </xf>
    <xf numFmtId="0" fontId="34" fillId="2" borderId="0" xfId="0" applyFont="1" applyFill="1"/>
    <xf numFmtId="0" fontId="11" fillId="28" borderId="0" xfId="0" applyFont="1" applyFill="1" applyAlignment="1">
      <alignment horizontal="center" vertical="center"/>
    </xf>
    <xf numFmtId="0" fontId="11" fillId="28" borderId="0" xfId="0" applyFont="1" applyFill="1" applyAlignment="1">
      <alignment horizontal="left" vertical="center"/>
    </xf>
    <xf numFmtId="3" fontId="11" fillId="28" borderId="0" xfId="0" applyNumberFormat="1" applyFont="1" applyFill="1" applyAlignment="1">
      <alignment horizontal="center"/>
    </xf>
    <xf numFmtId="0" fontId="11" fillId="28" borderId="0" xfId="0" applyFont="1" applyFill="1" applyAlignment="1">
      <alignment horizontal="center"/>
    </xf>
    <xf numFmtId="0" fontId="11" fillId="28" borderId="0" xfId="8" applyFont="1" applyFill="1"/>
    <xf numFmtId="0" fontId="11" fillId="28" borderId="0" xfId="11" applyFont="1" applyFill="1"/>
    <xf numFmtId="0" fontId="12" fillId="2" borderId="0" xfId="8" applyFont="1" applyFill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11" fillId="29" borderId="1" xfId="8" applyFont="1" applyFill="1" applyBorder="1" applyAlignment="1">
      <alignment horizontal="center"/>
    </xf>
    <xf numFmtId="0" fontId="11" fillId="2" borderId="0" xfId="8" applyFont="1" applyFill="1" applyAlignment="1">
      <alignment horizontal="right" vertical="center"/>
    </xf>
    <xf numFmtId="0" fontId="11" fillId="2" borderId="0" xfId="0" applyFont="1" applyFill="1" applyAlignment="1">
      <alignment horizontal="right" vertical="center"/>
    </xf>
    <xf numFmtId="0" fontId="36" fillId="2" borderId="0" xfId="0" applyFont="1" applyFill="1" applyAlignment="1">
      <alignment horizontal="center" vertical="center"/>
    </xf>
    <xf numFmtId="0" fontId="35" fillId="2" borderId="0" xfId="8" applyFont="1" applyFill="1"/>
    <xf numFmtId="0" fontId="39" fillId="2" borderId="1" xfId="0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 wrapText="1"/>
    </xf>
    <xf numFmtId="0" fontId="35" fillId="2" borderId="0" xfId="0" applyFont="1" applyFill="1" applyAlignment="1">
      <alignment horizontal="center"/>
    </xf>
    <xf numFmtId="0" fontId="12" fillId="2" borderId="1" xfId="8" applyFont="1" applyFill="1" applyBorder="1" applyAlignment="1">
      <alignment horizontal="center" vertical="center"/>
    </xf>
    <xf numFmtId="0" fontId="12" fillId="2" borderId="0" xfId="11" applyFont="1" applyFill="1"/>
    <xf numFmtId="0" fontId="12" fillId="2" borderId="0" xfId="0" applyFont="1" applyFill="1" applyAlignment="1">
      <alignment horizontal="left" vertical="center"/>
    </xf>
    <xf numFmtId="0" fontId="12" fillId="2" borderId="0" xfId="10" applyFont="1" applyFill="1"/>
    <xf numFmtId="3" fontId="12" fillId="2" borderId="0" xfId="0" applyNumberFormat="1" applyFont="1" applyFill="1" applyAlignment="1">
      <alignment horizontal="center"/>
    </xf>
    <xf numFmtId="0" fontId="11" fillId="2" borderId="0" xfId="10" applyFont="1" applyFill="1"/>
    <xf numFmtId="0" fontId="12" fillId="2" borderId="0" xfId="1" applyFont="1" applyFill="1"/>
    <xf numFmtId="0" fontId="11" fillId="2" borderId="0" xfId="1" applyFont="1" applyFill="1"/>
    <xf numFmtId="0" fontId="13" fillId="2" borderId="0" xfId="0" applyFont="1" applyFill="1"/>
    <xf numFmtId="0" fontId="15" fillId="2" borderId="0" xfId="0" applyFont="1" applyFill="1"/>
    <xf numFmtId="0" fontId="13" fillId="2" borderId="0" xfId="0" applyFont="1" applyFill="1" applyAlignment="1">
      <alignment horizontal="center"/>
    </xf>
    <xf numFmtId="0" fontId="38" fillId="2" borderId="0" xfId="0" applyFont="1" applyFill="1" applyAlignment="1">
      <alignment vertical="center"/>
    </xf>
    <xf numFmtId="0" fontId="0" fillId="2" borderId="0" xfId="0" applyFill="1"/>
    <xf numFmtId="0" fontId="0" fillId="31" borderId="0" xfId="0" applyFill="1"/>
    <xf numFmtId="3" fontId="13" fillId="31" borderId="0" xfId="0" applyNumberFormat="1" applyFont="1" applyFill="1" applyAlignment="1">
      <alignment vertical="center"/>
    </xf>
    <xf numFmtId="10" fontId="13" fillId="2" borderId="0" xfId="0" applyNumberFormat="1" applyFont="1" applyFill="1" applyAlignment="1">
      <alignment vertical="center"/>
    </xf>
    <xf numFmtId="9" fontId="13" fillId="2" borderId="0" xfId="712" applyFont="1" applyFill="1" applyAlignment="1">
      <alignment vertical="center"/>
    </xf>
    <xf numFmtId="10" fontId="13" fillId="2" borderId="0" xfId="712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right" vertical="center"/>
    </xf>
    <xf numFmtId="9" fontId="13" fillId="31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left" vertical="center" wrapText="1"/>
    </xf>
    <xf numFmtId="2" fontId="0" fillId="2" borderId="0" xfId="0" applyNumberFormat="1" applyFill="1" applyAlignment="1">
      <alignment horizontal="center" vertical="center" wrapText="1"/>
    </xf>
    <xf numFmtId="0" fontId="0" fillId="2" borderId="23" xfId="0" applyFill="1" applyBorder="1" applyAlignment="1">
      <alignment horizontal="center" vertical="center" wrapText="1"/>
    </xf>
    <xf numFmtId="0" fontId="11" fillId="32" borderId="0" xfId="8" applyFont="1" applyFill="1" applyAlignment="1">
      <alignment horizontal="center"/>
    </xf>
    <xf numFmtId="0" fontId="11" fillId="32" borderId="0" xfId="8" applyFont="1" applyFill="1"/>
    <xf numFmtId="0" fontId="44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9" fontId="0" fillId="2" borderId="0" xfId="712" applyFont="1" applyFill="1" applyAlignment="1">
      <alignment horizontal="center" vertical="center"/>
    </xf>
    <xf numFmtId="2" fontId="0" fillId="2" borderId="11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2" fontId="0" fillId="2" borderId="11" xfId="0" applyNumberFormat="1" applyFill="1" applyBorder="1" applyAlignment="1">
      <alignment horizontal="center" vertical="center" wrapText="1"/>
    </xf>
    <xf numFmtId="0" fontId="42" fillId="2" borderId="23" xfId="0" applyFont="1" applyFill="1" applyBorder="1" applyAlignment="1">
      <alignment horizontal="center" vertical="center" wrapText="1"/>
    </xf>
    <xf numFmtId="0" fontId="11" fillId="0" borderId="0" xfId="8" applyFont="1" applyAlignment="1">
      <alignment horizontal="center"/>
    </xf>
    <xf numFmtId="0" fontId="11" fillId="0" borderId="0" xfId="8" applyFont="1"/>
    <xf numFmtId="0" fontId="11" fillId="4" borderId="0" xfId="0" applyFont="1" applyFill="1" applyAlignment="1">
      <alignment horizontal="left" vertical="center"/>
    </xf>
    <xf numFmtId="0" fontId="45" fillId="2" borderId="0" xfId="0" applyFont="1" applyFill="1" applyAlignment="1">
      <alignment vertical="center"/>
    </xf>
    <xf numFmtId="0" fontId="46" fillId="2" borderId="0" xfId="0" applyFont="1" applyFill="1" applyAlignment="1">
      <alignment horizontal="center" vertical="center"/>
    </xf>
    <xf numFmtId="3" fontId="11" fillId="2" borderId="0" xfId="0" applyNumberFormat="1" applyFont="1" applyFill="1" applyAlignment="1">
      <alignment horizontal="center" vertical="center"/>
    </xf>
    <xf numFmtId="0" fontId="47" fillId="2" borderId="0" xfId="0" applyFont="1" applyFill="1" applyAlignment="1">
      <alignment horizontal="center" vertical="center"/>
    </xf>
    <xf numFmtId="0" fontId="47" fillId="2" borderId="0" xfId="0" applyFont="1" applyFill="1" applyAlignment="1">
      <alignment vertical="center"/>
    </xf>
    <xf numFmtId="0" fontId="48" fillId="2" borderId="0" xfId="0" applyFont="1" applyFill="1" applyAlignment="1">
      <alignment vertical="center"/>
    </xf>
    <xf numFmtId="0" fontId="49" fillId="2" borderId="0" xfId="0" applyFont="1" applyFill="1" applyAlignment="1">
      <alignment horizontal="center" vertical="center"/>
    </xf>
    <xf numFmtId="3" fontId="40" fillId="2" borderId="0" xfId="0" applyNumberFormat="1" applyFont="1" applyFill="1" applyAlignment="1">
      <alignment horizontal="center" vertical="center"/>
    </xf>
    <xf numFmtId="0" fontId="48" fillId="2" borderId="0" xfId="0" applyFont="1" applyFill="1" applyAlignment="1">
      <alignment horizontal="center" vertical="center"/>
    </xf>
    <xf numFmtId="0" fontId="12" fillId="34" borderId="24" xfId="0" applyFont="1" applyFill="1" applyBorder="1" applyAlignment="1">
      <alignment horizontal="center" vertical="center"/>
    </xf>
    <xf numFmtId="0" fontId="15" fillId="34" borderId="24" xfId="0" applyFont="1" applyFill="1" applyBorder="1" applyAlignment="1">
      <alignment horizontal="center" vertical="center"/>
    </xf>
    <xf numFmtId="3" fontId="15" fillId="34" borderId="24" xfId="0" applyNumberFormat="1" applyFont="1" applyFill="1" applyBorder="1" applyAlignment="1">
      <alignment horizontal="center" vertical="center"/>
    </xf>
    <xf numFmtId="3" fontId="50" fillId="34" borderId="24" xfId="0" applyNumberFormat="1" applyFont="1" applyFill="1" applyBorder="1" applyAlignment="1">
      <alignment horizontal="center" vertical="center"/>
    </xf>
    <xf numFmtId="0" fontId="15" fillId="34" borderId="24" xfId="0" applyFont="1" applyFill="1" applyBorder="1" applyAlignment="1">
      <alignment horizontal="left" vertical="center"/>
    </xf>
    <xf numFmtId="0" fontId="15" fillId="34" borderId="31" xfId="0" applyFont="1" applyFill="1" applyBorder="1" applyAlignment="1">
      <alignment horizontal="right" vertical="center"/>
    </xf>
    <xf numFmtId="3" fontId="15" fillId="34" borderId="31" xfId="0" applyNumberFormat="1" applyFont="1" applyFill="1" applyBorder="1" applyAlignment="1">
      <alignment horizontal="center" vertical="center"/>
    </xf>
    <xf numFmtId="0" fontId="52" fillId="34" borderId="24" xfId="0" applyFont="1" applyFill="1" applyBorder="1" applyAlignment="1">
      <alignment horizontal="left" vertical="center"/>
    </xf>
    <xf numFmtId="3" fontId="52" fillId="34" borderId="24" xfId="0" applyNumberFormat="1" applyFont="1" applyFill="1" applyBorder="1" applyAlignment="1">
      <alignment horizontal="center" vertical="center"/>
    </xf>
    <xf numFmtId="0" fontId="52" fillId="34" borderId="24" xfId="0" applyFont="1" applyFill="1" applyBorder="1" applyAlignment="1">
      <alignment horizontal="center" vertical="center"/>
    </xf>
    <xf numFmtId="0" fontId="52" fillId="34" borderId="31" xfId="0" applyFont="1" applyFill="1" applyBorder="1" applyAlignment="1">
      <alignment horizontal="right" vertical="center"/>
    </xf>
    <xf numFmtId="3" fontId="52" fillId="34" borderId="31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vertical="center"/>
    </xf>
    <xf numFmtId="3" fontId="53" fillId="34" borderId="24" xfId="0" applyNumberFormat="1" applyFont="1" applyFill="1" applyBorder="1" applyAlignment="1">
      <alignment horizontal="center" vertical="center"/>
    </xf>
    <xf numFmtId="0" fontId="15" fillId="34" borderId="33" xfId="0" applyFont="1" applyFill="1" applyBorder="1" applyAlignment="1">
      <alignment horizontal="left" vertical="center"/>
    </xf>
    <xf numFmtId="3" fontId="15" fillId="34" borderId="33" xfId="0" applyNumberFormat="1" applyFont="1" applyFill="1" applyBorder="1" applyAlignment="1">
      <alignment horizontal="center" vertical="center"/>
    </xf>
    <xf numFmtId="0" fontId="12" fillId="34" borderId="31" xfId="0" applyFont="1" applyFill="1" applyBorder="1" applyAlignment="1">
      <alignment horizontal="center" vertical="center"/>
    </xf>
    <xf numFmtId="0" fontId="12" fillId="34" borderId="38" xfId="0" applyFont="1" applyFill="1" applyBorder="1" applyAlignment="1">
      <alignment horizontal="center" vertical="center"/>
    </xf>
    <xf numFmtId="0" fontId="49" fillId="2" borderId="0" xfId="0" applyFont="1" applyFill="1" applyAlignment="1">
      <alignment horizontal="center"/>
    </xf>
    <xf numFmtId="9" fontId="49" fillId="2" borderId="0" xfId="0" applyNumberFormat="1" applyFont="1" applyFill="1" applyAlignment="1">
      <alignment horizontal="center"/>
    </xf>
    <xf numFmtId="3" fontId="11" fillId="2" borderId="0" xfId="8" applyNumberFormat="1" applyFont="1" applyFill="1" applyAlignment="1">
      <alignment horizontal="center" vertical="center"/>
    </xf>
    <xf numFmtId="3" fontId="11" fillId="29" borderId="0" xfId="8" applyNumberFormat="1" applyFont="1" applyFill="1" applyAlignment="1">
      <alignment horizontal="center"/>
    </xf>
    <xf numFmtId="0" fontId="33" fillId="2" borderId="0" xfId="0" applyFont="1" applyFill="1" applyAlignment="1">
      <alignment horizontal="center" vertical="center"/>
    </xf>
    <xf numFmtId="0" fontId="41" fillId="2" borderId="0" xfId="11" applyFont="1" applyFill="1"/>
    <xf numFmtId="0" fontId="33" fillId="2" borderId="0" xfId="0" applyFont="1" applyFill="1" applyAlignment="1">
      <alignment horizontal="left" vertical="center"/>
    </xf>
    <xf numFmtId="0" fontId="33" fillId="2" borderId="0" xfId="0" applyFont="1" applyFill="1" applyAlignment="1">
      <alignment horizontal="center"/>
    </xf>
    <xf numFmtId="3" fontId="33" fillId="2" borderId="0" xfId="0" applyNumberFormat="1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3" fontId="50" fillId="2" borderId="0" xfId="0" applyNumberFormat="1" applyFont="1" applyFill="1" applyAlignment="1">
      <alignment horizontal="center" vertical="center"/>
    </xf>
    <xf numFmtId="10" fontId="0" fillId="2" borderId="0" xfId="712" applyNumberFormat="1" applyFont="1" applyFill="1" applyAlignment="1">
      <alignment horizontal="center" vertical="center" wrapText="1"/>
    </xf>
    <xf numFmtId="10" fontId="0" fillId="2" borderId="0" xfId="712" applyNumberFormat="1" applyFont="1" applyFill="1" applyAlignment="1">
      <alignment horizontal="center" vertical="center"/>
    </xf>
    <xf numFmtId="10" fontId="0" fillId="2" borderId="11" xfId="712" applyNumberFormat="1" applyFont="1" applyFill="1" applyBorder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11" fillId="5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left" vertical="center"/>
    </xf>
    <xf numFmtId="3" fontId="11" fillId="5" borderId="0" xfId="0" applyNumberFormat="1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2" fillId="2" borderId="0" xfId="8" applyFont="1" applyFill="1" applyAlignment="1">
      <alignment horizontal="center" vertical="center"/>
    </xf>
    <xf numFmtId="0" fontId="54" fillId="0" borderId="0" xfId="0" applyFont="1"/>
    <xf numFmtId="0" fontId="55" fillId="2" borderId="0" xfId="0" applyFont="1" applyFill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2" fillId="2" borderId="11" xfId="8" applyFont="1" applyFill="1" applyBorder="1" applyAlignment="1">
      <alignment horizontal="center" vertical="center"/>
    </xf>
    <xf numFmtId="0" fontId="56" fillId="2" borderId="0" xfId="0" applyFont="1" applyFill="1" applyAlignment="1">
      <alignment horizontal="center" vertical="center"/>
    </xf>
    <xf numFmtId="0" fontId="51" fillId="2" borderId="0" xfId="0" applyFont="1" applyFill="1"/>
    <xf numFmtId="0" fontId="11" fillId="5" borderId="0" xfId="11" applyFont="1" applyFill="1"/>
    <xf numFmtId="0" fontId="11" fillId="35" borderId="0" xfId="8" applyFont="1" applyFill="1"/>
    <xf numFmtId="0" fontId="11" fillId="35" borderId="0" xfId="8" applyFont="1" applyFill="1" applyAlignment="1">
      <alignment horizontal="center"/>
    </xf>
    <xf numFmtId="0" fontId="11" fillId="35" borderId="0" xfId="0" applyFont="1" applyFill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53" fillId="34" borderId="29" xfId="0" applyFont="1" applyFill="1" applyBorder="1" applyAlignment="1">
      <alignment horizontal="center" vertical="center"/>
    </xf>
    <xf numFmtId="0" fontId="53" fillId="34" borderId="30" xfId="0" applyFont="1" applyFill="1" applyBorder="1" applyAlignment="1">
      <alignment horizontal="center" vertical="center"/>
    </xf>
    <xf numFmtId="0" fontId="12" fillId="34" borderId="35" xfId="0" applyFont="1" applyFill="1" applyBorder="1" applyAlignment="1">
      <alignment horizontal="center" vertical="center"/>
    </xf>
    <xf numFmtId="0" fontId="12" fillId="34" borderId="36" xfId="0" applyFont="1" applyFill="1" applyBorder="1" applyAlignment="1">
      <alignment horizontal="center" vertical="center"/>
    </xf>
    <xf numFmtId="0" fontId="12" fillId="34" borderId="31" xfId="0" applyFont="1" applyFill="1" applyBorder="1" applyAlignment="1">
      <alignment horizontal="center" vertical="center"/>
    </xf>
    <xf numFmtId="0" fontId="12" fillId="34" borderId="34" xfId="0" applyFont="1" applyFill="1" applyBorder="1" applyAlignment="1">
      <alignment horizontal="center" vertical="center"/>
    </xf>
    <xf numFmtId="0" fontId="12" fillId="34" borderId="37" xfId="0" applyFont="1" applyFill="1" applyBorder="1" applyAlignment="1">
      <alignment horizontal="center" vertical="center"/>
    </xf>
    <xf numFmtId="0" fontId="37" fillId="2" borderId="17" xfId="0" applyFont="1" applyFill="1" applyBorder="1" applyAlignment="1">
      <alignment horizontal="center" vertical="center" wrapText="1"/>
    </xf>
    <xf numFmtId="0" fontId="37" fillId="2" borderId="39" xfId="0" applyFont="1" applyFill="1" applyBorder="1" applyAlignment="1">
      <alignment horizontal="center" vertical="center" wrapText="1"/>
    </xf>
    <xf numFmtId="0" fontId="37" fillId="2" borderId="19" xfId="0" applyFont="1" applyFill="1" applyBorder="1" applyAlignment="1">
      <alignment horizontal="center" vertical="center" wrapText="1"/>
    </xf>
    <xf numFmtId="0" fontId="37" fillId="2" borderId="18" xfId="0" applyFont="1" applyFill="1" applyBorder="1" applyAlignment="1">
      <alignment horizontal="center" vertical="center" wrapText="1"/>
    </xf>
    <xf numFmtId="0" fontId="37" fillId="2" borderId="11" xfId="0" applyFont="1" applyFill="1" applyBorder="1" applyAlignment="1">
      <alignment horizontal="center" vertical="center" wrapText="1"/>
    </xf>
    <xf numFmtId="0" fontId="37" fillId="2" borderId="20" xfId="0" applyFont="1" applyFill="1" applyBorder="1" applyAlignment="1">
      <alignment horizontal="center" vertical="center" wrapText="1"/>
    </xf>
    <xf numFmtId="0" fontId="37" fillId="2" borderId="12" xfId="0" applyFont="1" applyFill="1" applyBorder="1" applyAlignment="1">
      <alignment horizontal="center" vertical="center" wrapText="1"/>
    </xf>
    <xf numFmtId="0" fontId="37" fillId="2" borderId="16" xfId="0" applyFont="1" applyFill="1" applyBorder="1" applyAlignment="1">
      <alignment horizontal="center" vertical="center" wrapText="1"/>
    </xf>
    <xf numFmtId="0" fontId="37" fillId="2" borderId="13" xfId="0" applyFont="1" applyFill="1" applyBorder="1" applyAlignment="1">
      <alignment horizontal="center" vertical="center" wrapText="1"/>
    </xf>
    <xf numFmtId="0" fontId="13" fillId="34" borderId="25" xfId="0" applyFont="1" applyFill="1" applyBorder="1" applyAlignment="1">
      <alignment horizontal="center" vertical="center"/>
    </xf>
    <xf numFmtId="0" fontId="13" fillId="34" borderId="26" xfId="0" applyFont="1" applyFill="1" applyBorder="1" applyAlignment="1">
      <alignment horizontal="center" vertical="center"/>
    </xf>
    <xf numFmtId="0" fontId="13" fillId="34" borderId="32" xfId="0" applyFont="1" applyFill="1" applyBorder="1" applyAlignment="1">
      <alignment horizontal="center" vertical="center"/>
    </xf>
    <xf numFmtId="0" fontId="51" fillId="34" borderId="27" xfId="0" applyFont="1" applyFill="1" applyBorder="1" applyAlignment="1">
      <alignment horizontal="center" vertical="center"/>
    </xf>
    <xf numFmtId="0" fontId="51" fillId="34" borderId="28" xfId="0" applyFont="1" applyFill="1" applyBorder="1" applyAlignment="1">
      <alignment horizontal="center" vertical="center"/>
    </xf>
    <xf numFmtId="0" fontId="14" fillId="3" borderId="0" xfId="8" applyFont="1" applyFill="1" applyAlignment="1">
      <alignment horizontal="center" vertical="center"/>
    </xf>
    <xf numFmtId="0" fontId="11" fillId="29" borderId="12" xfId="8" applyFont="1" applyFill="1" applyBorder="1" applyAlignment="1">
      <alignment horizontal="center" vertical="center"/>
    </xf>
    <xf numFmtId="0" fontId="11" fillId="29" borderId="16" xfId="8" applyFont="1" applyFill="1" applyBorder="1" applyAlignment="1">
      <alignment horizontal="center" vertical="center"/>
    </xf>
    <xf numFmtId="0" fontId="11" fillId="29" borderId="13" xfId="8" applyFont="1" applyFill="1" applyBorder="1" applyAlignment="1">
      <alignment horizontal="center" vertical="center"/>
    </xf>
    <xf numFmtId="0" fontId="11" fillId="29" borderId="1" xfId="8" applyFont="1" applyFill="1" applyBorder="1" applyAlignment="1">
      <alignment horizontal="center" vertical="center"/>
    </xf>
    <xf numFmtId="0" fontId="12" fillId="33" borderId="11" xfId="8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57" fillId="0" borderId="0" xfId="0" applyFont="1" applyAlignment="1">
      <alignment horizontal="center"/>
    </xf>
    <xf numFmtId="0" fontId="9" fillId="0" borderId="0" xfId="0" applyFont="1"/>
    <xf numFmtId="0" fontId="42" fillId="0" borderId="42" xfId="0" applyFont="1" applyBorder="1" applyAlignment="1">
      <alignment horizontal="center"/>
    </xf>
    <xf numFmtId="0" fontId="42" fillId="0" borderId="43" xfId="0" applyFont="1" applyBorder="1" applyAlignment="1">
      <alignment horizontal="center"/>
    </xf>
    <xf numFmtId="0" fontId="42" fillId="3" borderId="46" xfId="0" applyFont="1" applyFill="1" applyBorder="1" applyAlignment="1">
      <alignment horizontal="center"/>
    </xf>
    <xf numFmtId="0" fontId="42" fillId="3" borderId="47" xfId="0" applyFont="1" applyFill="1" applyBorder="1" applyAlignment="1">
      <alignment horizontal="center"/>
    </xf>
    <xf numFmtId="0" fontId="42" fillId="0" borderId="21" xfId="0" applyFont="1" applyFill="1" applyBorder="1" applyAlignment="1">
      <alignment horizontal="center"/>
    </xf>
    <xf numFmtId="0" fontId="42" fillId="36" borderId="42" xfId="0" applyFont="1" applyFill="1" applyBorder="1" applyAlignment="1">
      <alignment horizontal="center"/>
    </xf>
    <xf numFmtId="0" fontId="42" fillId="36" borderId="43" xfId="0" applyFont="1" applyFill="1" applyBorder="1" applyAlignment="1">
      <alignment horizontal="center"/>
    </xf>
    <xf numFmtId="0" fontId="42" fillId="30" borderId="46" xfId="0" applyFont="1" applyFill="1" applyBorder="1" applyAlignment="1">
      <alignment horizontal="center"/>
    </xf>
    <xf numFmtId="0" fontId="42" fillId="30" borderId="47" xfId="0" applyFont="1" applyFill="1" applyBorder="1" applyAlignment="1">
      <alignment horizontal="center"/>
    </xf>
    <xf numFmtId="169" fontId="0" fillId="0" borderId="21" xfId="0" applyNumberFormat="1" applyBorder="1" applyAlignment="1">
      <alignment horizontal="center"/>
    </xf>
    <xf numFmtId="169" fontId="0" fillId="0" borderId="22" xfId="0" applyNumberFormat="1" applyBorder="1" applyAlignment="1">
      <alignment horizontal="center"/>
    </xf>
    <xf numFmtId="0" fontId="42" fillId="0" borderId="14" xfId="0" applyFont="1" applyBorder="1" applyAlignment="1">
      <alignment horizontal="center"/>
    </xf>
    <xf numFmtId="0" fontId="42" fillId="0" borderId="15" xfId="0" applyFont="1" applyBorder="1" applyAlignment="1">
      <alignment horizontal="center"/>
    </xf>
    <xf numFmtId="3" fontId="53" fillId="34" borderId="21" xfId="0" applyNumberFormat="1" applyFont="1" applyFill="1" applyBorder="1" applyAlignment="1">
      <alignment horizontal="center" vertical="center"/>
    </xf>
    <xf numFmtId="3" fontId="53" fillId="34" borderId="22" xfId="0" applyNumberFormat="1" applyFont="1" applyFill="1" applyBorder="1" applyAlignment="1">
      <alignment horizontal="center" vertical="center"/>
    </xf>
    <xf numFmtId="0" fontId="42" fillId="0" borderId="46" xfId="0" applyFont="1" applyBorder="1" applyAlignment="1">
      <alignment horizontal="center"/>
    </xf>
    <xf numFmtId="0" fontId="42" fillId="0" borderId="47" xfId="0" applyFont="1" applyBorder="1" applyAlignment="1">
      <alignment horizontal="center"/>
    </xf>
    <xf numFmtId="169" fontId="42" fillId="3" borderId="48" xfId="0" applyNumberFormat="1" applyFont="1" applyFill="1" applyBorder="1" applyAlignment="1">
      <alignment horizontal="center"/>
    </xf>
    <xf numFmtId="169" fontId="42" fillId="3" borderId="49" xfId="0" applyNumberFormat="1" applyFont="1" applyFill="1" applyBorder="1" applyAlignment="1">
      <alignment horizontal="center"/>
    </xf>
    <xf numFmtId="169" fontId="42" fillId="0" borderId="14" xfId="0" applyNumberFormat="1" applyFont="1" applyBorder="1"/>
    <xf numFmtId="169" fontId="42" fillId="0" borderId="15" xfId="0" applyNumberFormat="1" applyFont="1" applyBorder="1"/>
    <xf numFmtId="0" fontId="42" fillId="0" borderId="14" xfId="0" applyFont="1" applyBorder="1" applyAlignment="1">
      <alignment horizontal="center"/>
    </xf>
    <xf numFmtId="0" fontId="42" fillId="0" borderId="15" xfId="0" applyFont="1" applyBorder="1" applyAlignment="1">
      <alignment horizontal="center"/>
    </xf>
    <xf numFmtId="169" fontId="42" fillId="30" borderId="21" xfId="0" applyNumberFormat="1" applyFont="1" applyFill="1" applyBorder="1" applyAlignment="1">
      <alignment horizontal="center"/>
    </xf>
    <xf numFmtId="169" fontId="42" fillId="30" borderId="22" xfId="0" applyNumberFormat="1" applyFont="1" applyFill="1" applyBorder="1" applyAlignment="1">
      <alignment horizontal="center"/>
    </xf>
    <xf numFmtId="0" fontId="42" fillId="30" borderId="50" xfId="0" applyFont="1" applyFill="1" applyBorder="1" applyAlignment="1">
      <alignment horizontal="center"/>
    </xf>
    <xf numFmtId="0" fontId="42" fillId="30" borderId="51" xfId="0" applyFont="1" applyFill="1" applyBorder="1" applyAlignment="1">
      <alignment horizontal="center"/>
    </xf>
    <xf numFmtId="0" fontId="42" fillId="0" borderId="22" xfId="0" applyFont="1" applyBorder="1" applyAlignment="1">
      <alignment horizontal="center"/>
    </xf>
    <xf numFmtId="0" fontId="42" fillId="0" borderId="40" xfId="0" applyFont="1" applyBorder="1" applyAlignment="1">
      <alignment horizontal="center"/>
    </xf>
    <xf numFmtId="0" fontId="42" fillId="0" borderId="41" xfId="0" applyFont="1" applyBorder="1" applyAlignment="1">
      <alignment horizontal="center"/>
    </xf>
    <xf numFmtId="0" fontId="42" fillId="0" borderId="44" xfId="0" applyFont="1" applyBorder="1" applyAlignment="1">
      <alignment horizontal="center"/>
    </xf>
    <xf numFmtId="0" fontId="42" fillId="0" borderId="45" xfId="0" applyFont="1" applyBorder="1" applyAlignment="1">
      <alignment horizontal="center"/>
    </xf>
  </cellXfs>
  <cellStyles count="714">
    <cellStyle name="20% - Énfasis1 10" xfId="13" xr:uid="{00000000-0005-0000-0000-000000000000}"/>
    <cellStyle name="20% - Énfasis1 11" xfId="14" xr:uid="{00000000-0005-0000-0000-000001000000}"/>
    <cellStyle name="20% - Énfasis1 12" xfId="15" xr:uid="{00000000-0005-0000-0000-000002000000}"/>
    <cellStyle name="20% - Énfasis1 13" xfId="16" xr:uid="{00000000-0005-0000-0000-000003000000}"/>
    <cellStyle name="20% - Énfasis1 14" xfId="17" xr:uid="{00000000-0005-0000-0000-000004000000}"/>
    <cellStyle name="20% - Énfasis1 15" xfId="18" xr:uid="{00000000-0005-0000-0000-000005000000}"/>
    <cellStyle name="20% - Énfasis1 16" xfId="19" xr:uid="{00000000-0005-0000-0000-000006000000}"/>
    <cellStyle name="20% - Énfasis1 17" xfId="20" xr:uid="{00000000-0005-0000-0000-000007000000}"/>
    <cellStyle name="20% - Énfasis1 2" xfId="21" xr:uid="{00000000-0005-0000-0000-000008000000}"/>
    <cellStyle name="20% - Énfasis1 3" xfId="22" xr:uid="{00000000-0005-0000-0000-000009000000}"/>
    <cellStyle name="20% - Énfasis1 4" xfId="23" xr:uid="{00000000-0005-0000-0000-00000A000000}"/>
    <cellStyle name="20% - Énfasis1 5" xfId="24" xr:uid="{00000000-0005-0000-0000-00000B000000}"/>
    <cellStyle name="20% - Énfasis1 6" xfId="25" xr:uid="{00000000-0005-0000-0000-00000C000000}"/>
    <cellStyle name="20% - Énfasis1 7" xfId="26" xr:uid="{00000000-0005-0000-0000-00000D000000}"/>
    <cellStyle name="20% - Énfasis1 8" xfId="27" xr:uid="{00000000-0005-0000-0000-00000E000000}"/>
    <cellStyle name="20% - Énfasis1 9" xfId="28" xr:uid="{00000000-0005-0000-0000-00000F000000}"/>
    <cellStyle name="20% - Énfasis2 10" xfId="29" xr:uid="{00000000-0005-0000-0000-000010000000}"/>
    <cellStyle name="20% - Énfasis2 11" xfId="30" xr:uid="{00000000-0005-0000-0000-000011000000}"/>
    <cellStyle name="20% - Énfasis2 12" xfId="31" xr:uid="{00000000-0005-0000-0000-000012000000}"/>
    <cellStyle name="20% - Énfasis2 13" xfId="32" xr:uid="{00000000-0005-0000-0000-000013000000}"/>
    <cellStyle name="20% - Énfasis2 14" xfId="33" xr:uid="{00000000-0005-0000-0000-000014000000}"/>
    <cellStyle name="20% - Énfasis2 15" xfId="34" xr:uid="{00000000-0005-0000-0000-000015000000}"/>
    <cellStyle name="20% - Énfasis2 16" xfId="35" xr:uid="{00000000-0005-0000-0000-000016000000}"/>
    <cellStyle name="20% - Énfasis2 17" xfId="36" xr:uid="{00000000-0005-0000-0000-000017000000}"/>
    <cellStyle name="20% - Énfasis2 2" xfId="37" xr:uid="{00000000-0005-0000-0000-000018000000}"/>
    <cellStyle name="20% - Énfasis2 3" xfId="38" xr:uid="{00000000-0005-0000-0000-000019000000}"/>
    <cellStyle name="20% - Énfasis2 4" xfId="39" xr:uid="{00000000-0005-0000-0000-00001A000000}"/>
    <cellStyle name="20% - Énfasis2 5" xfId="40" xr:uid="{00000000-0005-0000-0000-00001B000000}"/>
    <cellStyle name="20% - Énfasis2 6" xfId="41" xr:uid="{00000000-0005-0000-0000-00001C000000}"/>
    <cellStyle name="20% - Énfasis2 7" xfId="42" xr:uid="{00000000-0005-0000-0000-00001D000000}"/>
    <cellStyle name="20% - Énfasis2 8" xfId="43" xr:uid="{00000000-0005-0000-0000-00001E000000}"/>
    <cellStyle name="20% - Énfasis2 9" xfId="44" xr:uid="{00000000-0005-0000-0000-00001F000000}"/>
    <cellStyle name="20% - Énfasis3 10" xfId="45" xr:uid="{00000000-0005-0000-0000-000020000000}"/>
    <cellStyle name="20% - Énfasis3 11" xfId="46" xr:uid="{00000000-0005-0000-0000-000021000000}"/>
    <cellStyle name="20% - Énfasis3 12" xfId="47" xr:uid="{00000000-0005-0000-0000-000022000000}"/>
    <cellStyle name="20% - Énfasis3 13" xfId="48" xr:uid="{00000000-0005-0000-0000-000023000000}"/>
    <cellStyle name="20% - Énfasis3 14" xfId="49" xr:uid="{00000000-0005-0000-0000-000024000000}"/>
    <cellStyle name="20% - Énfasis3 15" xfId="50" xr:uid="{00000000-0005-0000-0000-000025000000}"/>
    <cellStyle name="20% - Énfasis3 16" xfId="51" xr:uid="{00000000-0005-0000-0000-000026000000}"/>
    <cellStyle name="20% - Énfasis3 17" xfId="52" xr:uid="{00000000-0005-0000-0000-000027000000}"/>
    <cellStyle name="20% - Énfasis3 2" xfId="53" xr:uid="{00000000-0005-0000-0000-000028000000}"/>
    <cellStyle name="20% - Énfasis3 3" xfId="54" xr:uid="{00000000-0005-0000-0000-000029000000}"/>
    <cellStyle name="20% - Énfasis3 4" xfId="55" xr:uid="{00000000-0005-0000-0000-00002A000000}"/>
    <cellStyle name="20% - Énfasis3 5" xfId="56" xr:uid="{00000000-0005-0000-0000-00002B000000}"/>
    <cellStyle name="20% - Énfasis3 6" xfId="57" xr:uid="{00000000-0005-0000-0000-00002C000000}"/>
    <cellStyle name="20% - Énfasis3 7" xfId="58" xr:uid="{00000000-0005-0000-0000-00002D000000}"/>
    <cellStyle name="20% - Énfasis3 8" xfId="59" xr:uid="{00000000-0005-0000-0000-00002E000000}"/>
    <cellStyle name="20% - Énfasis3 9" xfId="60" xr:uid="{00000000-0005-0000-0000-00002F000000}"/>
    <cellStyle name="20% - Énfasis4 10" xfId="61" xr:uid="{00000000-0005-0000-0000-000030000000}"/>
    <cellStyle name="20% - Énfasis4 11" xfId="62" xr:uid="{00000000-0005-0000-0000-000031000000}"/>
    <cellStyle name="20% - Énfasis4 12" xfId="63" xr:uid="{00000000-0005-0000-0000-000032000000}"/>
    <cellStyle name="20% - Énfasis4 13" xfId="64" xr:uid="{00000000-0005-0000-0000-000033000000}"/>
    <cellStyle name="20% - Énfasis4 14" xfId="65" xr:uid="{00000000-0005-0000-0000-000034000000}"/>
    <cellStyle name="20% - Énfasis4 15" xfId="66" xr:uid="{00000000-0005-0000-0000-000035000000}"/>
    <cellStyle name="20% - Énfasis4 16" xfId="67" xr:uid="{00000000-0005-0000-0000-000036000000}"/>
    <cellStyle name="20% - Énfasis4 17" xfId="68" xr:uid="{00000000-0005-0000-0000-000037000000}"/>
    <cellStyle name="20% - Énfasis4 2" xfId="69" xr:uid="{00000000-0005-0000-0000-000038000000}"/>
    <cellStyle name="20% - Énfasis4 3" xfId="70" xr:uid="{00000000-0005-0000-0000-000039000000}"/>
    <cellStyle name="20% - Énfasis4 4" xfId="71" xr:uid="{00000000-0005-0000-0000-00003A000000}"/>
    <cellStyle name="20% - Énfasis4 5" xfId="72" xr:uid="{00000000-0005-0000-0000-00003B000000}"/>
    <cellStyle name="20% - Énfasis4 6" xfId="73" xr:uid="{00000000-0005-0000-0000-00003C000000}"/>
    <cellStyle name="20% - Énfasis4 7" xfId="74" xr:uid="{00000000-0005-0000-0000-00003D000000}"/>
    <cellStyle name="20% - Énfasis4 8" xfId="75" xr:uid="{00000000-0005-0000-0000-00003E000000}"/>
    <cellStyle name="20% - Énfasis4 9" xfId="76" xr:uid="{00000000-0005-0000-0000-00003F000000}"/>
    <cellStyle name="20% - Énfasis5 10" xfId="77" xr:uid="{00000000-0005-0000-0000-000040000000}"/>
    <cellStyle name="20% - Énfasis5 11" xfId="78" xr:uid="{00000000-0005-0000-0000-000041000000}"/>
    <cellStyle name="20% - Énfasis5 12" xfId="79" xr:uid="{00000000-0005-0000-0000-000042000000}"/>
    <cellStyle name="20% - Énfasis5 13" xfId="80" xr:uid="{00000000-0005-0000-0000-000043000000}"/>
    <cellStyle name="20% - Énfasis5 14" xfId="81" xr:uid="{00000000-0005-0000-0000-000044000000}"/>
    <cellStyle name="20% - Énfasis5 15" xfId="82" xr:uid="{00000000-0005-0000-0000-000045000000}"/>
    <cellStyle name="20% - Énfasis5 16" xfId="83" xr:uid="{00000000-0005-0000-0000-000046000000}"/>
    <cellStyle name="20% - Énfasis5 17" xfId="84" xr:uid="{00000000-0005-0000-0000-000047000000}"/>
    <cellStyle name="20% - Énfasis5 2" xfId="85" xr:uid="{00000000-0005-0000-0000-000048000000}"/>
    <cellStyle name="20% - Énfasis5 3" xfId="86" xr:uid="{00000000-0005-0000-0000-000049000000}"/>
    <cellStyle name="20% - Énfasis5 4" xfId="87" xr:uid="{00000000-0005-0000-0000-00004A000000}"/>
    <cellStyle name="20% - Énfasis5 5" xfId="88" xr:uid="{00000000-0005-0000-0000-00004B000000}"/>
    <cellStyle name="20% - Énfasis5 6" xfId="89" xr:uid="{00000000-0005-0000-0000-00004C000000}"/>
    <cellStyle name="20% - Énfasis5 7" xfId="90" xr:uid="{00000000-0005-0000-0000-00004D000000}"/>
    <cellStyle name="20% - Énfasis5 8" xfId="91" xr:uid="{00000000-0005-0000-0000-00004E000000}"/>
    <cellStyle name="20% - Énfasis5 9" xfId="92" xr:uid="{00000000-0005-0000-0000-00004F000000}"/>
    <cellStyle name="20% - Énfasis6 10" xfId="93" xr:uid="{00000000-0005-0000-0000-000050000000}"/>
    <cellStyle name="20% - Énfasis6 11" xfId="94" xr:uid="{00000000-0005-0000-0000-000051000000}"/>
    <cellStyle name="20% - Énfasis6 12" xfId="95" xr:uid="{00000000-0005-0000-0000-000052000000}"/>
    <cellStyle name="20% - Énfasis6 13" xfId="96" xr:uid="{00000000-0005-0000-0000-000053000000}"/>
    <cellStyle name="20% - Énfasis6 14" xfId="97" xr:uid="{00000000-0005-0000-0000-000054000000}"/>
    <cellStyle name="20% - Énfasis6 15" xfId="98" xr:uid="{00000000-0005-0000-0000-000055000000}"/>
    <cellStyle name="20% - Énfasis6 16" xfId="99" xr:uid="{00000000-0005-0000-0000-000056000000}"/>
    <cellStyle name="20% - Énfasis6 17" xfId="100" xr:uid="{00000000-0005-0000-0000-000057000000}"/>
    <cellStyle name="20% - Énfasis6 2" xfId="101" xr:uid="{00000000-0005-0000-0000-000058000000}"/>
    <cellStyle name="20% - Énfasis6 3" xfId="102" xr:uid="{00000000-0005-0000-0000-000059000000}"/>
    <cellStyle name="20% - Énfasis6 4" xfId="103" xr:uid="{00000000-0005-0000-0000-00005A000000}"/>
    <cellStyle name="20% - Énfasis6 5" xfId="104" xr:uid="{00000000-0005-0000-0000-00005B000000}"/>
    <cellStyle name="20% - Énfasis6 6" xfId="105" xr:uid="{00000000-0005-0000-0000-00005C000000}"/>
    <cellStyle name="20% - Énfasis6 7" xfId="106" xr:uid="{00000000-0005-0000-0000-00005D000000}"/>
    <cellStyle name="20% - Énfasis6 8" xfId="107" xr:uid="{00000000-0005-0000-0000-00005E000000}"/>
    <cellStyle name="20% - Énfasis6 9" xfId="108" xr:uid="{00000000-0005-0000-0000-00005F000000}"/>
    <cellStyle name="40% - Énfasis1 10" xfId="109" xr:uid="{00000000-0005-0000-0000-000060000000}"/>
    <cellStyle name="40% - Énfasis1 11" xfId="110" xr:uid="{00000000-0005-0000-0000-000061000000}"/>
    <cellStyle name="40% - Énfasis1 12" xfId="111" xr:uid="{00000000-0005-0000-0000-000062000000}"/>
    <cellStyle name="40% - Énfasis1 13" xfId="112" xr:uid="{00000000-0005-0000-0000-000063000000}"/>
    <cellStyle name="40% - Énfasis1 14" xfId="113" xr:uid="{00000000-0005-0000-0000-000064000000}"/>
    <cellStyle name="40% - Énfasis1 15" xfId="114" xr:uid="{00000000-0005-0000-0000-000065000000}"/>
    <cellStyle name="40% - Énfasis1 16" xfId="115" xr:uid="{00000000-0005-0000-0000-000066000000}"/>
    <cellStyle name="40% - Énfasis1 17" xfId="116" xr:uid="{00000000-0005-0000-0000-000067000000}"/>
    <cellStyle name="40% - Énfasis1 2" xfId="117" xr:uid="{00000000-0005-0000-0000-000068000000}"/>
    <cellStyle name="40% - Énfasis1 3" xfId="118" xr:uid="{00000000-0005-0000-0000-000069000000}"/>
    <cellStyle name="40% - Énfasis1 4" xfId="119" xr:uid="{00000000-0005-0000-0000-00006A000000}"/>
    <cellStyle name="40% - Énfasis1 5" xfId="120" xr:uid="{00000000-0005-0000-0000-00006B000000}"/>
    <cellStyle name="40% - Énfasis1 6" xfId="121" xr:uid="{00000000-0005-0000-0000-00006C000000}"/>
    <cellStyle name="40% - Énfasis1 7" xfId="122" xr:uid="{00000000-0005-0000-0000-00006D000000}"/>
    <cellStyle name="40% - Énfasis1 8" xfId="123" xr:uid="{00000000-0005-0000-0000-00006E000000}"/>
    <cellStyle name="40% - Énfasis1 9" xfId="124" xr:uid="{00000000-0005-0000-0000-00006F000000}"/>
    <cellStyle name="40% - Énfasis2 10" xfId="125" xr:uid="{00000000-0005-0000-0000-000070000000}"/>
    <cellStyle name="40% - Énfasis2 11" xfId="126" xr:uid="{00000000-0005-0000-0000-000071000000}"/>
    <cellStyle name="40% - Énfasis2 12" xfId="127" xr:uid="{00000000-0005-0000-0000-000072000000}"/>
    <cellStyle name="40% - Énfasis2 13" xfId="128" xr:uid="{00000000-0005-0000-0000-000073000000}"/>
    <cellStyle name="40% - Énfasis2 14" xfId="129" xr:uid="{00000000-0005-0000-0000-000074000000}"/>
    <cellStyle name="40% - Énfasis2 15" xfId="130" xr:uid="{00000000-0005-0000-0000-000075000000}"/>
    <cellStyle name="40% - Énfasis2 16" xfId="131" xr:uid="{00000000-0005-0000-0000-000076000000}"/>
    <cellStyle name="40% - Énfasis2 17" xfId="132" xr:uid="{00000000-0005-0000-0000-000077000000}"/>
    <cellStyle name="40% - Énfasis2 2" xfId="133" xr:uid="{00000000-0005-0000-0000-000078000000}"/>
    <cellStyle name="40% - Énfasis2 3" xfId="134" xr:uid="{00000000-0005-0000-0000-000079000000}"/>
    <cellStyle name="40% - Énfasis2 4" xfId="135" xr:uid="{00000000-0005-0000-0000-00007A000000}"/>
    <cellStyle name="40% - Énfasis2 5" xfId="136" xr:uid="{00000000-0005-0000-0000-00007B000000}"/>
    <cellStyle name="40% - Énfasis2 6" xfId="137" xr:uid="{00000000-0005-0000-0000-00007C000000}"/>
    <cellStyle name="40% - Énfasis2 7" xfId="138" xr:uid="{00000000-0005-0000-0000-00007D000000}"/>
    <cellStyle name="40% - Énfasis2 8" xfId="139" xr:uid="{00000000-0005-0000-0000-00007E000000}"/>
    <cellStyle name="40% - Énfasis2 9" xfId="140" xr:uid="{00000000-0005-0000-0000-00007F000000}"/>
    <cellStyle name="40% - Énfasis3 10" xfId="141" xr:uid="{00000000-0005-0000-0000-000080000000}"/>
    <cellStyle name="40% - Énfasis3 11" xfId="142" xr:uid="{00000000-0005-0000-0000-000081000000}"/>
    <cellStyle name="40% - Énfasis3 12" xfId="143" xr:uid="{00000000-0005-0000-0000-000082000000}"/>
    <cellStyle name="40% - Énfasis3 13" xfId="144" xr:uid="{00000000-0005-0000-0000-000083000000}"/>
    <cellStyle name="40% - Énfasis3 14" xfId="145" xr:uid="{00000000-0005-0000-0000-000084000000}"/>
    <cellStyle name="40% - Énfasis3 15" xfId="146" xr:uid="{00000000-0005-0000-0000-000085000000}"/>
    <cellStyle name="40% - Énfasis3 16" xfId="147" xr:uid="{00000000-0005-0000-0000-000086000000}"/>
    <cellStyle name="40% - Énfasis3 17" xfId="148" xr:uid="{00000000-0005-0000-0000-000087000000}"/>
    <cellStyle name="40% - Énfasis3 2" xfId="149" xr:uid="{00000000-0005-0000-0000-000088000000}"/>
    <cellStyle name="40% - Énfasis3 3" xfId="150" xr:uid="{00000000-0005-0000-0000-000089000000}"/>
    <cellStyle name="40% - Énfasis3 4" xfId="151" xr:uid="{00000000-0005-0000-0000-00008A000000}"/>
    <cellStyle name="40% - Énfasis3 5" xfId="152" xr:uid="{00000000-0005-0000-0000-00008B000000}"/>
    <cellStyle name="40% - Énfasis3 6" xfId="153" xr:uid="{00000000-0005-0000-0000-00008C000000}"/>
    <cellStyle name="40% - Énfasis3 7" xfId="154" xr:uid="{00000000-0005-0000-0000-00008D000000}"/>
    <cellStyle name="40% - Énfasis3 8" xfId="155" xr:uid="{00000000-0005-0000-0000-00008E000000}"/>
    <cellStyle name="40% - Énfasis3 9" xfId="156" xr:uid="{00000000-0005-0000-0000-00008F000000}"/>
    <cellStyle name="40% - Énfasis4 10" xfId="157" xr:uid="{00000000-0005-0000-0000-000090000000}"/>
    <cellStyle name="40% - Énfasis4 11" xfId="158" xr:uid="{00000000-0005-0000-0000-000091000000}"/>
    <cellStyle name="40% - Énfasis4 12" xfId="159" xr:uid="{00000000-0005-0000-0000-000092000000}"/>
    <cellStyle name="40% - Énfasis4 13" xfId="160" xr:uid="{00000000-0005-0000-0000-000093000000}"/>
    <cellStyle name="40% - Énfasis4 14" xfId="161" xr:uid="{00000000-0005-0000-0000-000094000000}"/>
    <cellStyle name="40% - Énfasis4 15" xfId="162" xr:uid="{00000000-0005-0000-0000-000095000000}"/>
    <cellStyle name="40% - Énfasis4 16" xfId="163" xr:uid="{00000000-0005-0000-0000-000096000000}"/>
    <cellStyle name="40% - Énfasis4 17" xfId="164" xr:uid="{00000000-0005-0000-0000-000097000000}"/>
    <cellStyle name="40% - Énfasis4 2" xfId="165" xr:uid="{00000000-0005-0000-0000-000098000000}"/>
    <cellStyle name="40% - Énfasis4 3" xfId="166" xr:uid="{00000000-0005-0000-0000-000099000000}"/>
    <cellStyle name="40% - Énfasis4 4" xfId="167" xr:uid="{00000000-0005-0000-0000-00009A000000}"/>
    <cellStyle name="40% - Énfasis4 5" xfId="168" xr:uid="{00000000-0005-0000-0000-00009B000000}"/>
    <cellStyle name="40% - Énfasis4 6" xfId="169" xr:uid="{00000000-0005-0000-0000-00009C000000}"/>
    <cellStyle name="40% - Énfasis4 7" xfId="170" xr:uid="{00000000-0005-0000-0000-00009D000000}"/>
    <cellStyle name="40% - Énfasis4 8" xfId="171" xr:uid="{00000000-0005-0000-0000-00009E000000}"/>
    <cellStyle name="40% - Énfasis4 9" xfId="172" xr:uid="{00000000-0005-0000-0000-00009F000000}"/>
    <cellStyle name="40% - Énfasis5 10" xfId="173" xr:uid="{00000000-0005-0000-0000-0000A0000000}"/>
    <cellStyle name="40% - Énfasis5 11" xfId="174" xr:uid="{00000000-0005-0000-0000-0000A1000000}"/>
    <cellStyle name="40% - Énfasis5 12" xfId="175" xr:uid="{00000000-0005-0000-0000-0000A2000000}"/>
    <cellStyle name="40% - Énfasis5 13" xfId="176" xr:uid="{00000000-0005-0000-0000-0000A3000000}"/>
    <cellStyle name="40% - Énfasis5 14" xfId="177" xr:uid="{00000000-0005-0000-0000-0000A4000000}"/>
    <cellStyle name="40% - Énfasis5 15" xfId="178" xr:uid="{00000000-0005-0000-0000-0000A5000000}"/>
    <cellStyle name="40% - Énfasis5 16" xfId="179" xr:uid="{00000000-0005-0000-0000-0000A6000000}"/>
    <cellStyle name="40% - Énfasis5 17" xfId="180" xr:uid="{00000000-0005-0000-0000-0000A7000000}"/>
    <cellStyle name="40% - Énfasis5 2" xfId="181" xr:uid="{00000000-0005-0000-0000-0000A8000000}"/>
    <cellStyle name="40% - Énfasis5 3" xfId="182" xr:uid="{00000000-0005-0000-0000-0000A9000000}"/>
    <cellStyle name="40% - Énfasis5 4" xfId="183" xr:uid="{00000000-0005-0000-0000-0000AA000000}"/>
    <cellStyle name="40% - Énfasis5 5" xfId="184" xr:uid="{00000000-0005-0000-0000-0000AB000000}"/>
    <cellStyle name="40% - Énfasis5 6" xfId="185" xr:uid="{00000000-0005-0000-0000-0000AC000000}"/>
    <cellStyle name="40% - Énfasis5 7" xfId="186" xr:uid="{00000000-0005-0000-0000-0000AD000000}"/>
    <cellStyle name="40% - Énfasis5 8" xfId="187" xr:uid="{00000000-0005-0000-0000-0000AE000000}"/>
    <cellStyle name="40% - Énfasis5 9" xfId="188" xr:uid="{00000000-0005-0000-0000-0000AF000000}"/>
    <cellStyle name="40% - Énfasis6 10" xfId="189" xr:uid="{00000000-0005-0000-0000-0000B0000000}"/>
    <cellStyle name="40% - Énfasis6 11" xfId="190" xr:uid="{00000000-0005-0000-0000-0000B1000000}"/>
    <cellStyle name="40% - Énfasis6 12" xfId="191" xr:uid="{00000000-0005-0000-0000-0000B2000000}"/>
    <cellStyle name="40% - Énfasis6 13" xfId="192" xr:uid="{00000000-0005-0000-0000-0000B3000000}"/>
    <cellStyle name="40% - Énfasis6 14" xfId="193" xr:uid="{00000000-0005-0000-0000-0000B4000000}"/>
    <cellStyle name="40% - Énfasis6 15" xfId="194" xr:uid="{00000000-0005-0000-0000-0000B5000000}"/>
    <cellStyle name="40% - Énfasis6 16" xfId="195" xr:uid="{00000000-0005-0000-0000-0000B6000000}"/>
    <cellStyle name="40% - Énfasis6 17" xfId="196" xr:uid="{00000000-0005-0000-0000-0000B7000000}"/>
    <cellStyle name="40% - Énfasis6 2" xfId="197" xr:uid="{00000000-0005-0000-0000-0000B8000000}"/>
    <cellStyle name="40% - Énfasis6 3" xfId="198" xr:uid="{00000000-0005-0000-0000-0000B9000000}"/>
    <cellStyle name="40% - Énfasis6 4" xfId="199" xr:uid="{00000000-0005-0000-0000-0000BA000000}"/>
    <cellStyle name="40% - Énfasis6 5" xfId="200" xr:uid="{00000000-0005-0000-0000-0000BB000000}"/>
    <cellStyle name="40% - Énfasis6 6" xfId="201" xr:uid="{00000000-0005-0000-0000-0000BC000000}"/>
    <cellStyle name="40% - Énfasis6 7" xfId="202" xr:uid="{00000000-0005-0000-0000-0000BD000000}"/>
    <cellStyle name="40% - Énfasis6 8" xfId="203" xr:uid="{00000000-0005-0000-0000-0000BE000000}"/>
    <cellStyle name="40% - Énfasis6 9" xfId="204" xr:uid="{00000000-0005-0000-0000-0000BF000000}"/>
    <cellStyle name="60% - Énfasis1 10" xfId="205" xr:uid="{00000000-0005-0000-0000-0000C0000000}"/>
    <cellStyle name="60% - Énfasis1 11" xfId="206" xr:uid="{00000000-0005-0000-0000-0000C1000000}"/>
    <cellStyle name="60% - Énfasis1 12" xfId="207" xr:uid="{00000000-0005-0000-0000-0000C2000000}"/>
    <cellStyle name="60% - Énfasis1 13" xfId="208" xr:uid="{00000000-0005-0000-0000-0000C3000000}"/>
    <cellStyle name="60% - Énfasis1 14" xfId="209" xr:uid="{00000000-0005-0000-0000-0000C4000000}"/>
    <cellStyle name="60% - Énfasis1 15" xfId="210" xr:uid="{00000000-0005-0000-0000-0000C5000000}"/>
    <cellStyle name="60% - Énfasis1 16" xfId="211" xr:uid="{00000000-0005-0000-0000-0000C6000000}"/>
    <cellStyle name="60% - Énfasis1 17" xfId="212" xr:uid="{00000000-0005-0000-0000-0000C7000000}"/>
    <cellStyle name="60% - Énfasis1 2" xfId="213" xr:uid="{00000000-0005-0000-0000-0000C8000000}"/>
    <cellStyle name="60% - Énfasis1 3" xfId="214" xr:uid="{00000000-0005-0000-0000-0000C9000000}"/>
    <cellStyle name="60% - Énfasis1 4" xfId="215" xr:uid="{00000000-0005-0000-0000-0000CA000000}"/>
    <cellStyle name="60% - Énfasis1 5" xfId="216" xr:uid="{00000000-0005-0000-0000-0000CB000000}"/>
    <cellStyle name="60% - Énfasis1 6" xfId="217" xr:uid="{00000000-0005-0000-0000-0000CC000000}"/>
    <cellStyle name="60% - Énfasis1 7" xfId="218" xr:uid="{00000000-0005-0000-0000-0000CD000000}"/>
    <cellStyle name="60% - Énfasis1 8" xfId="219" xr:uid="{00000000-0005-0000-0000-0000CE000000}"/>
    <cellStyle name="60% - Énfasis1 9" xfId="220" xr:uid="{00000000-0005-0000-0000-0000CF000000}"/>
    <cellStyle name="60% - Énfasis2 10" xfId="221" xr:uid="{00000000-0005-0000-0000-0000D0000000}"/>
    <cellStyle name="60% - Énfasis2 11" xfId="222" xr:uid="{00000000-0005-0000-0000-0000D1000000}"/>
    <cellStyle name="60% - Énfasis2 12" xfId="223" xr:uid="{00000000-0005-0000-0000-0000D2000000}"/>
    <cellStyle name="60% - Énfasis2 13" xfId="224" xr:uid="{00000000-0005-0000-0000-0000D3000000}"/>
    <cellStyle name="60% - Énfasis2 14" xfId="225" xr:uid="{00000000-0005-0000-0000-0000D4000000}"/>
    <cellStyle name="60% - Énfasis2 15" xfId="226" xr:uid="{00000000-0005-0000-0000-0000D5000000}"/>
    <cellStyle name="60% - Énfasis2 16" xfId="227" xr:uid="{00000000-0005-0000-0000-0000D6000000}"/>
    <cellStyle name="60% - Énfasis2 17" xfId="228" xr:uid="{00000000-0005-0000-0000-0000D7000000}"/>
    <cellStyle name="60% - Énfasis2 2" xfId="229" xr:uid="{00000000-0005-0000-0000-0000D8000000}"/>
    <cellStyle name="60% - Énfasis2 3" xfId="230" xr:uid="{00000000-0005-0000-0000-0000D9000000}"/>
    <cellStyle name="60% - Énfasis2 4" xfId="231" xr:uid="{00000000-0005-0000-0000-0000DA000000}"/>
    <cellStyle name="60% - Énfasis2 5" xfId="232" xr:uid="{00000000-0005-0000-0000-0000DB000000}"/>
    <cellStyle name="60% - Énfasis2 6" xfId="233" xr:uid="{00000000-0005-0000-0000-0000DC000000}"/>
    <cellStyle name="60% - Énfasis2 7" xfId="234" xr:uid="{00000000-0005-0000-0000-0000DD000000}"/>
    <cellStyle name="60% - Énfasis2 8" xfId="235" xr:uid="{00000000-0005-0000-0000-0000DE000000}"/>
    <cellStyle name="60% - Énfasis2 9" xfId="236" xr:uid="{00000000-0005-0000-0000-0000DF000000}"/>
    <cellStyle name="60% - Énfasis3 10" xfId="237" xr:uid="{00000000-0005-0000-0000-0000E0000000}"/>
    <cellStyle name="60% - Énfasis3 11" xfId="238" xr:uid="{00000000-0005-0000-0000-0000E1000000}"/>
    <cellStyle name="60% - Énfasis3 12" xfId="239" xr:uid="{00000000-0005-0000-0000-0000E2000000}"/>
    <cellStyle name="60% - Énfasis3 13" xfId="240" xr:uid="{00000000-0005-0000-0000-0000E3000000}"/>
    <cellStyle name="60% - Énfasis3 14" xfId="241" xr:uid="{00000000-0005-0000-0000-0000E4000000}"/>
    <cellStyle name="60% - Énfasis3 15" xfId="242" xr:uid="{00000000-0005-0000-0000-0000E5000000}"/>
    <cellStyle name="60% - Énfasis3 16" xfId="243" xr:uid="{00000000-0005-0000-0000-0000E6000000}"/>
    <cellStyle name="60% - Énfasis3 17" xfId="244" xr:uid="{00000000-0005-0000-0000-0000E7000000}"/>
    <cellStyle name="60% - Énfasis3 2" xfId="245" xr:uid="{00000000-0005-0000-0000-0000E8000000}"/>
    <cellStyle name="60% - Énfasis3 3" xfId="246" xr:uid="{00000000-0005-0000-0000-0000E9000000}"/>
    <cellStyle name="60% - Énfasis3 4" xfId="247" xr:uid="{00000000-0005-0000-0000-0000EA000000}"/>
    <cellStyle name="60% - Énfasis3 5" xfId="248" xr:uid="{00000000-0005-0000-0000-0000EB000000}"/>
    <cellStyle name="60% - Énfasis3 6" xfId="249" xr:uid="{00000000-0005-0000-0000-0000EC000000}"/>
    <cellStyle name="60% - Énfasis3 7" xfId="250" xr:uid="{00000000-0005-0000-0000-0000ED000000}"/>
    <cellStyle name="60% - Énfasis3 8" xfId="251" xr:uid="{00000000-0005-0000-0000-0000EE000000}"/>
    <cellStyle name="60% - Énfasis3 9" xfId="252" xr:uid="{00000000-0005-0000-0000-0000EF000000}"/>
    <cellStyle name="60% - Énfasis4 10" xfId="253" xr:uid="{00000000-0005-0000-0000-0000F0000000}"/>
    <cellStyle name="60% - Énfasis4 11" xfId="254" xr:uid="{00000000-0005-0000-0000-0000F1000000}"/>
    <cellStyle name="60% - Énfasis4 12" xfId="255" xr:uid="{00000000-0005-0000-0000-0000F2000000}"/>
    <cellStyle name="60% - Énfasis4 13" xfId="256" xr:uid="{00000000-0005-0000-0000-0000F3000000}"/>
    <cellStyle name="60% - Énfasis4 14" xfId="257" xr:uid="{00000000-0005-0000-0000-0000F4000000}"/>
    <cellStyle name="60% - Énfasis4 15" xfId="258" xr:uid="{00000000-0005-0000-0000-0000F5000000}"/>
    <cellStyle name="60% - Énfasis4 16" xfId="259" xr:uid="{00000000-0005-0000-0000-0000F6000000}"/>
    <cellStyle name="60% - Énfasis4 17" xfId="260" xr:uid="{00000000-0005-0000-0000-0000F7000000}"/>
    <cellStyle name="60% - Énfasis4 2" xfId="261" xr:uid="{00000000-0005-0000-0000-0000F8000000}"/>
    <cellStyle name="60% - Énfasis4 3" xfId="262" xr:uid="{00000000-0005-0000-0000-0000F9000000}"/>
    <cellStyle name="60% - Énfasis4 4" xfId="263" xr:uid="{00000000-0005-0000-0000-0000FA000000}"/>
    <cellStyle name="60% - Énfasis4 5" xfId="264" xr:uid="{00000000-0005-0000-0000-0000FB000000}"/>
    <cellStyle name="60% - Énfasis4 6" xfId="265" xr:uid="{00000000-0005-0000-0000-0000FC000000}"/>
    <cellStyle name="60% - Énfasis4 7" xfId="266" xr:uid="{00000000-0005-0000-0000-0000FD000000}"/>
    <cellStyle name="60% - Énfasis4 8" xfId="267" xr:uid="{00000000-0005-0000-0000-0000FE000000}"/>
    <cellStyle name="60% - Énfasis4 9" xfId="268" xr:uid="{00000000-0005-0000-0000-0000FF000000}"/>
    <cellStyle name="60% - Énfasis5 10" xfId="269" xr:uid="{00000000-0005-0000-0000-000000010000}"/>
    <cellStyle name="60% - Énfasis5 11" xfId="270" xr:uid="{00000000-0005-0000-0000-000001010000}"/>
    <cellStyle name="60% - Énfasis5 12" xfId="271" xr:uid="{00000000-0005-0000-0000-000002010000}"/>
    <cellStyle name="60% - Énfasis5 13" xfId="272" xr:uid="{00000000-0005-0000-0000-000003010000}"/>
    <cellStyle name="60% - Énfasis5 14" xfId="273" xr:uid="{00000000-0005-0000-0000-000004010000}"/>
    <cellStyle name="60% - Énfasis5 15" xfId="274" xr:uid="{00000000-0005-0000-0000-000005010000}"/>
    <cellStyle name="60% - Énfasis5 16" xfId="275" xr:uid="{00000000-0005-0000-0000-000006010000}"/>
    <cellStyle name="60% - Énfasis5 17" xfId="276" xr:uid="{00000000-0005-0000-0000-000007010000}"/>
    <cellStyle name="60% - Énfasis5 2" xfId="277" xr:uid="{00000000-0005-0000-0000-000008010000}"/>
    <cellStyle name="60% - Énfasis5 3" xfId="278" xr:uid="{00000000-0005-0000-0000-000009010000}"/>
    <cellStyle name="60% - Énfasis5 4" xfId="279" xr:uid="{00000000-0005-0000-0000-00000A010000}"/>
    <cellStyle name="60% - Énfasis5 5" xfId="280" xr:uid="{00000000-0005-0000-0000-00000B010000}"/>
    <cellStyle name="60% - Énfasis5 6" xfId="281" xr:uid="{00000000-0005-0000-0000-00000C010000}"/>
    <cellStyle name="60% - Énfasis5 7" xfId="282" xr:uid="{00000000-0005-0000-0000-00000D010000}"/>
    <cellStyle name="60% - Énfasis5 8" xfId="283" xr:uid="{00000000-0005-0000-0000-00000E010000}"/>
    <cellStyle name="60% - Énfasis5 9" xfId="284" xr:uid="{00000000-0005-0000-0000-00000F010000}"/>
    <cellStyle name="60% - Énfasis6 10" xfId="285" xr:uid="{00000000-0005-0000-0000-000010010000}"/>
    <cellStyle name="60% - Énfasis6 11" xfId="286" xr:uid="{00000000-0005-0000-0000-000011010000}"/>
    <cellStyle name="60% - Énfasis6 12" xfId="287" xr:uid="{00000000-0005-0000-0000-000012010000}"/>
    <cellStyle name="60% - Énfasis6 13" xfId="288" xr:uid="{00000000-0005-0000-0000-000013010000}"/>
    <cellStyle name="60% - Énfasis6 14" xfId="289" xr:uid="{00000000-0005-0000-0000-000014010000}"/>
    <cellStyle name="60% - Énfasis6 15" xfId="290" xr:uid="{00000000-0005-0000-0000-000015010000}"/>
    <cellStyle name="60% - Énfasis6 16" xfId="291" xr:uid="{00000000-0005-0000-0000-000016010000}"/>
    <cellStyle name="60% - Énfasis6 17" xfId="292" xr:uid="{00000000-0005-0000-0000-000017010000}"/>
    <cellStyle name="60% - Énfasis6 2" xfId="293" xr:uid="{00000000-0005-0000-0000-000018010000}"/>
    <cellStyle name="60% - Énfasis6 3" xfId="294" xr:uid="{00000000-0005-0000-0000-000019010000}"/>
    <cellStyle name="60% - Énfasis6 4" xfId="295" xr:uid="{00000000-0005-0000-0000-00001A010000}"/>
    <cellStyle name="60% - Énfasis6 5" xfId="296" xr:uid="{00000000-0005-0000-0000-00001B010000}"/>
    <cellStyle name="60% - Énfasis6 6" xfId="297" xr:uid="{00000000-0005-0000-0000-00001C010000}"/>
    <cellStyle name="60% - Énfasis6 7" xfId="298" xr:uid="{00000000-0005-0000-0000-00001D010000}"/>
    <cellStyle name="60% - Énfasis6 8" xfId="299" xr:uid="{00000000-0005-0000-0000-00001E010000}"/>
    <cellStyle name="60% - Énfasis6 9" xfId="300" xr:uid="{00000000-0005-0000-0000-00001F010000}"/>
    <cellStyle name="Buena 10" xfId="301" xr:uid="{00000000-0005-0000-0000-000020010000}"/>
    <cellStyle name="Buena 11" xfId="302" xr:uid="{00000000-0005-0000-0000-000021010000}"/>
    <cellStyle name="Buena 12" xfId="303" xr:uid="{00000000-0005-0000-0000-000022010000}"/>
    <cellStyle name="Buena 13" xfId="304" xr:uid="{00000000-0005-0000-0000-000023010000}"/>
    <cellStyle name="Buena 14" xfId="305" xr:uid="{00000000-0005-0000-0000-000024010000}"/>
    <cellStyle name="Buena 15" xfId="306" xr:uid="{00000000-0005-0000-0000-000025010000}"/>
    <cellStyle name="Buena 16" xfId="307" xr:uid="{00000000-0005-0000-0000-000026010000}"/>
    <cellStyle name="Buena 17" xfId="308" xr:uid="{00000000-0005-0000-0000-000027010000}"/>
    <cellStyle name="Buena 2" xfId="309" xr:uid="{00000000-0005-0000-0000-000028010000}"/>
    <cellStyle name="Buena 3" xfId="310" xr:uid="{00000000-0005-0000-0000-000029010000}"/>
    <cellStyle name="Buena 4" xfId="311" xr:uid="{00000000-0005-0000-0000-00002A010000}"/>
    <cellStyle name="Buena 5" xfId="312" xr:uid="{00000000-0005-0000-0000-00002B010000}"/>
    <cellStyle name="Buena 6" xfId="313" xr:uid="{00000000-0005-0000-0000-00002C010000}"/>
    <cellStyle name="Buena 7" xfId="314" xr:uid="{00000000-0005-0000-0000-00002D010000}"/>
    <cellStyle name="Buena 8" xfId="315" xr:uid="{00000000-0005-0000-0000-00002E010000}"/>
    <cellStyle name="Buena 9" xfId="316" xr:uid="{00000000-0005-0000-0000-00002F010000}"/>
    <cellStyle name="Cálculo 10" xfId="317" xr:uid="{00000000-0005-0000-0000-000030010000}"/>
    <cellStyle name="Cálculo 11" xfId="318" xr:uid="{00000000-0005-0000-0000-000031010000}"/>
    <cellStyle name="Cálculo 12" xfId="319" xr:uid="{00000000-0005-0000-0000-000032010000}"/>
    <cellStyle name="Cálculo 13" xfId="320" xr:uid="{00000000-0005-0000-0000-000033010000}"/>
    <cellStyle name="Cálculo 14" xfId="321" xr:uid="{00000000-0005-0000-0000-000034010000}"/>
    <cellStyle name="Cálculo 15" xfId="322" xr:uid="{00000000-0005-0000-0000-000035010000}"/>
    <cellStyle name="Cálculo 16" xfId="323" xr:uid="{00000000-0005-0000-0000-000036010000}"/>
    <cellStyle name="Cálculo 17" xfId="324" xr:uid="{00000000-0005-0000-0000-000037010000}"/>
    <cellStyle name="Cálculo 2" xfId="325" xr:uid="{00000000-0005-0000-0000-000038010000}"/>
    <cellStyle name="Cálculo 3" xfId="326" xr:uid="{00000000-0005-0000-0000-000039010000}"/>
    <cellStyle name="Cálculo 4" xfId="327" xr:uid="{00000000-0005-0000-0000-00003A010000}"/>
    <cellStyle name="Cálculo 5" xfId="328" xr:uid="{00000000-0005-0000-0000-00003B010000}"/>
    <cellStyle name="Cálculo 6" xfId="329" xr:uid="{00000000-0005-0000-0000-00003C010000}"/>
    <cellStyle name="Cálculo 7" xfId="330" xr:uid="{00000000-0005-0000-0000-00003D010000}"/>
    <cellStyle name="Cálculo 8" xfId="331" xr:uid="{00000000-0005-0000-0000-00003E010000}"/>
    <cellStyle name="Cálculo 9" xfId="332" xr:uid="{00000000-0005-0000-0000-00003F010000}"/>
    <cellStyle name="Celda de comprobación 10" xfId="333" xr:uid="{00000000-0005-0000-0000-000040010000}"/>
    <cellStyle name="Celda de comprobación 11" xfId="334" xr:uid="{00000000-0005-0000-0000-000041010000}"/>
    <cellStyle name="Celda de comprobación 12" xfId="335" xr:uid="{00000000-0005-0000-0000-000042010000}"/>
    <cellStyle name="Celda de comprobación 13" xfId="336" xr:uid="{00000000-0005-0000-0000-000043010000}"/>
    <cellStyle name="Celda de comprobación 14" xfId="337" xr:uid="{00000000-0005-0000-0000-000044010000}"/>
    <cellStyle name="Celda de comprobación 15" xfId="338" xr:uid="{00000000-0005-0000-0000-000045010000}"/>
    <cellStyle name="Celda de comprobación 16" xfId="339" xr:uid="{00000000-0005-0000-0000-000046010000}"/>
    <cellStyle name="Celda de comprobación 17" xfId="340" xr:uid="{00000000-0005-0000-0000-000047010000}"/>
    <cellStyle name="Celda de comprobación 2" xfId="341" xr:uid="{00000000-0005-0000-0000-000048010000}"/>
    <cellStyle name="Celda de comprobación 3" xfId="342" xr:uid="{00000000-0005-0000-0000-000049010000}"/>
    <cellStyle name="Celda de comprobación 4" xfId="343" xr:uid="{00000000-0005-0000-0000-00004A010000}"/>
    <cellStyle name="Celda de comprobación 5" xfId="344" xr:uid="{00000000-0005-0000-0000-00004B010000}"/>
    <cellStyle name="Celda de comprobación 6" xfId="345" xr:uid="{00000000-0005-0000-0000-00004C010000}"/>
    <cellStyle name="Celda de comprobación 7" xfId="346" xr:uid="{00000000-0005-0000-0000-00004D010000}"/>
    <cellStyle name="Celda de comprobación 8" xfId="347" xr:uid="{00000000-0005-0000-0000-00004E010000}"/>
    <cellStyle name="Celda de comprobación 9" xfId="348" xr:uid="{00000000-0005-0000-0000-00004F010000}"/>
    <cellStyle name="Celda vinculada 10" xfId="349" xr:uid="{00000000-0005-0000-0000-000051010000}"/>
    <cellStyle name="Celda vinculada 11" xfId="350" xr:uid="{00000000-0005-0000-0000-000052010000}"/>
    <cellStyle name="Celda vinculada 12" xfId="351" xr:uid="{00000000-0005-0000-0000-000053010000}"/>
    <cellStyle name="Celda vinculada 13" xfId="352" xr:uid="{00000000-0005-0000-0000-000054010000}"/>
    <cellStyle name="Celda vinculada 14" xfId="353" xr:uid="{00000000-0005-0000-0000-000055010000}"/>
    <cellStyle name="Celda vinculada 15" xfId="354" xr:uid="{00000000-0005-0000-0000-000056010000}"/>
    <cellStyle name="Celda vinculada 16" xfId="355" xr:uid="{00000000-0005-0000-0000-000057010000}"/>
    <cellStyle name="Celda vinculada 17" xfId="356" xr:uid="{00000000-0005-0000-0000-000058010000}"/>
    <cellStyle name="Celda vinculada 2" xfId="357" xr:uid="{00000000-0005-0000-0000-000059010000}"/>
    <cellStyle name="Celda vinculada 3" xfId="358" xr:uid="{00000000-0005-0000-0000-00005A010000}"/>
    <cellStyle name="Celda vinculada 4" xfId="359" xr:uid="{00000000-0005-0000-0000-00005B010000}"/>
    <cellStyle name="Celda vinculada 5" xfId="360" xr:uid="{00000000-0005-0000-0000-00005C010000}"/>
    <cellStyle name="Celda vinculada 6" xfId="361" xr:uid="{00000000-0005-0000-0000-00005D010000}"/>
    <cellStyle name="Celda vinculada 7" xfId="362" xr:uid="{00000000-0005-0000-0000-00005E010000}"/>
    <cellStyle name="Celda vinculada 8" xfId="363" xr:uid="{00000000-0005-0000-0000-00005F010000}"/>
    <cellStyle name="Celda vinculada 9" xfId="364" xr:uid="{00000000-0005-0000-0000-000060010000}"/>
    <cellStyle name="Encabezado 4 10" xfId="365" xr:uid="{00000000-0005-0000-0000-000061010000}"/>
    <cellStyle name="Encabezado 4 11" xfId="366" xr:uid="{00000000-0005-0000-0000-000062010000}"/>
    <cellStyle name="Encabezado 4 12" xfId="367" xr:uid="{00000000-0005-0000-0000-000063010000}"/>
    <cellStyle name="Encabezado 4 13" xfId="368" xr:uid="{00000000-0005-0000-0000-000064010000}"/>
    <cellStyle name="Encabezado 4 14" xfId="369" xr:uid="{00000000-0005-0000-0000-000065010000}"/>
    <cellStyle name="Encabezado 4 15" xfId="370" xr:uid="{00000000-0005-0000-0000-000066010000}"/>
    <cellStyle name="Encabezado 4 16" xfId="371" xr:uid="{00000000-0005-0000-0000-000067010000}"/>
    <cellStyle name="Encabezado 4 17" xfId="372" xr:uid="{00000000-0005-0000-0000-000068010000}"/>
    <cellStyle name="Encabezado 4 2" xfId="373" xr:uid="{00000000-0005-0000-0000-000069010000}"/>
    <cellStyle name="Encabezado 4 3" xfId="374" xr:uid="{00000000-0005-0000-0000-00006A010000}"/>
    <cellStyle name="Encabezado 4 4" xfId="375" xr:uid="{00000000-0005-0000-0000-00006B010000}"/>
    <cellStyle name="Encabezado 4 5" xfId="376" xr:uid="{00000000-0005-0000-0000-00006C010000}"/>
    <cellStyle name="Encabezado 4 6" xfId="377" xr:uid="{00000000-0005-0000-0000-00006D010000}"/>
    <cellStyle name="Encabezado 4 7" xfId="378" xr:uid="{00000000-0005-0000-0000-00006E010000}"/>
    <cellStyle name="Encabezado 4 8" xfId="379" xr:uid="{00000000-0005-0000-0000-00006F010000}"/>
    <cellStyle name="Encabezado 4 9" xfId="380" xr:uid="{00000000-0005-0000-0000-000070010000}"/>
    <cellStyle name="Énfasis1 10" xfId="381" xr:uid="{00000000-0005-0000-0000-000071010000}"/>
    <cellStyle name="Énfasis1 11" xfId="382" xr:uid="{00000000-0005-0000-0000-000072010000}"/>
    <cellStyle name="Énfasis1 12" xfId="383" xr:uid="{00000000-0005-0000-0000-000073010000}"/>
    <cellStyle name="Énfasis1 13" xfId="384" xr:uid="{00000000-0005-0000-0000-000074010000}"/>
    <cellStyle name="Énfasis1 14" xfId="385" xr:uid="{00000000-0005-0000-0000-000075010000}"/>
    <cellStyle name="Énfasis1 15" xfId="386" xr:uid="{00000000-0005-0000-0000-000076010000}"/>
    <cellStyle name="Énfasis1 16" xfId="387" xr:uid="{00000000-0005-0000-0000-000077010000}"/>
    <cellStyle name="Énfasis1 17" xfId="388" xr:uid="{00000000-0005-0000-0000-000078010000}"/>
    <cellStyle name="Énfasis1 2" xfId="389" xr:uid="{00000000-0005-0000-0000-000079010000}"/>
    <cellStyle name="Énfasis1 3" xfId="390" xr:uid="{00000000-0005-0000-0000-00007A010000}"/>
    <cellStyle name="Énfasis1 4" xfId="391" xr:uid="{00000000-0005-0000-0000-00007B010000}"/>
    <cellStyle name="Énfasis1 5" xfId="392" xr:uid="{00000000-0005-0000-0000-00007C010000}"/>
    <cellStyle name="Énfasis1 6" xfId="393" xr:uid="{00000000-0005-0000-0000-00007D010000}"/>
    <cellStyle name="Énfasis1 7" xfId="394" xr:uid="{00000000-0005-0000-0000-00007E010000}"/>
    <cellStyle name="Énfasis1 8" xfId="395" xr:uid="{00000000-0005-0000-0000-00007F010000}"/>
    <cellStyle name="Énfasis1 9" xfId="396" xr:uid="{00000000-0005-0000-0000-000080010000}"/>
    <cellStyle name="Énfasis2 10" xfId="397" xr:uid="{00000000-0005-0000-0000-000081010000}"/>
    <cellStyle name="Énfasis2 11" xfId="398" xr:uid="{00000000-0005-0000-0000-000082010000}"/>
    <cellStyle name="Énfasis2 12" xfId="399" xr:uid="{00000000-0005-0000-0000-000083010000}"/>
    <cellStyle name="Énfasis2 13" xfId="400" xr:uid="{00000000-0005-0000-0000-000084010000}"/>
    <cellStyle name="Énfasis2 14" xfId="401" xr:uid="{00000000-0005-0000-0000-000085010000}"/>
    <cellStyle name="Énfasis2 15" xfId="402" xr:uid="{00000000-0005-0000-0000-000086010000}"/>
    <cellStyle name="Énfasis2 16" xfId="403" xr:uid="{00000000-0005-0000-0000-000087010000}"/>
    <cellStyle name="Énfasis2 17" xfId="404" xr:uid="{00000000-0005-0000-0000-000088010000}"/>
    <cellStyle name="Énfasis2 2" xfId="405" xr:uid="{00000000-0005-0000-0000-000089010000}"/>
    <cellStyle name="Énfasis2 3" xfId="406" xr:uid="{00000000-0005-0000-0000-00008A010000}"/>
    <cellStyle name="Énfasis2 4" xfId="407" xr:uid="{00000000-0005-0000-0000-00008B010000}"/>
    <cellStyle name="Énfasis2 5" xfId="408" xr:uid="{00000000-0005-0000-0000-00008C010000}"/>
    <cellStyle name="Énfasis2 6" xfId="409" xr:uid="{00000000-0005-0000-0000-00008D010000}"/>
    <cellStyle name="Énfasis2 7" xfId="410" xr:uid="{00000000-0005-0000-0000-00008E010000}"/>
    <cellStyle name="Énfasis2 8" xfId="411" xr:uid="{00000000-0005-0000-0000-00008F010000}"/>
    <cellStyle name="Énfasis2 9" xfId="412" xr:uid="{00000000-0005-0000-0000-000090010000}"/>
    <cellStyle name="Énfasis3 10" xfId="413" xr:uid="{00000000-0005-0000-0000-000091010000}"/>
    <cellStyle name="Énfasis3 11" xfId="414" xr:uid="{00000000-0005-0000-0000-000092010000}"/>
    <cellStyle name="Énfasis3 12" xfId="415" xr:uid="{00000000-0005-0000-0000-000093010000}"/>
    <cellStyle name="Énfasis3 13" xfId="416" xr:uid="{00000000-0005-0000-0000-000094010000}"/>
    <cellStyle name="Énfasis3 14" xfId="417" xr:uid="{00000000-0005-0000-0000-000095010000}"/>
    <cellStyle name="Énfasis3 15" xfId="418" xr:uid="{00000000-0005-0000-0000-000096010000}"/>
    <cellStyle name="Énfasis3 16" xfId="419" xr:uid="{00000000-0005-0000-0000-000097010000}"/>
    <cellStyle name="Énfasis3 17" xfId="420" xr:uid="{00000000-0005-0000-0000-000098010000}"/>
    <cellStyle name="Énfasis3 2" xfId="421" xr:uid="{00000000-0005-0000-0000-000099010000}"/>
    <cellStyle name="Énfasis3 3" xfId="422" xr:uid="{00000000-0005-0000-0000-00009A010000}"/>
    <cellStyle name="Énfasis3 4" xfId="423" xr:uid="{00000000-0005-0000-0000-00009B010000}"/>
    <cellStyle name="Énfasis3 5" xfId="424" xr:uid="{00000000-0005-0000-0000-00009C010000}"/>
    <cellStyle name="Énfasis3 6" xfId="425" xr:uid="{00000000-0005-0000-0000-00009D010000}"/>
    <cellStyle name="Énfasis3 7" xfId="426" xr:uid="{00000000-0005-0000-0000-00009E010000}"/>
    <cellStyle name="Énfasis3 8" xfId="427" xr:uid="{00000000-0005-0000-0000-00009F010000}"/>
    <cellStyle name="Énfasis3 9" xfId="428" xr:uid="{00000000-0005-0000-0000-0000A0010000}"/>
    <cellStyle name="Énfasis4 10" xfId="429" xr:uid="{00000000-0005-0000-0000-0000A1010000}"/>
    <cellStyle name="Énfasis4 11" xfId="430" xr:uid="{00000000-0005-0000-0000-0000A2010000}"/>
    <cellStyle name="Énfasis4 12" xfId="431" xr:uid="{00000000-0005-0000-0000-0000A3010000}"/>
    <cellStyle name="Énfasis4 13" xfId="432" xr:uid="{00000000-0005-0000-0000-0000A4010000}"/>
    <cellStyle name="Énfasis4 14" xfId="433" xr:uid="{00000000-0005-0000-0000-0000A5010000}"/>
    <cellStyle name="Énfasis4 15" xfId="434" xr:uid="{00000000-0005-0000-0000-0000A6010000}"/>
    <cellStyle name="Énfasis4 16" xfId="435" xr:uid="{00000000-0005-0000-0000-0000A7010000}"/>
    <cellStyle name="Énfasis4 17" xfId="436" xr:uid="{00000000-0005-0000-0000-0000A8010000}"/>
    <cellStyle name="Énfasis4 2" xfId="437" xr:uid="{00000000-0005-0000-0000-0000A9010000}"/>
    <cellStyle name="Énfasis4 3" xfId="438" xr:uid="{00000000-0005-0000-0000-0000AA010000}"/>
    <cellStyle name="Énfasis4 4" xfId="439" xr:uid="{00000000-0005-0000-0000-0000AB010000}"/>
    <cellStyle name="Énfasis4 5" xfId="440" xr:uid="{00000000-0005-0000-0000-0000AC010000}"/>
    <cellStyle name="Énfasis4 6" xfId="441" xr:uid="{00000000-0005-0000-0000-0000AD010000}"/>
    <cellStyle name="Énfasis4 7" xfId="442" xr:uid="{00000000-0005-0000-0000-0000AE010000}"/>
    <cellStyle name="Énfasis4 8" xfId="443" xr:uid="{00000000-0005-0000-0000-0000AF010000}"/>
    <cellStyle name="Énfasis4 9" xfId="444" xr:uid="{00000000-0005-0000-0000-0000B0010000}"/>
    <cellStyle name="Énfasis5 10" xfId="445" xr:uid="{00000000-0005-0000-0000-0000B1010000}"/>
    <cellStyle name="Énfasis5 11" xfId="446" xr:uid="{00000000-0005-0000-0000-0000B2010000}"/>
    <cellStyle name="Énfasis5 12" xfId="447" xr:uid="{00000000-0005-0000-0000-0000B3010000}"/>
    <cellStyle name="Énfasis5 13" xfId="448" xr:uid="{00000000-0005-0000-0000-0000B4010000}"/>
    <cellStyle name="Énfasis5 14" xfId="449" xr:uid="{00000000-0005-0000-0000-0000B5010000}"/>
    <cellStyle name="Énfasis5 15" xfId="450" xr:uid="{00000000-0005-0000-0000-0000B6010000}"/>
    <cellStyle name="Énfasis5 16" xfId="451" xr:uid="{00000000-0005-0000-0000-0000B7010000}"/>
    <cellStyle name="Énfasis5 17" xfId="452" xr:uid="{00000000-0005-0000-0000-0000B8010000}"/>
    <cellStyle name="Énfasis5 2" xfId="453" xr:uid="{00000000-0005-0000-0000-0000B9010000}"/>
    <cellStyle name="Énfasis5 3" xfId="454" xr:uid="{00000000-0005-0000-0000-0000BA010000}"/>
    <cellStyle name="Énfasis5 4" xfId="455" xr:uid="{00000000-0005-0000-0000-0000BB010000}"/>
    <cellStyle name="Énfasis5 5" xfId="456" xr:uid="{00000000-0005-0000-0000-0000BC010000}"/>
    <cellStyle name="Énfasis5 6" xfId="457" xr:uid="{00000000-0005-0000-0000-0000BD010000}"/>
    <cellStyle name="Énfasis5 7" xfId="458" xr:uid="{00000000-0005-0000-0000-0000BE010000}"/>
    <cellStyle name="Énfasis5 8" xfId="459" xr:uid="{00000000-0005-0000-0000-0000BF010000}"/>
    <cellStyle name="Énfasis5 9" xfId="460" xr:uid="{00000000-0005-0000-0000-0000C0010000}"/>
    <cellStyle name="Énfasis6 10" xfId="461" xr:uid="{00000000-0005-0000-0000-0000C1010000}"/>
    <cellStyle name="Énfasis6 11" xfId="462" xr:uid="{00000000-0005-0000-0000-0000C2010000}"/>
    <cellStyle name="Énfasis6 12" xfId="463" xr:uid="{00000000-0005-0000-0000-0000C3010000}"/>
    <cellStyle name="Énfasis6 13" xfId="464" xr:uid="{00000000-0005-0000-0000-0000C4010000}"/>
    <cellStyle name="Énfasis6 14" xfId="465" xr:uid="{00000000-0005-0000-0000-0000C5010000}"/>
    <cellStyle name="Énfasis6 15" xfId="466" xr:uid="{00000000-0005-0000-0000-0000C6010000}"/>
    <cellStyle name="Énfasis6 16" xfId="467" xr:uid="{00000000-0005-0000-0000-0000C7010000}"/>
    <cellStyle name="Énfasis6 17" xfId="468" xr:uid="{00000000-0005-0000-0000-0000C8010000}"/>
    <cellStyle name="Énfasis6 2" xfId="469" xr:uid="{00000000-0005-0000-0000-0000C9010000}"/>
    <cellStyle name="Énfasis6 3" xfId="470" xr:uid="{00000000-0005-0000-0000-0000CA010000}"/>
    <cellStyle name="Énfasis6 4" xfId="471" xr:uid="{00000000-0005-0000-0000-0000CB010000}"/>
    <cellStyle name="Énfasis6 5" xfId="472" xr:uid="{00000000-0005-0000-0000-0000CC010000}"/>
    <cellStyle name="Énfasis6 6" xfId="473" xr:uid="{00000000-0005-0000-0000-0000CD010000}"/>
    <cellStyle name="Énfasis6 7" xfId="474" xr:uid="{00000000-0005-0000-0000-0000CE010000}"/>
    <cellStyle name="Énfasis6 8" xfId="475" xr:uid="{00000000-0005-0000-0000-0000CF010000}"/>
    <cellStyle name="Énfasis6 9" xfId="476" xr:uid="{00000000-0005-0000-0000-0000D0010000}"/>
    <cellStyle name="Entrada 10" xfId="477" xr:uid="{00000000-0005-0000-0000-0000D1010000}"/>
    <cellStyle name="Entrada 11" xfId="478" xr:uid="{00000000-0005-0000-0000-0000D2010000}"/>
    <cellStyle name="Entrada 12" xfId="479" xr:uid="{00000000-0005-0000-0000-0000D3010000}"/>
    <cellStyle name="Entrada 13" xfId="480" xr:uid="{00000000-0005-0000-0000-0000D4010000}"/>
    <cellStyle name="Entrada 14" xfId="481" xr:uid="{00000000-0005-0000-0000-0000D5010000}"/>
    <cellStyle name="Entrada 15" xfId="482" xr:uid="{00000000-0005-0000-0000-0000D6010000}"/>
    <cellStyle name="Entrada 16" xfId="483" xr:uid="{00000000-0005-0000-0000-0000D7010000}"/>
    <cellStyle name="Entrada 17" xfId="484" xr:uid="{00000000-0005-0000-0000-0000D8010000}"/>
    <cellStyle name="Entrada 2" xfId="485" xr:uid="{00000000-0005-0000-0000-0000D9010000}"/>
    <cellStyle name="Entrada 3" xfId="486" xr:uid="{00000000-0005-0000-0000-0000DA010000}"/>
    <cellStyle name="Entrada 4" xfId="487" xr:uid="{00000000-0005-0000-0000-0000DB010000}"/>
    <cellStyle name="Entrada 5" xfId="488" xr:uid="{00000000-0005-0000-0000-0000DC010000}"/>
    <cellStyle name="Entrada 6" xfId="489" xr:uid="{00000000-0005-0000-0000-0000DD010000}"/>
    <cellStyle name="Entrada 7" xfId="490" xr:uid="{00000000-0005-0000-0000-0000DE010000}"/>
    <cellStyle name="Entrada 8" xfId="491" xr:uid="{00000000-0005-0000-0000-0000DF010000}"/>
    <cellStyle name="Entrada 9" xfId="492" xr:uid="{00000000-0005-0000-0000-0000E0010000}"/>
    <cellStyle name="Incorrecto 10" xfId="493" xr:uid="{00000000-0005-0000-0000-0000E1010000}"/>
    <cellStyle name="Incorrecto 11" xfId="494" xr:uid="{00000000-0005-0000-0000-0000E2010000}"/>
    <cellStyle name="Incorrecto 12" xfId="495" xr:uid="{00000000-0005-0000-0000-0000E3010000}"/>
    <cellStyle name="Incorrecto 13" xfId="496" xr:uid="{00000000-0005-0000-0000-0000E4010000}"/>
    <cellStyle name="Incorrecto 14" xfId="497" xr:uid="{00000000-0005-0000-0000-0000E5010000}"/>
    <cellStyle name="Incorrecto 15" xfId="498" xr:uid="{00000000-0005-0000-0000-0000E6010000}"/>
    <cellStyle name="Incorrecto 16" xfId="499" xr:uid="{00000000-0005-0000-0000-0000E7010000}"/>
    <cellStyle name="Incorrecto 17" xfId="500" xr:uid="{00000000-0005-0000-0000-0000E8010000}"/>
    <cellStyle name="Incorrecto 2" xfId="501" xr:uid="{00000000-0005-0000-0000-0000E9010000}"/>
    <cellStyle name="Incorrecto 3" xfId="502" xr:uid="{00000000-0005-0000-0000-0000EA010000}"/>
    <cellStyle name="Incorrecto 4" xfId="503" xr:uid="{00000000-0005-0000-0000-0000EB010000}"/>
    <cellStyle name="Incorrecto 5" xfId="504" xr:uid="{00000000-0005-0000-0000-0000EC010000}"/>
    <cellStyle name="Incorrecto 6" xfId="505" xr:uid="{00000000-0005-0000-0000-0000ED010000}"/>
    <cellStyle name="Incorrecto 7" xfId="506" xr:uid="{00000000-0005-0000-0000-0000EE010000}"/>
    <cellStyle name="Incorrecto 8" xfId="507" xr:uid="{00000000-0005-0000-0000-0000EF010000}"/>
    <cellStyle name="Incorrecto 9" xfId="508" xr:uid="{00000000-0005-0000-0000-0000F0010000}"/>
    <cellStyle name="Neutral 10" xfId="509" xr:uid="{00000000-0005-0000-0000-0000F1010000}"/>
    <cellStyle name="Neutral 11" xfId="510" xr:uid="{00000000-0005-0000-0000-0000F2010000}"/>
    <cellStyle name="Neutral 12" xfId="511" xr:uid="{00000000-0005-0000-0000-0000F3010000}"/>
    <cellStyle name="Neutral 13" xfId="512" xr:uid="{00000000-0005-0000-0000-0000F4010000}"/>
    <cellStyle name="Neutral 14" xfId="513" xr:uid="{00000000-0005-0000-0000-0000F5010000}"/>
    <cellStyle name="Neutral 15" xfId="514" xr:uid="{00000000-0005-0000-0000-0000F6010000}"/>
    <cellStyle name="Neutral 16" xfId="515" xr:uid="{00000000-0005-0000-0000-0000F7010000}"/>
    <cellStyle name="Neutral 17" xfId="516" xr:uid="{00000000-0005-0000-0000-0000F8010000}"/>
    <cellStyle name="Neutral 2" xfId="517" xr:uid="{00000000-0005-0000-0000-0000F9010000}"/>
    <cellStyle name="Neutral 3" xfId="518" xr:uid="{00000000-0005-0000-0000-0000FA010000}"/>
    <cellStyle name="Neutral 4" xfId="519" xr:uid="{00000000-0005-0000-0000-0000FB010000}"/>
    <cellStyle name="Neutral 5" xfId="520" xr:uid="{00000000-0005-0000-0000-0000FC010000}"/>
    <cellStyle name="Neutral 6" xfId="521" xr:uid="{00000000-0005-0000-0000-0000FD010000}"/>
    <cellStyle name="Neutral 7" xfId="522" xr:uid="{00000000-0005-0000-0000-0000FE010000}"/>
    <cellStyle name="Neutral 8" xfId="523" xr:uid="{00000000-0005-0000-0000-0000FF010000}"/>
    <cellStyle name="Neutral 9" xfId="524" xr:uid="{00000000-0005-0000-0000-000000020000}"/>
    <cellStyle name="Normal" xfId="0" builtinId="0"/>
    <cellStyle name="Normal 10" xfId="1" xr:uid="{00000000-0005-0000-0000-000002020000}"/>
    <cellStyle name="Normal 11" xfId="525" xr:uid="{00000000-0005-0000-0000-000003020000}"/>
    <cellStyle name="Normal 12" xfId="526" xr:uid="{00000000-0005-0000-0000-000004020000}"/>
    <cellStyle name="Normal 13" xfId="527" xr:uid="{00000000-0005-0000-0000-000005020000}"/>
    <cellStyle name="Normal 14" xfId="528" xr:uid="{00000000-0005-0000-0000-000006020000}"/>
    <cellStyle name="Normal 15" xfId="529" xr:uid="{00000000-0005-0000-0000-000007020000}"/>
    <cellStyle name="Normal 16" xfId="530" xr:uid="{00000000-0005-0000-0000-000008020000}"/>
    <cellStyle name="Normal 16 2" xfId="531" xr:uid="{00000000-0005-0000-0000-000009020000}"/>
    <cellStyle name="Normal 17" xfId="707" xr:uid="{19BE60B3-C7FE-49DF-842E-939A2594E2F4}"/>
    <cellStyle name="Normal 17 2" xfId="710" xr:uid="{20DB0012-6528-4ECD-85A0-259D11503C15}"/>
    <cellStyle name="Normal 17 2 2" xfId="711" xr:uid="{8C973D59-2118-4654-912C-6A8F1366F77F}"/>
    <cellStyle name="Normal 18" xfId="708" xr:uid="{4D351855-4DD6-4576-89D6-E35F9EC3A2F3}"/>
    <cellStyle name="Normal 18 2" xfId="713" xr:uid="{A345BD00-11EA-471D-AE47-3F341E3DEC57}"/>
    <cellStyle name="Normal 19" xfId="532" xr:uid="{00000000-0005-0000-0000-00000A020000}"/>
    <cellStyle name="Normal 2" xfId="12" xr:uid="{00000000-0005-0000-0000-00000B020000}"/>
    <cellStyle name="Normal 2 10" xfId="533" xr:uid="{00000000-0005-0000-0000-00000C020000}"/>
    <cellStyle name="Normal 2 11" xfId="534" xr:uid="{00000000-0005-0000-0000-00000D020000}"/>
    <cellStyle name="Normal 2 12" xfId="535" xr:uid="{00000000-0005-0000-0000-00000E020000}"/>
    <cellStyle name="Normal 2 13" xfId="536" xr:uid="{00000000-0005-0000-0000-00000F020000}"/>
    <cellStyle name="Normal 2 14" xfId="537" xr:uid="{00000000-0005-0000-0000-000010020000}"/>
    <cellStyle name="Normal 2 15" xfId="538" xr:uid="{00000000-0005-0000-0000-000011020000}"/>
    <cellStyle name="Normal 2 16" xfId="539" xr:uid="{00000000-0005-0000-0000-000012020000}"/>
    <cellStyle name="Normal 2 17" xfId="540" xr:uid="{00000000-0005-0000-0000-000013020000}"/>
    <cellStyle name="Normal 2 18" xfId="706" xr:uid="{00000000-0005-0000-0000-000014020000}"/>
    <cellStyle name="Normal 2 2" xfId="2" xr:uid="{00000000-0005-0000-0000-000015020000}"/>
    <cellStyle name="Normal 2 3" xfId="3" xr:uid="{00000000-0005-0000-0000-000016020000}"/>
    <cellStyle name="Normal 2 4" xfId="4" xr:uid="{00000000-0005-0000-0000-000017020000}"/>
    <cellStyle name="Normal 2 5" xfId="5" xr:uid="{00000000-0005-0000-0000-000018020000}"/>
    <cellStyle name="Normal 2 6" xfId="6" xr:uid="{00000000-0005-0000-0000-000019020000}"/>
    <cellStyle name="Normal 2 7" xfId="541" xr:uid="{00000000-0005-0000-0000-00001A020000}"/>
    <cellStyle name="Normal 2 8" xfId="542" xr:uid="{00000000-0005-0000-0000-00001B020000}"/>
    <cellStyle name="Normal 2 9" xfId="543" xr:uid="{00000000-0005-0000-0000-00001C020000}"/>
    <cellStyle name="Normal 20" xfId="544" xr:uid="{00000000-0005-0000-0000-00001D020000}"/>
    <cellStyle name="Normal 21" xfId="709" xr:uid="{387EEA7E-CDC1-4DBF-AED0-DA850D5C34D3}"/>
    <cellStyle name="Normal 3" xfId="7" xr:uid="{00000000-0005-0000-0000-00001E020000}"/>
    <cellStyle name="Normal 30" xfId="8" xr:uid="{00000000-0005-0000-0000-00001F020000}"/>
    <cellStyle name="Normal 4" xfId="545" xr:uid="{00000000-0005-0000-0000-000020020000}"/>
    <cellStyle name="Normal 47" xfId="546" xr:uid="{00000000-0005-0000-0000-000021020000}"/>
    <cellStyle name="Normal 5" xfId="9" xr:uid="{00000000-0005-0000-0000-000022020000}"/>
    <cellStyle name="Normal 6" xfId="547" xr:uid="{00000000-0005-0000-0000-000023020000}"/>
    <cellStyle name="Normal 7" xfId="548" xr:uid="{00000000-0005-0000-0000-000024020000}"/>
    <cellStyle name="Normal 8" xfId="10" xr:uid="{00000000-0005-0000-0000-000025020000}"/>
    <cellStyle name="Normal 9" xfId="11" xr:uid="{00000000-0005-0000-0000-000026020000}"/>
    <cellStyle name="Notas 10" xfId="549" xr:uid="{00000000-0005-0000-0000-000027020000}"/>
    <cellStyle name="Notas 11" xfId="550" xr:uid="{00000000-0005-0000-0000-000028020000}"/>
    <cellStyle name="Notas 12" xfId="551" xr:uid="{00000000-0005-0000-0000-000029020000}"/>
    <cellStyle name="Notas 13" xfId="552" xr:uid="{00000000-0005-0000-0000-00002A020000}"/>
    <cellStyle name="Notas 14" xfId="553" xr:uid="{00000000-0005-0000-0000-00002B020000}"/>
    <cellStyle name="Notas 15" xfId="554" xr:uid="{00000000-0005-0000-0000-00002C020000}"/>
    <cellStyle name="Notas 16" xfId="555" xr:uid="{00000000-0005-0000-0000-00002D020000}"/>
    <cellStyle name="Notas 17" xfId="556" xr:uid="{00000000-0005-0000-0000-00002E020000}"/>
    <cellStyle name="Notas 2" xfId="557" xr:uid="{00000000-0005-0000-0000-00002F020000}"/>
    <cellStyle name="Notas 3" xfId="558" xr:uid="{00000000-0005-0000-0000-000030020000}"/>
    <cellStyle name="Notas 4" xfId="559" xr:uid="{00000000-0005-0000-0000-000031020000}"/>
    <cellStyle name="Notas 5" xfId="560" xr:uid="{00000000-0005-0000-0000-000032020000}"/>
    <cellStyle name="Notas 6" xfId="561" xr:uid="{00000000-0005-0000-0000-000033020000}"/>
    <cellStyle name="Notas 7" xfId="562" xr:uid="{00000000-0005-0000-0000-000034020000}"/>
    <cellStyle name="Notas 8" xfId="563" xr:uid="{00000000-0005-0000-0000-000035020000}"/>
    <cellStyle name="Notas 9" xfId="564" xr:uid="{00000000-0005-0000-0000-000036020000}"/>
    <cellStyle name="Porcentaje" xfId="712" builtinId="5"/>
    <cellStyle name="Porcentual 10" xfId="565" xr:uid="{00000000-0005-0000-0000-000037020000}"/>
    <cellStyle name="Porcentual 11" xfId="566" xr:uid="{00000000-0005-0000-0000-000038020000}"/>
    <cellStyle name="Porcentual 12" xfId="567" xr:uid="{00000000-0005-0000-0000-000039020000}"/>
    <cellStyle name="Porcentual 13" xfId="568" xr:uid="{00000000-0005-0000-0000-00003A020000}"/>
    <cellStyle name="Porcentual 14" xfId="569" xr:uid="{00000000-0005-0000-0000-00003B020000}"/>
    <cellStyle name="Porcentual 15" xfId="570" xr:uid="{00000000-0005-0000-0000-00003C020000}"/>
    <cellStyle name="Porcentual 2" xfId="571" xr:uid="{00000000-0005-0000-0000-00003D020000}"/>
    <cellStyle name="Porcentual 4" xfId="572" xr:uid="{00000000-0005-0000-0000-00003E020000}"/>
    <cellStyle name="Porcentual 5" xfId="573" xr:uid="{00000000-0005-0000-0000-00003F020000}"/>
    <cellStyle name="Porcentual 6" xfId="574" xr:uid="{00000000-0005-0000-0000-000040020000}"/>
    <cellStyle name="Porcentual 7" xfId="575" xr:uid="{00000000-0005-0000-0000-000041020000}"/>
    <cellStyle name="Porcentual 8" xfId="576" xr:uid="{00000000-0005-0000-0000-000042020000}"/>
    <cellStyle name="Porcentual 9" xfId="577" xr:uid="{00000000-0005-0000-0000-000043020000}"/>
    <cellStyle name="Salida 10" xfId="578" xr:uid="{00000000-0005-0000-0000-000044020000}"/>
    <cellStyle name="Salida 11" xfId="579" xr:uid="{00000000-0005-0000-0000-000045020000}"/>
    <cellStyle name="Salida 12" xfId="580" xr:uid="{00000000-0005-0000-0000-000046020000}"/>
    <cellStyle name="Salida 13" xfId="581" xr:uid="{00000000-0005-0000-0000-000047020000}"/>
    <cellStyle name="Salida 14" xfId="582" xr:uid="{00000000-0005-0000-0000-000048020000}"/>
    <cellStyle name="Salida 15" xfId="583" xr:uid="{00000000-0005-0000-0000-000049020000}"/>
    <cellStyle name="Salida 16" xfId="584" xr:uid="{00000000-0005-0000-0000-00004A020000}"/>
    <cellStyle name="Salida 17" xfId="585" xr:uid="{00000000-0005-0000-0000-00004B020000}"/>
    <cellStyle name="Salida 2" xfId="586" xr:uid="{00000000-0005-0000-0000-00004C020000}"/>
    <cellStyle name="Salida 3" xfId="587" xr:uid="{00000000-0005-0000-0000-00004D020000}"/>
    <cellStyle name="Salida 4" xfId="588" xr:uid="{00000000-0005-0000-0000-00004E020000}"/>
    <cellStyle name="Salida 5" xfId="589" xr:uid="{00000000-0005-0000-0000-00004F020000}"/>
    <cellStyle name="Salida 6" xfId="590" xr:uid="{00000000-0005-0000-0000-000050020000}"/>
    <cellStyle name="Salida 7" xfId="591" xr:uid="{00000000-0005-0000-0000-000051020000}"/>
    <cellStyle name="Salida 8" xfId="592" xr:uid="{00000000-0005-0000-0000-000052020000}"/>
    <cellStyle name="Salida 9" xfId="593" xr:uid="{00000000-0005-0000-0000-000053020000}"/>
    <cellStyle name="Texto de advertencia 10" xfId="594" xr:uid="{00000000-0005-0000-0000-000054020000}"/>
    <cellStyle name="Texto de advertencia 11" xfId="595" xr:uid="{00000000-0005-0000-0000-000055020000}"/>
    <cellStyle name="Texto de advertencia 12" xfId="596" xr:uid="{00000000-0005-0000-0000-000056020000}"/>
    <cellStyle name="Texto de advertencia 13" xfId="597" xr:uid="{00000000-0005-0000-0000-000057020000}"/>
    <cellStyle name="Texto de advertencia 14" xfId="598" xr:uid="{00000000-0005-0000-0000-000058020000}"/>
    <cellStyle name="Texto de advertencia 15" xfId="599" xr:uid="{00000000-0005-0000-0000-000059020000}"/>
    <cellStyle name="Texto de advertencia 16" xfId="600" xr:uid="{00000000-0005-0000-0000-00005A020000}"/>
    <cellStyle name="Texto de advertencia 17" xfId="601" xr:uid="{00000000-0005-0000-0000-00005B020000}"/>
    <cellStyle name="Texto de advertencia 2" xfId="602" xr:uid="{00000000-0005-0000-0000-00005C020000}"/>
    <cellStyle name="Texto de advertencia 3" xfId="603" xr:uid="{00000000-0005-0000-0000-00005D020000}"/>
    <cellStyle name="Texto de advertencia 4" xfId="604" xr:uid="{00000000-0005-0000-0000-00005E020000}"/>
    <cellStyle name="Texto de advertencia 5" xfId="605" xr:uid="{00000000-0005-0000-0000-00005F020000}"/>
    <cellStyle name="Texto de advertencia 6" xfId="606" xr:uid="{00000000-0005-0000-0000-000060020000}"/>
    <cellStyle name="Texto de advertencia 7" xfId="607" xr:uid="{00000000-0005-0000-0000-000061020000}"/>
    <cellStyle name="Texto de advertencia 8" xfId="608" xr:uid="{00000000-0005-0000-0000-000062020000}"/>
    <cellStyle name="Texto de advertencia 9" xfId="609" xr:uid="{00000000-0005-0000-0000-000063020000}"/>
    <cellStyle name="Texto explicativo 10" xfId="610" xr:uid="{00000000-0005-0000-0000-000064020000}"/>
    <cellStyle name="Texto explicativo 11" xfId="611" xr:uid="{00000000-0005-0000-0000-000065020000}"/>
    <cellStyle name="Texto explicativo 12" xfId="612" xr:uid="{00000000-0005-0000-0000-000066020000}"/>
    <cellStyle name="Texto explicativo 13" xfId="613" xr:uid="{00000000-0005-0000-0000-000067020000}"/>
    <cellStyle name="Texto explicativo 14" xfId="614" xr:uid="{00000000-0005-0000-0000-000068020000}"/>
    <cellStyle name="Texto explicativo 15" xfId="615" xr:uid="{00000000-0005-0000-0000-000069020000}"/>
    <cellStyle name="Texto explicativo 16" xfId="616" xr:uid="{00000000-0005-0000-0000-00006A020000}"/>
    <cellStyle name="Texto explicativo 17" xfId="617" xr:uid="{00000000-0005-0000-0000-00006B020000}"/>
    <cellStyle name="Texto explicativo 2" xfId="618" xr:uid="{00000000-0005-0000-0000-00006C020000}"/>
    <cellStyle name="Texto explicativo 3" xfId="619" xr:uid="{00000000-0005-0000-0000-00006D020000}"/>
    <cellStyle name="Texto explicativo 4" xfId="620" xr:uid="{00000000-0005-0000-0000-00006E020000}"/>
    <cellStyle name="Texto explicativo 5" xfId="621" xr:uid="{00000000-0005-0000-0000-00006F020000}"/>
    <cellStyle name="Texto explicativo 6" xfId="622" xr:uid="{00000000-0005-0000-0000-000070020000}"/>
    <cellStyle name="Texto explicativo 7" xfId="623" xr:uid="{00000000-0005-0000-0000-000071020000}"/>
    <cellStyle name="Texto explicativo 8" xfId="624" xr:uid="{00000000-0005-0000-0000-000072020000}"/>
    <cellStyle name="Texto explicativo 9" xfId="625" xr:uid="{00000000-0005-0000-0000-000073020000}"/>
    <cellStyle name="Título 1 10" xfId="626" xr:uid="{00000000-0005-0000-0000-000074020000}"/>
    <cellStyle name="Título 1 11" xfId="627" xr:uid="{00000000-0005-0000-0000-000075020000}"/>
    <cellStyle name="Título 1 12" xfId="628" xr:uid="{00000000-0005-0000-0000-000076020000}"/>
    <cellStyle name="Título 1 13" xfId="629" xr:uid="{00000000-0005-0000-0000-000077020000}"/>
    <cellStyle name="Título 1 14" xfId="630" xr:uid="{00000000-0005-0000-0000-000078020000}"/>
    <cellStyle name="Título 1 15" xfId="631" xr:uid="{00000000-0005-0000-0000-000079020000}"/>
    <cellStyle name="Título 1 16" xfId="632" xr:uid="{00000000-0005-0000-0000-00007A020000}"/>
    <cellStyle name="Título 1 17" xfId="633" xr:uid="{00000000-0005-0000-0000-00007B020000}"/>
    <cellStyle name="Título 1 2" xfId="634" xr:uid="{00000000-0005-0000-0000-00007C020000}"/>
    <cellStyle name="Título 1 3" xfId="635" xr:uid="{00000000-0005-0000-0000-00007D020000}"/>
    <cellStyle name="Título 1 4" xfId="636" xr:uid="{00000000-0005-0000-0000-00007E020000}"/>
    <cellStyle name="Título 1 5" xfId="637" xr:uid="{00000000-0005-0000-0000-00007F020000}"/>
    <cellStyle name="Título 1 6" xfId="638" xr:uid="{00000000-0005-0000-0000-000080020000}"/>
    <cellStyle name="Título 1 7" xfId="639" xr:uid="{00000000-0005-0000-0000-000081020000}"/>
    <cellStyle name="Título 1 8" xfId="640" xr:uid="{00000000-0005-0000-0000-000082020000}"/>
    <cellStyle name="Título 1 9" xfId="641" xr:uid="{00000000-0005-0000-0000-000083020000}"/>
    <cellStyle name="Título 10" xfId="642" xr:uid="{00000000-0005-0000-0000-000084020000}"/>
    <cellStyle name="Título 11" xfId="643" xr:uid="{00000000-0005-0000-0000-000085020000}"/>
    <cellStyle name="Título 12" xfId="644" xr:uid="{00000000-0005-0000-0000-000086020000}"/>
    <cellStyle name="Título 13" xfId="645" xr:uid="{00000000-0005-0000-0000-000087020000}"/>
    <cellStyle name="Título 14" xfId="646" xr:uid="{00000000-0005-0000-0000-000088020000}"/>
    <cellStyle name="Título 15" xfId="647" xr:uid="{00000000-0005-0000-0000-000089020000}"/>
    <cellStyle name="Título 16" xfId="648" xr:uid="{00000000-0005-0000-0000-00008A020000}"/>
    <cellStyle name="Título 17" xfId="649" xr:uid="{00000000-0005-0000-0000-00008B020000}"/>
    <cellStyle name="Título 18" xfId="650" xr:uid="{00000000-0005-0000-0000-00008C020000}"/>
    <cellStyle name="Título 19" xfId="651" xr:uid="{00000000-0005-0000-0000-00008D020000}"/>
    <cellStyle name="Título 2 10" xfId="652" xr:uid="{00000000-0005-0000-0000-00008E020000}"/>
    <cellStyle name="Título 2 11" xfId="653" xr:uid="{00000000-0005-0000-0000-00008F020000}"/>
    <cellStyle name="Título 2 12" xfId="654" xr:uid="{00000000-0005-0000-0000-000090020000}"/>
    <cellStyle name="Título 2 13" xfId="655" xr:uid="{00000000-0005-0000-0000-000091020000}"/>
    <cellStyle name="Título 2 14" xfId="656" xr:uid="{00000000-0005-0000-0000-000092020000}"/>
    <cellStyle name="Título 2 15" xfId="657" xr:uid="{00000000-0005-0000-0000-000093020000}"/>
    <cellStyle name="Título 2 16" xfId="658" xr:uid="{00000000-0005-0000-0000-000094020000}"/>
    <cellStyle name="Título 2 17" xfId="659" xr:uid="{00000000-0005-0000-0000-000095020000}"/>
    <cellStyle name="Título 2 2" xfId="660" xr:uid="{00000000-0005-0000-0000-000096020000}"/>
    <cellStyle name="Título 2 3" xfId="661" xr:uid="{00000000-0005-0000-0000-000097020000}"/>
    <cellStyle name="Título 2 4" xfId="662" xr:uid="{00000000-0005-0000-0000-000098020000}"/>
    <cellStyle name="Título 2 5" xfId="663" xr:uid="{00000000-0005-0000-0000-000099020000}"/>
    <cellStyle name="Título 2 6" xfId="664" xr:uid="{00000000-0005-0000-0000-00009A020000}"/>
    <cellStyle name="Título 2 7" xfId="665" xr:uid="{00000000-0005-0000-0000-00009B020000}"/>
    <cellStyle name="Título 2 8" xfId="666" xr:uid="{00000000-0005-0000-0000-00009C020000}"/>
    <cellStyle name="Título 2 9" xfId="667" xr:uid="{00000000-0005-0000-0000-00009D020000}"/>
    <cellStyle name="Título 3 10" xfId="668" xr:uid="{00000000-0005-0000-0000-00009E020000}"/>
    <cellStyle name="Título 3 11" xfId="669" xr:uid="{00000000-0005-0000-0000-00009F020000}"/>
    <cellStyle name="Título 3 12" xfId="670" xr:uid="{00000000-0005-0000-0000-0000A0020000}"/>
    <cellStyle name="Título 3 13" xfId="671" xr:uid="{00000000-0005-0000-0000-0000A1020000}"/>
    <cellStyle name="Título 3 14" xfId="672" xr:uid="{00000000-0005-0000-0000-0000A2020000}"/>
    <cellStyle name="Título 3 15" xfId="673" xr:uid="{00000000-0005-0000-0000-0000A3020000}"/>
    <cellStyle name="Título 3 16" xfId="674" xr:uid="{00000000-0005-0000-0000-0000A4020000}"/>
    <cellStyle name="Título 3 17" xfId="675" xr:uid="{00000000-0005-0000-0000-0000A5020000}"/>
    <cellStyle name="Título 3 2" xfId="676" xr:uid="{00000000-0005-0000-0000-0000A6020000}"/>
    <cellStyle name="Título 3 3" xfId="677" xr:uid="{00000000-0005-0000-0000-0000A7020000}"/>
    <cellStyle name="Título 3 4" xfId="678" xr:uid="{00000000-0005-0000-0000-0000A8020000}"/>
    <cellStyle name="Título 3 5" xfId="679" xr:uid="{00000000-0005-0000-0000-0000A9020000}"/>
    <cellStyle name="Título 3 6" xfId="680" xr:uid="{00000000-0005-0000-0000-0000AA020000}"/>
    <cellStyle name="Título 3 7" xfId="681" xr:uid="{00000000-0005-0000-0000-0000AB020000}"/>
    <cellStyle name="Título 3 8" xfId="682" xr:uid="{00000000-0005-0000-0000-0000AC020000}"/>
    <cellStyle name="Título 3 9" xfId="683" xr:uid="{00000000-0005-0000-0000-0000AD020000}"/>
    <cellStyle name="Título 4" xfId="684" xr:uid="{00000000-0005-0000-0000-0000AE020000}"/>
    <cellStyle name="Título 5" xfId="685" xr:uid="{00000000-0005-0000-0000-0000AF020000}"/>
    <cellStyle name="Título 6" xfId="686" xr:uid="{00000000-0005-0000-0000-0000B0020000}"/>
    <cellStyle name="Título 7" xfId="687" xr:uid="{00000000-0005-0000-0000-0000B1020000}"/>
    <cellStyle name="Título 8" xfId="688" xr:uid="{00000000-0005-0000-0000-0000B2020000}"/>
    <cellStyle name="Título 9" xfId="689" xr:uid="{00000000-0005-0000-0000-0000B3020000}"/>
    <cellStyle name="Total 10" xfId="690" xr:uid="{00000000-0005-0000-0000-0000B4020000}"/>
    <cellStyle name="Total 11" xfId="691" xr:uid="{00000000-0005-0000-0000-0000B5020000}"/>
    <cellStyle name="Total 12" xfId="692" xr:uid="{00000000-0005-0000-0000-0000B6020000}"/>
    <cellStyle name="Total 13" xfId="693" xr:uid="{00000000-0005-0000-0000-0000B7020000}"/>
    <cellStyle name="Total 14" xfId="694" xr:uid="{00000000-0005-0000-0000-0000B8020000}"/>
    <cellStyle name="Total 15" xfId="695" xr:uid="{00000000-0005-0000-0000-0000B9020000}"/>
    <cellStyle name="Total 16" xfId="696" xr:uid="{00000000-0005-0000-0000-0000BA020000}"/>
    <cellStyle name="Total 17" xfId="697" xr:uid="{00000000-0005-0000-0000-0000BB020000}"/>
    <cellStyle name="Total 2" xfId="698" xr:uid="{00000000-0005-0000-0000-0000BC020000}"/>
    <cellStyle name="Total 3" xfId="699" xr:uid="{00000000-0005-0000-0000-0000BD020000}"/>
    <cellStyle name="Total 4" xfId="700" xr:uid="{00000000-0005-0000-0000-0000BE020000}"/>
    <cellStyle name="Total 5" xfId="701" xr:uid="{00000000-0005-0000-0000-0000BF020000}"/>
    <cellStyle name="Total 6" xfId="702" xr:uid="{00000000-0005-0000-0000-0000C0020000}"/>
    <cellStyle name="Total 7" xfId="703" xr:uid="{00000000-0005-0000-0000-0000C1020000}"/>
    <cellStyle name="Total 8" xfId="704" xr:uid="{00000000-0005-0000-0000-0000C2020000}"/>
    <cellStyle name="Total 9" xfId="705" xr:uid="{00000000-0005-0000-0000-0000C3020000}"/>
  </cellStyles>
  <dxfs count="2">
    <dxf>
      <font>
        <color theme="5" tint="-0.24994659260841701"/>
      </font>
      <fill>
        <patternFill>
          <bgColor rgb="FFFFFF99"/>
        </patternFill>
      </fill>
    </dxf>
    <dxf>
      <font>
        <color theme="5" tint="-0.24994659260841701"/>
      </font>
      <fill>
        <patternFill>
          <bgColor rgb="FFFFFF99"/>
        </patternFill>
      </fill>
    </dxf>
  </dxfs>
  <tableStyles count="0" defaultTableStyle="TableStyleMedium9" defaultPivotStyle="PivotStyleLight16"/>
  <colors>
    <mruColors>
      <color rgb="FFFFFF99"/>
      <color rgb="FFFF0066"/>
      <color rgb="FF00FF00"/>
      <color rgb="FF0000FF"/>
      <color rgb="FF66FF33"/>
      <color rgb="FF33CCFF"/>
      <color rgb="FFFF33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752165354330711"/>
          <c:y val="0.23180664916885391"/>
          <c:w val="0.42495669291338584"/>
          <c:h val="0.708261154855643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 flip="none" rotWithShape="1">
                <a:gsLst>
                  <a:gs pos="51000">
                    <a:srgbClr val="00FF00"/>
                  </a:gs>
                  <a:gs pos="0">
                    <a:schemeClr val="accent1">
                      <a:lumMod val="45000"/>
                      <a:lumOff val="55000"/>
                    </a:schemeClr>
                  </a:gs>
                  <a:gs pos="0">
                    <a:srgbClr val="FF0000"/>
                  </a:gs>
                  <a:gs pos="100000">
                    <a:srgbClr val="00B050"/>
                  </a:gs>
                </a:gsLst>
                <a:path path="circle">
                  <a:fillToRect l="100000" t="100000"/>
                </a:path>
                <a:tileRect r="-100000" b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E435-4054-AE65-80A6BF4B38B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E8F-4D53-91B8-BCE128AA4730}"/>
              </c:ext>
            </c:extLst>
          </c:dPt>
          <c:dPt>
            <c:idx val="2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435-4054-AE65-80A6BF4B38BC}"/>
              </c:ext>
            </c:extLst>
          </c:dPt>
          <c:val>
            <c:numRef>
              <c:f>Tablero!$D$34:$D$36</c:f>
              <c:numCache>
                <c:formatCode>#,##0</c:formatCode>
                <c:ptCount val="3"/>
                <c:pt idx="0">
                  <c:v>29226</c:v>
                </c:pt>
                <c:pt idx="1">
                  <c:v>8545</c:v>
                </c:pt>
                <c:pt idx="2" formatCode="General">
                  <c:v>37771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35-4054-AE65-80A6BF4B38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7"/>
      </c:doughnutChart>
      <c:pieChart>
        <c:varyColors val="1"/>
        <c:ser>
          <c:idx val="1"/>
          <c:order val="1"/>
          <c:tx>
            <c:v>Puntero</c:v>
          </c:tx>
          <c:spPr>
            <a:ln>
              <a:noFill/>
            </a:ln>
          </c:spPr>
          <c:explosion val="21"/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E435-4054-AE65-80A6BF4B38BC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435-4054-AE65-80A6BF4B38BC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435-4054-AE65-80A6BF4B38BC}"/>
              </c:ext>
            </c:extLst>
          </c:dPt>
          <c:val>
            <c:numRef>
              <c:f>Tablero!$D$38:$D$40</c:f>
              <c:numCache>
                <c:formatCode>#,##0</c:formatCode>
                <c:ptCount val="3"/>
                <c:pt idx="0" formatCode="General">
                  <c:v>27726</c:v>
                </c:pt>
                <c:pt idx="1">
                  <c:v>1500</c:v>
                </c:pt>
                <c:pt idx="2">
                  <c:v>46316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435-4054-AE65-80A6BF4B38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752165354330711"/>
          <c:y val="0.23180664916885391"/>
          <c:w val="0.42495669291338584"/>
          <c:h val="0.708261154855643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 flip="none" rotWithShape="1">
                <a:gsLst>
                  <a:gs pos="51000">
                    <a:srgbClr val="00FF00"/>
                  </a:gs>
                  <a:gs pos="0">
                    <a:schemeClr val="accent1">
                      <a:lumMod val="45000"/>
                      <a:lumOff val="55000"/>
                    </a:schemeClr>
                  </a:gs>
                  <a:gs pos="0">
                    <a:srgbClr val="FF0000"/>
                  </a:gs>
                  <a:gs pos="100000">
                    <a:srgbClr val="00B050"/>
                  </a:gs>
                </a:gsLst>
                <a:path path="circle">
                  <a:fillToRect l="100000" t="100000"/>
                </a:path>
                <a:tileRect r="-100000" b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BA0-482D-BB5B-B86D50F2862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BA0-482D-BB5B-B86D50F28629}"/>
              </c:ext>
            </c:extLst>
          </c:dPt>
          <c:dPt>
            <c:idx val="2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BA0-482D-BB5B-B86D50F28629}"/>
              </c:ext>
            </c:extLst>
          </c:dPt>
          <c:val>
            <c:numRef>
              <c:f>Tablero!$H$36:$H$38</c:f>
              <c:numCache>
                <c:formatCode>#,##0</c:formatCode>
                <c:ptCount val="3"/>
                <c:pt idx="0">
                  <c:v>33838</c:v>
                </c:pt>
                <c:pt idx="1">
                  <c:v>3795</c:v>
                </c:pt>
                <c:pt idx="2" formatCode="General">
                  <c:v>37633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BA0-482D-BB5B-B86D50F28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7"/>
      </c:doughnutChart>
      <c:pieChart>
        <c:varyColors val="1"/>
        <c:ser>
          <c:idx val="1"/>
          <c:order val="1"/>
          <c:spPr>
            <a:ln>
              <a:noFill/>
            </a:ln>
          </c:spPr>
          <c:explosion val="21"/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FBA0-482D-BB5B-B86D50F28629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FBA0-482D-BB5B-B86D50F28629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FBA0-482D-BB5B-B86D50F28629}"/>
              </c:ext>
            </c:extLst>
          </c:dPt>
          <c:val>
            <c:numRef>
              <c:f>Tablero!$H$40:$H$42</c:f>
              <c:numCache>
                <c:formatCode>#,##0</c:formatCode>
                <c:ptCount val="3"/>
                <c:pt idx="0" formatCode="General">
                  <c:v>32338</c:v>
                </c:pt>
                <c:pt idx="1">
                  <c:v>1500</c:v>
                </c:pt>
                <c:pt idx="2">
                  <c:v>41428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BA0-482D-BB5B-B86D50F28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581617456617457"/>
          <c:y val="0.11292553048754993"/>
          <c:w val="0.59000777830906037"/>
          <c:h val="0.88707446951245006"/>
        </c:manualLayout>
      </c:layout>
      <c:doughnutChart>
        <c:varyColors val="1"/>
        <c:ser>
          <c:idx val="0"/>
          <c:order val="0"/>
          <c:explosion val="12"/>
          <c:dPt>
            <c:idx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A63-40EC-91A3-DCE2ED9CC66D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A63-40EC-91A3-DCE2ED9CC66D}"/>
              </c:ext>
            </c:extLst>
          </c:dPt>
          <c:dPt>
            <c:idx val="2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A63-40EC-91A3-DCE2ED9CC66D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A63-40EC-91A3-DCE2ED9CC66D}"/>
              </c:ext>
            </c:extLst>
          </c:dPt>
          <c:dPt>
            <c:idx val="4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6A63-40EC-91A3-DCE2ED9CC66D}"/>
              </c:ext>
            </c:extLst>
          </c:dPt>
          <c:dPt>
            <c:idx val="5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A63-40EC-91A3-DCE2ED9CC66D}"/>
              </c:ext>
            </c:extLst>
          </c:dPt>
          <c:dPt>
            <c:idx val="6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6A63-40EC-91A3-DCE2ED9CC66D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A63-40EC-91A3-DCE2ED9CC66D}"/>
              </c:ext>
            </c:extLst>
          </c:dPt>
          <c:dPt>
            <c:idx val="8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6A63-40EC-91A3-DCE2ED9CC66D}"/>
              </c:ext>
            </c:extLst>
          </c:dPt>
          <c:dLbls>
            <c:dLbl>
              <c:idx val="0"/>
              <c:layout>
                <c:manualLayout>
                  <c:x val="-0.1111111111111111"/>
                  <c:y val="-4.6296296296296294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A63-40EC-91A3-DCE2ED9CC66D}"/>
                </c:ext>
              </c:extLst>
            </c:dLbl>
            <c:dLbl>
              <c:idx val="1"/>
              <c:layout>
                <c:manualLayout>
                  <c:x val="-6.6666666666666721E-2"/>
                  <c:y val="-5.5555555555555552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A63-40EC-91A3-DCE2ED9CC66D}"/>
                </c:ext>
              </c:extLst>
            </c:dLbl>
            <c:dLbl>
              <c:idx val="2"/>
              <c:layout>
                <c:manualLayout>
                  <c:x val="-4.1666666666666664E-2"/>
                  <c:y val="-9.7222222222222224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A63-40EC-91A3-DCE2ED9CC66D}"/>
                </c:ext>
              </c:extLst>
            </c:dLbl>
            <c:dLbl>
              <c:idx val="3"/>
              <c:layout>
                <c:manualLayout>
                  <c:x val="-1.9444444444444445E-2"/>
                  <c:y val="-0.1111111111111111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A63-40EC-91A3-DCE2ED9CC66D}"/>
                </c:ext>
              </c:extLst>
            </c:dLbl>
            <c:dLbl>
              <c:idx val="4"/>
              <c:layout>
                <c:manualLayout>
                  <c:x val="2.5000000000000001E-2"/>
                  <c:y val="-0.10648148148148148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6A63-40EC-91A3-DCE2ED9CC66D}"/>
                </c:ext>
              </c:extLst>
            </c:dLbl>
            <c:dLbl>
              <c:idx val="5"/>
              <c:layout>
                <c:manualLayout>
                  <c:x val="6.6666666666666666E-2"/>
                  <c:y val="-8.7962962962962965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A63-40EC-91A3-DCE2ED9CC66D}"/>
                </c:ext>
              </c:extLst>
            </c:dLbl>
            <c:dLbl>
              <c:idx val="6"/>
              <c:layout>
                <c:manualLayout>
                  <c:x val="8.611111111111111E-2"/>
                  <c:y val="-4.1666666666666664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6A63-40EC-91A3-DCE2ED9CC66D}"/>
                </c:ext>
              </c:extLst>
            </c:dLbl>
            <c:dLbl>
              <c:idx val="7"/>
              <c:layout>
                <c:manualLayout>
                  <c:x val="9.4444444444444345E-2"/>
                  <c:y val="-4.6296296296296294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A63-40EC-91A3-DCE2ED9CC66D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A63-40EC-91A3-DCE2ED9CC6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Tablero!$B$52:$B$60</c:f>
              <c:strCache>
                <c:ptCount val="9"/>
                <c:pt idx="0">
                  <c:v>Verano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total</c:v>
                </c:pt>
              </c:strCache>
            </c:strRef>
          </c:cat>
          <c:val>
            <c:numRef>
              <c:f>Tablero!$D$52:$D$60</c:f>
              <c:numCache>
                <c:formatCode>General</c:formatCode>
                <c:ptCount val="9"/>
                <c:pt idx="0">
                  <c:v>1121610</c:v>
                </c:pt>
                <c:pt idx="1">
                  <c:v>876030</c:v>
                </c:pt>
                <c:pt idx="2">
                  <c:v>876030</c:v>
                </c:pt>
                <c:pt idx="3">
                  <c:v>876030</c:v>
                </c:pt>
                <c:pt idx="4">
                  <c:v>876030</c:v>
                </c:pt>
                <c:pt idx="5">
                  <c:v>876030</c:v>
                </c:pt>
                <c:pt idx="6">
                  <c:v>876030</c:v>
                </c:pt>
                <c:pt idx="7">
                  <c:v>876030</c:v>
                </c:pt>
                <c:pt idx="8">
                  <c:v>7253820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A63-40EC-91A3-DCE2ED9CC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270"/>
        <c:holeSize val="57"/>
      </c:doughnutChart>
      <c:scatterChart>
        <c:scatterStyle val="smoothMarker"/>
        <c:varyColors val="0"/>
        <c:ser>
          <c:idx val="1"/>
          <c:order val="1"/>
          <c:tx>
            <c:v>Puntos</c:v>
          </c:tx>
          <c:spPr>
            <a:ln w="28575" cap="rnd">
              <a:solidFill>
                <a:schemeClr val="tx1"/>
              </a:solidFill>
              <a:round/>
            </a:ln>
            <a:effectLst>
              <a:glow rad="63500">
                <a:schemeClr val="accent4">
                  <a:satMod val="175000"/>
                  <a:alpha val="40000"/>
                </a:schemeClr>
              </a:glow>
              <a:outerShdw blurRad="63500" sx="102000" sy="102000" algn="ctr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>
                <a:glow rad="63500">
                  <a:schemeClr val="accent4">
                    <a:satMod val="175000"/>
                    <a:alpha val="40000"/>
                  </a:schemeClr>
                </a:glow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c:spPr>
          </c:marker>
          <c:xVal>
            <c:numRef>
              <c:f>Tablero!$C$68:$C$69</c:f>
              <c:numCache>
                <c:formatCode>General</c:formatCode>
                <c:ptCount val="2"/>
                <c:pt idx="0">
                  <c:v>0</c:v>
                </c:pt>
                <c:pt idx="1">
                  <c:v>-0.79039797146471491</c:v>
                </c:pt>
              </c:numCache>
            </c:numRef>
          </c:xVal>
          <c:yVal>
            <c:numRef>
              <c:f>Tablero!$D$68:$D$69</c:f>
              <c:numCache>
                <c:formatCode>General</c:formatCode>
                <c:ptCount val="2"/>
                <c:pt idx="0">
                  <c:v>0</c:v>
                </c:pt>
                <c:pt idx="1">
                  <c:v>0.61259370442770933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95F5-4442-85E5-1C91BD82A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226607"/>
        <c:axId val="91225167"/>
      </c:scatterChart>
      <c:valAx>
        <c:axId val="91225167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1226607"/>
        <c:crosses val="autoZero"/>
        <c:crossBetween val="midCat"/>
      </c:valAx>
      <c:valAx>
        <c:axId val="91226607"/>
        <c:scaling>
          <c:orientation val="minMax"/>
          <c:max val="1"/>
          <c:min val="-1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1225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826450229612282"/>
          <c:y val="0.11056297470519809"/>
          <c:w val="0.59000777830906037"/>
          <c:h val="0.88707446951245006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950-477C-B3A3-8FC7AFDA35A2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950-477C-B3A3-8FC7AFDA35A2}"/>
              </c:ext>
            </c:extLst>
          </c:dPt>
          <c:dPt>
            <c:idx val="2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950-477C-B3A3-8FC7AFDA35A2}"/>
              </c:ext>
            </c:extLst>
          </c:dPt>
          <c:dPt>
            <c:idx val="3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950-477C-B3A3-8FC7AFDA35A2}"/>
              </c:ext>
            </c:extLst>
          </c:dPt>
          <c:dPt>
            <c:idx val="4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950-477C-B3A3-8FC7AFDA35A2}"/>
              </c:ext>
            </c:extLst>
          </c:dPt>
          <c:dPt>
            <c:idx val="5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950-477C-B3A3-8FC7AFDA35A2}"/>
              </c:ext>
            </c:extLst>
          </c:dPt>
          <c:dPt>
            <c:idx val="6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950-477C-B3A3-8FC7AFDA35A2}"/>
              </c:ext>
            </c:extLst>
          </c:dPt>
          <c:dPt>
            <c:idx val="7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950-477C-B3A3-8FC7AFDA35A2}"/>
              </c:ext>
            </c:extLst>
          </c:dPt>
          <c:dPt>
            <c:idx val="8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950-477C-B3A3-8FC7AFDA35A2}"/>
              </c:ext>
            </c:extLst>
          </c:dPt>
          <c:dLbls>
            <c:dLbl>
              <c:idx val="0"/>
              <c:layout>
                <c:manualLayout>
                  <c:x val="-0.11111102336398779"/>
                  <c:y val="2.0716533996304999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950-477C-B3A3-8FC7AFDA35A2}"/>
                </c:ext>
              </c:extLst>
            </c:dLbl>
            <c:dLbl>
              <c:idx val="1"/>
              <c:layout>
                <c:manualLayout>
                  <c:x val="-6.6666666666666721E-2"/>
                  <c:y val="-5.5555555555555552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950-477C-B3A3-8FC7AFDA35A2}"/>
                </c:ext>
              </c:extLst>
            </c:dLbl>
            <c:dLbl>
              <c:idx val="2"/>
              <c:layout>
                <c:manualLayout>
                  <c:x val="-4.1666666666666664E-2"/>
                  <c:y val="-9.7222222222222224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950-477C-B3A3-8FC7AFDA35A2}"/>
                </c:ext>
              </c:extLst>
            </c:dLbl>
            <c:dLbl>
              <c:idx val="3"/>
              <c:layout>
                <c:manualLayout>
                  <c:x val="-1.9444444444444445E-2"/>
                  <c:y val="-0.1111111111111111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950-477C-B3A3-8FC7AFDA35A2}"/>
                </c:ext>
              </c:extLst>
            </c:dLbl>
            <c:dLbl>
              <c:idx val="4"/>
              <c:layout>
                <c:manualLayout>
                  <c:x val="2.5000000000000001E-2"/>
                  <c:y val="-0.10648148148148148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950-477C-B3A3-8FC7AFDA35A2}"/>
                </c:ext>
              </c:extLst>
            </c:dLbl>
            <c:dLbl>
              <c:idx val="5"/>
              <c:layout>
                <c:manualLayout>
                  <c:x val="6.6666666666666666E-2"/>
                  <c:y val="-8.7962962962962965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950-477C-B3A3-8FC7AFDA35A2}"/>
                </c:ext>
              </c:extLst>
            </c:dLbl>
            <c:dLbl>
              <c:idx val="6"/>
              <c:layout>
                <c:manualLayout>
                  <c:x val="8.611111111111111E-2"/>
                  <c:y val="-4.1666666666666664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950-477C-B3A3-8FC7AFDA35A2}"/>
                </c:ext>
              </c:extLst>
            </c:dLbl>
            <c:dLbl>
              <c:idx val="7"/>
              <c:layout>
                <c:manualLayout>
                  <c:x val="9.4444444444444345E-2"/>
                  <c:y val="-4.6296296296296294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950-477C-B3A3-8FC7AFDA35A2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950-477C-B3A3-8FC7AFDA35A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cap="none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Tablero!$F$52:$F$60</c:f>
              <c:strCache>
                <c:ptCount val="9"/>
                <c:pt idx="0">
                  <c:v>Verano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total</c:v>
                </c:pt>
              </c:strCache>
            </c:strRef>
          </c:cat>
          <c:val>
            <c:numRef>
              <c:f>Tablero!$H$52:$H$60</c:f>
              <c:numCache>
                <c:formatCode>General</c:formatCode>
                <c:ptCount val="9"/>
                <c:pt idx="0">
                  <c:v>1200276</c:v>
                </c:pt>
                <c:pt idx="1">
                  <c:v>1013340</c:v>
                </c:pt>
                <c:pt idx="2">
                  <c:v>1013340</c:v>
                </c:pt>
                <c:pt idx="3">
                  <c:v>1013340</c:v>
                </c:pt>
                <c:pt idx="4">
                  <c:v>1013340</c:v>
                </c:pt>
                <c:pt idx="5">
                  <c:v>1013340</c:v>
                </c:pt>
                <c:pt idx="6">
                  <c:v>1013340</c:v>
                </c:pt>
                <c:pt idx="7">
                  <c:v>1013340</c:v>
                </c:pt>
                <c:pt idx="8">
                  <c:v>8293656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950-477C-B3A3-8FC7AFDA35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270"/>
        <c:holeSize val="57"/>
      </c:doughnutChart>
      <c:scatterChart>
        <c:scatterStyle val="smoothMarker"/>
        <c:varyColors val="0"/>
        <c:ser>
          <c:idx val="1"/>
          <c:order val="1"/>
          <c:tx>
            <c:v>Puntos</c:v>
          </c:tx>
          <c:spPr>
            <a:ln w="28575" cap="rnd">
              <a:solidFill>
                <a:schemeClr val="tx1"/>
              </a:solidFill>
              <a:round/>
            </a:ln>
            <a:effectLst>
              <a:glow rad="63500">
                <a:schemeClr val="accent4">
                  <a:satMod val="175000"/>
                  <a:alpha val="40000"/>
                </a:schemeClr>
              </a:glow>
              <a:outerShdw blurRad="50800" dist="38100" dir="5400000" algn="t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>
                <a:glow rad="63500">
                  <a:schemeClr val="accent4">
                    <a:satMod val="175000"/>
                    <a:alpha val="40000"/>
                  </a:schemeClr>
                </a:glow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c:spPr>
          </c:marker>
          <c:xVal>
            <c:numRef>
              <c:f>Tablero!$H$70:$H$71</c:f>
              <c:numCache>
                <c:formatCode>General</c:formatCode>
                <c:ptCount val="2"/>
                <c:pt idx="0">
                  <c:v>0</c:v>
                </c:pt>
                <c:pt idx="1">
                  <c:v>-0.74296844532536677</c:v>
                </c:pt>
              </c:numCache>
            </c:numRef>
          </c:xVal>
          <c:yVal>
            <c:numRef>
              <c:f>Tablero!$I$70:$I$71</c:f>
              <c:numCache>
                <c:formatCode>General</c:formatCode>
                <c:ptCount val="2"/>
                <c:pt idx="0">
                  <c:v>0</c:v>
                </c:pt>
                <c:pt idx="1">
                  <c:v>0.66932644445801448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72FF-44E5-BF6A-72AD54478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5588479"/>
        <c:axId val="295584639"/>
      </c:scatterChart>
      <c:valAx>
        <c:axId val="295584639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5588479"/>
        <c:crosses val="autoZero"/>
        <c:crossBetween val="midCat"/>
      </c:valAx>
      <c:valAx>
        <c:axId val="295588479"/>
        <c:scaling>
          <c:orientation val="minMax"/>
          <c:max val="1"/>
          <c:min val="-1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5584639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jpeg"/><Relationship Id="rId3" Type="http://schemas.openxmlformats.org/officeDocument/2006/relationships/chart" Target="../charts/chart1.xml"/><Relationship Id="rId7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143435</xdr:colOff>
      <xdr:row>4</xdr:row>
      <xdr:rowOff>80683</xdr:rowOff>
    </xdr:from>
    <xdr:to>
      <xdr:col>13</xdr:col>
      <xdr:colOff>116541</xdr:colOff>
      <xdr:row>21</xdr:row>
      <xdr:rowOff>125506</xdr:rowOff>
    </xdr:to>
    <xdr:sp macro="" textlink="">
      <xdr:nvSpPr>
        <xdr:cNvPr id="15" name="Rectángulo: esquinas redondeadas 14">
          <a:extLst>
            <a:ext uri="{FF2B5EF4-FFF2-40B4-BE49-F238E27FC236}">
              <a16:creationId xmlns:a16="http://schemas.microsoft.com/office/drawing/2014/main" id="{C22E5BC5-0F02-4310-9A49-938E1B7D2708}"/>
            </a:ext>
          </a:extLst>
        </xdr:cNvPr>
        <xdr:cNvSpPr/>
      </xdr:nvSpPr>
      <xdr:spPr>
        <a:xfrm>
          <a:off x="6006353" y="815789"/>
          <a:ext cx="8319247" cy="4374776"/>
        </a:xfrm>
        <a:prstGeom prst="roundRect">
          <a:avLst>
            <a:gd name="adj" fmla="val 3323"/>
          </a:avLst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56030</xdr:colOff>
      <xdr:row>7</xdr:row>
      <xdr:rowOff>33619</xdr:rowOff>
    </xdr:from>
    <xdr:to>
      <xdr:col>1</xdr:col>
      <xdr:colOff>726859</xdr:colOff>
      <xdr:row>9</xdr:row>
      <xdr:rowOff>200806</xdr:rowOff>
    </xdr:to>
    <xdr:sp macro="" textlink="">
      <xdr:nvSpPr>
        <xdr:cNvPr id="7" name="Rectángulo: esquinas redondeadas 6">
          <a:extLst>
            <a:ext uri="{FF2B5EF4-FFF2-40B4-BE49-F238E27FC236}">
              <a16:creationId xmlns:a16="http://schemas.microsoft.com/office/drawing/2014/main" id="{CD1B132E-1DD2-4C01-9178-D18230EA2B45}"/>
            </a:ext>
          </a:extLst>
        </xdr:cNvPr>
        <xdr:cNvSpPr/>
      </xdr:nvSpPr>
      <xdr:spPr>
        <a:xfrm rot="5400000">
          <a:off x="330263" y="1440268"/>
          <a:ext cx="615422" cy="670829"/>
        </a:xfrm>
        <a:prstGeom prst="roundRect">
          <a:avLst/>
        </a:prstGeom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s-AR" sz="1400"/>
            <a:t>Capital</a:t>
          </a:r>
          <a:endParaRPr lang="es-AR" sz="1400" baseline="0"/>
        </a:p>
      </xdr:txBody>
    </xdr:sp>
    <xdr:clientData/>
  </xdr:twoCellAnchor>
  <xdr:twoCellAnchor>
    <xdr:from>
      <xdr:col>1</xdr:col>
      <xdr:colOff>39068</xdr:colOff>
      <xdr:row>14</xdr:row>
      <xdr:rowOff>7253</xdr:rowOff>
    </xdr:from>
    <xdr:to>
      <xdr:col>1</xdr:col>
      <xdr:colOff>739590</xdr:colOff>
      <xdr:row>16</xdr:row>
      <xdr:rowOff>235329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7E688D9F-5424-4758-9284-C9FA8217E749}"/>
            </a:ext>
          </a:extLst>
        </xdr:cNvPr>
        <xdr:cNvSpPr/>
      </xdr:nvSpPr>
      <xdr:spPr>
        <a:xfrm rot="5400000">
          <a:off x="286496" y="3065560"/>
          <a:ext cx="698723" cy="700522"/>
        </a:xfrm>
        <a:prstGeom prst="roundRect">
          <a:avLst/>
        </a:prstGeom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marL="0" indent="0" algn="ctr"/>
          <a:r>
            <a:rPr lang="es-AR" sz="1400">
              <a:solidFill>
                <a:schemeClr val="lt1"/>
              </a:solidFill>
              <a:latin typeface="+mn-lt"/>
              <a:ea typeface="+mn-ea"/>
              <a:cs typeface="+mn-cs"/>
            </a:rPr>
            <a:t>OTROS (</a:t>
          </a:r>
          <a:r>
            <a:rPr lang="es-AR" sz="1200">
              <a:solidFill>
                <a:schemeClr val="lt1"/>
              </a:solidFill>
              <a:latin typeface="+mn-lt"/>
              <a:ea typeface="+mn-ea"/>
              <a:cs typeface="+mn-cs"/>
            </a:rPr>
            <a:t>Capital</a:t>
          </a:r>
          <a:r>
            <a:rPr lang="es-AR" sz="1400">
              <a:solidFill>
                <a:schemeClr val="lt1"/>
              </a:solidFill>
              <a:latin typeface="+mn-lt"/>
              <a:ea typeface="+mn-ea"/>
              <a:cs typeface="+mn-cs"/>
            </a:rPr>
            <a:t>)</a:t>
          </a:r>
        </a:p>
      </xdr:txBody>
    </xdr:sp>
    <xdr:clientData/>
  </xdr:twoCellAnchor>
  <xdr:twoCellAnchor>
    <xdr:from>
      <xdr:col>6</xdr:col>
      <xdr:colOff>8095</xdr:colOff>
      <xdr:row>12</xdr:row>
      <xdr:rowOff>207937</xdr:rowOff>
    </xdr:from>
    <xdr:to>
      <xdr:col>10</xdr:col>
      <xdr:colOff>336176</xdr:colOff>
      <xdr:row>13</xdr:row>
      <xdr:rowOff>224118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363D3FEB-EF17-4B31-A3B4-BEFA5CBFDE3F}"/>
            </a:ext>
          </a:extLst>
        </xdr:cNvPr>
        <xdr:cNvSpPr/>
      </xdr:nvSpPr>
      <xdr:spPr>
        <a:xfrm>
          <a:off x="5936007" y="2796496"/>
          <a:ext cx="4776816" cy="251504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000" i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 Los valores se corresponden a centros que reciben ambos servicios o sólo uno de ellos</a:t>
          </a:r>
        </a:p>
        <a:p>
          <a:pPr marL="0" indent="0" algn="l"/>
          <a:endParaRPr lang="es-AR" sz="1000" i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11</xdr:col>
      <xdr:colOff>1133537</xdr:colOff>
      <xdr:row>5</xdr:row>
      <xdr:rowOff>85162</xdr:rowOff>
    </xdr:from>
    <xdr:to>
      <xdr:col>12</xdr:col>
      <xdr:colOff>970205</xdr:colOff>
      <xdr:row>9</xdr:row>
      <xdr:rowOff>72711</xdr:rowOff>
    </xdr:to>
    <xdr:pic>
      <xdr:nvPicPr>
        <xdr:cNvPr id="3" name="Imagen 2" descr="Dirección de los Derechos de la Niñez y la Familia">
          <a:extLst>
            <a:ext uri="{FF2B5EF4-FFF2-40B4-BE49-F238E27FC236}">
              <a16:creationId xmlns:a16="http://schemas.microsoft.com/office/drawing/2014/main" id="{4535DF7A-A828-B1E8-AF9A-2E8A263E0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11772" y="999562"/>
          <a:ext cx="1013509" cy="1036420"/>
        </a:xfrm>
        <a:prstGeom prst="rect">
          <a:avLst/>
        </a:prstGeom>
        <a:effectLst>
          <a:outerShdw blurRad="50800" dist="38100" dir="8100000" algn="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41388</xdr:colOff>
      <xdr:row>5</xdr:row>
      <xdr:rowOff>96371</xdr:rowOff>
    </xdr:from>
    <xdr:to>
      <xdr:col>11</xdr:col>
      <xdr:colOff>1048330</xdr:colOff>
      <xdr:row>9</xdr:row>
      <xdr:rowOff>91577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B916F39B-CD49-8719-1E6A-86AFFA10D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19623" y="1010771"/>
          <a:ext cx="995512" cy="1034552"/>
        </a:xfrm>
        <a:prstGeom prst="rect">
          <a:avLst/>
        </a:prstGeom>
        <a:effectLst>
          <a:outerShdw blurRad="50800" dist="38100" dir="8100000" algn="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56030</xdr:colOff>
      <xdr:row>10</xdr:row>
      <xdr:rowOff>44824</xdr:rowOff>
    </xdr:from>
    <xdr:to>
      <xdr:col>1</xdr:col>
      <xdr:colOff>726859</xdr:colOff>
      <xdr:row>12</xdr:row>
      <xdr:rowOff>189599</xdr:rowOff>
    </xdr:to>
    <xdr:sp macro="" textlink="">
      <xdr:nvSpPr>
        <xdr:cNvPr id="9" name="Rectángulo: esquinas redondeadas 8">
          <a:extLst>
            <a:ext uri="{FF2B5EF4-FFF2-40B4-BE49-F238E27FC236}">
              <a16:creationId xmlns:a16="http://schemas.microsoft.com/office/drawing/2014/main" id="{3A320FB2-768A-4900-8987-542999BF5200}"/>
            </a:ext>
          </a:extLst>
        </xdr:cNvPr>
        <xdr:cNvSpPr/>
      </xdr:nvSpPr>
      <xdr:spPr>
        <a:xfrm rot="5400000">
          <a:off x="330263" y="2135032"/>
          <a:ext cx="615422" cy="670829"/>
        </a:xfrm>
        <a:prstGeom prst="roundRect">
          <a:avLst/>
        </a:prstGeom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marL="0" indent="0" algn="ctr"/>
          <a:r>
            <a:rPr lang="es-AR" sz="1300">
              <a:solidFill>
                <a:schemeClr val="lt1"/>
              </a:solidFill>
              <a:latin typeface="+mn-lt"/>
              <a:ea typeface="+mn-ea"/>
              <a:cs typeface="+mn-cs"/>
            </a:rPr>
            <a:t>Interior</a:t>
          </a:r>
        </a:p>
      </xdr:txBody>
    </xdr:sp>
    <xdr:clientData/>
  </xdr:twoCellAnchor>
  <xdr:twoCellAnchor>
    <xdr:from>
      <xdr:col>6</xdr:col>
      <xdr:colOff>11205</xdr:colOff>
      <xdr:row>20</xdr:row>
      <xdr:rowOff>56030</xdr:rowOff>
    </xdr:from>
    <xdr:to>
      <xdr:col>9</xdr:col>
      <xdr:colOff>168088</xdr:colOff>
      <xdr:row>20</xdr:row>
      <xdr:rowOff>336177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86B6C71B-3D60-46C0-867D-57CCC293B747}"/>
            </a:ext>
          </a:extLst>
        </xdr:cNvPr>
        <xdr:cNvSpPr/>
      </xdr:nvSpPr>
      <xdr:spPr>
        <a:xfrm>
          <a:off x="5939117" y="4706471"/>
          <a:ext cx="4370295" cy="280147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000" i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(1) Al</a:t>
          </a:r>
          <a:r>
            <a:rPr lang="es-AR" sz="1000" i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ser Capital entrega full se considera cabecera cada centro que recibe.</a:t>
          </a:r>
          <a:endParaRPr lang="es-AR" sz="1000" i="1">
            <a:solidFill>
              <a:sysClr val="windowText" lastClr="000000"/>
            </a:solidFill>
            <a:effectLst/>
          </a:endParaRPr>
        </a:p>
        <a:p>
          <a:pPr algn="l"/>
          <a:endParaRPr lang="es-AR" sz="1000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590101</xdr:colOff>
      <xdr:row>31</xdr:row>
      <xdr:rowOff>2468</xdr:rowOff>
    </xdr:from>
    <xdr:to>
      <xdr:col>4</xdr:col>
      <xdr:colOff>939388</xdr:colOff>
      <xdr:row>47</xdr:row>
      <xdr:rowOff>135146</xdr:rowOff>
    </xdr:to>
    <xdr:grpSp>
      <xdr:nvGrpSpPr>
        <xdr:cNvPr id="47" name="Grupo 46">
          <a:extLst>
            <a:ext uri="{FF2B5EF4-FFF2-40B4-BE49-F238E27FC236}">
              <a16:creationId xmlns:a16="http://schemas.microsoft.com/office/drawing/2014/main" id="{BBDDBF40-23CB-1C0B-E355-BF441226BFBE}"/>
            </a:ext>
          </a:extLst>
        </xdr:cNvPr>
        <xdr:cNvGrpSpPr/>
      </xdr:nvGrpSpPr>
      <xdr:grpSpPr>
        <a:xfrm>
          <a:off x="836630" y="7768144"/>
          <a:ext cx="4719582" cy="2710031"/>
          <a:chOff x="375394" y="5732932"/>
          <a:chExt cx="4572000" cy="2743200"/>
        </a:xfrm>
      </xdr:grpSpPr>
      <xdr:graphicFrame macro="">
        <xdr:nvGraphicFramePr>
          <xdr:cNvPr id="11" name="Gráfico 10">
            <a:extLst>
              <a:ext uri="{FF2B5EF4-FFF2-40B4-BE49-F238E27FC236}">
                <a16:creationId xmlns:a16="http://schemas.microsoft.com/office/drawing/2014/main" id="{2643D3FF-4C6A-C18A-55EE-E72E5C9B6914}"/>
              </a:ext>
            </a:extLst>
          </xdr:cNvPr>
          <xdr:cNvGraphicFramePr/>
        </xdr:nvGraphicFramePr>
        <xdr:xfrm>
          <a:off x="375394" y="5732932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$D$33">
        <xdr:nvSpPr>
          <xdr:cNvPr id="13" name="Rectángulo 12">
            <a:extLst>
              <a:ext uri="{FF2B5EF4-FFF2-40B4-BE49-F238E27FC236}">
                <a16:creationId xmlns:a16="http://schemas.microsoft.com/office/drawing/2014/main" id="{E2A4FB3D-35AB-0C74-C2FA-AB5F6CF96C85}"/>
              </a:ext>
            </a:extLst>
          </xdr:cNvPr>
          <xdr:cNvSpPr/>
        </xdr:nvSpPr>
        <xdr:spPr>
          <a:xfrm>
            <a:off x="1490379" y="7395884"/>
            <a:ext cx="963706" cy="336737"/>
          </a:xfrm>
          <a:prstGeom prst="rect">
            <a:avLst/>
          </a:prstGeom>
        </xdr:spPr>
        <xdr:style>
          <a:lnRef idx="3">
            <a:schemeClr val="lt1"/>
          </a:lnRef>
          <a:fillRef idx="1">
            <a:schemeClr val="accent5"/>
          </a:fillRef>
          <a:effectRef idx="1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ctr"/>
            <a:fld id="{C31FC664-13B0-4574-AB6F-009A46B551D9}" type="TxLink">
              <a:rPr lang="en-US" sz="2000" b="0" i="0" u="none" strike="noStrike">
                <a:solidFill>
                  <a:schemeClr val="bg1"/>
                </a:solidFill>
                <a:latin typeface="Calibri"/>
                <a:cs typeface="Calibri"/>
              </a:rPr>
              <a:pPr algn="ctr"/>
              <a:t>29.226</a:t>
            </a:fld>
            <a:endParaRPr lang="es-AR" sz="2000">
              <a:solidFill>
                <a:schemeClr val="bg1"/>
              </a:solidFill>
            </a:endParaRPr>
          </a:p>
        </xdr:txBody>
      </xdr:sp>
      <xdr:sp macro="" textlink="$D$32">
        <xdr:nvSpPr>
          <xdr:cNvPr id="5" name="Rectángulo 4">
            <a:extLst>
              <a:ext uri="{FF2B5EF4-FFF2-40B4-BE49-F238E27FC236}">
                <a16:creationId xmlns:a16="http://schemas.microsoft.com/office/drawing/2014/main" id="{F45E7D4B-C64E-410D-A2DA-09535DD65552}"/>
              </a:ext>
            </a:extLst>
          </xdr:cNvPr>
          <xdr:cNvSpPr/>
        </xdr:nvSpPr>
        <xdr:spPr>
          <a:xfrm>
            <a:off x="3025590" y="7395884"/>
            <a:ext cx="963706" cy="336737"/>
          </a:xfrm>
          <a:prstGeom prst="rect">
            <a:avLst/>
          </a:prstGeom>
        </xdr:spPr>
        <xdr:style>
          <a:lnRef idx="3">
            <a:schemeClr val="lt1"/>
          </a:lnRef>
          <a:fillRef idx="1">
            <a:schemeClr val="accent5"/>
          </a:fillRef>
          <a:effectRef idx="1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marL="0" indent="0" algn="ctr"/>
            <a:fld id="{B7B65F7F-1B48-44D2-99C6-0823833EBDBE}" type="TxLink">
              <a:rPr lang="en-US" sz="2000" b="0" i="0" u="none" strike="noStrike">
                <a:solidFill>
                  <a:schemeClr val="bg1"/>
                </a:solidFill>
                <a:latin typeface="Calibri"/>
                <a:ea typeface="+mn-ea"/>
                <a:cs typeface="Calibri"/>
              </a:rPr>
              <a:pPr marL="0" indent="0" algn="ctr"/>
              <a:t>77,38%</a:t>
            </a:fld>
            <a:endParaRPr lang="es-AR" sz="2000" b="0" i="0" u="none" strike="noStrike">
              <a:solidFill>
                <a:schemeClr val="bg1"/>
              </a:solidFill>
              <a:latin typeface="Calibri"/>
              <a:ea typeface="+mn-ea"/>
              <a:cs typeface="Calibri"/>
            </a:endParaRPr>
          </a:p>
        </xdr:txBody>
      </xdr:sp>
      <xdr:sp macro="" textlink="">
        <xdr:nvSpPr>
          <xdr:cNvPr id="6" name="Rectángulo 5">
            <a:extLst>
              <a:ext uri="{FF2B5EF4-FFF2-40B4-BE49-F238E27FC236}">
                <a16:creationId xmlns:a16="http://schemas.microsoft.com/office/drawing/2014/main" id="{392864F9-D962-2CB9-AB54-8211B4B98FD2}"/>
              </a:ext>
            </a:extLst>
          </xdr:cNvPr>
          <xdr:cNvSpPr/>
        </xdr:nvSpPr>
        <xdr:spPr>
          <a:xfrm>
            <a:off x="1826557" y="7799295"/>
            <a:ext cx="1871383" cy="504265"/>
          </a:xfrm>
          <a:prstGeom prst="rect">
            <a:avLst/>
          </a:prstGeom>
        </xdr:spPr>
        <xdr:style>
          <a:lnRef idx="3">
            <a:schemeClr val="lt1"/>
          </a:lnRef>
          <a:fillRef idx="1">
            <a:schemeClr val="accent5"/>
          </a:fillRef>
          <a:effectRef idx="1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marL="0" indent="0" algn="ctr"/>
            <a:r>
              <a:rPr lang="es-AR" sz="1200" b="0" i="0" u="none" strike="noStrike">
                <a:solidFill>
                  <a:schemeClr val="bg1"/>
                </a:solidFill>
                <a:latin typeface="Calibri"/>
                <a:ea typeface="+mn-ea"/>
                <a:cs typeface="Calibri"/>
              </a:rPr>
              <a:t>Monitoreo raciones días Plan</a:t>
            </a:r>
            <a:r>
              <a:rPr lang="es-AR" sz="1200" b="0" i="0" u="none" strike="noStrike" baseline="0">
                <a:solidFill>
                  <a:schemeClr val="bg1"/>
                </a:solidFill>
                <a:latin typeface="Calibri"/>
                <a:ea typeface="+mn-ea"/>
                <a:cs typeface="Calibri"/>
              </a:rPr>
              <a:t> 1</a:t>
            </a:r>
            <a:r>
              <a:rPr lang="es-AR" sz="1200" b="0" i="0" u="none" strike="noStrike">
                <a:solidFill>
                  <a:schemeClr val="bg1"/>
                </a:solidFill>
                <a:latin typeface="Calibri"/>
                <a:ea typeface="+mn-ea"/>
                <a:cs typeface="Calibri"/>
              </a:rPr>
              <a:t> - COMIDAS</a:t>
            </a:r>
          </a:p>
        </xdr:txBody>
      </xdr:sp>
      <xdr:sp macro="" textlink="">
        <xdr:nvSpPr>
          <xdr:cNvPr id="14" name="Rectángulo 13">
            <a:extLst>
              <a:ext uri="{FF2B5EF4-FFF2-40B4-BE49-F238E27FC236}">
                <a16:creationId xmlns:a16="http://schemas.microsoft.com/office/drawing/2014/main" id="{3FDD692B-CEEB-42CA-A1E4-9ED1B01E3FB0}"/>
              </a:ext>
            </a:extLst>
          </xdr:cNvPr>
          <xdr:cNvSpPr/>
        </xdr:nvSpPr>
        <xdr:spPr>
          <a:xfrm>
            <a:off x="1120588" y="7014883"/>
            <a:ext cx="560294" cy="336177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AR" sz="1200">
                <a:solidFill>
                  <a:schemeClr val="tx1"/>
                </a:solidFill>
              </a:rPr>
              <a:t>0 %</a:t>
            </a:r>
          </a:p>
        </xdr:txBody>
      </xdr:sp>
      <xdr:sp macro="" textlink="">
        <xdr:nvSpPr>
          <xdr:cNvPr id="16" name="Rectángulo 15">
            <a:extLst>
              <a:ext uri="{FF2B5EF4-FFF2-40B4-BE49-F238E27FC236}">
                <a16:creationId xmlns:a16="http://schemas.microsoft.com/office/drawing/2014/main" id="{6551F96B-A7C3-4254-A74A-AE448489DF65}"/>
              </a:ext>
            </a:extLst>
          </xdr:cNvPr>
          <xdr:cNvSpPr/>
        </xdr:nvSpPr>
        <xdr:spPr>
          <a:xfrm>
            <a:off x="2353232" y="5883090"/>
            <a:ext cx="728383" cy="336177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AR" sz="2000">
                <a:solidFill>
                  <a:schemeClr val="tx1"/>
                </a:solidFill>
              </a:rPr>
              <a:t>50 %</a:t>
            </a:r>
          </a:p>
        </xdr:txBody>
      </xdr:sp>
      <xdr:sp macro="" textlink="">
        <xdr:nvSpPr>
          <xdr:cNvPr id="18" name="Rectángulo 17">
            <a:extLst>
              <a:ext uri="{FF2B5EF4-FFF2-40B4-BE49-F238E27FC236}">
                <a16:creationId xmlns:a16="http://schemas.microsoft.com/office/drawing/2014/main" id="{E5A2BFAB-C7C3-40F3-8846-152F9CE2231D}"/>
              </a:ext>
            </a:extLst>
          </xdr:cNvPr>
          <xdr:cNvSpPr/>
        </xdr:nvSpPr>
        <xdr:spPr>
          <a:xfrm>
            <a:off x="1255058" y="6342531"/>
            <a:ext cx="717176" cy="336177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AR" sz="1500">
                <a:solidFill>
                  <a:schemeClr val="tx1"/>
                </a:solidFill>
              </a:rPr>
              <a:t>25 %</a:t>
            </a:r>
          </a:p>
        </xdr:txBody>
      </xdr:sp>
      <xdr:sp macro="" textlink="">
        <xdr:nvSpPr>
          <xdr:cNvPr id="19" name="Rectángulo 18">
            <a:extLst>
              <a:ext uri="{FF2B5EF4-FFF2-40B4-BE49-F238E27FC236}">
                <a16:creationId xmlns:a16="http://schemas.microsoft.com/office/drawing/2014/main" id="{4E447000-9A60-4B1D-9AD4-108FAA0ED43F}"/>
              </a:ext>
            </a:extLst>
          </xdr:cNvPr>
          <xdr:cNvSpPr/>
        </xdr:nvSpPr>
        <xdr:spPr>
          <a:xfrm>
            <a:off x="3507440" y="6275295"/>
            <a:ext cx="728383" cy="336177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AR" sz="2000">
                <a:solidFill>
                  <a:schemeClr val="tx1"/>
                </a:solidFill>
              </a:rPr>
              <a:t>75 %</a:t>
            </a:r>
          </a:p>
        </xdr:txBody>
      </xdr:sp>
      <xdr:sp macro="" textlink="">
        <xdr:nvSpPr>
          <xdr:cNvPr id="20" name="Rectángulo 19">
            <a:extLst>
              <a:ext uri="{FF2B5EF4-FFF2-40B4-BE49-F238E27FC236}">
                <a16:creationId xmlns:a16="http://schemas.microsoft.com/office/drawing/2014/main" id="{86874D15-3CA6-46AA-A176-DB3488438132}"/>
              </a:ext>
            </a:extLst>
          </xdr:cNvPr>
          <xdr:cNvSpPr/>
        </xdr:nvSpPr>
        <xdr:spPr>
          <a:xfrm>
            <a:off x="3731558" y="6970062"/>
            <a:ext cx="840441" cy="32497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AR" sz="2000">
                <a:solidFill>
                  <a:schemeClr val="tx1"/>
                </a:solidFill>
              </a:rPr>
              <a:t>100 %</a:t>
            </a:r>
          </a:p>
        </xdr:txBody>
      </xdr:sp>
      <xdr:sp macro="" textlink="">
        <xdr:nvSpPr>
          <xdr:cNvPr id="21" name="Rectángulo 20">
            <a:extLst>
              <a:ext uri="{FF2B5EF4-FFF2-40B4-BE49-F238E27FC236}">
                <a16:creationId xmlns:a16="http://schemas.microsoft.com/office/drawing/2014/main" id="{43C443A6-73A7-4CA2-AD41-335847BA36C5}"/>
              </a:ext>
            </a:extLst>
          </xdr:cNvPr>
          <xdr:cNvSpPr/>
        </xdr:nvSpPr>
        <xdr:spPr>
          <a:xfrm>
            <a:off x="2532529" y="7373473"/>
            <a:ext cx="358588" cy="358588"/>
          </a:xfrm>
          <a:prstGeom prst="rect">
            <a:avLst/>
          </a:prstGeom>
        </xdr:spPr>
        <xdr:style>
          <a:lnRef idx="3">
            <a:schemeClr val="lt1"/>
          </a:lnRef>
          <a:fillRef idx="1">
            <a:schemeClr val="accent5"/>
          </a:fillRef>
          <a:effectRef idx="1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marL="0" indent="0" algn="ctr"/>
            <a:r>
              <a:rPr lang="es-AR" sz="2000" b="0" i="0" u="none" strike="noStrike">
                <a:solidFill>
                  <a:schemeClr val="bg1"/>
                </a:solidFill>
                <a:latin typeface="Calibri"/>
                <a:ea typeface="+mn-ea"/>
                <a:cs typeface="Calibri"/>
              </a:rPr>
              <a:t>=</a:t>
            </a:r>
          </a:p>
        </xdr:txBody>
      </xdr:sp>
    </xdr:grpSp>
    <xdr:clientData/>
  </xdr:twoCellAnchor>
  <xdr:twoCellAnchor>
    <xdr:from>
      <xdr:col>4</xdr:col>
      <xdr:colOff>1053357</xdr:colOff>
      <xdr:row>30</xdr:row>
      <xdr:rowOff>190498</xdr:rowOff>
    </xdr:from>
    <xdr:to>
      <xdr:col>8</xdr:col>
      <xdr:colOff>1344710</xdr:colOff>
      <xdr:row>47</xdr:row>
      <xdr:rowOff>132228</xdr:rowOff>
    </xdr:to>
    <xdr:grpSp>
      <xdr:nvGrpSpPr>
        <xdr:cNvPr id="23" name="Grupo 22">
          <a:extLst>
            <a:ext uri="{FF2B5EF4-FFF2-40B4-BE49-F238E27FC236}">
              <a16:creationId xmlns:a16="http://schemas.microsoft.com/office/drawing/2014/main" id="{83EB1D94-424D-4A0C-AD74-ADBE368110F8}"/>
            </a:ext>
          </a:extLst>
        </xdr:cNvPr>
        <xdr:cNvGrpSpPr/>
      </xdr:nvGrpSpPr>
      <xdr:grpSpPr>
        <a:xfrm>
          <a:off x="5670181" y="7770717"/>
          <a:ext cx="4549588" cy="2704540"/>
          <a:chOff x="12152779" y="-441512"/>
          <a:chExt cx="4572000" cy="2743200"/>
        </a:xfrm>
      </xdr:grpSpPr>
      <xdr:graphicFrame macro="">
        <xdr:nvGraphicFramePr>
          <xdr:cNvPr id="24" name="Gráfico 23">
            <a:extLst>
              <a:ext uri="{FF2B5EF4-FFF2-40B4-BE49-F238E27FC236}">
                <a16:creationId xmlns:a16="http://schemas.microsoft.com/office/drawing/2014/main" id="{39C75F42-8AE2-5A52-E2FF-5B1FB9470177}"/>
              </a:ext>
            </a:extLst>
          </xdr:cNvPr>
          <xdr:cNvGraphicFramePr/>
        </xdr:nvGraphicFramePr>
        <xdr:xfrm>
          <a:off x="12152779" y="-441512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$H$35">
        <xdr:nvSpPr>
          <xdr:cNvPr id="25" name="Rectángulo 24">
            <a:extLst>
              <a:ext uri="{FF2B5EF4-FFF2-40B4-BE49-F238E27FC236}">
                <a16:creationId xmlns:a16="http://schemas.microsoft.com/office/drawing/2014/main" id="{2A37AD5E-5D18-04BB-D4B0-393292F9E516}"/>
              </a:ext>
            </a:extLst>
          </xdr:cNvPr>
          <xdr:cNvSpPr/>
        </xdr:nvSpPr>
        <xdr:spPr>
          <a:xfrm>
            <a:off x="13189322" y="1266265"/>
            <a:ext cx="963706" cy="336737"/>
          </a:xfrm>
          <a:prstGeom prst="rect">
            <a:avLst/>
          </a:prstGeom>
        </xdr:spPr>
        <xdr:style>
          <a:lnRef idx="3">
            <a:schemeClr val="lt1"/>
          </a:lnRef>
          <a:fillRef idx="1">
            <a:schemeClr val="accent5"/>
          </a:fillRef>
          <a:effectRef idx="1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marL="0" indent="0" algn="ctr"/>
            <a:fld id="{08539893-DA29-4D59-8F47-A44555BED943}" type="TxLink">
              <a:rPr lang="en-US" sz="2000" b="0" i="0" u="none" strike="noStrike">
                <a:solidFill>
                  <a:schemeClr val="bg1"/>
                </a:solidFill>
                <a:latin typeface="Calibri"/>
                <a:ea typeface="+mn-ea"/>
                <a:cs typeface="Calibri"/>
              </a:rPr>
              <a:pPr marL="0" indent="0" algn="ctr"/>
              <a:t>33.838</a:t>
            </a:fld>
            <a:endParaRPr lang="es-AR" sz="2000" b="0" i="0" u="none" strike="noStrike">
              <a:solidFill>
                <a:schemeClr val="bg1"/>
              </a:solidFill>
              <a:latin typeface="Calibri"/>
              <a:ea typeface="+mn-ea"/>
              <a:cs typeface="Calibri"/>
            </a:endParaRPr>
          </a:p>
        </xdr:txBody>
      </xdr:sp>
      <xdr:sp macro="" textlink="$H$34">
        <xdr:nvSpPr>
          <xdr:cNvPr id="26" name="Rectángulo 25">
            <a:extLst>
              <a:ext uri="{FF2B5EF4-FFF2-40B4-BE49-F238E27FC236}">
                <a16:creationId xmlns:a16="http://schemas.microsoft.com/office/drawing/2014/main" id="{07F7C580-7489-41BE-FA49-FEF0CF0B2D60}"/>
              </a:ext>
            </a:extLst>
          </xdr:cNvPr>
          <xdr:cNvSpPr/>
        </xdr:nvSpPr>
        <xdr:spPr>
          <a:xfrm>
            <a:off x="14724533" y="1266265"/>
            <a:ext cx="963706" cy="336737"/>
          </a:xfrm>
          <a:prstGeom prst="rect">
            <a:avLst/>
          </a:prstGeom>
        </xdr:spPr>
        <xdr:style>
          <a:lnRef idx="3">
            <a:schemeClr val="lt1"/>
          </a:lnRef>
          <a:fillRef idx="1">
            <a:schemeClr val="accent5"/>
          </a:fillRef>
          <a:effectRef idx="1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marL="0" indent="0" algn="ctr"/>
            <a:fld id="{FD2AF527-33ED-4A26-B69C-2CD7B4DECB54}" type="TxLink">
              <a:rPr lang="en-US" sz="2000" b="0" i="0" u="none" strike="noStrike">
                <a:solidFill>
                  <a:schemeClr val="bg1"/>
                </a:solidFill>
                <a:latin typeface="Calibri"/>
                <a:ea typeface="+mn-ea"/>
                <a:cs typeface="Calibri"/>
              </a:rPr>
              <a:pPr marL="0" indent="0" algn="ctr"/>
              <a:t>89,92%</a:t>
            </a:fld>
            <a:endParaRPr lang="es-AR" sz="2000" b="0" i="0" u="none" strike="noStrike">
              <a:solidFill>
                <a:schemeClr val="bg1"/>
              </a:solidFill>
              <a:latin typeface="Calibri"/>
              <a:ea typeface="+mn-ea"/>
              <a:cs typeface="Calibri"/>
            </a:endParaRPr>
          </a:p>
        </xdr:txBody>
      </xdr:sp>
      <xdr:sp macro="" textlink="">
        <xdr:nvSpPr>
          <xdr:cNvPr id="27" name="Rectángulo 26">
            <a:extLst>
              <a:ext uri="{FF2B5EF4-FFF2-40B4-BE49-F238E27FC236}">
                <a16:creationId xmlns:a16="http://schemas.microsoft.com/office/drawing/2014/main" id="{1D6237FD-F052-7AA0-9B48-4E7766CE647F}"/>
              </a:ext>
            </a:extLst>
          </xdr:cNvPr>
          <xdr:cNvSpPr/>
        </xdr:nvSpPr>
        <xdr:spPr>
          <a:xfrm>
            <a:off x="13525500" y="1669676"/>
            <a:ext cx="1871383" cy="504265"/>
          </a:xfrm>
          <a:prstGeom prst="rect">
            <a:avLst/>
          </a:prstGeom>
        </xdr:spPr>
        <xdr:style>
          <a:lnRef idx="3">
            <a:schemeClr val="lt1"/>
          </a:lnRef>
          <a:fillRef idx="1">
            <a:schemeClr val="accent5"/>
          </a:fillRef>
          <a:effectRef idx="1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marL="0" indent="0" algn="ctr"/>
            <a:r>
              <a:rPr lang="es-AR" sz="1200" b="0" i="0" u="none" strike="noStrike">
                <a:solidFill>
                  <a:schemeClr val="bg1"/>
                </a:solidFill>
                <a:latin typeface="Calibri"/>
                <a:ea typeface="+mn-ea"/>
                <a:cs typeface="Calibri"/>
              </a:rPr>
              <a:t>Monitoreo raciones días Plan 1 -</a:t>
            </a:r>
            <a:r>
              <a:rPr lang="es-AR" sz="1200" b="0" i="0" u="none" strike="noStrike" baseline="0">
                <a:solidFill>
                  <a:schemeClr val="bg1"/>
                </a:solidFill>
                <a:latin typeface="Calibri"/>
                <a:ea typeface="+mn-ea"/>
                <a:cs typeface="Calibri"/>
              </a:rPr>
              <a:t> </a:t>
            </a:r>
            <a:r>
              <a:rPr lang="es-AR" sz="1200" b="0" i="0" u="none" strike="noStrike">
                <a:solidFill>
                  <a:schemeClr val="bg1"/>
                </a:solidFill>
                <a:latin typeface="Calibri"/>
                <a:ea typeface="+mn-ea"/>
                <a:cs typeface="Calibri"/>
              </a:rPr>
              <a:t>REFRIGERIOS</a:t>
            </a:r>
          </a:p>
        </xdr:txBody>
      </xdr:sp>
      <xdr:sp macro="" textlink="">
        <xdr:nvSpPr>
          <xdr:cNvPr id="28" name="Rectángulo 27">
            <a:extLst>
              <a:ext uri="{FF2B5EF4-FFF2-40B4-BE49-F238E27FC236}">
                <a16:creationId xmlns:a16="http://schemas.microsoft.com/office/drawing/2014/main" id="{A82399C4-A3AA-6FC7-B555-BC49F85AB90A}"/>
              </a:ext>
            </a:extLst>
          </xdr:cNvPr>
          <xdr:cNvSpPr/>
        </xdr:nvSpPr>
        <xdr:spPr>
          <a:xfrm>
            <a:off x="12819531" y="885264"/>
            <a:ext cx="560294" cy="336177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AR" sz="1200">
                <a:solidFill>
                  <a:schemeClr val="tx1"/>
                </a:solidFill>
              </a:rPr>
              <a:t>0 %</a:t>
            </a:r>
          </a:p>
        </xdr:txBody>
      </xdr:sp>
      <xdr:sp macro="" textlink="">
        <xdr:nvSpPr>
          <xdr:cNvPr id="29" name="Rectángulo 28">
            <a:extLst>
              <a:ext uri="{FF2B5EF4-FFF2-40B4-BE49-F238E27FC236}">
                <a16:creationId xmlns:a16="http://schemas.microsoft.com/office/drawing/2014/main" id="{3198BE12-AD58-67D5-8FDF-0BA9CFBD43F4}"/>
              </a:ext>
            </a:extLst>
          </xdr:cNvPr>
          <xdr:cNvSpPr/>
        </xdr:nvSpPr>
        <xdr:spPr>
          <a:xfrm>
            <a:off x="14052175" y="-246529"/>
            <a:ext cx="728383" cy="336177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AR" sz="2000">
                <a:solidFill>
                  <a:schemeClr val="tx1"/>
                </a:solidFill>
              </a:rPr>
              <a:t>50 %</a:t>
            </a:r>
          </a:p>
        </xdr:txBody>
      </xdr:sp>
      <xdr:sp macro="" textlink="">
        <xdr:nvSpPr>
          <xdr:cNvPr id="30" name="Rectángulo 29">
            <a:extLst>
              <a:ext uri="{FF2B5EF4-FFF2-40B4-BE49-F238E27FC236}">
                <a16:creationId xmlns:a16="http://schemas.microsoft.com/office/drawing/2014/main" id="{E398D270-1146-AE2F-C08D-BDB78DEC4842}"/>
              </a:ext>
            </a:extLst>
          </xdr:cNvPr>
          <xdr:cNvSpPr/>
        </xdr:nvSpPr>
        <xdr:spPr>
          <a:xfrm>
            <a:off x="12954001" y="212912"/>
            <a:ext cx="717176" cy="336177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AR" sz="1500">
                <a:solidFill>
                  <a:schemeClr val="tx1"/>
                </a:solidFill>
              </a:rPr>
              <a:t>25 %</a:t>
            </a:r>
          </a:p>
        </xdr:txBody>
      </xdr:sp>
      <xdr:sp macro="" textlink="">
        <xdr:nvSpPr>
          <xdr:cNvPr id="31" name="Rectángulo 30">
            <a:extLst>
              <a:ext uri="{FF2B5EF4-FFF2-40B4-BE49-F238E27FC236}">
                <a16:creationId xmlns:a16="http://schemas.microsoft.com/office/drawing/2014/main" id="{F067FA73-1826-371D-D6D3-1818325DA8C2}"/>
              </a:ext>
            </a:extLst>
          </xdr:cNvPr>
          <xdr:cNvSpPr/>
        </xdr:nvSpPr>
        <xdr:spPr>
          <a:xfrm>
            <a:off x="15206383" y="145676"/>
            <a:ext cx="728383" cy="336177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AR" sz="2000">
                <a:solidFill>
                  <a:schemeClr val="tx1"/>
                </a:solidFill>
              </a:rPr>
              <a:t>75 %</a:t>
            </a:r>
          </a:p>
        </xdr:txBody>
      </xdr:sp>
      <xdr:sp macro="" textlink="">
        <xdr:nvSpPr>
          <xdr:cNvPr id="32" name="Rectángulo 31">
            <a:extLst>
              <a:ext uri="{FF2B5EF4-FFF2-40B4-BE49-F238E27FC236}">
                <a16:creationId xmlns:a16="http://schemas.microsoft.com/office/drawing/2014/main" id="{1EC694DE-C5ED-84D8-45DE-55BBF7A0AB07}"/>
              </a:ext>
            </a:extLst>
          </xdr:cNvPr>
          <xdr:cNvSpPr/>
        </xdr:nvSpPr>
        <xdr:spPr>
          <a:xfrm>
            <a:off x="15430501" y="840443"/>
            <a:ext cx="840441" cy="32497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AR" sz="2000">
                <a:solidFill>
                  <a:schemeClr val="tx1"/>
                </a:solidFill>
              </a:rPr>
              <a:t>100 %</a:t>
            </a:r>
          </a:p>
        </xdr:txBody>
      </xdr:sp>
      <xdr:sp macro="" textlink="">
        <xdr:nvSpPr>
          <xdr:cNvPr id="33" name="Rectángulo 32">
            <a:extLst>
              <a:ext uri="{FF2B5EF4-FFF2-40B4-BE49-F238E27FC236}">
                <a16:creationId xmlns:a16="http://schemas.microsoft.com/office/drawing/2014/main" id="{ADA6AA46-9658-5327-A098-99F20972AC85}"/>
              </a:ext>
            </a:extLst>
          </xdr:cNvPr>
          <xdr:cNvSpPr/>
        </xdr:nvSpPr>
        <xdr:spPr>
          <a:xfrm>
            <a:off x="14231472" y="1243854"/>
            <a:ext cx="358588" cy="358588"/>
          </a:xfrm>
          <a:prstGeom prst="rect">
            <a:avLst/>
          </a:prstGeom>
        </xdr:spPr>
        <xdr:style>
          <a:lnRef idx="3">
            <a:schemeClr val="lt1"/>
          </a:lnRef>
          <a:fillRef idx="1">
            <a:schemeClr val="accent5"/>
          </a:fillRef>
          <a:effectRef idx="1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marL="0" indent="0" algn="ctr"/>
            <a:r>
              <a:rPr lang="es-AR" sz="2000" b="0" i="0" u="none" strike="noStrike">
                <a:solidFill>
                  <a:schemeClr val="bg1"/>
                </a:solidFill>
                <a:latin typeface="Calibri"/>
                <a:ea typeface="+mn-ea"/>
                <a:cs typeface="Calibri"/>
              </a:rPr>
              <a:t>=</a:t>
            </a:r>
          </a:p>
        </xdr:txBody>
      </xdr:sp>
    </xdr:grpSp>
    <xdr:clientData/>
  </xdr:twoCellAnchor>
  <xdr:twoCellAnchor>
    <xdr:from>
      <xdr:col>0</xdr:col>
      <xdr:colOff>91552</xdr:colOff>
      <xdr:row>48</xdr:row>
      <xdr:rowOff>71500</xdr:rowOff>
    </xdr:from>
    <xdr:to>
      <xdr:col>4</xdr:col>
      <xdr:colOff>928404</xdr:colOff>
      <xdr:row>70</xdr:row>
      <xdr:rowOff>166859</xdr:rowOff>
    </xdr:to>
    <xdr:graphicFrame macro="">
      <xdr:nvGraphicFramePr>
        <xdr:cNvPr id="35" name="Gráfico 34">
          <a:extLst>
            <a:ext uri="{FF2B5EF4-FFF2-40B4-BE49-F238E27FC236}">
              <a16:creationId xmlns:a16="http://schemas.microsoft.com/office/drawing/2014/main" id="{79C7FD9D-4187-B756-9F2C-FF007492E5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1385046</xdr:colOff>
      <xdr:row>63</xdr:row>
      <xdr:rowOff>109818</xdr:rowOff>
    </xdr:from>
    <xdr:to>
      <xdr:col>2</xdr:col>
      <xdr:colOff>2348752</xdr:colOff>
      <xdr:row>65</xdr:row>
      <xdr:rowOff>132790</xdr:rowOff>
    </xdr:to>
    <xdr:sp macro="" textlink="$E$53">
      <xdr:nvSpPr>
        <xdr:cNvPr id="48" name="Rectángulo 47">
          <a:extLst>
            <a:ext uri="{FF2B5EF4-FFF2-40B4-BE49-F238E27FC236}">
              <a16:creationId xmlns:a16="http://schemas.microsoft.com/office/drawing/2014/main" id="{A9E45F78-2655-40FF-B22F-9122F04464F9}"/>
            </a:ext>
          </a:extLst>
        </xdr:cNvPr>
        <xdr:cNvSpPr/>
      </xdr:nvSpPr>
      <xdr:spPr>
        <a:xfrm>
          <a:off x="2424952" y="12481112"/>
          <a:ext cx="963706" cy="38156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marL="0" indent="0" algn="ctr"/>
          <a:fld id="{E00DA260-EBDD-441F-B042-80A9FAE1B3A3}" type="TxLink">
            <a:rPr lang="en-US" sz="2000" b="0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ctr"/>
            <a:t>20,99%</a:t>
          </a:fld>
          <a:endParaRPr lang="es-AR" sz="2000" b="0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2</xdr:col>
      <xdr:colOff>364643</xdr:colOff>
      <xdr:row>66</xdr:row>
      <xdr:rowOff>97048</xdr:rowOff>
    </xdr:from>
    <xdr:to>
      <xdr:col>3</xdr:col>
      <xdr:colOff>988362</xdr:colOff>
      <xdr:row>69</xdr:row>
      <xdr:rowOff>130665</xdr:rowOff>
    </xdr:to>
    <xdr:sp macro="" textlink="">
      <xdr:nvSpPr>
        <xdr:cNvPr id="52" name="Rectángulo 51">
          <a:extLst>
            <a:ext uri="{FF2B5EF4-FFF2-40B4-BE49-F238E27FC236}">
              <a16:creationId xmlns:a16="http://schemas.microsoft.com/office/drawing/2014/main" id="{82DBE6D5-06C9-4D93-8F9E-1EDCCE9FE818}"/>
            </a:ext>
          </a:extLst>
        </xdr:cNvPr>
        <xdr:cNvSpPr/>
      </xdr:nvSpPr>
      <xdr:spPr>
        <a:xfrm>
          <a:off x="1395584" y="13902695"/>
          <a:ext cx="3066602" cy="537882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marL="0" indent="0" algn="ctr"/>
          <a:r>
            <a:rPr lang="es-AR" sz="1200" b="0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t>Cumplimiento</a:t>
          </a:r>
          <a:r>
            <a:rPr lang="es-AR" sz="1200" b="0" i="0" u="none" strike="noStrike" baseline="0">
              <a:solidFill>
                <a:schemeClr val="bg1"/>
              </a:solidFill>
              <a:latin typeface="Calibri"/>
              <a:ea typeface="+mn-ea"/>
              <a:cs typeface="Calibri"/>
            </a:rPr>
            <a:t> raciones entregadas </a:t>
          </a:r>
        </a:p>
        <a:p>
          <a:pPr marL="0" indent="0" algn="ctr"/>
          <a:r>
            <a:rPr lang="es-AR" sz="1200" b="0" i="0" u="none" strike="noStrike" baseline="0">
              <a:solidFill>
                <a:schemeClr val="bg1"/>
              </a:solidFill>
              <a:latin typeface="Calibri"/>
              <a:ea typeface="+mn-ea"/>
              <a:cs typeface="Calibri"/>
            </a:rPr>
            <a:t>Plan 1 2026 - COMIDAS</a:t>
          </a:r>
          <a:endParaRPr lang="es-AR" sz="1200" b="0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1039346</xdr:colOff>
      <xdr:row>48</xdr:row>
      <xdr:rowOff>77096</xdr:rowOff>
    </xdr:from>
    <xdr:to>
      <xdr:col>9</xdr:col>
      <xdr:colOff>238463</xdr:colOff>
      <xdr:row>70</xdr:row>
      <xdr:rowOff>153855</xdr:rowOff>
    </xdr:to>
    <xdr:graphicFrame macro="">
      <xdr:nvGraphicFramePr>
        <xdr:cNvPr id="55" name="Gráfico 54">
          <a:extLst>
            <a:ext uri="{FF2B5EF4-FFF2-40B4-BE49-F238E27FC236}">
              <a16:creationId xmlns:a16="http://schemas.microsoft.com/office/drawing/2014/main" id="{5D198806-08E2-4412-88D4-64B39D4F49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109816</xdr:colOff>
      <xdr:row>63</xdr:row>
      <xdr:rowOff>49307</xdr:rowOff>
    </xdr:from>
    <xdr:to>
      <xdr:col>7</xdr:col>
      <xdr:colOff>1073522</xdr:colOff>
      <xdr:row>65</xdr:row>
      <xdr:rowOff>72279</xdr:rowOff>
    </xdr:to>
    <xdr:sp macro="" textlink="$I$53">
      <xdr:nvSpPr>
        <xdr:cNvPr id="56" name="Rectángulo 55">
          <a:extLst>
            <a:ext uri="{FF2B5EF4-FFF2-40B4-BE49-F238E27FC236}">
              <a16:creationId xmlns:a16="http://schemas.microsoft.com/office/drawing/2014/main" id="{033D0D69-4B8B-41DB-809C-F0C3E450AC5F}"/>
            </a:ext>
          </a:extLst>
        </xdr:cNvPr>
        <xdr:cNvSpPr/>
      </xdr:nvSpPr>
      <xdr:spPr>
        <a:xfrm>
          <a:off x="7801534" y="12420601"/>
          <a:ext cx="963706" cy="38156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marL="0" indent="0" algn="ctr"/>
          <a:fld id="{0C0E40C2-35FA-40ED-94FC-5A5CC9A5C911}" type="TxLink">
            <a:rPr lang="en-US" sz="2000" b="0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ctr"/>
            <a:t>23,34%</a:t>
          </a:fld>
          <a:endParaRPr lang="es-AR" sz="2000" b="0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6</xdr:col>
      <xdr:colOff>582372</xdr:colOff>
      <xdr:row>66</xdr:row>
      <xdr:rowOff>31710</xdr:rowOff>
    </xdr:from>
    <xdr:to>
      <xdr:col>8</xdr:col>
      <xdr:colOff>615990</xdr:colOff>
      <xdr:row>69</xdr:row>
      <xdr:rowOff>93454</xdr:rowOff>
    </xdr:to>
    <xdr:sp macro="" textlink="">
      <xdr:nvSpPr>
        <xdr:cNvPr id="57" name="Rectángulo 56">
          <a:extLst>
            <a:ext uri="{FF2B5EF4-FFF2-40B4-BE49-F238E27FC236}">
              <a16:creationId xmlns:a16="http://schemas.microsoft.com/office/drawing/2014/main" id="{EE38B664-E465-434A-89A3-574040632215}"/>
            </a:ext>
          </a:extLst>
        </xdr:cNvPr>
        <xdr:cNvSpPr/>
      </xdr:nvSpPr>
      <xdr:spPr>
        <a:xfrm>
          <a:off x="6824048" y="13837357"/>
          <a:ext cx="2913530" cy="566009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marL="0" indent="0" algn="ctr"/>
          <a:r>
            <a:rPr lang="es-AR" sz="1200" b="0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t>Cumplimiento</a:t>
          </a:r>
          <a:r>
            <a:rPr lang="es-AR" sz="1200" b="0" i="0" u="none" strike="noStrike" baseline="0">
              <a:solidFill>
                <a:schemeClr val="bg1"/>
              </a:solidFill>
              <a:latin typeface="Calibri"/>
              <a:ea typeface="+mn-ea"/>
              <a:cs typeface="Calibri"/>
            </a:rPr>
            <a:t> raciones entregadas </a:t>
          </a:r>
        </a:p>
        <a:p>
          <a:pPr marL="0" indent="0" algn="ctr"/>
          <a:r>
            <a:rPr lang="es-AR" sz="1200" b="0" i="0" u="none" strike="noStrike" baseline="0">
              <a:solidFill>
                <a:schemeClr val="bg1"/>
              </a:solidFill>
              <a:latin typeface="Calibri"/>
              <a:ea typeface="+mn-ea"/>
              <a:cs typeface="Calibri"/>
            </a:rPr>
            <a:t>Plan 1 2026 - REFRIGERIOS</a:t>
          </a:r>
          <a:endParaRPr lang="es-AR" sz="1200" b="0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8</xdr:col>
      <xdr:colOff>493059</xdr:colOff>
      <xdr:row>53</xdr:row>
      <xdr:rowOff>112058</xdr:rowOff>
    </xdr:from>
    <xdr:to>
      <xdr:col>8</xdr:col>
      <xdr:colOff>1407459</xdr:colOff>
      <xdr:row>55</xdr:row>
      <xdr:rowOff>78441</xdr:rowOff>
    </xdr:to>
    <xdr:sp macro="" textlink="">
      <xdr:nvSpPr>
        <xdr:cNvPr id="59" name="Rectángulo 58">
          <a:extLst>
            <a:ext uri="{FF2B5EF4-FFF2-40B4-BE49-F238E27FC236}">
              <a16:creationId xmlns:a16="http://schemas.microsoft.com/office/drawing/2014/main" id="{C41770EF-B3B5-AFAA-0215-45F77F14E33B}"/>
            </a:ext>
          </a:extLst>
        </xdr:cNvPr>
        <xdr:cNvSpPr/>
      </xdr:nvSpPr>
      <xdr:spPr>
        <a:xfrm>
          <a:off x="9614647" y="11732558"/>
          <a:ext cx="914400" cy="30255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AR" sz="1100">
              <a:solidFill>
                <a:schemeClr val="tx1">
                  <a:lumMod val="50000"/>
                  <a:lumOff val="50000"/>
                </a:schemeClr>
              </a:solidFill>
            </a:rPr>
            <a:t>2º Semestre</a:t>
          </a:r>
        </a:p>
      </xdr:txBody>
    </xdr:sp>
    <xdr:clientData/>
  </xdr:twoCellAnchor>
  <xdr:twoCellAnchor>
    <xdr:from>
      <xdr:col>7</xdr:col>
      <xdr:colOff>553569</xdr:colOff>
      <xdr:row>51</xdr:row>
      <xdr:rowOff>1</xdr:rowOff>
    </xdr:from>
    <xdr:to>
      <xdr:col>7</xdr:col>
      <xdr:colOff>564775</xdr:colOff>
      <xdr:row>60</xdr:row>
      <xdr:rowOff>44824</xdr:rowOff>
    </xdr:to>
    <xdr:cxnSp macro="">
      <xdr:nvCxnSpPr>
        <xdr:cNvPr id="62" name="Conector recto 61">
          <a:extLst>
            <a:ext uri="{FF2B5EF4-FFF2-40B4-BE49-F238E27FC236}">
              <a16:creationId xmlns:a16="http://schemas.microsoft.com/office/drawing/2014/main" id="{54DC2AA2-CAB6-DCA3-5C32-B062AC199859}"/>
            </a:ext>
          </a:extLst>
        </xdr:cNvPr>
        <xdr:cNvCxnSpPr/>
      </xdr:nvCxnSpPr>
      <xdr:spPr>
        <a:xfrm>
          <a:off x="8245287" y="10219766"/>
          <a:ext cx="11206" cy="1658470"/>
        </a:xfrm>
        <a:prstGeom prst="line">
          <a:avLst/>
        </a:prstGeom>
        <a:ln w="9525" cap="flat" cmpd="sng" algn="ctr">
          <a:solidFill>
            <a:schemeClr val="accent3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5</xdr:col>
      <xdr:colOff>212912</xdr:colOff>
      <xdr:row>53</xdr:row>
      <xdr:rowOff>112059</xdr:rowOff>
    </xdr:from>
    <xdr:to>
      <xdr:col>6</xdr:col>
      <xdr:colOff>903194</xdr:colOff>
      <xdr:row>55</xdr:row>
      <xdr:rowOff>78442</xdr:rowOff>
    </xdr:to>
    <xdr:sp macro="" textlink="">
      <xdr:nvSpPr>
        <xdr:cNvPr id="63" name="Rectángulo 62">
          <a:extLst>
            <a:ext uri="{FF2B5EF4-FFF2-40B4-BE49-F238E27FC236}">
              <a16:creationId xmlns:a16="http://schemas.microsoft.com/office/drawing/2014/main" id="{84465E36-6A7F-45B4-B5D0-4B816F9BE4D6}"/>
            </a:ext>
          </a:extLst>
        </xdr:cNvPr>
        <xdr:cNvSpPr/>
      </xdr:nvSpPr>
      <xdr:spPr>
        <a:xfrm>
          <a:off x="5916706" y="9099177"/>
          <a:ext cx="914400" cy="28014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AR" sz="1100">
              <a:solidFill>
                <a:schemeClr val="tx1">
                  <a:lumMod val="50000"/>
                  <a:lumOff val="50000"/>
                </a:schemeClr>
              </a:solidFill>
            </a:rPr>
            <a:t>1º Semestre</a:t>
          </a:r>
        </a:p>
      </xdr:txBody>
    </xdr:sp>
    <xdr:clientData/>
  </xdr:twoCellAnchor>
  <xdr:twoCellAnchor>
    <xdr:from>
      <xdr:col>2</xdr:col>
      <xdr:colOff>1815351</xdr:colOff>
      <xdr:row>49</xdr:row>
      <xdr:rowOff>44824</xdr:rowOff>
    </xdr:from>
    <xdr:to>
      <xdr:col>2</xdr:col>
      <xdr:colOff>1826557</xdr:colOff>
      <xdr:row>58</xdr:row>
      <xdr:rowOff>89647</xdr:rowOff>
    </xdr:to>
    <xdr:cxnSp macro="">
      <xdr:nvCxnSpPr>
        <xdr:cNvPr id="65" name="Conector recto 64">
          <a:extLst>
            <a:ext uri="{FF2B5EF4-FFF2-40B4-BE49-F238E27FC236}">
              <a16:creationId xmlns:a16="http://schemas.microsoft.com/office/drawing/2014/main" id="{DE93E9D6-8065-4A9A-9CD0-1F2B949F4316}"/>
            </a:ext>
          </a:extLst>
        </xdr:cNvPr>
        <xdr:cNvCxnSpPr/>
      </xdr:nvCxnSpPr>
      <xdr:spPr>
        <a:xfrm>
          <a:off x="2823880" y="8718177"/>
          <a:ext cx="11206" cy="1456764"/>
        </a:xfrm>
        <a:prstGeom prst="line">
          <a:avLst/>
        </a:prstGeom>
        <a:ln w="9525" cap="flat" cmpd="sng" algn="ctr">
          <a:solidFill>
            <a:schemeClr val="accent3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11207</xdr:colOff>
      <xdr:row>1</xdr:row>
      <xdr:rowOff>22413</xdr:rowOff>
    </xdr:from>
    <xdr:to>
      <xdr:col>2</xdr:col>
      <xdr:colOff>1959350</xdr:colOff>
      <xdr:row>3</xdr:row>
      <xdr:rowOff>93834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4ED1C4EB-0143-9674-FA5B-8156D9AE5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736" y="179295"/>
          <a:ext cx="2700618" cy="44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201706</xdr:colOff>
      <xdr:row>4</xdr:row>
      <xdr:rowOff>89647</xdr:rowOff>
    </xdr:from>
    <xdr:to>
      <xdr:col>7</xdr:col>
      <xdr:colOff>1288677</xdr:colOff>
      <xdr:row>11</xdr:row>
      <xdr:rowOff>168090</xdr:rowOff>
    </xdr:to>
    <xdr:grpSp>
      <xdr:nvGrpSpPr>
        <xdr:cNvPr id="98" name="Grupo 97">
          <a:extLst>
            <a:ext uri="{FF2B5EF4-FFF2-40B4-BE49-F238E27FC236}">
              <a16:creationId xmlns:a16="http://schemas.microsoft.com/office/drawing/2014/main" id="{1818EFB9-5073-38C7-92E5-387DADF9702C}"/>
            </a:ext>
          </a:extLst>
        </xdr:cNvPr>
        <xdr:cNvGrpSpPr/>
      </xdr:nvGrpSpPr>
      <xdr:grpSpPr>
        <a:xfrm>
          <a:off x="6051177" y="762000"/>
          <a:ext cx="2723029" cy="1770531"/>
          <a:chOff x="5905500" y="762000"/>
          <a:chExt cx="2723030" cy="1770531"/>
        </a:xfrm>
        <a:solidFill>
          <a:schemeClr val="accent1">
            <a:lumMod val="40000"/>
            <a:lumOff val="60000"/>
          </a:schemeClr>
        </a:solidFill>
      </xdr:grpSpPr>
      <xdr:sp macro="" textlink="">
        <xdr:nvSpPr>
          <xdr:cNvPr id="85" name="Rectángulo: esquinas redondeadas 84">
            <a:extLst>
              <a:ext uri="{FF2B5EF4-FFF2-40B4-BE49-F238E27FC236}">
                <a16:creationId xmlns:a16="http://schemas.microsoft.com/office/drawing/2014/main" id="{7E44A0F8-D104-EA4C-3B4F-94A96B723298}"/>
              </a:ext>
            </a:extLst>
          </xdr:cNvPr>
          <xdr:cNvSpPr/>
        </xdr:nvSpPr>
        <xdr:spPr>
          <a:xfrm>
            <a:off x="5916706" y="762000"/>
            <a:ext cx="2678206" cy="403412"/>
          </a:xfrm>
          <a:prstGeom prst="roundRect">
            <a:avLst/>
          </a:prstGeom>
          <a:grpFill/>
          <a:ln>
            <a:noFill/>
          </a:ln>
          <a:effectLst>
            <a:outerShdw blurRad="50800" dist="38100" dir="5100000" algn="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rtlCol="0" anchor="ctr"/>
          <a:lstStyle/>
          <a:p>
            <a:pPr marL="0" indent="0" algn="ctr"/>
            <a:r>
              <a:rPr lang="es-AR" sz="12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Total puntos de distribución (cabeceras)*</a:t>
            </a:r>
          </a:p>
        </xdr:txBody>
      </xdr:sp>
      <xdr:sp macro="" textlink="">
        <xdr:nvSpPr>
          <xdr:cNvPr id="86" name="Rectángulo: esquinas redondeadas 85">
            <a:extLst>
              <a:ext uri="{FF2B5EF4-FFF2-40B4-BE49-F238E27FC236}">
                <a16:creationId xmlns:a16="http://schemas.microsoft.com/office/drawing/2014/main" id="{A65CEE69-E879-4F37-BA05-4C74EEAC1872}"/>
              </a:ext>
            </a:extLst>
          </xdr:cNvPr>
          <xdr:cNvSpPr/>
        </xdr:nvSpPr>
        <xdr:spPr>
          <a:xfrm>
            <a:off x="5916708" y="1221441"/>
            <a:ext cx="1288675" cy="403412"/>
          </a:xfrm>
          <a:prstGeom prst="roundRect">
            <a:avLst/>
          </a:prstGeom>
          <a:grpFill/>
          <a:ln>
            <a:noFill/>
          </a:ln>
          <a:effectLst>
            <a:outerShdw blurRad="50800" dist="38100" dir="5100000" algn="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rtlCol="0" anchor="ctr"/>
          <a:lstStyle/>
          <a:p>
            <a:pPr marL="0" indent="0" algn="ctr"/>
            <a:r>
              <a:rPr lang="es-AR" sz="13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CAPITAL</a:t>
            </a:r>
          </a:p>
        </xdr:txBody>
      </xdr:sp>
      <xdr:sp macro="" textlink="">
        <xdr:nvSpPr>
          <xdr:cNvPr id="87" name="Rectángulo: esquinas redondeadas 86">
            <a:extLst>
              <a:ext uri="{FF2B5EF4-FFF2-40B4-BE49-F238E27FC236}">
                <a16:creationId xmlns:a16="http://schemas.microsoft.com/office/drawing/2014/main" id="{F4F25BE5-8D4D-4A1C-B4AD-09D7051270B4}"/>
              </a:ext>
            </a:extLst>
          </xdr:cNvPr>
          <xdr:cNvSpPr/>
        </xdr:nvSpPr>
        <xdr:spPr>
          <a:xfrm>
            <a:off x="7306236" y="1221441"/>
            <a:ext cx="1299883" cy="403412"/>
          </a:xfrm>
          <a:prstGeom prst="roundRect">
            <a:avLst/>
          </a:prstGeom>
          <a:grpFill/>
          <a:ln>
            <a:noFill/>
          </a:ln>
          <a:effectLst>
            <a:outerShdw blurRad="50800" dist="38100" dir="5100000" algn="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rtlCol="0" anchor="ctr"/>
          <a:lstStyle/>
          <a:p>
            <a:pPr marL="0" indent="0" algn="ctr"/>
            <a:r>
              <a:rPr lang="es-AR" sz="13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INTERIOR</a:t>
            </a:r>
          </a:p>
        </xdr:txBody>
      </xdr:sp>
      <xdr:sp macro="" textlink="$G$8">
        <xdr:nvSpPr>
          <xdr:cNvPr id="88" name="Rectángulo: esquinas redondeadas 87">
            <a:extLst>
              <a:ext uri="{FF2B5EF4-FFF2-40B4-BE49-F238E27FC236}">
                <a16:creationId xmlns:a16="http://schemas.microsoft.com/office/drawing/2014/main" id="{3793127B-8CFD-4971-9BFB-34C7FD8E0FFA}"/>
              </a:ext>
            </a:extLst>
          </xdr:cNvPr>
          <xdr:cNvSpPr/>
        </xdr:nvSpPr>
        <xdr:spPr>
          <a:xfrm>
            <a:off x="5916705" y="1680882"/>
            <a:ext cx="1288676" cy="403412"/>
          </a:xfrm>
          <a:prstGeom prst="roundRect">
            <a:avLst/>
          </a:prstGeom>
          <a:grpFill/>
          <a:ln>
            <a:noFill/>
          </a:ln>
          <a:effectLst>
            <a:outerShdw blurRad="50800" dist="38100" dir="5100000" algn="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rtlCol="0" anchor="ctr"/>
          <a:lstStyle/>
          <a:p>
            <a:pPr marL="0" indent="0" algn="ctr"/>
            <a:fld id="{8AD528F0-9DCD-440B-830F-B4D71C4F40EC}" type="TxLink">
              <a:rPr lang="en-US" sz="13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pPr marL="0" indent="0" algn="ctr"/>
              <a:t>212</a:t>
            </a:fld>
            <a:endParaRPr lang="es-AR" sz="13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  <xdr:sp macro="" textlink="$H$8">
        <xdr:nvSpPr>
          <xdr:cNvPr id="89" name="Rectángulo: esquinas redondeadas 88">
            <a:extLst>
              <a:ext uri="{FF2B5EF4-FFF2-40B4-BE49-F238E27FC236}">
                <a16:creationId xmlns:a16="http://schemas.microsoft.com/office/drawing/2014/main" id="{8F6BA775-8C39-4BAA-BAFE-59574DF47F22}"/>
              </a:ext>
            </a:extLst>
          </xdr:cNvPr>
          <xdr:cNvSpPr/>
        </xdr:nvSpPr>
        <xdr:spPr>
          <a:xfrm>
            <a:off x="7301753" y="1687606"/>
            <a:ext cx="1326776" cy="403412"/>
          </a:xfrm>
          <a:prstGeom prst="roundRect">
            <a:avLst/>
          </a:prstGeom>
          <a:grpFill/>
          <a:ln>
            <a:noFill/>
          </a:ln>
          <a:effectLst>
            <a:outerShdw blurRad="50800" dist="38100" dir="5100000" algn="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rtlCol="0" anchor="ctr"/>
          <a:lstStyle/>
          <a:p>
            <a:pPr marL="0" indent="0" algn="ctr"/>
            <a:fld id="{0264CB7C-B712-4A88-80F3-55B5BAE1AEB3}" type="TxLink">
              <a:rPr lang="en-US" sz="13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pPr marL="0" indent="0" algn="ctr"/>
              <a:t>133</a:t>
            </a:fld>
            <a:endParaRPr lang="es-AR" sz="13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  <xdr:sp macro="" textlink="$H$9">
        <xdr:nvSpPr>
          <xdr:cNvPr id="90" name="Rectángulo: esquinas redondeadas 89">
            <a:extLst>
              <a:ext uri="{FF2B5EF4-FFF2-40B4-BE49-F238E27FC236}">
                <a16:creationId xmlns:a16="http://schemas.microsoft.com/office/drawing/2014/main" id="{C7344741-C161-4DB6-9654-A61E7FAEC204}"/>
              </a:ext>
            </a:extLst>
          </xdr:cNvPr>
          <xdr:cNvSpPr/>
        </xdr:nvSpPr>
        <xdr:spPr>
          <a:xfrm>
            <a:off x="5905500" y="2162735"/>
            <a:ext cx="2723030" cy="369796"/>
          </a:xfrm>
          <a:prstGeom prst="roundRect">
            <a:avLst/>
          </a:prstGeom>
          <a:grpFill/>
          <a:ln>
            <a:noFill/>
          </a:ln>
          <a:effectLst>
            <a:outerShdw blurRad="50800" dist="38100" dir="5100000" algn="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rtlCol="0" anchor="ctr"/>
          <a:lstStyle/>
          <a:p>
            <a:pPr marL="0" indent="0" algn="ctr"/>
            <a:fld id="{CB38848C-C543-4FFC-95B5-F2D6E0E9F6C9}" type="TxLink">
              <a:rPr lang="en-US" sz="20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pPr marL="0" indent="0" algn="ctr"/>
              <a:t>345</a:t>
            </a:fld>
            <a:endParaRPr lang="es-AR" sz="20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8</xdr:col>
      <xdr:colOff>268940</xdr:colOff>
      <xdr:row>5</xdr:row>
      <xdr:rowOff>44824</xdr:rowOff>
    </xdr:from>
    <xdr:to>
      <xdr:col>10</xdr:col>
      <xdr:colOff>1075764</xdr:colOff>
      <xdr:row>12</xdr:row>
      <xdr:rowOff>224117</xdr:rowOff>
    </xdr:to>
    <xdr:grpSp>
      <xdr:nvGrpSpPr>
        <xdr:cNvPr id="99" name="Grupo 98">
          <a:extLst>
            <a:ext uri="{FF2B5EF4-FFF2-40B4-BE49-F238E27FC236}">
              <a16:creationId xmlns:a16="http://schemas.microsoft.com/office/drawing/2014/main" id="{79245CC4-30A9-28AE-6C1C-80A26C76F774}"/>
            </a:ext>
          </a:extLst>
        </xdr:cNvPr>
        <xdr:cNvGrpSpPr/>
      </xdr:nvGrpSpPr>
      <xdr:grpSpPr>
        <a:xfrm>
          <a:off x="9143999" y="885265"/>
          <a:ext cx="2498912" cy="1938617"/>
          <a:chOff x="8762999" y="839293"/>
          <a:chExt cx="2711825" cy="1939766"/>
        </a:xfrm>
        <a:solidFill>
          <a:schemeClr val="accent1">
            <a:lumMod val="40000"/>
            <a:lumOff val="60000"/>
          </a:schemeClr>
        </a:solidFill>
      </xdr:grpSpPr>
      <xdr:sp macro="" textlink="">
        <xdr:nvSpPr>
          <xdr:cNvPr id="92" name="Rectángulo: esquinas redondeadas 91">
            <a:extLst>
              <a:ext uri="{FF2B5EF4-FFF2-40B4-BE49-F238E27FC236}">
                <a16:creationId xmlns:a16="http://schemas.microsoft.com/office/drawing/2014/main" id="{C0742B14-B006-4FDB-9ACE-8C91AA72A1DE}"/>
              </a:ext>
            </a:extLst>
          </xdr:cNvPr>
          <xdr:cNvSpPr/>
        </xdr:nvSpPr>
        <xdr:spPr>
          <a:xfrm>
            <a:off x="8774206" y="839293"/>
            <a:ext cx="2644588" cy="583853"/>
          </a:xfrm>
          <a:prstGeom prst="roundRect">
            <a:avLst/>
          </a:prstGeom>
          <a:grpFill/>
          <a:ln>
            <a:noFill/>
          </a:ln>
          <a:effectLst>
            <a:outerShdw blurRad="50800" dist="38100" dir="5100000" algn="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rtlCol="0" anchor="ctr"/>
          <a:lstStyle/>
          <a:p>
            <a:pPr marL="0" indent="0" algn="ctr"/>
            <a:r>
              <a:rPr lang="es-AR" sz="1000" b="1" i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Total de</a:t>
            </a:r>
            <a:r>
              <a:rPr lang="es-AR" sz="1000" b="1" i="1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 dependientes (retiran de los puntos de distribución)</a:t>
            </a:r>
            <a:r>
              <a:rPr lang="es-AR" sz="1000" b="1" i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*</a:t>
            </a:r>
          </a:p>
        </xdr:txBody>
      </xdr:sp>
      <xdr:sp macro="" textlink="">
        <xdr:nvSpPr>
          <xdr:cNvPr id="93" name="Rectángulo: esquinas redondeadas 92">
            <a:extLst>
              <a:ext uri="{FF2B5EF4-FFF2-40B4-BE49-F238E27FC236}">
                <a16:creationId xmlns:a16="http://schemas.microsoft.com/office/drawing/2014/main" id="{CEF77A93-2CAB-4DE0-8608-7E6C25F49430}"/>
              </a:ext>
            </a:extLst>
          </xdr:cNvPr>
          <xdr:cNvSpPr/>
        </xdr:nvSpPr>
        <xdr:spPr>
          <a:xfrm>
            <a:off x="8774208" y="1501587"/>
            <a:ext cx="1311086" cy="403412"/>
          </a:xfrm>
          <a:prstGeom prst="roundRect">
            <a:avLst/>
          </a:prstGeom>
          <a:grpFill/>
          <a:ln>
            <a:noFill/>
          </a:ln>
          <a:effectLst>
            <a:outerShdw blurRad="50800" dist="38100" dir="5100000" algn="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rtlCol="0" anchor="ctr"/>
          <a:lstStyle/>
          <a:p>
            <a:pPr marL="0" indent="0" algn="ctr"/>
            <a:r>
              <a:rPr lang="es-AR" sz="1300" b="1" i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CAPITAL</a:t>
            </a:r>
          </a:p>
        </xdr:txBody>
      </xdr:sp>
      <xdr:sp macro="" textlink="">
        <xdr:nvSpPr>
          <xdr:cNvPr id="94" name="Rectángulo: esquinas redondeadas 93">
            <a:extLst>
              <a:ext uri="{FF2B5EF4-FFF2-40B4-BE49-F238E27FC236}">
                <a16:creationId xmlns:a16="http://schemas.microsoft.com/office/drawing/2014/main" id="{B3AF1B00-0798-4181-9A57-4126322093BC}"/>
              </a:ext>
            </a:extLst>
          </xdr:cNvPr>
          <xdr:cNvSpPr/>
        </xdr:nvSpPr>
        <xdr:spPr>
          <a:xfrm>
            <a:off x="10130116" y="1501589"/>
            <a:ext cx="1299883" cy="403412"/>
          </a:xfrm>
          <a:prstGeom prst="roundRect">
            <a:avLst/>
          </a:prstGeom>
          <a:grpFill/>
          <a:ln>
            <a:noFill/>
          </a:ln>
          <a:effectLst>
            <a:outerShdw blurRad="50800" dist="38100" dir="5100000" algn="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rtlCol="0" anchor="ctr"/>
          <a:lstStyle/>
          <a:p>
            <a:pPr marL="0" indent="0" algn="ctr"/>
            <a:r>
              <a:rPr lang="es-AR" sz="1300" b="1" i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INTERIOR</a:t>
            </a:r>
          </a:p>
        </xdr:txBody>
      </xdr:sp>
      <xdr:sp macro="" textlink="$J$9">
        <xdr:nvSpPr>
          <xdr:cNvPr id="95" name="Rectángulo: esquinas redondeadas 94">
            <a:extLst>
              <a:ext uri="{FF2B5EF4-FFF2-40B4-BE49-F238E27FC236}">
                <a16:creationId xmlns:a16="http://schemas.microsoft.com/office/drawing/2014/main" id="{1AF77FFA-FF72-473B-ABAD-E688C82B8E6D}"/>
              </a:ext>
            </a:extLst>
          </xdr:cNvPr>
          <xdr:cNvSpPr/>
        </xdr:nvSpPr>
        <xdr:spPr>
          <a:xfrm>
            <a:off x="8762999" y="1961028"/>
            <a:ext cx="1333500" cy="403412"/>
          </a:xfrm>
          <a:prstGeom prst="roundRect">
            <a:avLst/>
          </a:prstGeom>
          <a:grpFill/>
          <a:ln>
            <a:noFill/>
          </a:ln>
          <a:effectLst>
            <a:outerShdw blurRad="50800" dist="38100" dir="5100000" algn="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rtlCol="0" anchor="ctr"/>
          <a:lstStyle/>
          <a:p>
            <a:pPr marL="0" indent="0" algn="ctr"/>
            <a:fld id="{C0B8AA9B-C0C7-4FC1-92C4-7C0AFCAF1B1E}" type="TxLink">
              <a:rPr lang="en-US" sz="1300" b="1" i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pPr marL="0" indent="0" algn="ctr"/>
              <a:t>212</a:t>
            </a:fld>
            <a:endParaRPr lang="es-AR" sz="1300" b="1" i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  <xdr:sp macro="" textlink="$K$9">
        <xdr:nvSpPr>
          <xdr:cNvPr id="96" name="Rectángulo: esquinas redondeadas 95">
            <a:extLst>
              <a:ext uri="{FF2B5EF4-FFF2-40B4-BE49-F238E27FC236}">
                <a16:creationId xmlns:a16="http://schemas.microsoft.com/office/drawing/2014/main" id="{EF2C4B5F-AF0F-4AC9-BB0E-2B232D88E368}"/>
              </a:ext>
            </a:extLst>
          </xdr:cNvPr>
          <xdr:cNvSpPr/>
        </xdr:nvSpPr>
        <xdr:spPr>
          <a:xfrm>
            <a:off x="10125636" y="1956547"/>
            <a:ext cx="1326776" cy="403412"/>
          </a:xfrm>
          <a:prstGeom prst="roundRect">
            <a:avLst/>
          </a:prstGeom>
          <a:grpFill/>
          <a:ln>
            <a:noFill/>
          </a:ln>
          <a:effectLst>
            <a:outerShdw blurRad="50800" dist="38100" dir="5100000" algn="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rtlCol="0" anchor="ctr"/>
          <a:lstStyle/>
          <a:p>
            <a:pPr marL="0" indent="0" algn="ctr"/>
            <a:fld id="{9A20BEC9-191B-4176-B122-3143B27B0460}" type="TxLink">
              <a:rPr lang="en-US" sz="1300" b="1" i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pPr marL="0" indent="0" algn="ctr"/>
              <a:t>167</a:t>
            </a:fld>
            <a:endParaRPr lang="es-AR" sz="1300" b="1" i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  <xdr:sp macro="" textlink="$K$10">
        <xdr:nvSpPr>
          <xdr:cNvPr id="97" name="Rectángulo: esquinas redondeadas 96">
            <a:extLst>
              <a:ext uri="{FF2B5EF4-FFF2-40B4-BE49-F238E27FC236}">
                <a16:creationId xmlns:a16="http://schemas.microsoft.com/office/drawing/2014/main" id="{16A7FD3E-1F03-45E3-8346-C045B13657F6}"/>
              </a:ext>
            </a:extLst>
          </xdr:cNvPr>
          <xdr:cNvSpPr/>
        </xdr:nvSpPr>
        <xdr:spPr>
          <a:xfrm>
            <a:off x="8774206" y="2454087"/>
            <a:ext cx="2700618" cy="324972"/>
          </a:xfrm>
          <a:prstGeom prst="roundRect">
            <a:avLst/>
          </a:prstGeom>
          <a:grpFill/>
          <a:ln>
            <a:noFill/>
          </a:ln>
          <a:effectLst>
            <a:outerShdw blurRad="50800" dist="38100" dir="5100000" algn="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rtlCol="0" anchor="ctr"/>
          <a:lstStyle/>
          <a:p>
            <a:pPr marL="0" indent="0" algn="ctr"/>
            <a:fld id="{BEBCEEAC-82BF-4820-88A6-3B70E6F8A744}" type="TxLink">
              <a:rPr lang="en-US" sz="2000" b="1" i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pPr marL="0" indent="0" algn="ctr"/>
              <a:t>379</a:t>
            </a:fld>
            <a:endParaRPr lang="es-AR" sz="2000" b="1" i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 editAs="oneCell">
    <xdr:from>
      <xdr:col>11</xdr:col>
      <xdr:colOff>42583</xdr:colOff>
      <xdr:row>9</xdr:row>
      <xdr:rowOff>168088</xdr:rowOff>
    </xdr:from>
    <xdr:to>
      <xdr:col>11</xdr:col>
      <xdr:colOff>1045623</xdr:colOff>
      <xdr:row>14</xdr:row>
      <xdr:rowOff>21696</xdr:rowOff>
    </xdr:to>
    <xdr:pic>
      <xdr:nvPicPr>
        <xdr:cNvPr id="101" name="Imagen 100" descr="Juanjo López Desimoni | Refaccionamos a nuevo los Centros de Atención a la  Niñez y Adolescencia &quot;María de Nazareth&quot; y &quot;Rincón de Luz&quot; de Virasoro para  que los... | Instagram">
          <a:extLst>
            <a:ext uri="{FF2B5EF4-FFF2-40B4-BE49-F238E27FC236}">
              <a16:creationId xmlns:a16="http://schemas.microsoft.com/office/drawing/2014/main" id="{7E6E7798-9A04-4E4F-95CB-EE7B295ADF1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373" b="36717"/>
        <a:stretch/>
      </xdr:blipFill>
      <xdr:spPr bwMode="auto">
        <a:xfrm>
          <a:off x="11920818" y="2131359"/>
          <a:ext cx="997325" cy="1011399"/>
        </a:xfrm>
        <a:prstGeom prst="rect">
          <a:avLst/>
        </a:prstGeom>
        <a:effectLst>
          <a:outerShdw blurRad="50800" dist="38100" dir="8100000" algn="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78443</xdr:colOff>
      <xdr:row>6</xdr:row>
      <xdr:rowOff>56029</xdr:rowOff>
    </xdr:from>
    <xdr:to>
      <xdr:col>8</xdr:col>
      <xdr:colOff>235325</xdr:colOff>
      <xdr:row>12</xdr:row>
      <xdr:rowOff>89647</xdr:rowOff>
    </xdr:to>
    <xdr:sp macro="" textlink="">
      <xdr:nvSpPr>
        <xdr:cNvPr id="4" name="Abrir corchete 3">
          <a:extLst>
            <a:ext uri="{FF2B5EF4-FFF2-40B4-BE49-F238E27FC236}">
              <a16:creationId xmlns:a16="http://schemas.microsoft.com/office/drawing/2014/main" id="{9BD9C96E-30C5-7D4E-2D7C-523804D9E496}"/>
            </a:ext>
          </a:extLst>
        </xdr:cNvPr>
        <xdr:cNvSpPr/>
      </xdr:nvSpPr>
      <xdr:spPr>
        <a:xfrm>
          <a:off x="8807825" y="1187823"/>
          <a:ext cx="156882" cy="1490383"/>
        </a:xfrm>
        <a:prstGeom prst="leftBracket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7</xdr:col>
      <xdr:colOff>1255059</xdr:colOff>
      <xdr:row>5</xdr:row>
      <xdr:rowOff>133195</xdr:rowOff>
    </xdr:from>
    <xdr:to>
      <xdr:col>8</xdr:col>
      <xdr:colOff>78443</xdr:colOff>
      <xdr:row>9</xdr:row>
      <xdr:rowOff>50427</xdr:rowOff>
    </xdr:to>
    <xdr:cxnSp macro="">
      <xdr:nvCxnSpPr>
        <xdr:cNvPr id="34" name="Conector: angular 33">
          <a:extLst>
            <a:ext uri="{FF2B5EF4-FFF2-40B4-BE49-F238E27FC236}">
              <a16:creationId xmlns:a16="http://schemas.microsoft.com/office/drawing/2014/main" id="{EA4A512D-7089-8BB6-BF9C-61453B5792EE}"/>
            </a:ext>
          </a:extLst>
        </xdr:cNvPr>
        <xdr:cNvCxnSpPr>
          <a:stCxn id="85" idx="3"/>
          <a:endCxn id="4" idx="1"/>
        </xdr:cNvCxnSpPr>
      </xdr:nvCxnSpPr>
      <xdr:spPr>
        <a:xfrm>
          <a:off x="8594912" y="962430"/>
          <a:ext cx="212913" cy="970585"/>
        </a:xfrm>
        <a:prstGeom prst="bentConnector3">
          <a:avLst>
            <a:gd name="adj1" fmla="val 50000"/>
          </a:avLst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2106707</xdr:colOff>
      <xdr:row>0</xdr:row>
      <xdr:rowOff>67239</xdr:rowOff>
    </xdr:from>
    <xdr:to>
      <xdr:col>6</xdr:col>
      <xdr:colOff>1109382</xdr:colOff>
      <xdr:row>4</xdr:row>
      <xdr:rowOff>44826</xdr:rowOff>
    </xdr:to>
    <xdr:sp macro="" textlink="">
      <xdr:nvSpPr>
        <xdr:cNvPr id="43" name="Rectángulo: esquinas redondeadas 42">
          <a:extLst>
            <a:ext uri="{FF2B5EF4-FFF2-40B4-BE49-F238E27FC236}">
              <a16:creationId xmlns:a16="http://schemas.microsoft.com/office/drawing/2014/main" id="{5AC3D694-105C-4A4E-B407-7C3A1E56C920}"/>
            </a:ext>
          </a:extLst>
        </xdr:cNvPr>
        <xdr:cNvSpPr/>
      </xdr:nvSpPr>
      <xdr:spPr>
        <a:xfrm rot="5400000">
          <a:off x="4751295" y="-1568820"/>
          <a:ext cx="649940" cy="3922058"/>
        </a:xfrm>
        <a:prstGeom prst="roundRect">
          <a:avLst/>
        </a:prstGeom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s-AR" sz="1300" baseline="0"/>
            <a:t>Raciones Diarias (Refrigerios/ Comidas)</a:t>
          </a:r>
        </a:p>
        <a:p>
          <a:pPr algn="ctr"/>
          <a:r>
            <a:rPr lang="es-AR" sz="1300" baseline="0"/>
            <a:t>Ministerio de Desarrollo Social Corrientes</a:t>
          </a:r>
        </a:p>
      </xdr:txBody>
    </xdr:sp>
    <xdr:clientData/>
  </xdr:twoCellAnchor>
  <xdr:twoCellAnchor>
    <xdr:from>
      <xdr:col>6</xdr:col>
      <xdr:colOff>1221439</xdr:colOff>
      <xdr:row>0</xdr:row>
      <xdr:rowOff>67235</xdr:rowOff>
    </xdr:from>
    <xdr:to>
      <xdr:col>10</xdr:col>
      <xdr:colOff>672356</xdr:colOff>
      <xdr:row>4</xdr:row>
      <xdr:rowOff>44822</xdr:rowOff>
    </xdr:to>
    <xdr:sp macro="" textlink="">
      <xdr:nvSpPr>
        <xdr:cNvPr id="44" name="Rectángulo: esquinas redondeadas 43">
          <a:extLst>
            <a:ext uri="{FF2B5EF4-FFF2-40B4-BE49-F238E27FC236}">
              <a16:creationId xmlns:a16="http://schemas.microsoft.com/office/drawing/2014/main" id="{075F70D0-CA35-49F2-85D0-362BED124C42}"/>
            </a:ext>
          </a:extLst>
        </xdr:cNvPr>
        <xdr:cNvSpPr/>
      </xdr:nvSpPr>
      <xdr:spPr>
        <a:xfrm rot="5400000">
          <a:off x="8774207" y="-1557621"/>
          <a:ext cx="649940" cy="3899652"/>
        </a:xfrm>
        <a:prstGeom prst="roundRect">
          <a:avLst/>
        </a:prstGeom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s-AR" sz="5000" baseline="0"/>
            <a:t>PLAN       </a:t>
          </a:r>
          <a:r>
            <a:rPr lang="es-AR" sz="3000" baseline="0"/>
            <a:t>Año 2026</a:t>
          </a:r>
        </a:p>
      </xdr:txBody>
    </xdr:sp>
    <xdr:clientData/>
  </xdr:twoCellAnchor>
  <xdr:twoCellAnchor>
    <xdr:from>
      <xdr:col>7</xdr:col>
      <xdr:colOff>1297640</xdr:colOff>
      <xdr:row>0</xdr:row>
      <xdr:rowOff>33621</xdr:rowOff>
    </xdr:from>
    <xdr:to>
      <xdr:col>8</xdr:col>
      <xdr:colOff>770965</xdr:colOff>
      <xdr:row>5</xdr:row>
      <xdr:rowOff>17929</xdr:rowOff>
    </xdr:to>
    <xdr:sp macro="" textlink="">
      <xdr:nvSpPr>
        <xdr:cNvPr id="41" name="Elipse 40">
          <a:extLst>
            <a:ext uri="{FF2B5EF4-FFF2-40B4-BE49-F238E27FC236}">
              <a16:creationId xmlns:a16="http://schemas.microsoft.com/office/drawing/2014/main" id="{4F191080-B151-794B-87C8-AD9033D8FBF4}"/>
            </a:ext>
          </a:extLst>
        </xdr:cNvPr>
        <xdr:cNvSpPr/>
      </xdr:nvSpPr>
      <xdr:spPr>
        <a:xfrm>
          <a:off x="8845922" y="33621"/>
          <a:ext cx="907678" cy="898708"/>
        </a:xfrm>
        <a:prstGeom prst="ellipse">
          <a:avLst/>
        </a:prstGeom>
        <a:solidFill>
          <a:schemeClr val="tx2">
            <a:lumMod val="75000"/>
          </a:schemeClr>
        </a:solidFill>
        <a:ln w="53975" cmpd="sng">
          <a:solidFill>
            <a:schemeClr val="bg1"/>
          </a:solidFill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5000" b="1">
              <a:solidFill>
                <a:schemeClr val="bg1"/>
              </a:solidFill>
              <a:latin typeface="Agency FB" panose="020B0503020202020204" pitchFamily="34" charset="0"/>
            </a:rPr>
            <a:t>1</a:t>
          </a:r>
        </a:p>
      </xdr:txBody>
    </xdr:sp>
    <xdr:clientData/>
  </xdr:twoCellAnchor>
  <xdr:twoCellAnchor>
    <xdr:from>
      <xdr:col>9</xdr:col>
      <xdr:colOff>212016</xdr:colOff>
      <xdr:row>16</xdr:row>
      <xdr:rowOff>112059</xdr:rowOff>
    </xdr:from>
    <xdr:to>
      <xdr:col>9</xdr:col>
      <xdr:colOff>257735</xdr:colOff>
      <xdr:row>20</xdr:row>
      <xdr:rowOff>302559</xdr:rowOff>
    </xdr:to>
    <xdr:sp macro="" textlink="">
      <xdr:nvSpPr>
        <xdr:cNvPr id="45" name="Abrir corchete 44">
          <a:extLst>
            <a:ext uri="{FF2B5EF4-FFF2-40B4-BE49-F238E27FC236}">
              <a16:creationId xmlns:a16="http://schemas.microsoft.com/office/drawing/2014/main" id="{0DF5D408-03FE-60A6-AECD-E00A0D546CB6}"/>
            </a:ext>
          </a:extLst>
        </xdr:cNvPr>
        <xdr:cNvSpPr/>
      </xdr:nvSpPr>
      <xdr:spPr>
        <a:xfrm>
          <a:off x="10353340" y="3641912"/>
          <a:ext cx="45719" cy="1311088"/>
        </a:xfrm>
        <a:prstGeom prst="leftBracket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marL="0" indent="0" algn="l"/>
          <a:endParaRPr lang="es-AR" sz="11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33616</xdr:colOff>
      <xdr:row>15</xdr:row>
      <xdr:rowOff>156883</xdr:rowOff>
    </xdr:from>
    <xdr:to>
      <xdr:col>9</xdr:col>
      <xdr:colOff>212015</xdr:colOff>
      <xdr:row>18</xdr:row>
      <xdr:rowOff>229721</xdr:rowOff>
    </xdr:to>
    <xdr:cxnSp macro="">
      <xdr:nvCxnSpPr>
        <xdr:cNvPr id="71" name="Conector: angular 70">
          <a:extLst>
            <a:ext uri="{FF2B5EF4-FFF2-40B4-BE49-F238E27FC236}">
              <a16:creationId xmlns:a16="http://schemas.microsoft.com/office/drawing/2014/main" id="{5AE0EB38-6422-9562-D055-46F06171C737}"/>
            </a:ext>
          </a:extLst>
        </xdr:cNvPr>
        <xdr:cNvCxnSpPr>
          <a:endCxn id="45" idx="1"/>
        </xdr:cNvCxnSpPr>
      </xdr:nvCxnSpPr>
      <xdr:spPr>
        <a:xfrm rot="16200000" flipH="1">
          <a:off x="9841118" y="3785234"/>
          <a:ext cx="846044" cy="178399"/>
        </a:xfrm>
        <a:prstGeom prst="bentConnector2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143433</xdr:colOff>
      <xdr:row>4</xdr:row>
      <xdr:rowOff>107578</xdr:rowOff>
    </xdr:from>
    <xdr:to>
      <xdr:col>5</xdr:col>
      <xdr:colOff>89646</xdr:colOff>
      <xdr:row>18</xdr:row>
      <xdr:rowOff>89647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0229C2FA-AE1A-0489-DF3A-8254394436E8}"/>
            </a:ext>
          </a:extLst>
        </xdr:cNvPr>
        <xdr:cNvSpPr/>
      </xdr:nvSpPr>
      <xdr:spPr>
        <a:xfrm>
          <a:off x="143433" y="842684"/>
          <a:ext cx="5809131" cy="3370728"/>
        </a:xfrm>
        <a:prstGeom prst="roundRect">
          <a:avLst>
            <a:gd name="adj" fmla="val 5167"/>
          </a:avLst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172570</xdr:colOff>
      <xdr:row>54</xdr:row>
      <xdr:rowOff>26894</xdr:rowOff>
    </xdr:from>
    <xdr:to>
      <xdr:col>2</xdr:col>
      <xdr:colOff>298076</xdr:colOff>
      <xdr:row>55</xdr:row>
      <xdr:rowOff>150159</xdr:rowOff>
    </xdr:to>
    <xdr:sp macro="" textlink="">
      <xdr:nvSpPr>
        <xdr:cNvPr id="50" name="Rectángulo 49">
          <a:extLst>
            <a:ext uri="{FF2B5EF4-FFF2-40B4-BE49-F238E27FC236}">
              <a16:creationId xmlns:a16="http://schemas.microsoft.com/office/drawing/2014/main" id="{FFEFBD38-C121-491D-9EB0-6C46613FDDEF}"/>
            </a:ext>
          </a:extLst>
        </xdr:cNvPr>
        <xdr:cNvSpPr/>
      </xdr:nvSpPr>
      <xdr:spPr>
        <a:xfrm>
          <a:off x="423582" y="10784541"/>
          <a:ext cx="914400" cy="30255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AR" sz="1100">
              <a:solidFill>
                <a:schemeClr val="tx1">
                  <a:lumMod val="50000"/>
                  <a:lumOff val="50000"/>
                </a:schemeClr>
              </a:solidFill>
            </a:rPr>
            <a:t>1º Semestre</a:t>
          </a:r>
        </a:p>
      </xdr:txBody>
    </xdr:sp>
    <xdr:clientData/>
  </xdr:twoCellAnchor>
  <xdr:twoCellAnchor>
    <xdr:from>
      <xdr:col>3</xdr:col>
      <xdr:colOff>1154206</xdr:colOff>
      <xdr:row>53</xdr:row>
      <xdr:rowOff>156881</xdr:rowOff>
    </xdr:from>
    <xdr:to>
      <xdr:col>4</xdr:col>
      <xdr:colOff>835959</xdr:colOff>
      <xdr:row>55</xdr:row>
      <xdr:rowOff>123264</xdr:rowOff>
    </xdr:to>
    <xdr:sp macro="" textlink="">
      <xdr:nvSpPr>
        <xdr:cNvPr id="61" name="Rectángulo 60">
          <a:extLst>
            <a:ext uri="{FF2B5EF4-FFF2-40B4-BE49-F238E27FC236}">
              <a16:creationId xmlns:a16="http://schemas.microsoft.com/office/drawing/2014/main" id="{BCFA76BC-C49E-4BD1-B665-05FBAF39E848}"/>
            </a:ext>
          </a:extLst>
        </xdr:cNvPr>
        <xdr:cNvSpPr/>
      </xdr:nvSpPr>
      <xdr:spPr>
        <a:xfrm>
          <a:off x="4632512" y="10376646"/>
          <a:ext cx="945776" cy="32497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AR" sz="1100">
              <a:solidFill>
                <a:schemeClr val="tx1">
                  <a:lumMod val="50000"/>
                  <a:lumOff val="50000"/>
                </a:schemeClr>
              </a:solidFill>
            </a:rPr>
            <a:t>2º Semestre</a:t>
          </a:r>
        </a:p>
      </xdr:txBody>
    </xdr:sp>
    <xdr:clientData/>
  </xdr:twoCellAnchor>
  <xdr:twoCellAnchor>
    <xdr:from>
      <xdr:col>0</xdr:col>
      <xdr:colOff>188595</xdr:colOff>
      <xdr:row>19</xdr:row>
      <xdr:rowOff>153072</xdr:rowOff>
    </xdr:from>
    <xdr:to>
      <xdr:col>5</xdr:col>
      <xdr:colOff>41013</xdr:colOff>
      <xdr:row>20</xdr:row>
      <xdr:rowOff>353969</xdr:rowOff>
    </xdr:to>
    <xdr:sp macro="" textlink="">
      <xdr:nvSpPr>
        <xdr:cNvPr id="36" name="Rectángulo: esquinas redondeadas 35">
          <a:extLst>
            <a:ext uri="{FF2B5EF4-FFF2-40B4-BE49-F238E27FC236}">
              <a16:creationId xmlns:a16="http://schemas.microsoft.com/office/drawing/2014/main" id="{B5E5E993-61D6-44CC-9905-F2EE67BB11C8}"/>
            </a:ext>
          </a:extLst>
        </xdr:cNvPr>
        <xdr:cNvSpPr/>
      </xdr:nvSpPr>
      <xdr:spPr>
        <a:xfrm>
          <a:off x="188595" y="4568190"/>
          <a:ext cx="5858771" cy="492250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  <a:effectLst>
          <a:outerShdw blurRad="50800" dist="38100" dir="5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rtlCol="0" anchor="ctr"/>
        <a:lstStyle/>
        <a:p>
          <a:pPr marL="0" indent="0" algn="ctr"/>
          <a:r>
            <a:rPr lang="es-AR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Cantidad de centros</a:t>
          </a:r>
          <a:r>
            <a:rPr lang="es-AR" sz="1200" b="1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 beneficiarios -por agrupación-</a:t>
          </a:r>
          <a:endParaRPr lang="es-AR" sz="1200" b="1">
            <a:solidFill>
              <a:schemeClr val="tx1">
                <a:lumMod val="75000"/>
                <a:lumOff val="2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134918</xdr:colOff>
      <xdr:row>18</xdr:row>
      <xdr:rowOff>213133</xdr:rowOff>
    </xdr:from>
    <xdr:to>
      <xdr:col>5</xdr:col>
      <xdr:colOff>92561</xdr:colOff>
      <xdr:row>30</xdr:row>
      <xdr:rowOff>112058</xdr:rowOff>
    </xdr:to>
    <xdr:sp macro="" textlink="">
      <xdr:nvSpPr>
        <xdr:cNvPr id="38" name="Rectángulo: esquinas redondeadas 37">
          <a:extLst>
            <a:ext uri="{FF2B5EF4-FFF2-40B4-BE49-F238E27FC236}">
              <a16:creationId xmlns:a16="http://schemas.microsoft.com/office/drawing/2014/main" id="{9D546FF6-2B95-4A0C-AF71-E0EE41D641A9}"/>
            </a:ext>
          </a:extLst>
        </xdr:cNvPr>
        <xdr:cNvSpPr/>
      </xdr:nvSpPr>
      <xdr:spPr>
        <a:xfrm>
          <a:off x="134918" y="4336898"/>
          <a:ext cx="5963996" cy="3496013"/>
        </a:xfrm>
        <a:prstGeom prst="roundRect">
          <a:avLst>
            <a:gd name="adj" fmla="val 5167"/>
          </a:avLst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2250477</xdr:colOff>
      <xdr:row>28</xdr:row>
      <xdr:rowOff>267036</xdr:rowOff>
    </xdr:from>
    <xdr:to>
      <xdr:col>5</xdr:col>
      <xdr:colOff>35298</xdr:colOff>
      <xdr:row>30</xdr:row>
      <xdr:rowOff>56467</xdr:rowOff>
    </xdr:to>
    <xdr:sp macro="" textlink="$D$30">
      <xdr:nvSpPr>
        <xdr:cNvPr id="39" name="Rectángulo: esquinas redondeadas 38">
          <a:extLst>
            <a:ext uri="{FF2B5EF4-FFF2-40B4-BE49-F238E27FC236}">
              <a16:creationId xmlns:a16="http://schemas.microsoft.com/office/drawing/2014/main" id="{6BCC49A0-C9B5-48B0-97A7-191E528A17FA}"/>
            </a:ext>
          </a:extLst>
        </xdr:cNvPr>
        <xdr:cNvSpPr/>
      </xdr:nvSpPr>
      <xdr:spPr>
        <a:xfrm>
          <a:off x="3281418" y="7405183"/>
          <a:ext cx="2760233" cy="372137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  <a:effectLst>
          <a:outerShdw blurRad="50800" dist="38100" dir="5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rtlCol="0" anchor="ctr"/>
        <a:lstStyle/>
        <a:p>
          <a:pPr marL="0" indent="0" algn="ctr"/>
          <a:fld id="{D8917637-3230-4E79-B46F-9E30A66A802B}" type="TxLink">
            <a:rPr lang="en-US" sz="15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ctr"/>
            <a:t>380</a:t>
          </a:fld>
          <a:endParaRPr lang="es-AR" sz="1500" b="1">
            <a:solidFill>
              <a:schemeClr val="tx1">
                <a:lumMod val="75000"/>
                <a:lumOff val="2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349622</xdr:rowOff>
    </xdr:from>
    <xdr:to>
      <xdr:col>11</xdr:col>
      <xdr:colOff>507695</xdr:colOff>
      <xdr:row>32</xdr:row>
      <xdr:rowOff>89647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9088C6C4-8C5A-3D79-B8E0-3FA7F7DA5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06822"/>
          <a:ext cx="9185530" cy="5549154"/>
        </a:xfrm>
        <a:prstGeom prst="rect">
          <a:avLst/>
        </a:prstGeom>
      </xdr:spPr>
    </xdr:pic>
    <xdr:clientData/>
  </xdr:twoCellAnchor>
  <xdr:twoCellAnchor>
    <xdr:from>
      <xdr:col>3</xdr:col>
      <xdr:colOff>276889</xdr:colOff>
      <xdr:row>4</xdr:row>
      <xdr:rowOff>194406</xdr:rowOff>
    </xdr:from>
    <xdr:to>
      <xdr:col>4</xdr:col>
      <xdr:colOff>541172</xdr:colOff>
      <xdr:row>10</xdr:row>
      <xdr:rowOff>42249</xdr:rowOff>
    </xdr:to>
    <xdr:grpSp>
      <xdr:nvGrpSpPr>
        <xdr:cNvPr id="18" name="Grupo 17">
          <a:extLst>
            <a:ext uri="{FF2B5EF4-FFF2-40B4-BE49-F238E27FC236}">
              <a16:creationId xmlns:a16="http://schemas.microsoft.com/office/drawing/2014/main" id="{B6D7EB8E-9E75-5048-B85C-9A4CBA39FF82}"/>
            </a:ext>
          </a:extLst>
        </xdr:cNvPr>
        <xdr:cNvGrpSpPr/>
      </xdr:nvGrpSpPr>
      <xdr:grpSpPr>
        <a:xfrm>
          <a:off x="2562889" y="990024"/>
          <a:ext cx="1026283" cy="1058078"/>
          <a:chOff x="2643571" y="1019159"/>
          <a:chExt cx="1053177" cy="1031184"/>
        </a:xfrm>
      </xdr:grpSpPr>
      <xdr:sp macro="" textlink="">
        <xdr:nvSpPr>
          <xdr:cNvPr id="10" name="Lágrima 9">
            <a:extLst>
              <a:ext uri="{FF2B5EF4-FFF2-40B4-BE49-F238E27FC236}">
                <a16:creationId xmlns:a16="http://schemas.microsoft.com/office/drawing/2014/main" id="{060F830B-53CF-6886-86FD-4AB57B29CDFB}"/>
              </a:ext>
            </a:extLst>
          </xdr:cNvPr>
          <xdr:cNvSpPr/>
        </xdr:nvSpPr>
        <xdr:spPr>
          <a:xfrm rot="8114655">
            <a:off x="2643571" y="1019159"/>
            <a:ext cx="1053177" cy="1031184"/>
          </a:xfrm>
          <a:prstGeom prst="teardrop">
            <a:avLst>
              <a:gd name="adj" fmla="val 130906"/>
            </a:avLst>
          </a:prstGeom>
          <a:solidFill>
            <a:srgbClr val="0070C0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AR" sz="1100"/>
          </a:p>
        </xdr:txBody>
      </xdr:sp>
      <xdr:sp macro="" textlink="$Q$5">
        <xdr:nvSpPr>
          <xdr:cNvPr id="11" name="Elipse 10">
            <a:extLst>
              <a:ext uri="{FF2B5EF4-FFF2-40B4-BE49-F238E27FC236}">
                <a16:creationId xmlns:a16="http://schemas.microsoft.com/office/drawing/2014/main" id="{D9D9E16E-EE9A-DA1A-B644-55F8C73D7608}"/>
              </a:ext>
            </a:extLst>
          </xdr:cNvPr>
          <xdr:cNvSpPr/>
        </xdr:nvSpPr>
        <xdr:spPr>
          <a:xfrm>
            <a:off x="2734661" y="1107796"/>
            <a:ext cx="873564" cy="800529"/>
          </a:xfrm>
          <a:prstGeom prst="ellipse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 anchorCtr="0"/>
          <a:lstStyle/>
          <a:p>
            <a:pPr algn="l"/>
            <a:fld id="{885021DA-0476-4C2E-AAF7-24EF5F088CEB}" type="TxLink">
              <a:rPr lang="en-US" sz="1200" b="1" i="0" u="none" strike="noStrike">
                <a:solidFill>
                  <a:srgbClr val="000000"/>
                </a:solidFill>
                <a:latin typeface="Arial"/>
                <a:cs typeface="Arial"/>
              </a:rPr>
              <a:pPr algn="l"/>
              <a:t>60,39%</a:t>
            </a:fld>
            <a:endParaRPr lang="es-AR" sz="1200" b="1"/>
          </a:p>
        </xdr:txBody>
      </xdr:sp>
    </xdr:grpSp>
    <xdr:clientData/>
  </xdr:twoCellAnchor>
  <xdr:twoCellAnchor>
    <xdr:from>
      <xdr:col>1</xdr:col>
      <xdr:colOff>988</xdr:colOff>
      <xdr:row>16</xdr:row>
      <xdr:rowOff>175835</xdr:rowOff>
    </xdr:from>
    <xdr:to>
      <xdr:col>2</xdr:col>
      <xdr:colOff>33398</xdr:colOff>
      <xdr:row>20</xdr:row>
      <xdr:rowOff>190443</xdr:rowOff>
    </xdr:to>
    <xdr:grpSp>
      <xdr:nvGrpSpPr>
        <xdr:cNvPr id="20" name="Grupo 19">
          <a:extLst>
            <a:ext uri="{FF2B5EF4-FFF2-40B4-BE49-F238E27FC236}">
              <a16:creationId xmlns:a16="http://schemas.microsoft.com/office/drawing/2014/main" id="{918DAC56-B881-5668-8AEB-3718E3282E31}"/>
            </a:ext>
          </a:extLst>
        </xdr:cNvPr>
        <xdr:cNvGrpSpPr/>
      </xdr:nvGrpSpPr>
      <xdr:grpSpPr>
        <a:xfrm>
          <a:off x="762988" y="3391923"/>
          <a:ext cx="794410" cy="821432"/>
          <a:chOff x="1507058" y="3250729"/>
          <a:chExt cx="821304" cy="803502"/>
        </a:xfrm>
      </xdr:grpSpPr>
      <xdr:sp macro="" textlink="">
        <xdr:nvSpPr>
          <xdr:cNvPr id="14" name="Lágrima 13">
            <a:extLst>
              <a:ext uri="{FF2B5EF4-FFF2-40B4-BE49-F238E27FC236}">
                <a16:creationId xmlns:a16="http://schemas.microsoft.com/office/drawing/2014/main" id="{31D14E72-6519-CF00-8216-4A5CDA13EE48}"/>
              </a:ext>
            </a:extLst>
          </xdr:cNvPr>
          <xdr:cNvSpPr/>
        </xdr:nvSpPr>
        <xdr:spPr>
          <a:xfrm rot="8114655">
            <a:off x="1507058" y="3250729"/>
            <a:ext cx="821304" cy="803502"/>
          </a:xfrm>
          <a:prstGeom prst="teardrop">
            <a:avLst>
              <a:gd name="adj" fmla="val 130906"/>
            </a:avLst>
          </a:prstGeom>
          <a:solidFill>
            <a:srgbClr val="0070C0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AR" sz="1100"/>
          </a:p>
        </xdr:txBody>
      </xdr:sp>
      <xdr:sp macro="" textlink="$O$36">
        <xdr:nvSpPr>
          <xdr:cNvPr id="15" name="Elipse 14">
            <a:extLst>
              <a:ext uri="{FF2B5EF4-FFF2-40B4-BE49-F238E27FC236}">
                <a16:creationId xmlns:a16="http://schemas.microsoft.com/office/drawing/2014/main" id="{81D6796B-A7BC-42CC-8F11-2B5007AE90B3}"/>
              </a:ext>
            </a:extLst>
          </xdr:cNvPr>
          <xdr:cNvSpPr/>
        </xdr:nvSpPr>
        <xdr:spPr>
          <a:xfrm>
            <a:off x="1585785" y="3321875"/>
            <a:ext cx="673555" cy="612158"/>
          </a:xfrm>
          <a:prstGeom prst="ellipse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 anchorCtr="0"/>
          <a:lstStyle/>
          <a:p>
            <a:pPr algn="l"/>
            <a:fld id="{D2865542-40C5-45C5-BA1D-8521753AD625}" type="TxLink">
              <a:rPr lang="en-US" sz="1500" b="1" i="0" u="none" strike="noStrike">
                <a:solidFill>
                  <a:srgbClr val="000000"/>
                </a:solidFill>
                <a:latin typeface="Arial"/>
                <a:cs typeface="Arial"/>
              </a:rPr>
              <a:pPr algn="l"/>
              <a:t>11%</a:t>
            </a:fld>
            <a:endParaRPr lang="es-AR" sz="1500" b="1"/>
          </a:p>
        </xdr:txBody>
      </xdr:sp>
    </xdr:grpSp>
    <xdr:clientData/>
  </xdr:twoCellAnchor>
  <xdr:twoCellAnchor>
    <xdr:from>
      <xdr:col>4</xdr:col>
      <xdr:colOff>224172</xdr:colOff>
      <xdr:row>12</xdr:row>
      <xdr:rowOff>139663</xdr:rowOff>
    </xdr:from>
    <xdr:to>
      <xdr:col>5</xdr:col>
      <xdr:colOff>277905</xdr:colOff>
      <xdr:row>16</xdr:row>
      <xdr:rowOff>152400</xdr:rowOff>
    </xdr:to>
    <xdr:grpSp>
      <xdr:nvGrpSpPr>
        <xdr:cNvPr id="22" name="Grupo 21">
          <a:extLst>
            <a:ext uri="{FF2B5EF4-FFF2-40B4-BE49-F238E27FC236}">
              <a16:creationId xmlns:a16="http://schemas.microsoft.com/office/drawing/2014/main" id="{8C975A6C-ED4E-4B88-B104-59AC5B227A90}"/>
            </a:ext>
          </a:extLst>
        </xdr:cNvPr>
        <xdr:cNvGrpSpPr/>
      </xdr:nvGrpSpPr>
      <xdr:grpSpPr>
        <a:xfrm>
          <a:off x="3272172" y="2548928"/>
          <a:ext cx="815733" cy="819560"/>
          <a:chOff x="6331131" y="1958529"/>
          <a:chExt cx="1019154" cy="988505"/>
        </a:xfrm>
      </xdr:grpSpPr>
      <xdr:sp macro="" textlink="">
        <xdr:nvSpPr>
          <xdr:cNvPr id="23" name="Lágrima 22">
            <a:extLst>
              <a:ext uri="{FF2B5EF4-FFF2-40B4-BE49-F238E27FC236}">
                <a16:creationId xmlns:a16="http://schemas.microsoft.com/office/drawing/2014/main" id="{E5F7DC4E-B089-FFD6-8368-9E44C29BD640}"/>
              </a:ext>
            </a:extLst>
          </xdr:cNvPr>
          <xdr:cNvSpPr/>
        </xdr:nvSpPr>
        <xdr:spPr>
          <a:xfrm rot="8114655">
            <a:off x="6331131" y="1958529"/>
            <a:ext cx="1019154" cy="988505"/>
          </a:xfrm>
          <a:prstGeom prst="teardrop">
            <a:avLst>
              <a:gd name="adj" fmla="val 130906"/>
            </a:avLst>
          </a:prstGeom>
          <a:solidFill>
            <a:srgbClr val="0070C0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AR" sz="1100"/>
          </a:p>
        </xdr:txBody>
      </xdr:sp>
      <xdr:sp macro="" textlink="$O$37">
        <xdr:nvSpPr>
          <xdr:cNvPr id="24" name="Elipse 23">
            <a:extLst>
              <a:ext uri="{FF2B5EF4-FFF2-40B4-BE49-F238E27FC236}">
                <a16:creationId xmlns:a16="http://schemas.microsoft.com/office/drawing/2014/main" id="{BB783DE4-8CE2-AE5A-647C-9E0B113EB688}"/>
              </a:ext>
            </a:extLst>
          </xdr:cNvPr>
          <xdr:cNvSpPr/>
        </xdr:nvSpPr>
        <xdr:spPr>
          <a:xfrm>
            <a:off x="6417468" y="2047876"/>
            <a:ext cx="845343" cy="833439"/>
          </a:xfrm>
          <a:prstGeom prst="ellipse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 anchorCtr="0"/>
          <a:lstStyle/>
          <a:p>
            <a:pPr algn="l"/>
            <a:fld id="{EF15A110-51C9-41A2-B3BA-BEB039B1E04A}" type="TxLink">
              <a:rPr lang="en-US" sz="1500" b="1" i="0" u="none" strike="noStrike">
                <a:solidFill>
                  <a:srgbClr val="000000"/>
                </a:solidFill>
                <a:latin typeface="Arial"/>
                <a:cs typeface="Arial"/>
              </a:rPr>
              <a:pPr algn="l"/>
              <a:t>15%</a:t>
            </a:fld>
            <a:endParaRPr lang="es-AR" sz="1500" b="1"/>
          </a:p>
        </xdr:txBody>
      </xdr:sp>
    </xdr:grpSp>
    <xdr:clientData/>
  </xdr:twoCellAnchor>
  <xdr:twoCellAnchor>
    <xdr:from>
      <xdr:col>7</xdr:col>
      <xdr:colOff>112432</xdr:colOff>
      <xdr:row>10</xdr:row>
      <xdr:rowOff>167258</xdr:rowOff>
    </xdr:from>
    <xdr:to>
      <xdr:col>8</xdr:col>
      <xdr:colOff>52623</xdr:colOff>
      <xdr:row>14</xdr:row>
      <xdr:rowOff>118936</xdr:rowOff>
    </xdr:to>
    <xdr:grpSp>
      <xdr:nvGrpSpPr>
        <xdr:cNvPr id="19" name="Grupo 18">
          <a:extLst>
            <a:ext uri="{FF2B5EF4-FFF2-40B4-BE49-F238E27FC236}">
              <a16:creationId xmlns:a16="http://schemas.microsoft.com/office/drawing/2014/main" id="{518ABB4B-B9C6-DB02-ED79-6E030081E8A6}"/>
            </a:ext>
          </a:extLst>
        </xdr:cNvPr>
        <xdr:cNvGrpSpPr/>
      </xdr:nvGrpSpPr>
      <xdr:grpSpPr>
        <a:xfrm>
          <a:off x="5446432" y="2173111"/>
          <a:ext cx="702191" cy="758501"/>
          <a:chOff x="5634691" y="2175352"/>
          <a:chExt cx="729085" cy="740572"/>
        </a:xfrm>
      </xdr:grpSpPr>
      <xdr:sp macro="" textlink="">
        <xdr:nvSpPr>
          <xdr:cNvPr id="26" name="Lágrima 25">
            <a:extLst>
              <a:ext uri="{FF2B5EF4-FFF2-40B4-BE49-F238E27FC236}">
                <a16:creationId xmlns:a16="http://schemas.microsoft.com/office/drawing/2014/main" id="{58D1BD41-9AC7-6EF4-15CD-3B4A201E6148}"/>
              </a:ext>
            </a:extLst>
          </xdr:cNvPr>
          <xdr:cNvSpPr/>
        </xdr:nvSpPr>
        <xdr:spPr>
          <a:xfrm rot="8114655">
            <a:off x="5634691" y="2175352"/>
            <a:ext cx="729085" cy="740572"/>
          </a:xfrm>
          <a:prstGeom prst="teardrop">
            <a:avLst>
              <a:gd name="adj" fmla="val 130906"/>
            </a:avLst>
          </a:prstGeom>
          <a:solidFill>
            <a:srgbClr val="0070C0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AR" sz="1500" b="1"/>
          </a:p>
        </xdr:txBody>
      </xdr:sp>
      <xdr:sp macro="" textlink="$O$38">
        <xdr:nvSpPr>
          <xdr:cNvPr id="27" name="Elipse 26">
            <a:extLst>
              <a:ext uri="{FF2B5EF4-FFF2-40B4-BE49-F238E27FC236}">
                <a16:creationId xmlns:a16="http://schemas.microsoft.com/office/drawing/2014/main" id="{C4D13F37-BF74-95FA-F243-3FE386D11B67}"/>
              </a:ext>
            </a:extLst>
          </xdr:cNvPr>
          <xdr:cNvSpPr/>
        </xdr:nvSpPr>
        <xdr:spPr>
          <a:xfrm>
            <a:off x="5696811" y="2224714"/>
            <a:ext cx="623308" cy="617097"/>
          </a:xfrm>
          <a:prstGeom prst="ellipse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 anchorCtr="0"/>
          <a:lstStyle/>
          <a:p>
            <a:pPr algn="ctr"/>
            <a:fld id="{16EF587C-3778-49F6-B28A-B264193026E3}" type="TxLink">
              <a:rPr lang="en-US" sz="1500" b="1" i="0" u="none" strike="noStrike">
                <a:solidFill>
                  <a:srgbClr val="000000"/>
                </a:solidFill>
                <a:latin typeface="Arial"/>
                <a:cs typeface="Arial"/>
              </a:rPr>
              <a:pPr algn="ctr"/>
              <a:t>13%</a:t>
            </a:fld>
            <a:endParaRPr lang="es-AR" sz="1500" b="1"/>
          </a:p>
        </xdr:txBody>
      </xdr:sp>
    </xdr:grpSp>
    <xdr:clientData/>
  </xdr:twoCellAnchor>
  <xdr:twoCellAnchor>
    <xdr:from>
      <xdr:col>14</xdr:col>
      <xdr:colOff>559593</xdr:colOff>
      <xdr:row>1</xdr:row>
      <xdr:rowOff>11907</xdr:rowOff>
    </xdr:from>
    <xdr:to>
      <xdr:col>14</xdr:col>
      <xdr:colOff>750093</xdr:colOff>
      <xdr:row>2</xdr:row>
      <xdr:rowOff>83346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FF4A0C0-586B-DB8E-C160-CD4A4A67EAAF}"/>
            </a:ext>
          </a:extLst>
        </xdr:cNvPr>
        <xdr:cNvSpPr/>
      </xdr:nvSpPr>
      <xdr:spPr>
        <a:xfrm>
          <a:off x="11941968" y="178595"/>
          <a:ext cx="190500" cy="190501"/>
        </a:xfrm>
        <a:prstGeom prst="rect">
          <a:avLst/>
        </a:prstGeom>
        <a:solidFill>
          <a:srgbClr val="FF0000"/>
        </a:solidFill>
        <a:ln>
          <a:noFill/>
        </a:ln>
        <a:effectLst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15</xdr:col>
      <xdr:colOff>571499</xdr:colOff>
      <xdr:row>1</xdr:row>
      <xdr:rowOff>2</xdr:rowOff>
    </xdr:from>
    <xdr:to>
      <xdr:col>15</xdr:col>
      <xdr:colOff>761999</xdr:colOff>
      <xdr:row>2</xdr:row>
      <xdr:rowOff>71441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6A457E1F-542E-4706-9EFD-74498BD5E415}"/>
            </a:ext>
          </a:extLst>
        </xdr:cNvPr>
        <xdr:cNvSpPr/>
      </xdr:nvSpPr>
      <xdr:spPr>
        <a:xfrm>
          <a:off x="13299280" y="166690"/>
          <a:ext cx="190500" cy="190501"/>
        </a:xfrm>
        <a:prstGeom prst="rect">
          <a:avLst/>
        </a:prstGeom>
        <a:solidFill>
          <a:srgbClr val="00B050"/>
        </a:solidFill>
        <a:ln>
          <a:noFill/>
        </a:ln>
        <a:effectLst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16</xdr:col>
      <xdr:colOff>571499</xdr:colOff>
      <xdr:row>1</xdr:row>
      <xdr:rowOff>0</xdr:rowOff>
    </xdr:from>
    <xdr:to>
      <xdr:col>16</xdr:col>
      <xdr:colOff>761999</xdr:colOff>
      <xdr:row>2</xdr:row>
      <xdr:rowOff>71439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14E95A1D-BFE7-454B-AC4C-7B66F579AEE8}"/>
            </a:ext>
          </a:extLst>
        </xdr:cNvPr>
        <xdr:cNvSpPr/>
      </xdr:nvSpPr>
      <xdr:spPr>
        <a:xfrm>
          <a:off x="14644687" y="166688"/>
          <a:ext cx="190500" cy="190501"/>
        </a:xfrm>
        <a:prstGeom prst="rect">
          <a:avLst/>
        </a:prstGeom>
        <a:solidFill>
          <a:srgbClr val="0070C0"/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endParaRPr lang="es-A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0</xdr:colOff>
      <xdr:row>30</xdr:row>
      <xdr:rowOff>95251</xdr:rowOff>
    </xdr:from>
    <xdr:to>
      <xdr:col>17</xdr:col>
      <xdr:colOff>564106</xdr:colOff>
      <xdr:row>32</xdr:row>
      <xdr:rowOff>69411</xdr:rowOff>
    </xdr:to>
    <xdr:sp macro="" textlink="">
      <xdr:nvSpPr>
        <xdr:cNvPr id="9" name="Rectángulo: esquinas redondeadas 8">
          <a:extLst>
            <a:ext uri="{FF2B5EF4-FFF2-40B4-BE49-F238E27FC236}">
              <a16:creationId xmlns:a16="http://schemas.microsoft.com/office/drawing/2014/main" id="{24273B26-6752-4589-9184-041C64F96C41}"/>
            </a:ext>
          </a:extLst>
        </xdr:cNvPr>
        <xdr:cNvSpPr/>
      </xdr:nvSpPr>
      <xdr:spPr>
        <a:xfrm>
          <a:off x="9144000" y="5845970"/>
          <a:ext cx="6267200" cy="307535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300" i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es-AR" sz="1100" i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Los valores se corresponden a centros que</a:t>
          </a:r>
          <a:r>
            <a:rPr lang="es-AR" sz="1100" i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reciben ambos servicios o sólo uno de ellos</a:t>
          </a:r>
          <a:endParaRPr lang="es-AR" i="1">
            <a:solidFill>
              <a:sysClr val="windowText" lastClr="000000"/>
            </a:solidFill>
            <a:effectLst/>
          </a:endParaRPr>
        </a:p>
        <a:p>
          <a:pPr algn="l"/>
          <a:endParaRPr lang="es-AR" sz="1100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654842</xdr:colOff>
      <xdr:row>0</xdr:row>
      <xdr:rowOff>95250</xdr:rowOff>
    </xdr:from>
    <xdr:to>
      <xdr:col>11</xdr:col>
      <xdr:colOff>440531</xdr:colOff>
      <xdr:row>3</xdr:row>
      <xdr:rowOff>321468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17E295A4-A57A-F5A2-2F18-4B020DF37733}"/>
            </a:ext>
          </a:extLst>
        </xdr:cNvPr>
        <xdr:cNvSpPr/>
      </xdr:nvSpPr>
      <xdr:spPr>
        <a:xfrm>
          <a:off x="4464842" y="95250"/>
          <a:ext cx="4357689" cy="678656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76200" dir="18900000" sy="23000" kx="-12000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100"/>
            <a:t>Distribución geográfica servicios Comidas y Refrigerios </a:t>
          </a:r>
          <a:r>
            <a:rPr lang="es-A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-en raciones días- y cantidad de centros dependientes</a:t>
          </a:r>
          <a:r>
            <a:rPr lang="es-AR"/>
            <a:t> PLAN 1 - 2026</a:t>
          </a:r>
          <a:endParaRPr lang="es-AR" sz="1100"/>
        </a:p>
      </xdr:txBody>
    </xdr:sp>
    <xdr:clientData/>
  </xdr:twoCellAnchor>
  <xdr:twoCellAnchor editAs="oneCell">
    <xdr:from>
      <xdr:col>0</xdr:col>
      <xdr:colOff>26615</xdr:colOff>
      <xdr:row>1</xdr:row>
      <xdr:rowOff>36421</xdr:rowOff>
    </xdr:from>
    <xdr:to>
      <xdr:col>2</xdr:col>
      <xdr:colOff>571501</xdr:colOff>
      <xdr:row>3</xdr:row>
      <xdr:rowOff>86813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5937335-3826-4162-B5A5-1DD967DEC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15" y="193303"/>
          <a:ext cx="2068886" cy="319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314325</xdr:colOff>
      <xdr:row>1</xdr:row>
      <xdr:rowOff>95250</xdr:rowOff>
    </xdr:from>
    <xdr:to>
      <xdr:col>4</xdr:col>
      <xdr:colOff>161925</xdr:colOff>
      <xdr:row>18</xdr:row>
      <xdr:rowOff>104775</xdr:rowOff>
    </xdr:to>
    <xdr:sp macro="" textlink="">
      <xdr:nvSpPr>
        <xdr:cNvPr id="2" name="Cerrar llave 1">
          <a:extLst>
            <a:ext uri="{FF2B5EF4-FFF2-40B4-BE49-F238E27FC236}">
              <a16:creationId xmlns:a16="http://schemas.microsoft.com/office/drawing/2014/main" id="{0BE4D3CF-D582-FBF2-FF29-E6202D7F5040}"/>
            </a:ext>
          </a:extLst>
        </xdr:cNvPr>
        <xdr:cNvSpPr/>
      </xdr:nvSpPr>
      <xdr:spPr>
        <a:xfrm>
          <a:off x="3438525" y="257175"/>
          <a:ext cx="609600" cy="284797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323850</xdr:colOff>
      <xdr:row>7</xdr:row>
      <xdr:rowOff>142875</xdr:rowOff>
    </xdr:from>
    <xdr:to>
      <xdr:col>6</xdr:col>
      <xdr:colOff>561975</xdr:colOff>
      <xdr:row>11</xdr:row>
      <xdr:rowOff>142875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75204923-D7F1-81BA-587D-C7C2599FCD8B}"/>
            </a:ext>
          </a:extLst>
        </xdr:cNvPr>
        <xdr:cNvSpPr txBox="1"/>
      </xdr:nvSpPr>
      <xdr:spPr>
        <a:xfrm>
          <a:off x="4210050" y="1362075"/>
          <a:ext cx="1762125" cy="647700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AR" sz="1100" b="1"/>
            <a:t>MONTOS</a:t>
          </a:r>
          <a:r>
            <a:rPr lang="es-AR" sz="1100" b="1" baseline="0"/>
            <a:t> APROXIMADOS</a:t>
          </a:r>
        </a:p>
        <a:p>
          <a:pPr algn="l"/>
          <a:r>
            <a:rPr lang="es-AR" sz="1100" b="1" baseline="0"/>
            <a:t>PUEDE VARIAR PLAN A PLAN </a:t>
          </a:r>
          <a:endParaRPr lang="es-AR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0066"/>
  </sheetPr>
  <dimension ref="B1:O88"/>
  <sheetViews>
    <sheetView topLeftCell="A16" zoomScale="85" zoomScaleNormal="85" workbookViewId="0">
      <selection activeCell="E18" sqref="E18"/>
    </sheetView>
  </sheetViews>
  <sheetFormatPr baseColWidth="10" defaultColWidth="11.42578125" defaultRowHeight="12.75"/>
  <cols>
    <col min="1" max="1" width="3.7109375" style="11" customWidth="1"/>
    <col min="2" max="2" width="11.42578125" style="11"/>
    <col min="3" max="3" width="35.5703125" style="11" customWidth="1"/>
    <col min="4" max="5" width="18.42578125" style="11" customWidth="1"/>
    <col min="6" max="6" width="3.42578125" style="11" customWidth="1"/>
    <col min="7" max="7" width="21.140625" style="12" customWidth="1"/>
    <col min="8" max="8" width="20.85546875" style="12" customWidth="1"/>
    <col min="9" max="9" width="21.140625" style="12" customWidth="1"/>
    <col min="10" max="10" width="4.140625" style="12" customWidth="1"/>
    <col min="11" max="13" width="17" style="11" customWidth="1"/>
    <col min="14" max="16384" width="11.42578125" style="11"/>
  </cols>
  <sheetData>
    <row r="1" spans="2:15">
      <c r="C1"/>
    </row>
    <row r="2" spans="2:15" ht="15.75">
      <c r="B2" s="104"/>
      <c r="C2" s="104"/>
      <c r="D2" s="104"/>
      <c r="E2" s="104"/>
      <c r="F2" s="104"/>
      <c r="G2" s="104"/>
      <c r="H2" s="104"/>
      <c r="I2" s="104"/>
      <c r="J2" s="104"/>
    </row>
    <row r="3" spans="2:15">
      <c r="G3" s="11"/>
      <c r="H3" s="11"/>
      <c r="I3" s="11"/>
      <c r="J3" s="11"/>
    </row>
    <row r="5" spans="2:15" ht="13.5" thickBot="1">
      <c r="L5"/>
    </row>
    <row r="6" spans="2:15" ht="24" customHeight="1" thickTop="1">
      <c r="B6" s="148" t="s">
        <v>261</v>
      </c>
      <c r="C6" s="145" t="s">
        <v>521</v>
      </c>
      <c r="D6" s="145" t="s">
        <v>517</v>
      </c>
      <c r="E6" s="146"/>
      <c r="G6" s="83" t="s">
        <v>880</v>
      </c>
      <c r="H6" s="83"/>
      <c r="J6" s="86"/>
      <c r="K6" s="87"/>
    </row>
    <row r="7" spans="2:15" ht="24" customHeight="1" thickBot="1">
      <c r="B7" s="149"/>
      <c r="C7" s="147"/>
      <c r="D7" s="108" t="s">
        <v>484</v>
      </c>
      <c r="E7" s="109" t="s">
        <v>483</v>
      </c>
      <c r="G7" s="73" t="s">
        <v>264</v>
      </c>
      <c r="H7" s="73" t="s">
        <v>522</v>
      </c>
      <c r="J7" s="88" t="s">
        <v>881</v>
      </c>
      <c r="K7" s="88"/>
    </row>
    <row r="8" spans="2:15" ht="16.5" customHeight="1" thickTop="1">
      <c r="B8" s="160"/>
      <c r="C8" s="106" t="s">
        <v>568</v>
      </c>
      <c r="D8" s="107">
        <f>'PADRON CAP'!H346</f>
        <v>13875</v>
      </c>
      <c r="E8" s="107">
        <f>'PADRON CAP'!I346</f>
        <v>11708</v>
      </c>
      <c r="G8" s="85">
        <f>SUMPRODUCT(1/COUNTIF('PADRON CAP'!D3:'PADRON CAP'!D342,'PADRON CAP'!D3:'PADRON CAP'!D342))</f>
        <v>212</v>
      </c>
      <c r="H8" s="85">
        <f>SUMPRODUCT(1/COUNTIF('PADRON INTERIOR'!B3:'PADRON INTERIOR'!B257,'PADRON INTERIOR'!B3:'PADRON INTERIOR'!B257))</f>
        <v>133.00000000000003</v>
      </c>
      <c r="J8" s="89" t="s">
        <v>264</v>
      </c>
      <c r="K8" s="89" t="s">
        <v>522</v>
      </c>
    </row>
    <row r="9" spans="2:15" ht="18.75" customHeight="1">
      <c r="B9" s="160"/>
      <c r="C9" s="93" t="s">
        <v>569</v>
      </c>
      <c r="D9" s="94">
        <f>'PADRON CAP'!H347</f>
        <v>1450</v>
      </c>
      <c r="E9" s="94">
        <f>'PADRON CAP'!I347</f>
        <v>1910</v>
      </c>
      <c r="G9" s="84" t="s">
        <v>635</v>
      </c>
      <c r="H9" s="84">
        <f>+G8+H8</f>
        <v>345</v>
      </c>
      <c r="J9" s="90">
        <f>SUMPRODUCT(1/COUNTIF('PADRON CAP'!D3:'PADRON CAP'!D342,'PADRON CAP'!D3:'PADRON CAP'!D342))</f>
        <v>212</v>
      </c>
      <c r="K9" s="90">
        <f>SUMPRODUCT(1/COUNTIF('PADRON INTERIOR'!C3:'PADRON INTERIOR'!C257,'PADRON INTERIOR'!C3:'PADRON INTERIOR'!C257))</f>
        <v>167</v>
      </c>
    </row>
    <row r="10" spans="2:15" ht="18.75" customHeight="1" thickBot="1">
      <c r="B10" s="161"/>
      <c r="C10" s="97" t="s">
        <v>873</v>
      </c>
      <c r="D10" s="98">
        <f>'PADRON CAP'!H348</f>
        <v>410</v>
      </c>
      <c r="E10" s="98">
        <f>'PADRON CAP'!I348</f>
        <v>345</v>
      </c>
      <c r="J10" s="91" t="s">
        <v>635</v>
      </c>
      <c r="K10" s="91">
        <f>+J9+K9</f>
        <v>379</v>
      </c>
    </row>
    <row r="11" spans="2:15" ht="18.75" customHeight="1" thickTop="1">
      <c r="B11" s="159"/>
      <c r="C11" s="96" t="s">
        <v>568</v>
      </c>
      <c r="D11" s="94">
        <f>'PADRON INTERIOR'!I261</f>
        <v>4615</v>
      </c>
      <c r="E11" s="94">
        <f>'PADRON INTERIOR'!J261</f>
        <v>7122</v>
      </c>
    </row>
    <row r="12" spans="2:15" ht="18.75" customHeight="1">
      <c r="B12" s="160"/>
      <c r="C12" s="93" t="s">
        <v>569</v>
      </c>
      <c r="D12" s="94">
        <f>'PADRON INTERIOR'!I262</f>
        <v>2476</v>
      </c>
      <c r="E12" s="94">
        <f>'PADRON INTERIOR'!J262</f>
        <v>4805</v>
      </c>
      <c r="M12" s="54"/>
      <c r="N12" s="54"/>
      <c r="O12" s="54"/>
    </row>
    <row r="13" spans="2:15" ht="18.75" customHeight="1" thickBot="1">
      <c r="B13" s="161"/>
      <c r="C13" s="97" t="s">
        <v>873</v>
      </c>
      <c r="D13" s="98">
        <f>'PADRON INTERIOR'!I263</f>
        <v>85</v>
      </c>
      <c r="E13" s="98">
        <f>'PADRON INTERIOR'!J263</f>
        <v>145</v>
      </c>
      <c r="M13" s="54"/>
      <c r="N13" s="54"/>
      <c r="O13" s="54"/>
    </row>
    <row r="14" spans="2:15" ht="18.75" customHeight="1" thickTop="1">
      <c r="B14" s="162" t="s">
        <v>1570</v>
      </c>
      <c r="C14" s="163"/>
      <c r="D14" s="95">
        <f>SUM(D8:D13)</f>
        <v>22911</v>
      </c>
      <c r="E14" s="95">
        <f>SUM(E8:E13)</f>
        <v>26035</v>
      </c>
      <c r="M14" s="54"/>
      <c r="N14" s="54"/>
      <c r="O14" s="54"/>
    </row>
    <row r="15" spans="2:15" ht="18.75" customHeight="1">
      <c r="B15" s="159"/>
      <c r="C15" s="99" t="s">
        <v>518</v>
      </c>
      <c r="D15" s="100">
        <f>'PADRON CAP'!H349</f>
        <v>2365</v>
      </c>
      <c r="E15" s="100">
        <f>'PADRON CAP'!I349</f>
        <v>2250</v>
      </c>
      <c r="M15" s="54"/>
      <c r="N15" s="54"/>
      <c r="O15" s="54"/>
    </row>
    <row r="16" spans="2:15" ht="18.75" customHeight="1">
      <c r="B16" s="160"/>
      <c r="C16" s="101" t="s">
        <v>520</v>
      </c>
      <c r="D16" s="100">
        <f>'PADRON CAP'!H350</f>
        <v>0</v>
      </c>
      <c r="E16" s="100">
        <f>'PADRON CAP'!I350</f>
        <v>2400</v>
      </c>
      <c r="G16" s="156" t="s">
        <v>1562</v>
      </c>
      <c r="H16" s="157"/>
      <c r="I16" s="158"/>
      <c r="K16" s="150" t="s">
        <v>1563</v>
      </c>
      <c r="L16" s="151"/>
      <c r="M16" s="152"/>
    </row>
    <row r="17" spans="2:14" ht="19.5" customHeight="1" thickBot="1">
      <c r="B17" s="161"/>
      <c r="C17" s="102" t="s">
        <v>519</v>
      </c>
      <c r="D17" s="103">
        <f>'PADRON CAP'!H351</f>
        <v>3950</v>
      </c>
      <c r="E17" s="103">
        <f>'PADRON CAP'!I351</f>
        <v>3153</v>
      </c>
      <c r="G17" s="93" t="s">
        <v>261</v>
      </c>
      <c r="H17" s="92" t="s">
        <v>483</v>
      </c>
      <c r="I17" s="92" t="s">
        <v>484</v>
      </c>
      <c r="J17" s="11"/>
      <c r="K17" s="153"/>
      <c r="L17" s="154"/>
      <c r="M17" s="155"/>
    </row>
    <row r="18" spans="2:14" ht="23.25" customHeight="1" thickTop="1">
      <c r="B18" s="143" t="s">
        <v>1567</v>
      </c>
      <c r="C18" s="144"/>
      <c r="D18" s="105">
        <f>+D14+D15+D16+D17</f>
        <v>29226</v>
      </c>
      <c r="E18" s="105">
        <f>+E14+E15+E16+E17</f>
        <v>33838</v>
      </c>
      <c r="G18" s="93" t="s">
        <v>1481</v>
      </c>
      <c r="H18" s="94">
        <f t="array" ref="H18">SUM(--(FREQUENCY(IF('PADRON CAP'!I3:'PADRON CAP'!I342='PADRON CAP'!L1,MATCH('PADRON CAP'!D3:'PADRON CAP'!D342,'PADRON CAP'!D3:'PADRON CAP'!D342,0)),ROW('PADRON CAP'!D3:'PADRON CAP'!D342)-ROW('PADRON CAP'!D3)+1)&gt;0))</f>
        <v>185</v>
      </c>
      <c r="I18" s="94">
        <f t="array" ref="I18">SUM(--(FREQUENCY(IF('PADRON CAP'!I3:'PADRON CAP'!I342='PADRON CAP'!M1,MATCH('PADRON CAP'!D3:'PADRON CAP'!D342,'PADRON CAP'!D3:'PADRON CAP'!D342,0)),ROW('PADRON CAP'!D3:'PADRON CAP'!D342)-ROW('PADRON CAP'!D3)+1)&gt;0))</f>
        <v>155</v>
      </c>
      <c r="J18" s="11"/>
      <c r="K18" s="93" t="s">
        <v>261</v>
      </c>
      <c r="L18" s="92" t="s">
        <v>483</v>
      </c>
      <c r="M18" s="92" t="s">
        <v>484</v>
      </c>
      <c r="N18" s="12"/>
    </row>
    <row r="19" spans="2:14" ht="23.25" customHeight="1">
      <c r="D19" s="18"/>
      <c r="E19" s="18"/>
      <c r="G19" s="93" t="s">
        <v>522</v>
      </c>
      <c r="H19" s="94">
        <f t="array" ref="H19">(SUM(--(FREQUENCY(IF('PADRON INTERIOR'!J3:'PADRON INTERIOR'!J257='PADRON INTERIOR'!M1,MATCH('PADRON INTERIOR'!B3:'PADRON INTERIOR'!B257,'PADRON INTERIOR'!B3:'PADRON INTERIOR'!B257,0)),ROW('PADRON INTERIOR'!B3:'PADRON INTERIOR'!B257)-ROW('PADRON INTERIOR'!B3)+1)&gt;0)))</f>
        <v>119</v>
      </c>
      <c r="I19" s="94">
        <f t="array" ref="I19">SUM(--(FREQUENCY(IF('PADRON INTERIOR'!J3:'PADRON INTERIOR'!J257='PADRON INTERIOR'!N1,MATCH('PADRON INTERIOR'!B3:'PADRON INTERIOR'!B257,'PADRON INTERIOR'!B3:'PADRON INTERIOR'!B257,0)),ROW('PADRON INTERIOR'!B3:'PADRON INTERIOR'!B257)-ROW('PADRON INTERIOR'!B3)+1)&gt;0))</f>
        <v>90</v>
      </c>
      <c r="J19" s="11"/>
      <c r="K19" s="93" t="s">
        <v>1481</v>
      </c>
      <c r="L19" s="94">
        <f>((COUNTIFS('PADRON CAP'!$I$3:$I$342,"REFRIGERIOS")))</f>
        <v>185</v>
      </c>
      <c r="M19" s="94">
        <f>((COUNTIFS('PADRON CAP'!$I$3:$I$2343,"comidas")))</f>
        <v>155</v>
      </c>
      <c r="N19" s="12"/>
    </row>
    <row r="20" spans="2:14" ht="23.25" customHeight="1">
      <c r="D20" s="18"/>
      <c r="E20" s="18"/>
      <c r="G20" s="93" t="s">
        <v>635</v>
      </c>
      <c r="H20" s="95">
        <f>+H18+H19</f>
        <v>304</v>
      </c>
      <c r="I20" s="95">
        <f>+I18+I19</f>
        <v>245</v>
      </c>
      <c r="J20" s="11"/>
      <c r="K20" s="93" t="s">
        <v>522</v>
      </c>
      <c r="L20" s="94">
        <f>(COUNTIFS('PADRON INTERIOR'!$J$3:$J$257,"REFRIGERIOS"))-'PADRON INTERIOR'!J273</f>
        <v>151</v>
      </c>
      <c r="M20" s="94">
        <f>(COUNTIFS('PADRON INTERIOR'!$J$3:$J$257,"COMIDAS"))-'PADRON INTERIOR'!I273</f>
        <v>104</v>
      </c>
      <c r="N20" s="12"/>
    </row>
    <row r="21" spans="2:14" ht="29.25" customHeight="1">
      <c r="D21" s="18"/>
      <c r="E21" s="18"/>
      <c r="J21" s="11"/>
      <c r="K21" s="93" t="s">
        <v>635</v>
      </c>
      <c r="L21" s="95">
        <f>SUM(L19:L20)</f>
        <v>336</v>
      </c>
      <c r="M21" s="95">
        <f>SUM(M19:M20)</f>
        <v>259</v>
      </c>
      <c r="N21" s="12"/>
    </row>
    <row r="22" spans="2:14" ht="25.15" customHeight="1">
      <c r="D22" s="129" t="s">
        <v>264</v>
      </c>
      <c r="E22" s="129" t="s">
        <v>522</v>
      </c>
      <c r="J22" s="11"/>
      <c r="K22" s="119"/>
      <c r="L22" s="120"/>
      <c r="M22" s="120"/>
      <c r="N22" s="12"/>
    </row>
    <row r="23" spans="2:14" ht="22.15" customHeight="1">
      <c r="C23" s="11" t="s">
        <v>486</v>
      </c>
      <c r="D23" s="12">
        <f t="array" ref="D23">SUM(--(FREQUENCY(IF('PADRON CAP'!G3:'PADRON CAP'!G342='PADRON CAP'!D344,MATCH('PADRON CAP'!D3:'PADRON CAP'!D342,'PADRON CAP'!D3:'PADRON CAP'!D342,0)),ROW('PADRON CAP'!D3:'PADRON CAP'!D342)-ROW('PADRON CAP'!D3)+1)&gt;0))</f>
        <v>153</v>
      </c>
      <c r="E23" s="12">
        <v>83</v>
      </c>
      <c r="J23" s="11"/>
      <c r="K23" s="119"/>
      <c r="L23" s="120"/>
      <c r="M23" s="120"/>
      <c r="N23" s="12"/>
    </row>
    <row r="24" spans="2:14" ht="22.15" customHeight="1">
      <c r="C24" s="11" t="s">
        <v>1579</v>
      </c>
      <c r="D24" s="12">
        <f t="array" ref="D24">SUM(--(FREQUENCY(IF('PADRON CAP'!G3:'PADRON CAP'!G342='PADRON CAP'!D346,MATCH('PADRON CAP'!D3:'PADRON CAP'!D342,'PADRON CAP'!D4:'PADRON CAP'!D342,0)),ROW('PADRON CAP'!D3:'PADRON CAP'!D342)-ROW('PADRON CAP'!D3)+1)&gt;0))</f>
        <v>25</v>
      </c>
      <c r="E24" s="12">
        <v>82</v>
      </c>
      <c r="J24" s="11"/>
      <c r="K24" s="119"/>
      <c r="L24" s="120"/>
      <c r="M24" s="120"/>
      <c r="N24" s="12"/>
    </row>
    <row r="25" spans="2:14" ht="22.15" customHeight="1">
      <c r="C25" s="11" t="s">
        <v>1580</v>
      </c>
      <c r="D25" s="12">
        <f t="array" ref="D25">SUM(--(FREQUENCY(IF('PADRON CAP'!G4:'PADRON CAP'!G343='PADRON CAP'!D349,MATCH('PADRON CAP'!D4:'PADRON CAP'!D343,'PADRON CAP'!D5:'PADRON CAP'!D343,0)),ROW('PADRON CAP'!D4:'PADRON CAP'!D343)-ROW('PADRON CAP'!D4)+1)&gt;0))</f>
        <v>8</v>
      </c>
      <c r="E25" s="12">
        <f t="array" ref="E25">SUM(--(FREQUENCY(IF('PADRON INTERIOR'!I3:'PADRON INTERIOR'!I257='PADRON INTERIOR'!B261,MATCH('PADRON INTERIOR'!C3:'PADRON INTERIOR'!C257,'PADRON INTERIOR'!C3:'PADRON INTERIOR'!C257,0)),ROW('PADRON INTERIOR'!C3:'PADRON INTERIOR'!C257)-ROW('PADRON INTERIOR'!C3)+1)&gt;0))</f>
        <v>3</v>
      </c>
      <c r="J25" s="11"/>
      <c r="K25" s="119"/>
      <c r="L25" s="120"/>
      <c r="M25" s="120"/>
      <c r="N25" s="12"/>
    </row>
    <row r="26" spans="2:14" ht="22.15" customHeight="1">
      <c r="C26" s="11" t="s">
        <v>1581</v>
      </c>
      <c r="D26" s="12">
        <f t="array" ref="D26">SUM(--(FREQUENCY(IF('PADRON CAP'!G5:'PADRON CAP'!G344='PADRON CAP'!D345,MATCH('PADRON CAP'!D5:'PADRON CAP'!D344,'PADRON CAP'!D6:'PADRON CAP'!D344,0)),ROW('PADRON CAP'!D5:'PADRON CAP'!D344)-ROW('PADRON CAP'!D5)+1)&gt;0))</f>
        <v>17</v>
      </c>
      <c r="E26" s="129"/>
      <c r="J26" s="11"/>
      <c r="K26" s="119"/>
      <c r="L26" s="120"/>
      <c r="M26" s="120"/>
      <c r="N26" s="12"/>
    </row>
    <row r="27" spans="2:14" ht="22.15" customHeight="1">
      <c r="C27" s="11" t="s">
        <v>520</v>
      </c>
      <c r="D27" s="12">
        <f t="array" ref="D27">SUM(--(FREQUENCY(IF('PADRON CAP'!G6:'PADRON CAP'!G345='PADRON CAP'!D347,MATCH('PADRON CAP'!D6:'PADRON CAP'!D345,'PADRON CAP'!D7:'PADRON CAP'!D345,0)),ROW('PADRON CAP'!D6:'PADRON CAP'!D345)-ROW('PADRON CAP'!D6)+1)&gt;0))</f>
        <v>2</v>
      </c>
      <c r="E27" s="129"/>
      <c r="H27" s="11"/>
      <c r="I27" s="11"/>
      <c r="J27" s="11"/>
      <c r="K27" s="119"/>
      <c r="L27" s="120"/>
      <c r="M27" s="120"/>
      <c r="N27" s="12"/>
    </row>
    <row r="28" spans="2:14" ht="22.15" customHeight="1">
      <c r="C28" s="11" t="s">
        <v>519</v>
      </c>
      <c r="D28" s="132">
        <f t="array" ref="D28">SUM(--(FREQUENCY(IF('PADRON CAP'!G7:'PADRON CAP'!G346='PADRON CAP'!D348,MATCH('PADRON CAP'!D7:'PADRON CAP'!D346,'PADRON CAP'!D8:'PADRON CAP'!D346,0)),ROW('PADRON CAP'!D7:'PADRON CAP'!D346)-ROW('PADRON CAP'!D7)+1)&gt;0))</f>
        <v>7</v>
      </c>
      <c r="E28" s="133"/>
      <c r="H28" s="11"/>
      <c r="I28" s="11"/>
      <c r="J28" s="11"/>
      <c r="K28" s="119"/>
      <c r="L28" s="120"/>
      <c r="M28" s="120"/>
      <c r="N28" s="12"/>
    </row>
    <row r="29" spans="2:14" ht="22.5" customHeight="1">
      <c r="D29" s="134">
        <f>SUM(D23:D28)</f>
        <v>212</v>
      </c>
      <c r="E29" s="134">
        <f>SUM(E23:E28)</f>
        <v>168</v>
      </c>
      <c r="I29" s="11"/>
      <c r="J29" s="11"/>
      <c r="K29" s="119"/>
      <c r="M29" s="12"/>
    </row>
    <row r="30" spans="2:14" ht="22.5" customHeight="1">
      <c r="D30" s="5">
        <f>+D29+E29</f>
        <v>380</v>
      </c>
      <c r="E30" s="131"/>
      <c r="I30" s="11"/>
      <c r="J30" s="11"/>
      <c r="K30" s="119"/>
      <c r="M30" s="12"/>
    </row>
    <row r="32" spans="2:14">
      <c r="D32" s="58">
        <f>+D33/D36</f>
        <v>0.77376823488920066</v>
      </c>
    </row>
    <row r="33" spans="3:8">
      <c r="C33" s="56" t="s">
        <v>1516</v>
      </c>
      <c r="D33" s="57">
        <f>+D18</f>
        <v>29226</v>
      </c>
    </row>
    <row r="34" spans="3:8">
      <c r="C34" s="11" t="s">
        <v>1511</v>
      </c>
      <c r="D34" s="18">
        <f>+D18</f>
        <v>29226</v>
      </c>
      <c r="G34" s="11"/>
      <c r="H34" s="58">
        <f>+H35/H38</f>
        <v>0.8991576541864853</v>
      </c>
    </row>
    <row r="35" spans="3:8" ht="17.25">
      <c r="C35" s="11" t="s">
        <v>1512</v>
      </c>
      <c r="D35" s="18">
        <f>+D36-D34</f>
        <v>8545</v>
      </c>
      <c r="F35" s="38"/>
      <c r="G35" s="56" t="s">
        <v>1516</v>
      </c>
      <c r="H35" s="57">
        <f>+E18</f>
        <v>33838</v>
      </c>
    </row>
    <row r="36" spans="3:8">
      <c r="C36" s="11" t="s">
        <v>1510</v>
      </c>
      <c r="D36" s="11">
        <v>37771</v>
      </c>
      <c r="E36" s="18"/>
      <c r="G36" s="11" t="s">
        <v>1511</v>
      </c>
      <c r="H36" s="18">
        <f>+E18</f>
        <v>33838</v>
      </c>
    </row>
    <row r="37" spans="3:8">
      <c r="G37" s="11" t="s">
        <v>1512</v>
      </c>
      <c r="H37" s="18">
        <f>+H38-H36</f>
        <v>3795</v>
      </c>
    </row>
    <row r="38" spans="3:8">
      <c r="C38" s="11" t="s">
        <v>1513</v>
      </c>
      <c r="D38" s="11">
        <f>+D33-D39/1</f>
        <v>27726</v>
      </c>
      <c r="G38" s="11" t="s">
        <v>1510</v>
      </c>
      <c r="H38" s="11">
        <v>37633</v>
      </c>
    </row>
    <row r="39" spans="3:8">
      <c r="C39" s="11" t="s">
        <v>1514</v>
      </c>
      <c r="D39" s="18">
        <v>1500</v>
      </c>
      <c r="E39" s="18"/>
      <c r="G39" s="11"/>
      <c r="H39" s="11"/>
    </row>
    <row r="40" spans="3:8">
      <c r="C40" s="11" t="s">
        <v>1515</v>
      </c>
      <c r="D40" s="18">
        <f>SUM(D34:D36)-D38-D39</f>
        <v>46316</v>
      </c>
      <c r="G40" s="11" t="s">
        <v>1513</v>
      </c>
      <c r="H40" s="11">
        <f>+H35-H41/1</f>
        <v>32338</v>
      </c>
    </row>
    <row r="41" spans="3:8">
      <c r="G41" s="11" t="s">
        <v>1514</v>
      </c>
      <c r="H41" s="18">
        <v>1500</v>
      </c>
    </row>
    <row r="42" spans="3:8">
      <c r="G42" s="11" t="s">
        <v>1515</v>
      </c>
      <c r="H42" s="18">
        <f>SUM(H36:H38)-H40-H41</f>
        <v>41428</v>
      </c>
    </row>
    <row r="43" spans="3:8" ht="12.75" customHeight="1"/>
    <row r="44" spans="3:8" ht="12.75" customHeight="1"/>
    <row r="50" spans="2:9">
      <c r="D50" s="58"/>
    </row>
    <row r="52" spans="2:9">
      <c r="B52" s="61" t="s">
        <v>1517</v>
      </c>
      <c r="C52" s="11">
        <f>(37771*42)</f>
        <v>1586382</v>
      </c>
      <c r="D52" s="11">
        <f>26705*42</f>
        <v>1121610</v>
      </c>
      <c r="E52" s="60">
        <f>+D52/$C$60</f>
        <v>0.11783731787173581</v>
      </c>
      <c r="F52" s="61" t="s">
        <v>1517</v>
      </c>
      <c r="G52" s="11">
        <f>(37633*42)</f>
        <v>1580586</v>
      </c>
      <c r="H52" s="11">
        <f>28578*42</f>
        <v>1200276</v>
      </c>
      <c r="I52" s="60">
        <f>+H52/$G$60</f>
        <v>0.12656445141232428</v>
      </c>
    </row>
    <row r="53" spans="2:9">
      <c r="B53" s="61">
        <v>1</v>
      </c>
      <c r="C53" s="11">
        <f>37771*30</f>
        <v>1133130</v>
      </c>
      <c r="D53" s="11">
        <f>29201*30</f>
        <v>876030</v>
      </c>
      <c r="E53" s="60">
        <f>+D53/$C$60+E52</f>
        <v>0.2098737882805024</v>
      </c>
      <c r="F53" s="61">
        <v>1</v>
      </c>
      <c r="G53" s="11">
        <f>37633*30</f>
        <v>1128990</v>
      </c>
      <c r="H53" s="11">
        <f>33778*30</f>
        <v>1013340</v>
      </c>
      <c r="I53" s="60">
        <f>+H53/$G$60+I52</f>
        <v>0.23341722626924444</v>
      </c>
    </row>
    <row r="54" spans="2:9">
      <c r="B54" s="61">
        <v>2</v>
      </c>
      <c r="C54" s="11">
        <f t="shared" ref="C54:C59" si="0">37771*30</f>
        <v>1133130</v>
      </c>
      <c r="D54" s="11">
        <f t="shared" ref="D54:D59" si="1">29201*30</f>
        <v>876030</v>
      </c>
      <c r="E54" s="60">
        <f t="shared" ref="E54:E59" si="2">+D54/$C$60+E53</f>
        <v>0.30191025868926902</v>
      </c>
      <c r="F54" s="61">
        <v>2</v>
      </c>
      <c r="G54" s="11">
        <f t="shared" ref="G54:G59" si="3">37633*30</f>
        <v>1128990</v>
      </c>
      <c r="H54" s="11">
        <f t="shared" ref="H54:H59" si="4">33778*30</f>
        <v>1013340</v>
      </c>
      <c r="I54" s="60">
        <f t="shared" ref="I54:I59" si="5">+H54/$G$60+I53</f>
        <v>0.34027000112616457</v>
      </c>
    </row>
    <row r="55" spans="2:9">
      <c r="B55" s="61">
        <v>3</v>
      </c>
      <c r="C55" s="11">
        <f t="shared" si="0"/>
        <v>1133130</v>
      </c>
      <c r="D55" s="11">
        <f t="shared" si="1"/>
        <v>876030</v>
      </c>
      <c r="E55" s="60">
        <f t="shared" si="2"/>
        <v>0.39394672909803563</v>
      </c>
      <c r="F55" s="61">
        <v>3</v>
      </c>
      <c r="G55" s="11">
        <f t="shared" si="3"/>
        <v>1128990</v>
      </c>
      <c r="H55" s="11">
        <f t="shared" si="4"/>
        <v>1013340</v>
      </c>
      <c r="I55" s="60">
        <f t="shared" si="5"/>
        <v>0.4471227759830847</v>
      </c>
    </row>
    <row r="56" spans="2:9">
      <c r="B56" s="61">
        <v>4</v>
      </c>
      <c r="C56" s="11">
        <f t="shared" si="0"/>
        <v>1133130</v>
      </c>
      <c r="D56" s="11">
        <f t="shared" si="1"/>
        <v>876030</v>
      </c>
      <c r="E56" s="60">
        <f t="shared" si="2"/>
        <v>0.48598319950680224</v>
      </c>
      <c r="F56" s="61">
        <v>4</v>
      </c>
      <c r="G56" s="11">
        <f t="shared" si="3"/>
        <v>1128990</v>
      </c>
      <c r="H56" s="11">
        <f t="shared" si="4"/>
        <v>1013340</v>
      </c>
      <c r="I56" s="60">
        <f t="shared" si="5"/>
        <v>0.55397555084000483</v>
      </c>
    </row>
    <row r="57" spans="2:9">
      <c r="B57" s="61">
        <v>5</v>
      </c>
      <c r="C57" s="11">
        <f t="shared" si="0"/>
        <v>1133130</v>
      </c>
      <c r="D57" s="11">
        <f t="shared" si="1"/>
        <v>876030</v>
      </c>
      <c r="E57" s="60">
        <f t="shared" si="2"/>
        <v>0.57801966991556886</v>
      </c>
      <c r="F57" s="61">
        <v>5</v>
      </c>
      <c r="G57" s="11">
        <f t="shared" si="3"/>
        <v>1128990</v>
      </c>
      <c r="H57" s="11">
        <f t="shared" si="4"/>
        <v>1013340</v>
      </c>
      <c r="I57" s="60">
        <f t="shared" si="5"/>
        <v>0.66082832569692496</v>
      </c>
    </row>
    <row r="58" spans="2:9">
      <c r="B58" s="61">
        <v>6</v>
      </c>
      <c r="C58" s="11">
        <f t="shared" si="0"/>
        <v>1133130</v>
      </c>
      <c r="D58" s="11">
        <f t="shared" si="1"/>
        <v>876030</v>
      </c>
      <c r="E58" s="60">
        <f t="shared" si="2"/>
        <v>0.67005614032433547</v>
      </c>
      <c r="F58" s="61">
        <v>6</v>
      </c>
      <c r="G58" s="11">
        <f t="shared" si="3"/>
        <v>1128990</v>
      </c>
      <c r="H58" s="11">
        <f t="shared" si="4"/>
        <v>1013340</v>
      </c>
      <c r="I58" s="60">
        <f t="shared" si="5"/>
        <v>0.76768110055384509</v>
      </c>
    </row>
    <row r="59" spans="2:9">
      <c r="B59" s="61">
        <v>7</v>
      </c>
      <c r="C59" s="11">
        <f t="shared" si="0"/>
        <v>1133130</v>
      </c>
      <c r="D59" s="11">
        <f t="shared" si="1"/>
        <v>876030</v>
      </c>
      <c r="E59" s="60">
        <f t="shared" si="2"/>
        <v>0.76209261073310208</v>
      </c>
      <c r="F59" s="61">
        <v>7</v>
      </c>
      <c r="G59" s="11">
        <f t="shared" si="3"/>
        <v>1128990</v>
      </c>
      <c r="H59" s="11">
        <f t="shared" si="4"/>
        <v>1013340</v>
      </c>
      <c r="I59" s="60">
        <f t="shared" si="5"/>
        <v>0.87453387541076522</v>
      </c>
    </row>
    <row r="60" spans="2:9">
      <c r="B60" s="61" t="s">
        <v>1518</v>
      </c>
      <c r="C60" s="11">
        <f>SUM(C52:C59)</f>
        <v>9518292</v>
      </c>
      <c r="D60" s="11">
        <f>SUM(D52:D59)</f>
        <v>7253820</v>
      </c>
      <c r="E60" s="60"/>
      <c r="F60" s="61" t="s">
        <v>1518</v>
      </c>
      <c r="G60" s="11">
        <f>SUM(G52:G59)</f>
        <v>9483516</v>
      </c>
      <c r="H60" s="11">
        <f>SUM(H52:H59)</f>
        <v>8293656</v>
      </c>
      <c r="I60" s="59"/>
    </row>
    <row r="61" spans="2:9">
      <c r="B61" s="61"/>
      <c r="E61" s="59"/>
      <c r="G61" s="11"/>
      <c r="H61" s="11"/>
      <c r="I61" s="11"/>
    </row>
    <row r="62" spans="2:9">
      <c r="B62" s="61"/>
      <c r="G62" s="11"/>
      <c r="H62" s="11"/>
      <c r="I62" s="11"/>
    </row>
    <row r="63" spans="2:9">
      <c r="B63" s="61"/>
      <c r="C63" s="18"/>
      <c r="F63" s="61"/>
      <c r="G63" s="18"/>
      <c r="H63" s="11"/>
      <c r="I63" s="11"/>
    </row>
    <row r="64" spans="2:9">
      <c r="B64" s="61"/>
      <c r="C64" s="18"/>
      <c r="F64" s="61"/>
      <c r="G64" s="18">
        <f>SUM(G52:G60)-G63-G62</f>
        <v>18967032</v>
      </c>
      <c r="H64" s="11"/>
      <c r="I64" s="11"/>
    </row>
    <row r="65" spans="2:10">
      <c r="B65" s="61"/>
      <c r="F65" s="61"/>
    </row>
    <row r="66" spans="2:10">
      <c r="B66" s="12" t="s">
        <v>1523</v>
      </c>
      <c r="C66" s="12">
        <f>D66*PI()</f>
        <v>0.65933795144308593</v>
      </c>
      <c r="D66" s="62">
        <f>+E53</f>
        <v>0.2098737882805024</v>
      </c>
      <c r="F66" s="61"/>
    </row>
    <row r="67" spans="2:10">
      <c r="B67" s="17"/>
      <c r="C67" s="17" t="s">
        <v>1524</v>
      </c>
      <c r="D67" s="17" t="s">
        <v>1525</v>
      </c>
      <c r="H67" s="61"/>
      <c r="I67" s="11"/>
      <c r="J67" s="11"/>
    </row>
    <row r="68" spans="2:10">
      <c r="B68" s="17" t="s">
        <v>1526</v>
      </c>
      <c r="C68" s="17">
        <v>0</v>
      </c>
      <c r="D68" s="17">
        <v>0</v>
      </c>
      <c r="G68" s="12" t="s">
        <v>1523</v>
      </c>
      <c r="H68" s="12">
        <f>I68*PI()</f>
        <v>0.7333018432687648</v>
      </c>
      <c r="I68" s="62">
        <f>+I53</f>
        <v>0.23341722626924444</v>
      </c>
    </row>
    <row r="69" spans="2:10">
      <c r="B69" s="17" t="s">
        <v>1527</v>
      </c>
      <c r="C69" s="17">
        <f>COS(C66)*-1</f>
        <v>-0.79039797146471491</v>
      </c>
      <c r="D69" s="17">
        <f>SIN(C66)</f>
        <v>0.61259370442770933</v>
      </c>
      <c r="G69" s="17"/>
      <c r="H69" s="17" t="s">
        <v>1524</v>
      </c>
      <c r="I69" s="17" t="s">
        <v>1525</v>
      </c>
    </row>
    <row r="70" spans="2:10">
      <c r="G70" s="17" t="s">
        <v>1526</v>
      </c>
      <c r="H70" s="17">
        <v>0</v>
      </c>
      <c r="I70" s="17">
        <v>0</v>
      </c>
    </row>
    <row r="71" spans="2:10">
      <c r="G71" s="17" t="s">
        <v>1527</v>
      </c>
      <c r="H71" s="17">
        <f>COS(H68)*-1</f>
        <v>-0.74296844532536677</v>
      </c>
      <c r="I71" s="17">
        <f>SIN(H68)</f>
        <v>0.66932644445801448</v>
      </c>
    </row>
    <row r="88" spans="8:8">
      <c r="H88" s="12" t="s">
        <v>1480</v>
      </c>
    </row>
  </sheetData>
  <mergeCells count="10">
    <mergeCell ref="B18:C18"/>
    <mergeCell ref="D6:E6"/>
    <mergeCell ref="C6:C7"/>
    <mergeCell ref="B6:B7"/>
    <mergeCell ref="K16:M17"/>
    <mergeCell ref="G16:I16"/>
    <mergeCell ref="B15:B17"/>
    <mergeCell ref="B11:B13"/>
    <mergeCell ref="B8:B10"/>
    <mergeCell ref="B14:C1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61B28-419D-4CF3-BB9F-7216035EF6A8}">
  <sheetPr>
    <tabColor rgb="FFFF33CC"/>
  </sheetPr>
  <dimension ref="F2:Q39"/>
  <sheetViews>
    <sheetView topLeftCell="A19" zoomScale="85" zoomScaleNormal="85" workbookViewId="0">
      <selection activeCell="Q36" sqref="Q36"/>
    </sheetView>
  </sheetViews>
  <sheetFormatPr baseColWidth="10" defaultColWidth="11.42578125" defaultRowHeight="12.75"/>
  <cols>
    <col min="1" max="11" width="11.42578125" style="55"/>
    <col min="12" max="12" width="7.42578125" style="55" customWidth="1"/>
    <col min="13" max="13" width="25" style="55" bestFit="1" customWidth="1"/>
    <col min="14" max="14" width="12.42578125" style="63" customWidth="1"/>
    <col min="15" max="17" width="20.140625" style="63" customWidth="1"/>
    <col min="18" max="16384" width="11.42578125" style="55"/>
  </cols>
  <sheetData>
    <row r="2" spans="13:17" ht="9" customHeight="1">
      <c r="M2" s="64"/>
      <c r="N2" s="64"/>
      <c r="O2" s="64"/>
      <c r="P2" s="64"/>
      <c r="Q2" s="64"/>
    </row>
    <row r="3" spans="13:17">
      <c r="M3" s="64"/>
      <c r="N3" s="64"/>
      <c r="O3" s="64"/>
      <c r="P3" s="64"/>
      <c r="Q3" s="64"/>
    </row>
    <row r="4" spans="13:17" ht="29.25" customHeight="1" thickBot="1">
      <c r="M4" s="79" t="s">
        <v>502</v>
      </c>
      <c r="N4" s="79" t="s">
        <v>261</v>
      </c>
      <c r="O4" s="67" t="s">
        <v>1532</v>
      </c>
      <c r="P4" s="67" t="s">
        <v>1533</v>
      </c>
      <c r="Q4" s="67" t="s">
        <v>1534</v>
      </c>
    </row>
    <row r="5" spans="13:17" ht="15.75" customHeight="1" thickTop="1">
      <c r="M5" s="65" t="s">
        <v>1496</v>
      </c>
      <c r="N5" s="71" t="s">
        <v>264</v>
      </c>
      <c r="O5" s="66">
        <v>70.284834488067744</v>
      </c>
      <c r="P5" s="66">
        <v>79.460775135742367</v>
      </c>
      <c r="Q5" s="121">
        <v>0.60391198044009775</v>
      </c>
    </row>
    <row r="6" spans="13:17" ht="15.75" customHeight="1">
      <c r="M6" s="72" t="s">
        <v>1478</v>
      </c>
      <c r="N6" s="73" t="s">
        <v>1536</v>
      </c>
      <c r="O6" s="66">
        <v>0</v>
      </c>
      <c r="P6" s="74">
        <v>0</v>
      </c>
      <c r="Q6" s="122">
        <v>2.4449877750611247E-3</v>
      </c>
    </row>
    <row r="7" spans="13:17" ht="15.75" customHeight="1">
      <c r="M7" s="72" t="s">
        <v>819</v>
      </c>
      <c r="N7" s="73" t="s">
        <v>533</v>
      </c>
      <c r="O7" s="66">
        <v>0.97977465183007906</v>
      </c>
      <c r="P7" s="74">
        <v>0.69275416588653815</v>
      </c>
      <c r="Q7" s="122">
        <v>1.4669926650366748E-2</v>
      </c>
    </row>
    <row r="8" spans="13:17" ht="15.75" customHeight="1">
      <c r="M8" s="72" t="s">
        <v>820</v>
      </c>
      <c r="N8" s="73" t="s">
        <v>513</v>
      </c>
      <c r="O8" s="66">
        <v>0</v>
      </c>
      <c r="P8" s="74">
        <v>0.11233851338700618</v>
      </c>
      <c r="Q8" s="122">
        <v>4.8899755501222494E-3</v>
      </c>
    </row>
    <row r="9" spans="13:17" ht="15.75" customHeight="1">
      <c r="M9" s="72" t="s">
        <v>821</v>
      </c>
      <c r="N9" s="73" t="s">
        <v>533</v>
      </c>
      <c r="O9" s="66">
        <v>0.48988732591503953</v>
      </c>
      <c r="P9" s="74">
        <v>0.74892342258004119</v>
      </c>
      <c r="Q9" s="122">
        <v>1.4669926650366748E-2</v>
      </c>
    </row>
    <row r="10" spans="13:17" ht="15.75" customHeight="1">
      <c r="M10" s="72" t="s">
        <v>822</v>
      </c>
      <c r="N10" s="73" t="s">
        <v>533</v>
      </c>
      <c r="O10" s="66">
        <v>2.204492966617678</v>
      </c>
      <c r="P10" s="74">
        <v>0.59913873806403295</v>
      </c>
      <c r="Q10" s="122">
        <v>1.7114914425427872E-2</v>
      </c>
    </row>
    <row r="11" spans="13:17" ht="15.75" customHeight="1">
      <c r="M11" s="72" t="s">
        <v>823</v>
      </c>
      <c r="N11" s="73" t="s">
        <v>526</v>
      </c>
      <c r="O11" s="66">
        <v>0.96227867590454197</v>
      </c>
      <c r="P11" s="74">
        <v>0.48680022467702677</v>
      </c>
      <c r="Q11" s="122">
        <v>1.4669926650366748E-2</v>
      </c>
    </row>
    <row r="12" spans="13:17" ht="15.75" customHeight="1">
      <c r="M12" s="72" t="s">
        <v>824</v>
      </c>
      <c r="N12" s="73" t="s">
        <v>526</v>
      </c>
      <c r="O12" s="66">
        <v>1.5396458814472671</v>
      </c>
      <c r="P12" s="74">
        <v>0.11233851338700618</v>
      </c>
      <c r="Q12" s="122">
        <v>2.2004889975550123E-2</v>
      </c>
    </row>
    <row r="13" spans="13:17" ht="15.75" customHeight="1">
      <c r="M13" s="72" t="s">
        <v>825</v>
      </c>
      <c r="N13" s="73" t="s">
        <v>526</v>
      </c>
      <c r="O13" s="66">
        <v>5.8961438869060112</v>
      </c>
      <c r="P13" s="74">
        <v>4.9241715034637705</v>
      </c>
      <c r="Q13" s="122">
        <v>3.5452322738386305E-2</v>
      </c>
    </row>
    <row r="14" spans="13:17" ht="15.75" customHeight="1">
      <c r="M14" s="72" t="s">
        <v>882</v>
      </c>
      <c r="N14" s="73" t="s">
        <v>533</v>
      </c>
      <c r="O14" s="66">
        <v>0.49688571628525441</v>
      </c>
      <c r="P14" s="74">
        <v>0.71147725145103913</v>
      </c>
      <c r="Q14" s="122">
        <v>1.2224938875305624E-2</v>
      </c>
    </row>
    <row r="15" spans="13:17" ht="15.75" customHeight="1">
      <c r="M15" s="72" t="s">
        <v>826</v>
      </c>
      <c r="N15" s="73" t="s">
        <v>513</v>
      </c>
      <c r="O15" s="66">
        <v>0.73483098887255927</v>
      </c>
      <c r="P15" s="74">
        <v>1.5165699307245835</v>
      </c>
      <c r="Q15" s="122">
        <v>9.7799511002444987E-3</v>
      </c>
    </row>
    <row r="16" spans="13:17" ht="15.75" customHeight="1">
      <c r="M16" s="72" t="s">
        <v>827</v>
      </c>
      <c r="N16" s="73" t="s">
        <v>513</v>
      </c>
      <c r="O16" s="66">
        <v>1.4171740499685073</v>
      </c>
      <c r="P16" s="74">
        <v>0.99232353491855463</v>
      </c>
      <c r="Q16" s="122">
        <v>2.2004889975550123E-2</v>
      </c>
    </row>
    <row r="17" spans="13:17" ht="15.75" customHeight="1">
      <c r="M17" s="72" t="s">
        <v>828</v>
      </c>
      <c r="N17" s="73" t="s">
        <v>526</v>
      </c>
      <c r="O17" s="66">
        <v>1.1722303870109874</v>
      </c>
      <c r="P17" s="74">
        <v>1.6101853585470887</v>
      </c>
      <c r="Q17" s="122">
        <v>2.9339853300733496E-2</v>
      </c>
    </row>
    <row r="18" spans="13:17" ht="15.75" customHeight="1">
      <c r="M18" s="72" t="s">
        <v>829</v>
      </c>
      <c r="N18" s="73" t="s">
        <v>526</v>
      </c>
      <c r="O18" s="66">
        <v>0.4548953740639653</v>
      </c>
      <c r="P18" s="74">
        <v>0.52424639580602883</v>
      </c>
      <c r="Q18" s="121">
        <v>7.3349633251833741E-3</v>
      </c>
    </row>
    <row r="19" spans="13:17" ht="15.75" customHeight="1">
      <c r="M19" s="72" t="s">
        <v>830</v>
      </c>
      <c r="N19" s="73" t="s">
        <v>533</v>
      </c>
      <c r="O19" s="66">
        <v>3.3767233536286656</v>
      </c>
      <c r="P19" s="74">
        <v>1.4229545029020783</v>
      </c>
      <c r="Q19" s="122">
        <v>2.6894865525672371E-2</v>
      </c>
    </row>
    <row r="20" spans="13:17" ht="15.75" customHeight="1">
      <c r="M20" s="72" t="s">
        <v>831</v>
      </c>
      <c r="N20" s="73" t="s">
        <v>533</v>
      </c>
      <c r="O20" s="66">
        <v>0.94478269997900488</v>
      </c>
      <c r="P20" s="74">
        <v>0.11233851338700618</v>
      </c>
      <c r="Q20" s="122">
        <v>7.3349633251833741E-3</v>
      </c>
    </row>
    <row r="21" spans="13:17" ht="15.75" customHeight="1">
      <c r="M21" s="72" t="s">
        <v>832</v>
      </c>
      <c r="N21" s="73" t="s">
        <v>513</v>
      </c>
      <c r="O21" s="66">
        <v>2.3794527258730493</v>
      </c>
      <c r="P21" s="74">
        <v>1.1982774761280659</v>
      </c>
      <c r="Q21" s="122">
        <v>3.1784841075794622E-2</v>
      </c>
    </row>
    <row r="22" spans="13:17" ht="15.75" customHeight="1">
      <c r="M22" s="72" t="s">
        <v>833</v>
      </c>
      <c r="N22" s="73" t="s">
        <v>526</v>
      </c>
      <c r="O22" s="66">
        <v>0.17495975925537127</v>
      </c>
      <c r="P22" s="74">
        <v>0.11233851338700618</v>
      </c>
      <c r="Q22" s="122">
        <v>3.667481662591687E-3</v>
      </c>
    </row>
    <row r="23" spans="13:17" ht="15.75" customHeight="1">
      <c r="M23" s="72" t="s">
        <v>834</v>
      </c>
      <c r="N23" s="73" t="s">
        <v>513</v>
      </c>
      <c r="O23" s="66">
        <v>0.55987122961718805</v>
      </c>
      <c r="P23" s="74">
        <v>0.22467702677401236</v>
      </c>
      <c r="Q23" s="122">
        <v>7.3349633251833741E-3</v>
      </c>
    </row>
    <row r="24" spans="13:17" ht="15.75" customHeight="1">
      <c r="M24" s="72" t="s">
        <v>835</v>
      </c>
      <c r="N24" s="73" t="s">
        <v>513</v>
      </c>
      <c r="O24" s="66">
        <v>0.55987122961718805</v>
      </c>
      <c r="P24" s="74">
        <v>1.7786931286275978</v>
      </c>
      <c r="Q24" s="122">
        <v>1.4669926650366748E-2</v>
      </c>
    </row>
    <row r="25" spans="13:17" ht="15.75" customHeight="1">
      <c r="M25" s="72" t="s">
        <v>836</v>
      </c>
      <c r="N25" s="73" t="s">
        <v>513</v>
      </c>
      <c r="O25" s="66">
        <v>0.13996780740429701</v>
      </c>
      <c r="P25" s="74">
        <v>0.1872308556450103</v>
      </c>
      <c r="Q25" s="122">
        <v>7.3349633251833741E-3</v>
      </c>
    </row>
    <row r="26" spans="13:17" ht="15.75" customHeight="1">
      <c r="M26" s="72" t="s">
        <v>837</v>
      </c>
      <c r="N26" s="73" t="s">
        <v>533</v>
      </c>
      <c r="O26" s="66">
        <v>1.9245573518090839</v>
      </c>
      <c r="P26" s="74">
        <v>0.84253885040254639</v>
      </c>
      <c r="Q26" s="122">
        <v>2.9339853300733496E-2</v>
      </c>
    </row>
    <row r="27" spans="13:17" ht="15.75" customHeight="1">
      <c r="M27" s="72" t="s">
        <v>838</v>
      </c>
      <c r="N27" s="73" t="s">
        <v>533</v>
      </c>
      <c r="O27" s="66">
        <v>0.57736720554272514</v>
      </c>
      <c r="P27" s="74">
        <v>0.3182924545965175</v>
      </c>
      <c r="Q27" s="122">
        <v>1.9559902200488997E-2</v>
      </c>
    </row>
    <row r="28" spans="13:17" ht="15.75" customHeight="1">
      <c r="M28" s="72" t="s">
        <v>839</v>
      </c>
      <c r="N28" s="73" t="s">
        <v>513</v>
      </c>
      <c r="O28" s="66">
        <v>2.3794527258730493</v>
      </c>
      <c r="P28" s="74">
        <v>1.217000561692567</v>
      </c>
      <c r="Q28" s="122">
        <v>3.6674816625916873E-2</v>
      </c>
    </row>
    <row r="29" spans="13:17" ht="15.75" customHeight="1">
      <c r="M29" s="72" t="s">
        <v>840</v>
      </c>
      <c r="N29" s="73" t="s">
        <v>533</v>
      </c>
      <c r="O29" s="78">
        <v>0.34991951851074254</v>
      </c>
      <c r="P29" s="76">
        <v>9.3615427822505148E-2</v>
      </c>
      <c r="Q29" s="123">
        <v>4.8899755501222494E-3</v>
      </c>
    </row>
    <row r="30" spans="13:17">
      <c r="M30" s="72"/>
      <c r="N30" s="77"/>
      <c r="O30" s="74">
        <f>SUM(O5:O29)</f>
        <v>100.00000000000001</v>
      </c>
      <c r="P30" s="74">
        <f t="shared" ref="P30:Q30" si="0">SUM(P5:P29)</f>
        <v>99.999999999999972</v>
      </c>
      <c r="Q30" s="75">
        <f t="shared" si="0"/>
        <v>0.99999999999999978</v>
      </c>
    </row>
    <row r="35" spans="6:15" ht="17.25">
      <c r="F35" s="70"/>
      <c r="N35" s="110" t="s">
        <v>1555</v>
      </c>
      <c r="O35" s="111">
        <f>SUMIF($N$5:$N$29,"capital",$Q$5:$Q$29)</f>
        <v>0.60391198044009775</v>
      </c>
    </row>
    <row r="36" spans="6:15" ht="17.25">
      <c r="F36" s="70"/>
      <c r="N36" s="110" t="s">
        <v>1552</v>
      </c>
      <c r="O36" s="111">
        <f>SUMIF($N$5:$N$29,"A",$Q$5:$Q$29)</f>
        <v>0.11246943765281174</v>
      </c>
    </row>
    <row r="37" spans="6:15">
      <c r="N37" s="110" t="s">
        <v>1553</v>
      </c>
      <c r="O37" s="111">
        <f>SUMIF($N$5:$N$29,"b",$Q$5:$Q$29)</f>
        <v>0.14669926650366749</v>
      </c>
    </row>
    <row r="38" spans="6:15">
      <c r="N38" s="110" t="s">
        <v>1554</v>
      </c>
      <c r="O38" s="111">
        <f>SUMIF($N$5:$N$29,"c",$Q$5:$Q$29)</f>
        <v>0.13447432762836187</v>
      </c>
    </row>
    <row r="39" spans="6:15">
      <c r="N39" s="110"/>
      <c r="O39" s="110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>
    <tabColor rgb="FFFFC000"/>
  </sheetPr>
  <dimension ref="A1:O357"/>
  <sheetViews>
    <sheetView zoomScale="70" zoomScaleNormal="70" zoomScaleSheetLayoutView="65" workbookViewId="0">
      <pane ySplit="2" topLeftCell="A63" activePane="bottomLeft" state="frozen"/>
      <selection activeCell="E14" sqref="E14"/>
      <selection pane="bottomLeft" activeCell="F330" sqref="F330"/>
    </sheetView>
  </sheetViews>
  <sheetFormatPr baseColWidth="10" defaultColWidth="11.42578125" defaultRowHeight="15.75"/>
  <cols>
    <col min="1" max="2" width="1.5703125" style="23" customWidth="1"/>
    <col min="3" max="3" width="13" style="1" bestFit="1" customWidth="1"/>
    <col min="4" max="4" width="44" style="1" customWidth="1"/>
    <col min="5" max="5" width="100" style="1" bestFit="1" customWidth="1"/>
    <col min="6" max="6" width="46.85546875" style="1" bestFit="1" customWidth="1"/>
    <col min="7" max="7" width="22" style="3" bestFit="1" customWidth="1"/>
    <col min="8" max="8" width="12.42578125" style="1" customWidth="1"/>
    <col min="9" max="9" width="12.42578125" style="3" customWidth="1"/>
    <col min="10" max="16384" width="11.42578125" style="1"/>
  </cols>
  <sheetData>
    <row r="1" spans="1:13" ht="30" customHeight="1">
      <c r="C1" s="164" t="s">
        <v>1568</v>
      </c>
      <c r="D1" s="164"/>
      <c r="E1" s="164"/>
      <c r="F1" s="164"/>
      <c r="G1" s="164"/>
      <c r="H1" s="164"/>
      <c r="I1" s="164"/>
      <c r="J1" s="39" t="s">
        <v>483</v>
      </c>
      <c r="K1" s="39" t="s">
        <v>879</v>
      </c>
      <c r="L1" s="42" t="s">
        <v>483</v>
      </c>
      <c r="M1" s="39" t="s">
        <v>879</v>
      </c>
    </row>
    <row r="2" spans="1:13" ht="34.5" customHeight="1">
      <c r="A2" s="40" t="s">
        <v>1142</v>
      </c>
      <c r="B2" s="41" t="s">
        <v>1143</v>
      </c>
      <c r="C2" s="2" t="s">
        <v>261</v>
      </c>
      <c r="D2" s="2" t="s">
        <v>501</v>
      </c>
      <c r="E2" s="2" t="s">
        <v>385</v>
      </c>
      <c r="F2" s="2" t="s">
        <v>516</v>
      </c>
      <c r="G2" s="2" t="s">
        <v>485</v>
      </c>
      <c r="H2" s="2" t="s">
        <v>496</v>
      </c>
      <c r="I2" s="2" t="s">
        <v>489</v>
      </c>
    </row>
    <row r="3" spans="1:13">
      <c r="A3" s="23" t="s">
        <v>1454</v>
      </c>
      <c r="B3" s="23" t="s">
        <v>1455</v>
      </c>
      <c r="C3" s="3" t="s">
        <v>264</v>
      </c>
      <c r="D3" s="1" t="s">
        <v>336</v>
      </c>
      <c r="E3" s="1" t="s">
        <v>1540</v>
      </c>
      <c r="F3" s="1" t="s">
        <v>1541</v>
      </c>
      <c r="G3" s="3" t="s">
        <v>486</v>
      </c>
      <c r="H3" s="3">
        <f>290-10-20</f>
        <v>260</v>
      </c>
      <c r="I3" s="3" t="s">
        <v>484</v>
      </c>
    </row>
    <row r="4" spans="1:13">
      <c r="A4" s="23" t="s">
        <v>1460</v>
      </c>
      <c r="B4" s="23" t="s">
        <v>1461</v>
      </c>
      <c r="C4" s="3" t="s">
        <v>264</v>
      </c>
      <c r="D4" s="1" t="s">
        <v>406</v>
      </c>
      <c r="E4" s="1" t="s">
        <v>405</v>
      </c>
      <c r="F4" s="1" t="s">
        <v>648</v>
      </c>
      <c r="G4" s="3" t="s">
        <v>486</v>
      </c>
      <c r="H4" s="3">
        <f>300-20</f>
        <v>280</v>
      </c>
      <c r="I4" s="3" t="s">
        <v>483</v>
      </c>
    </row>
    <row r="5" spans="1:13">
      <c r="A5" s="23" t="s">
        <v>1162</v>
      </c>
      <c r="B5" s="23" t="s">
        <v>1163</v>
      </c>
      <c r="C5" s="3" t="s">
        <v>264</v>
      </c>
      <c r="D5" s="1" t="s">
        <v>419</v>
      </c>
      <c r="E5" s="1" t="s">
        <v>176</v>
      </c>
      <c r="F5" s="1" t="s">
        <v>649</v>
      </c>
      <c r="G5" s="3" t="s">
        <v>486</v>
      </c>
      <c r="H5" s="3">
        <v>30</v>
      </c>
      <c r="I5" s="3" t="s">
        <v>483</v>
      </c>
    </row>
    <row r="6" spans="1:13">
      <c r="A6" s="23" t="s">
        <v>1144</v>
      </c>
      <c r="B6" s="23" t="s">
        <v>1145</v>
      </c>
      <c r="C6" s="3" t="s">
        <v>264</v>
      </c>
      <c r="D6" s="1" t="s">
        <v>446</v>
      </c>
      <c r="E6" s="1" t="s">
        <v>977</v>
      </c>
      <c r="F6" s="1" t="s">
        <v>650</v>
      </c>
      <c r="G6" s="3" t="s">
        <v>486</v>
      </c>
      <c r="H6" s="3">
        <v>20</v>
      </c>
      <c r="I6" s="3" t="s">
        <v>484</v>
      </c>
    </row>
    <row r="7" spans="1:13">
      <c r="A7" s="23" t="s">
        <v>1144</v>
      </c>
      <c r="B7" s="23" t="s">
        <v>1145</v>
      </c>
      <c r="C7" s="3" t="s">
        <v>264</v>
      </c>
      <c r="D7" s="1" t="s">
        <v>446</v>
      </c>
      <c r="E7" s="1" t="s">
        <v>977</v>
      </c>
      <c r="F7" s="1" t="s">
        <v>650</v>
      </c>
      <c r="G7" s="3" t="s">
        <v>486</v>
      </c>
      <c r="H7" s="3">
        <v>30</v>
      </c>
      <c r="I7" s="3" t="s">
        <v>483</v>
      </c>
    </row>
    <row r="8" spans="1:13" s="23" customFormat="1">
      <c r="A8" s="23" t="s">
        <v>1362</v>
      </c>
      <c r="B8" s="23" t="s">
        <v>1363</v>
      </c>
      <c r="C8" s="3" t="s">
        <v>264</v>
      </c>
      <c r="D8" s="1" t="s">
        <v>400</v>
      </c>
      <c r="E8" s="1" t="s">
        <v>978</v>
      </c>
      <c r="F8" s="1" t="s">
        <v>651</v>
      </c>
      <c r="G8" s="3" t="s">
        <v>486</v>
      </c>
      <c r="H8" s="3">
        <f>75+20+20</f>
        <v>115</v>
      </c>
      <c r="I8" s="3" t="s">
        <v>483</v>
      </c>
    </row>
    <row r="9" spans="1:13">
      <c r="A9" s="23" t="s">
        <v>1240</v>
      </c>
      <c r="B9" s="23" t="s">
        <v>1241</v>
      </c>
      <c r="C9" s="3" t="s">
        <v>264</v>
      </c>
      <c r="D9" s="1" t="s">
        <v>355</v>
      </c>
      <c r="E9" s="1" t="s">
        <v>509</v>
      </c>
      <c r="F9" s="1" t="s">
        <v>652</v>
      </c>
      <c r="G9" s="3" t="s">
        <v>486</v>
      </c>
      <c r="H9" s="3">
        <v>60</v>
      </c>
      <c r="I9" s="3" t="s">
        <v>484</v>
      </c>
    </row>
    <row r="10" spans="1:13">
      <c r="A10" s="23" t="s">
        <v>1240</v>
      </c>
      <c r="B10" s="23" t="s">
        <v>1241</v>
      </c>
      <c r="C10" s="3" t="s">
        <v>264</v>
      </c>
      <c r="D10" s="1" t="s">
        <v>355</v>
      </c>
      <c r="E10" s="1" t="s">
        <v>509</v>
      </c>
      <c r="F10" s="1" t="s">
        <v>652</v>
      </c>
      <c r="G10" s="3" t="s">
        <v>486</v>
      </c>
      <c r="H10" s="3">
        <v>100</v>
      </c>
      <c r="I10" s="3" t="s">
        <v>483</v>
      </c>
    </row>
    <row r="11" spans="1:13">
      <c r="A11" s="23" t="s">
        <v>1386</v>
      </c>
      <c r="B11" s="23" t="s">
        <v>1387</v>
      </c>
      <c r="C11" s="3" t="s">
        <v>264</v>
      </c>
      <c r="D11" s="1" t="s">
        <v>747</v>
      </c>
      <c r="E11" s="1" t="s">
        <v>748</v>
      </c>
      <c r="F11" s="1" t="s">
        <v>893</v>
      </c>
      <c r="G11" s="3" t="s">
        <v>486</v>
      </c>
      <c r="H11" s="3">
        <f>120+40-20</f>
        <v>140</v>
      </c>
      <c r="I11" s="3" t="s">
        <v>483</v>
      </c>
    </row>
    <row r="12" spans="1:13">
      <c r="A12" s="23" t="s">
        <v>1386</v>
      </c>
      <c r="B12" s="23" t="s">
        <v>1387</v>
      </c>
      <c r="C12" s="3" t="s">
        <v>264</v>
      </c>
      <c r="D12" s="1" t="s">
        <v>747</v>
      </c>
      <c r="E12" s="1" t="s">
        <v>748</v>
      </c>
      <c r="F12" s="1" t="s">
        <v>894</v>
      </c>
      <c r="G12" s="3" t="s">
        <v>486</v>
      </c>
      <c r="H12" s="3">
        <f>230-30</f>
        <v>200</v>
      </c>
      <c r="I12" s="3" t="s">
        <v>484</v>
      </c>
    </row>
    <row r="13" spans="1:13">
      <c r="A13" s="23" t="s">
        <v>1375</v>
      </c>
      <c r="B13" s="23" t="s">
        <v>1376</v>
      </c>
      <c r="C13" s="3" t="s">
        <v>264</v>
      </c>
      <c r="D13" s="1" t="s">
        <v>440</v>
      </c>
      <c r="E13" s="1" t="s">
        <v>515</v>
      </c>
      <c r="F13" s="1" t="s">
        <v>653</v>
      </c>
      <c r="G13" s="3" t="s">
        <v>486</v>
      </c>
      <c r="H13" s="3">
        <f>140-10</f>
        <v>130</v>
      </c>
      <c r="I13" s="3" t="s">
        <v>483</v>
      </c>
    </row>
    <row r="14" spans="1:13">
      <c r="A14" s="23" t="s">
        <v>1375</v>
      </c>
      <c r="B14" s="23" t="s">
        <v>1376</v>
      </c>
      <c r="C14" s="3" t="s">
        <v>264</v>
      </c>
      <c r="D14" s="1" t="s">
        <v>440</v>
      </c>
      <c r="E14" s="1" t="s">
        <v>515</v>
      </c>
      <c r="F14" s="1" t="s">
        <v>653</v>
      </c>
      <c r="G14" s="3" t="s">
        <v>486</v>
      </c>
      <c r="H14" s="3">
        <f>160-20</f>
        <v>140</v>
      </c>
      <c r="I14" s="3" t="s">
        <v>484</v>
      </c>
    </row>
    <row r="15" spans="1:13">
      <c r="A15" s="23" t="s">
        <v>1309</v>
      </c>
      <c r="B15" s="23" t="s">
        <v>1310</v>
      </c>
      <c r="C15" s="3" t="s">
        <v>264</v>
      </c>
      <c r="D15" s="1" t="s">
        <v>449</v>
      </c>
      <c r="E15" s="1" t="s">
        <v>979</v>
      </c>
      <c r="F15" s="1" t="s">
        <v>1587</v>
      </c>
      <c r="G15" s="3" t="s">
        <v>486</v>
      </c>
      <c r="H15" s="3">
        <f>50+20+20</f>
        <v>90</v>
      </c>
      <c r="I15" s="3" t="s">
        <v>483</v>
      </c>
    </row>
    <row r="16" spans="1:13">
      <c r="A16" s="23" t="s">
        <v>1309</v>
      </c>
      <c r="B16" s="23" t="s">
        <v>1310</v>
      </c>
      <c r="C16" s="3" t="s">
        <v>264</v>
      </c>
      <c r="D16" s="1" t="s">
        <v>449</v>
      </c>
      <c r="E16" s="1" t="s">
        <v>979</v>
      </c>
      <c r="F16" s="1" t="s">
        <v>1587</v>
      </c>
      <c r="G16" s="3" t="s">
        <v>486</v>
      </c>
      <c r="H16" s="3">
        <f>70+30+20+30</f>
        <v>150</v>
      </c>
      <c r="I16" s="3" t="s">
        <v>484</v>
      </c>
    </row>
    <row r="17" spans="1:9">
      <c r="A17" s="23" t="s">
        <v>1348</v>
      </c>
      <c r="B17" s="23" t="s">
        <v>1349</v>
      </c>
      <c r="C17" s="3" t="s">
        <v>264</v>
      </c>
      <c r="D17" s="1" t="s">
        <v>447</v>
      </c>
      <c r="E17" s="1" t="s">
        <v>980</v>
      </c>
      <c r="F17" s="1" t="s">
        <v>654</v>
      </c>
      <c r="G17" s="3" t="s">
        <v>486</v>
      </c>
      <c r="H17" s="3">
        <v>110</v>
      </c>
      <c r="I17" s="3" t="s">
        <v>483</v>
      </c>
    </row>
    <row r="18" spans="1:9">
      <c r="A18" s="23" t="s">
        <v>1348</v>
      </c>
      <c r="B18" s="23" t="s">
        <v>1349</v>
      </c>
      <c r="C18" s="3" t="s">
        <v>264</v>
      </c>
      <c r="D18" s="1" t="s">
        <v>447</v>
      </c>
      <c r="E18" s="1" t="s">
        <v>980</v>
      </c>
      <c r="F18" s="1" t="s">
        <v>654</v>
      </c>
      <c r="G18" s="3" t="s">
        <v>486</v>
      </c>
      <c r="H18" s="3">
        <v>250</v>
      </c>
      <c r="I18" s="3" t="s">
        <v>484</v>
      </c>
    </row>
    <row r="19" spans="1:9">
      <c r="A19" s="23" t="s">
        <v>1156</v>
      </c>
      <c r="B19" s="23" t="s">
        <v>1157</v>
      </c>
      <c r="C19" s="3" t="s">
        <v>264</v>
      </c>
      <c r="D19" s="1" t="s">
        <v>432</v>
      </c>
      <c r="E19" s="1" t="s">
        <v>981</v>
      </c>
      <c r="F19" s="1" t="s">
        <v>655</v>
      </c>
      <c r="G19" s="3" t="s">
        <v>486</v>
      </c>
      <c r="H19" s="3">
        <v>180</v>
      </c>
      <c r="I19" s="3" t="s">
        <v>483</v>
      </c>
    </row>
    <row r="20" spans="1:9">
      <c r="A20" s="23" t="s">
        <v>1156</v>
      </c>
      <c r="B20" s="23" t="s">
        <v>1157</v>
      </c>
      <c r="C20" s="3" t="s">
        <v>264</v>
      </c>
      <c r="D20" s="1" t="s">
        <v>432</v>
      </c>
      <c r="E20" s="1" t="s">
        <v>981</v>
      </c>
      <c r="F20" s="1" t="s">
        <v>655</v>
      </c>
      <c r="G20" s="3" t="s">
        <v>486</v>
      </c>
      <c r="H20" s="3">
        <v>260</v>
      </c>
      <c r="I20" s="3" t="s">
        <v>484</v>
      </c>
    </row>
    <row r="21" spans="1:9">
      <c r="A21" s="23" t="s">
        <v>1286</v>
      </c>
      <c r="B21" s="23" t="s">
        <v>491</v>
      </c>
      <c r="C21" s="3" t="s">
        <v>264</v>
      </c>
      <c r="D21" s="1" t="s">
        <v>491</v>
      </c>
      <c r="E21" s="1" t="s">
        <v>982</v>
      </c>
      <c r="F21" s="1" t="s">
        <v>656</v>
      </c>
      <c r="G21" s="3" t="s">
        <v>486</v>
      </c>
      <c r="H21" s="3">
        <f>70+20-10</f>
        <v>80</v>
      </c>
      <c r="I21" s="3" t="s">
        <v>483</v>
      </c>
    </row>
    <row r="22" spans="1:9">
      <c r="A22" s="23" t="s">
        <v>1286</v>
      </c>
      <c r="B22" s="23" t="s">
        <v>491</v>
      </c>
      <c r="C22" s="3" t="s">
        <v>264</v>
      </c>
      <c r="D22" s="1" t="s">
        <v>491</v>
      </c>
      <c r="E22" s="1" t="s">
        <v>982</v>
      </c>
      <c r="F22" s="1" t="s">
        <v>656</v>
      </c>
      <c r="G22" s="3" t="s">
        <v>486</v>
      </c>
      <c r="H22" s="3">
        <f>120+20-10</f>
        <v>130</v>
      </c>
      <c r="I22" s="3" t="s">
        <v>484</v>
      </c>
    </row>
    <row r="23" spans="1:9">
      <c r="A23" s="23" t="s">
        <v>1218</v>
      </c>
      <c r="B23" s="23" t="s">
        <v>865</v>
      </c>
      <c r="C23" s="3" t="s">
        <v>264</v>
      </c>
      <c r="D23" s="1" t="s">
        <v>865</v>
      </c>
      <c r="E23" s="1" t="s">
        <v>529</v>
      </c>
      <c r="F23" s="1" t="s">
        <v>870</v>
      </c>
      <c r="G23" s="3" t="s">
        <v>486</v>
      </c>
      <c r="H23" s="3">
        <v>50</v>
      </c>
      <c r="I23" s="3" t="s">
        <v>483</v>
      </c>
    </row>
    <row r="24" spans="1:9">
      <c r="A24" s="23" t="s">
        <v>1265</v>
      </c>
      <c r="B24" s="23" t="s">
        <v>1266</v>
      </c>
      <c r="C24" s="3" t="s">
        <v>264</v>
      </c>
      <c r="D24" s="1" t="s">
        <v>333</v>
      </c>
      <c r="E24" s="1" t="s">
        <v>983</v>
      </c>
      <c r="F24" s="1" t="s">
        <v>657</v>
      </c>
      <c r="G24" s="3" t="s">
        <v>486</v>
      </c>
      <c r="H24" s="3">
        <v>70</v>
      </c>
      <c r="I24" s="3" t="s">
        <v>484</v>
      </c>
    </row>
    <row r="25" spans="1:9">
      <c r="A25" s="23" t="s">
        <v>1403</v>
      </c>
      <c r="B25" s="23" t="s">
        <v>1404</v>
      </c>
      <c r="C25" s="3" t="s">
        <v>264</v>
      </c>
      <c r="D25" s="1" t="s">
        <v>340</v>
      </c>
      <c r="E25" s="1" t="s">
        <v>984</v>
      </c>
      <c r="F25" s="1" t="s">
        <v>658</v>
      </c>
      <c r="G25" s="3" t="s">
        <v>486</v>
      </c>
      <c r="H25" s="3">
        <v>160</v>
      </c>
      <c r="I25" s="3" t="s">
        <v>484</v>
      </c>
    </row>
    <row r="26" spans="1:9">
      <c r="A26" s="23" t="s">
        <v>1403</v>
      </c>
      <c r="B26" s="23" t="s">
        <v>1404</v>
      </c>
      <c r="C26" s="3" t="s">
        <v>264</v>
      </c>
      <c r="D26" s="1" t="s">
        <v>340</v>
      </c>
      <c r="E26" s="1" t="s">
        <v>984</v>
      </c>
      <c r="F26" s="1" t="s">
        <v>658</v>
      </c>
      <c r="G26" s="3" t="s">
        <v>486</v>
      </c>
      <c r="H26" s="3">
        <v>160</v>
      </c>
      <c r="I26" s="3" t="s">
        <v>483</v>
      </c>
    </row>
    <row r="27" spans="1:9">
      <c r="A27" s="23" t="s">
        <v>1187</v>
      </c>
      <c r="B27" s="23" t="s">
        <v>482</v>
      </c>
      <c r="C27" s="3" t="s">
        <v>264</v>
      </c>
      <c r="D27" s="1" t="s">
        <v>482</v>
      </c>
      <c r="E27" s="1" t="s">
        <v>985</v>
      </c>
      <c r="F27" s="1" t="s">
        <v>659</v>
      </c>
      <c r="G27" s="3" t="s">
        <v>486</v>
      </c>
      <c r="H27" s="3">
        <v>40</v>
      </c>
      <c r="I27" s="3" t="s">
        <v>483</v>
      </c>
    </row>
    <row r="28" spans="1:9">
      <c r="A28" s="23" t="s">
        <v>1243</v>
      </c>
      <c r="B28" s="23" t="s">
        <v>177</v>
      </c>
      <c r="C28" s="3" t="s">
        <v>264</v>
      </c>
      <c r="D28" s="1" t="s">
        <v>177</v>
      </c>
      <c r="E28" s="1" t="s">
        <v>1242</v>
      </c>
      <c r="F28" s="1" t="s">
        <v>660</v>
      </c>
      <c r="G28" s="3" t="s">
        <v>486</v>
      </c>
      <c r="H28" s="3">
        <f>80-20-30</f>
        <v>30</v>
      </c>
      <c r="I28" s="3" t="s">
        <v>483</v>
      </c>
    </row>
    <row r="29" spans="1:9">
      <c r="A29" s="23" t="s">
        <v>1287</v>
      </c>
      <c r="B29" s="23" t="s">
        <v>763</v>
      </c>
      <c r="C29" s="3" t="s">
        <v>264</v>
      </c>
      <c r="D29" s="1" t="s">
        <v>763</v>
      </c>
      <c r="E29" s="1" t="s">
        <v>338</v>
      </c>
      <c r="F29" s="1" t="s">
        <v>670</v>
      </c>
      <c r="G29" s="3" t="s">
        <v>486</v>
      </c>
      <c r="H29" s="3">
        <f>100-20</f>
        <v>80</v>
      </c>
      <c r="I29" s="3" t="s">
        <v>484</v>
      </c>
    </row>
    <row r="30" spans="1:9" ht="15.75" customHeight="1">
      <c r="A30" s="23" t="s">
        <v>1267</v>
      </c>
      <c r="B30" s="23" t="s">
        <v>1268</v>
      </c>
      <c r="C30" s="3" t="s">
        <v>264</v>
      </c>
      <c r="D30" s="1" t="s">
        <v>436</v>
      </c>
      <c r="E30" s="1" t="s">
        <v>986</v>
      </c>
      <c r="F30" s="1" t="s">
        <v>661</v>
      </c>
      <c r="G30" s="3" t="s">
        <v>486</v>
      </c>
      <c r="H30" s="3">
        <v>70</v>
      </c>
      <c r="I30" s="3" t="s">
        <v>483</v>
      </c>
    </row>
    <row r="31" spans="1:9" ht="14.25" customHeight="1">
      <c r="A31" s="23" t="s">
        <v>1267</v>
      </c>
      <c r="B31" s="23" t="s">
        <v>1268</v>
      </c>
      <c r="C31" s="3" t="s">
        <v>264</v>
      </c>
      <c r="D31" s="1" t="s">
        <v>436</v>
      </c>
      <c r="E31" s="1" t="s">
        <v>986</v>
      </c>
      <c r="F31" s="1" t="s">
        <v>661</v>
      </c>
      <c r="G31" s="3" t="s">
        <v>486</v>
      </c>
      <c r="H31" s="3">
        <v>180</v>
      </c>
      <c r="I31" s="3" t="s">
        <v>484</v>
      </c>
    </row>
    <row r="32" spans="1:9">
      <c r="A32" s="23" t="s">
        <v>1412</v>
      </c>
      <c r="B32" s="23" t="s">
        <v>1413</v>
      </c>
      <c r="C32" s="3" t="s">
        <v>264</v>
      </c>
      <c r="D32" s="1" t="s">
        <v>399</v>
      </c>
      <c r="E32" s="1" t="s">
        <v>764</v>
      </c>
      <c r="F32" s="1" t="s">
        <v>662</v>
      </c>
      <c r="G32" s="3" t="s">
        <v>486</v>
      </c>
      <c r="H32" s="3">
        <f>180-20</f>
        <v>160</v>
      </c>
      <c r="I32" s="3" t="s">
        <v>483</v>
      </c>
    </row>
    <row r="33" spans="1:9" ht="14.25" customHeight="1">
      <c r="A33" s="23" t="s">
        <v>1290</v>
      </c>
      <c r="B33" s="23" t="s">
        <v>1291</v>
      </c>
      <c r="C33" s="3" t="s">
        <v>264</v>
      </c>
      <c r="D33" s="1" t="s">
        <v>774</v>
      </c>
      <c r="E33" s="1" t="s">
        <v>987</v>
      </c>
      <c r="F33" s="1" t="s">
        <v>775</v>
      </c>
      <c r="G33" s="3" t="s">
        <v>486</v>
      </c>
      <c r="H33" s="3">
        <v>80</v>
      </c>
      <c r="I33" s="3" t="s">
        <v>483</v>
      </c>
    </row>
    <row r="34" spans="1:9">
      <c r="A34" s="23" t="s">
        <v>1330</v>
      </c>
      <c r="B34" s="23" t="s">
        <v>765</v>
      </c>
      <c r="C34" s="3" t="s">
        <v>264</v>
      </c>
      <c r="D34" s="1" t="s">
        <v>765</v>
      </c>
      <c r="E34" s="1" t="s">
        <v>988</v>
      </c>
      <c r="F34" s="1" t="s">
        <v>663</v>
      </c>
      <c r="G34" s="3" t="s">
        <v>486</v>
      </c>
      <c r="H34" s="3">
        <f>120-20</f>
        <v>100</v>
      </c>
      <c r="I34" s="3" t="s">
        <v>483</v>
      </c>
    </row>
    <row r="35" spans="1:9">
      <c r="A35" s="23" t="s">
        <v>1330</v>
      </c>
      <c r="B35" s="23" t="s">
        <v>765</v>
      </c>
      <c r="C35" s="3" t="s">
        <v>264</v>
      </c>
      <c r="D35" s="1" t="s">
        <v>765</v>
      </c>
      <c r="E35" s="1" t="s">
        <v>988</v>
      </c>
      <c r="F35" s="1" t="s">
        <v>663</v>
      </c>
      <c r="G35" s="3" t="s">
        <v>486</v>
      </c>
      <c r="H35" s="3">
        <f>200-20-20</f>
        <v>160</v>
      </c>
      <c r="I35" s="3" t="s">
        <v>484</v>
      </c>
    </row>
    <row r="36" spans="1:9">
      <c r="A36" s="23" t="s">
        <v>1229</v>
      </c>
      <c r="B36" s="23" t="s">
        <v>1230</v>
      </c>
      <c r="C36" s="3" t="s">
        <v>264</v>
      </c>
      <c r="D36" s="1" t="s">
        <v>582</v>
      </c>
      <c r="E36" s="1" t="s">
        <v>592</v>
      </c>
      <c r="F36" s="1" t="s">
        <v>883</v>
      </c>
      <c r="G36" s="3" t="s">
        <v>486</v>
      </c>
      <c r="H36" s="3">
        <v>50</v>
      </c>
      <c r="I36" s="3" t="s">
        <v>483</v>
      </c>
    </row>
    <row r="37" spans="1:9">
      <c r="A37" s="23" t="s">
        <v>1269</v>
      </c>
      <c r="B37" s="23" t="s">
        <v>766</v>
      </c>
      <c r="C37" s="3" t="s">
        <v>264</v>
      </c>
      <c r="D37" s="1" t="s">
        <v>766</v>
      </c>
      <c r="E37" s="1" t="s">
        <v>767</v>
      </c>
      <c r="F37" s="1" t="s">
        <v>664</v>
      </c>
      <c r="G37" s="3" t="s">
        <v>486</v>
      </c>
      <c r="H37" s="3">
        <f>60+20-10</f>
        <v>70</v>
      </c>
      <c r="I37" s="3" t="s">
        <v>484</v>
      </c>
    </row>
    <row r="38" spans="1:9">
      <c r="A38" s="23" t="s">
        <v>1269</v>
      </c>
      <c r="B38" s="23" t="s">
        <v>766</v>
      </c>
      <c r="C38" s="3" t="s">
        <v>264</v>
      </c>
      <c r="D38" s="1" t="s">
        <v>766</v>
      </c>
      <c r="E38" s="1" t="s">
        <v>767</v>
      </c>
      <c r="F38" s="1" t="s">
        <v>664</v>
      </c>
      <c r="G38" s="3" t="s">
        <v>486</v>
      </c>
      <c r="H38" s="3">
        <f>130+20-20-10</f>
        <v>120</v>
      </c>
      <c r="I38" s="3" t="s">
        <v>483</v>
      </c>
    </row>
    <row r="39" spans="1:9">
      <c r="A39" s="23" t="s">
        <v>1331</v>
      </c>
      <c r="B39" s="23" t="s">
        <v>1332</v>
      </c>
      <c r="C39" s="3" t="s">
        <v>264</v>
      </c>
      <c r="D39" s="1" t="s">
        <v>452</v>
      </c>
      <c r="E39" s="1" t="s">
        <v>451</v>
      </c>
      <c r="F39" s="1" t="s">
        <v>895</v>
      </c>
      <c r="G39" s="3" t="s">
        <v>486</v>
      </c>
      <c r="H39" s="3">
        <v>100</v>
      </c>
      <c r="I39" s="3" t="s">
        <v>483</v>
      </c>
    </row>
    <row r="40" spans="1:9">
      <c r="A40" s="23" t="s">
        <v>1331</v>
      </c>
      <c r="B40" s="23" t="s">
        <v>1332</v>
      </c>
      <c r="C40" s="3" t="s">
        <v>264</v>
      </c>
      <c r="D40" s="1" t="s">
        <v>452</v>
      </c>
      <c r="E40" s="1" t="s">
        <v>451</v>
      </c>
      <c r="F40" s="1" t="s">
        <v>895</v>
      </c>
      <c r="G40" s="3" t="s">
        <v>486</v>
      </c>
      <c r="H40" s="3">
        <v>100</v>
      </c>
      <c r="I40" s="3" t="s">
        <v>484</v>
      </c>
    </row>
    <row r="41" spans="1:9">
      <c r="A41" s="23" t="s">
        <v>1396</v>
      </c>
      <c r="B41" s="23" t="s">
        <v>1397</v>
      </c>
      <c r="C41" s="3" t="s">
        <v>264</v>
      </c>
      <c r="D41" s="1" t="s">
        <v>442</v>
      </c>
      <c r="E41" s="1" t="s">
        <v>441</v>
      </c>
      <c r="F41" s="1" t="s">
        <v>896</v>
      </c>
      <c r="G41" s="3" t="s">
        <v>486</v>
      </c>
      <c r="H41" s="3">
        <f>160-10</f>
        <v>150</v>
      </c>
      <c r="I41" s="3" t="s">
        <v>483</v>
      </c>
    </row>
    <row r="42" spans="1:9">
      <c r="A42" s="23" t="s">
        <v>1396</v>
      </c>
      <c r="B42" s="23" t="s">
        <v>1397</v>
      </c>
      <c r="C42" s="3" t="s">
        <v>264</v>
      </c>
      <c r="D42" s="1" t="s">
        <v>442</v>
      </c>
      <c r="E42" s="1" t="s">
        <v>441</v>
      </c>
      <c r="F42" s="1" t="s">
        <v>896</v>
      </c>
      <c r="G42" s="3" t="s">
        <v>486</v>
      </c>
      <c r="H42" s="3">
        <f>200-20</f>
        <v>180</v>
      </c>
      <c r="I42" s="3" t="s">
        <v>484</v>
      </c>
    </row>
    <row r="43" spans="1:9">
      <c r="A43" s="23" t="s">
        <v>1350</v>
      </c>
      <c r="B43" s="23" t="s">
        <v>1351</v>
      </c>
      <c r="C43" s="3" t="s">
        <v>264</v>
      </c>
      <c r="D43" s="1" t="s">
        <v>435</v>
      </c>
      <c r="E43" s="1" t="s">
        <v>434</v>
      </c>
      <c r="F43" s="1" t="s">
        <v>897</v>
      </c>
      <c r="G43" s="3" t="s">
        <v>486</v>
      </c>
      <c r="H43" s="3">
        <v>110</v>
      </c>
      <c r="I43" s="3" t="s">
        <v>483</v>
      </c>
    </row>
    <row r="44" spans="1:9">
      <c r="A44" s="23" t="s">
        <v>1350</v>
      </c>
      <c r="B44" s="23" t="s">
        <v>1351</v>
      </c>
      <c r="C44" s="3" t="s">
        <v>264</v>
      </c>
      <c r="D44" s="1" t="s">
        <v>435</v>
      </c>
      <c r="E44" s="1" t="s">
        <v>434</v>
      </c>
      <c r="F44" s="1" t="s">
        <v>897</v>
      </c>
      <c r="G44" s="3" t="s">
        <v>486</v>
      </c>
      <c r="H44" s="3">
        <v>150</v>
      </c>
      <c r="I44" s="3" t="s">
        <v>484</v>
      </c>
    </row>
    <row r="45" spans="1:9">
      <c r="A45" s="23" t="s">
        <v>1288</v>
      </c>
      <c r="B45" s="23" t="s">
        <v>1289</v>
      </c>
      <c r="C45" s="3" t="s">
        <v>264</v>
      </c>
      <c r="D45" s="1" t="s">
        <v>395</v>
      </c>
      <c r="E45" s="1" t="s">
        <v>802</v>
      </c>
      <c r="F45" s="1" t="s">
        <v>898</v>
      </c>
      <c r="G45" s="3" t="s">
        <v>486</v>
      </c>
      <c r="H45" s="3">
        <f>90-10</f>
        <v>80</v>
      </c>
      <c r="I45" s="3" t="s">
        <v>483</v>
      </c>
    </row>
    <row r="46" spans="1:9">
      <c r="A46" s="23" t="s">
        <v>1270</v>
      </c>
      <c r="B46" s="23" t="s">
        <v>1271</v>
      </c>
      <c r="C46" s="3" t="s">
        <v>264</v>
      </c>
      <c r="D46" s="1" t="s">
        <v>349</v>
      </c>
      <c r="E46" s="1" t="s">
        <v>816</v>
      </c>
      <c r="F46" s="1" t="s">
        <v>814</v>
      </c>
      <c r="G46" s="3" t="s">
        <v>486</v>
      </c>
      <c r="H46" s="3">
        <f>180+20+20+60</f>
        <v>280</v>
      </c>
      <c r="I46" s="3" t="s">
        <v>484</v>
      </c>
    </row>
    <row r="47" spans="1:9">
      <c r="A47" s="23" t="s">
        <v>1270</v>
      </c>
      <c r="B47" s="23" t="s">
        <v>1271</v>
      </c>
      <c r="C47" s="3" t="s">
        <v>264</v>
      </c>
      <c r="D47" s="1" t="s">
        <v>349</v>
      </c>
      <c r="E47" s="1" t="s">
        <v>816</v>
      </c>
      <c r="F47" s="1" t="s">
        <v>814</v>
      </c>
      <c r="G47" s="3" t="s">
        <v>486</v>
      </c>
      <c r="H47" s="3">
        <f>30+40</f>
        <v>70</v>
      </c>
      <c r="I47" s="3" t="s">
        <v>483</v>
      </c>
    </row>
    <row r="48" spans="1:9">
      <c r="A48" s="23" t="s">
        <v>1405</v>
      </c>
      <c r="B48" s="23" t="s">
        <v>1406</v>
      </c>
      <c r="C48" s="3" t="s">
        <v>264</v>
      </c>
      <c r="D48" s="1" t="s">
        <v>388</v>
      </c>
      <c r="E48" s="1" t="s">
        <v>593</v>
      </c>
      <c r="F48" s="1" t="s">
        <v>666</v>
      </c>
      <c r="G48" s="3" t="s">
        <v>486</v>
      </c>
      <c r="H48" s="3">
        <f>280-230+10+100</f>
        <v>160</v>
      </c>
      <c r="I48" s="3" t="s">
        <v>483</v>
      </c>
    </row>
    <row r="49" spans="1:9">
      <c r="A49" s="23" t="s">
        <v>1283</v>
      </c>
      <c r="B49" s="23" t="s">
        <v>178</v>
      </c>
      <c r="C49" s="3" t="s">
        <v>264</v>
      </c>
      <c r="D49" s="1" t="s">
        <v>178</v>
      </c>
      <c r="E49" s="1" t="s">
        <v>387</v>
      </c>
      <c r="F49" s="1" t="s">
        <v>899</v>
      </c>
      <c r="G49" s="3" t="s">
        <v>486</v>
      </c>
      <c r="H49" s="3">
        <f>50+25</f>
        <v>75</v>
      </c>
      <c r="I49" s="3" t="s">
        <v>483</v>
      </c>
    </row>
    <row r="50" spans="1:9">
      <c r="A50" s="23" t="s">
        <v>1158</v>
      </c>
      <c r="B50" s="23" t="s">
        <v>645</v>
      </c>
      <c r="C50" s="3" t="s">
        <v>264</v>
      </c>
      <c r="D50" s="1" t="s">
        <v>645</v>
      </c>
      <c r="E50" s="1" t="s">
        <v>646</v>
      </c>
      <c r="F50" s="1" t="s">
        <v>647</v>
      </c>
      <c r="G50" s="3" t="s">
        <v>486</v>
      </c>
      <c r="H50" s="3">
        <v>25</v>
      </c>
      <c r="I50" s="3" t="s">
        <v>483</v>
      </c>
    </row>
    <row r="51" spans="1:9">
      <c r="A51" s="23" t="s">
        <v>1456</v>
      </c>
      <c r="B51" s="23" t="s">
        <v>1457</v>
      </c>
      <c r="C51" s="3" t="s">
        <v>264</v>
      </c>
      <c r="D51" s="1" t="s">
        <v>968</v>
      </c>
      <c r="E51" s="1" t="s">
        <v>422</v>
      </c>
      <c r="F51" s="1" t="s">
        <v>667</v>
      </c>
      <c r="G51" s="3" t="s">
        <v>486</v>
      </c>
      <c r="H51" s="3">
        <f>200+20+40-30+20+30</f>
        <v>280</v>
      </c>
      <c r="I51" s="3" t="s">
        <v>483</v>
      </c>
    </row>
    <row r="52" spans="1:9">
      <c r="A52" s="23" t="s">
        <v>1456</v>
      </c>
      <c r="B52" s="23" t="s">
        <v>1457</v>
      </c>
      <c r="C52" s="3" t="s">
        <v>264</v>
      </c>
      <c r="D52" s="1" t="s">
        <v>968</v>
      </c>
      <c r="E52" s="1" t="s">
        <v>422</v>
      </c>
      <c r="F52" s="1" t="s">
        <v>667</v>
      </c>
      <c r="G52" s="3" t="s">
        <v>486</v>
      </c>
      <c r="H52" s="3">
        <f>200+20+20+30</f>
        <v>270</v>
      </c>
      <c r="I52" s="3" t="s">
        <v>484</v>
      </c>
    </row>
    <row r="53" spans="1:9">
      <c r="A53" s="23" t="s">
        <v>1410</v>
      </c>
      <c r="B53" s="23" t="s">
        <v>1411</v>
      </c>
      <c r="C53" s="3" t="s">
        <v>264</v>
      </c>
      <c r="D53" s="1" t="s">
        <v>969</v>
      </c>
      <c r="E53" s="1" t="s">
        <v>437</v>
      </c>
      <c r="F53" s="1" t="s">
        <v>818</v>
      </c>
      <c r="G53" s="3" t="s">
        <v>486</v>
      </c>
      <c r="H53" s="3">
        <f>210-30-20</f>
        <v>160</v>
      </c>
      <c r="I53" s="3" t="s">
        <v>483</v>
      </c>
    </row>
    <row r="54" spans="1:9">
      <c r="A54" s="23" t="s">
        <v>1410</v>
      </c>
      <c r="B54" s="23" t="s">
        <v>1411</v>
      </c>
      <c r="C54" s="3" t="s">
        <v>264</v>
      </c>
      <c r="D54" s="1" t="s">
        <v>969</v>
      </c>
      <c r="E54" s="1" t="s">
        <v>437</v>
      </c>
      <c r="F54" s="1" t="s">
        <v>818</v>
      </c>
      <c r="G54" s="3" t="s">
        <v>486</v>
      </c>
      <c r="H54" s="3">
        <f>200-20-20</f>
        <v>160</v>
      </c>
      <c r="I54" s="3" t="s">
        <v>484</v>
      </c>
    </row>
    <row r="55" spans="1:9">
      <c r="A55" s="23" t="s">
        <v>1381</v>
      </c>
      <c r="B55" s="23" t="s">
        <v>1382</v>
      </c>
      <c r="C55" s="3" t="s">
        <v>264</v>
      </c>
      <c r="D55" s="1" t="s">
        <v>431</v>
      </c>
      <c r="E55" s="1" t="s">
        <v>430</v>
      </c>
      <c r="F55" s="1" t="s">
        <v>668</v>
      </c>
      <c r="G55" s="3" t="s">
        <v>486</v>
      </c>
      <c r="H55" s="3">
        <v>130</v>
      </c>
      <c r="I55" s="3" t="s">
        <v>483</v>
      </c>
    </row>
    <row r="56" spans="1:9">
      <c r="A56" s="23" t="s">
        <v>1381</v>
      </c>
      <c r="B56" s="23" t="s">
        <v>1382</v>
      </c>
      <c r="C56" s="3" t="s">
        <v>264</v>
      </c>
      <c r="D56" s="1" t="s">
        <v>431</v>
      </c>
      <c r="E56" s="1" t="s">
        <v>430</v>
      </c>
      <c r="F56" s="1" t="s">
        <v>668</v>
      </c>
      <c r="G56" s="3" t="s">
        <v>486</v>
      </c>
      <c r="H56" s="3">
        <f>240-20+55</f>
        <v>275</v>
      </c>
      <c r="I56" s="3" t="s">
        <v>484</v>
      </c>
    </row>
    <row r="57" spans="1:9">
      <c r="A57" s="23" t="s">
        <v>1166</v>
      </c>
      <c r="B57" s="23" t="s">
        <v>864</v>
      </c>
      <c r="C57" s="3" t="s">
        <v>264</v>
      </c>
      <c r="D57" s="1" t="s">
        <v>864</v>
      </c>
      <c r="E57" s="1" t="s">
        <v>992</v>
      </c>
      <c r="F57" s="1" t="s">
        <v>869</v>
      </c>
      <c r="G57" s="3" t="s">
        <v>486</v>
      </c>
      <c r="H57" s="3">
        <v>30</v>
      </c>
      <c r="I57" s="3" t="s">
        <v>483</v>
      </c>
    </row>
    <row r="58" spans="1:9">
      <c r="A58" s="23" t="s">
        <v>1166</v>
      </c>
      <c r="B58" s="23" t="s">
        <v>864</v>
      </c>
      <c r="C58" s="3" t="s">
        <v>264</v>
      </c>
      <c r="D58" s="1" t="s">
        <v>864</v>
      </c>
      <c r="E58" s="1" t="s">
        <v>992</v>
      </c>
      <c r="F58" s="1" t="s">
        <v>869</v>
      </c>
      <c r="G58" s="3" t="s">
        <v>486</v>
      </c>
      <c r="H58" s="3">
        <v>30</v>
      </c>
      <c r="I58" s="3" t="s">
        <v>484</v>
      </c>
    </row>
    <row r="59" spans="1:9">
      <c r="A59" s="23" t="s">
        <v>1446</v>
      </c>
      <c r="B59" s="23" t="s">
        <v>1447</v>
      </c>
      <c r="C59" s="3" t="s">
        <v>264</v>
      </c>
      <c r="D59" s="1" t="s">
        <v>1503</v>
      </c>
      <c r="E59" s="1" t="s">
        <v>1501</v>
      </c>
      <c r="F59" s="1" t="s">
        <v>715</v>
      </c>
      <c r="G59" s="3" t="s">
        <v>486</v>
      </c>
      <c r="H59" s="3">
        <f>210+20</f>
        <v>230</v>
      </c>
      <c r="I59" s="3" t="s">
        <v>484</v>
      </c>
    </row>
    <row r="60" spans="1:9">
      <c r="A60" s="23" t="s">
        <v>1192</v>
      </c>
      <c r="B60" s="23" t="s">
        <v>964</v>
      </c>
      <c r="C60" s="3" t="s">
        <v>264</v>
      </c>
      <c r="D60" s="1" t="s">
        <v>964</v>
      </c>
      <c r="E60" s="1" t="s">
        <v>965</v>
      </c>
      <c r="F60" s="1" t="s">
        <v>900</v>
      </c>
      <c r="G60" s="3" t="s">
        <v>486</v>
      </c>
      <c r="H60" s="3">
        <v>40</v>
      </c>
      <c r="I60" s="3" t="s">
        <v>483</v>
      </c>
    </row>
    <row r="61" spans="1:9">
      <c r="A61" s="23" t="s">
        <v>1192</v>
      </c>
      <c r="B61" s="23" t="s">
        <v>964</v>
      </c>
      <c r="C61" s="3" t="s">
        <v>264</v>
      </c>
      <c r="D61" s="1" t="s">
        <v>964</v>
      </c>
      <c r="E61" s="1" t="s">
        <v>966</v>
      </c>
      <c r="F61" s="1" t="s">
        <v>900</v>
      </c>
      <c r="G61" s="3" t="s">
        <v>486</v>
      </c>
      <c r="H61" s="3">
        <v>40</v>
      </c>
      <c r="I61" s="3" t="s">
        <v>484</v>
      </c>
    </row>
    <row r="62" spans="1:9">
      <c r="A62" s="23" t="s">
        <v>1167</v>
      </c>
      <c r="B62" s="23" t="s">
        <v>856</v>
      </c>
      <c r="C62" s="3" t="s">
        <v>264</v>
      </c>
      <c r="D62" s="1" t="s">
        <v>856</v>
      </c>
      <c r="E62" s="1" t="s">
        <v>993</v>
      </c>
      <c r="F62" s="1" t="s">
        <v>857</v>
      </c>
      <c r="G62" s="3" t="s">
        <v>486</v>
      </c>
      <c r="H62" s="3">
        <v>30</v>
      </c>
      <c r="I62" s="3" t="s">
        <v>483</v>
      </c>
    </row>
    <row r="63" spans="1:9">
      <c r="A63" s="23" t="s">
        <v>1167</v>
      </c>
      <c r="B63" s="23" t="s">
        <v>856</v>
      </c>
      <c r="C63" s="3" t="s">
        <v>264</v>
      </c>
      <c r="D63" s="1" t="s">
        <v>856</v>
      </c>
      <c r="E63" s="1" t="s">
        <v>993</v>
      </c>
      <c r="F63" s="1" t="s">
        <v>857</v>
      </c>
      <c r="G63" s="3" t="s">
        <v>486</v>
      </c>
      <c r="H63" s="3">
        <v>30</v>
      </c>
      <c r="I63" s="3" t="s">
        <v>484</v>
      </c>
    </row>
    <row r="64" spans="1:9">
      <c r="A64" s="23" t="s">
        <v>1359</v>
      </c>
      <c r="B64" s="23" t="s">
        <v>579</v>
      </c>
      <c r="C64" s="3" t="s">
        <v>264</v>
      </c>
      <c r="D64" s="1" t="s">
        <v>579</v>
      </c>
      <c r="E64" s="1" t="s">
        <v>994</v>
      </c>
      <c r="F64" s="1" t="s">
        <v>673</v>
      </c>
      <c r="G64" s="3" t="s">
        <v>486</v>
      </c>
      <c r="H64" s="3">
        <f>90+25</f>
        <v>115</v>
      </c>
      <c r="I64" s="3" t="s">
        <v>484</v>
      </c>
    </row>
    <row r="65" spans="1:9">
      <c r="A65" s="23" t="s">
        <v>1359</v>
      </c>
      <c r="B65" s="23" t="s">
        <v>579</v>
      </c>
      <c r="C65" s="3" t="s">
        <v>264</v>
      </c>
      <c r="D65" s="1" t="s">
        <v>579</v>
      </c>
      <c r="E65" s="1" t="s">
        <v>994</v>
      </c>
      <c r="F65" s="1" t="s">
        <v>673</v>
      </c>
      <c r="G65" s="3" t="s">
        <v>486</v>
      </c>
      <c r="H65" s="3">
        <f>90+25</f>
        <v>115</v>
      </c>
      <c r="I65" s="3" t="s">
        <v>483</v>
      </c>
    </row>
    <row r="66" spans="1:9">
      <c r="A66" s="23" t="s">
        <v>1493</v>
      </c>
      <c r="B66" s="23" t="s">
        <v>1492</v>
      </c>
      <c r="C66" s="3" t="s">
        <v>264</v>
      </c>
      <c r="D66" s="1" t="s">
        <v>1492</v>
      </c>
      <c r="E66" s="1" t="s">
        <v>1494</v>
      </c>
      <c r="F66" s="1" t="s">
        <v>1495</v>
      </c>
      <c r="G66" s="3" t="s">
        <v>486</v>
      </c>
      <c r="H66" s="3">
        <v>40</v>
      </c>
      <c r="I66" s="3" t="s">
        <v>484</v>
      </c>
    </row>
    <row r="67" spans="1:9">
      <c r="A67" s="23" t="s">
        <v>1493</v>
      </c>
      <c r="B67" s="23" t="s">
        <v>1492</v>
      </c>
      <c r="C67" s="3" t="s">
        <v>264</v>
      </c>
      <c r="D67" s="1" t="s">
        <v>1492</v>
      </c>
      <c r="E67" s="1" t="s">
        <v>1494</v>
      </c>
      <c r="F67" s="1" t="s">
        <v>1495</v>
      </c>
      <c r="G67" s="3" t="s">
        <v>486</v>
      </c>
      <c r="H67" s="3">
        <v>40</v>
      </c>
      <c r="I67" s="3" t="s">
        <v>483</v>
      </c>
    </row>
    <row r="68" spans="1:9">
      <c r="A68" s="23" t="s">
        <v>1394</v>
      </c>
      <c r="B68" s="23" t="s">
        <v>852</v>
      </c>
      <c r="C68" s="3" t="s">
        <v>264</v>
      </c>
      <c r="D68" s="1" t="s">
        <v>852</v>
      </c>
      <c r="E68" s="1" t="s">
        <v>853</v>
      </c>
      <c r="F68" s="1" t="s">
        <v>854</v>
      </c>
      <c r="G68" s="3" t="s">
        <v>486</v>
      </c>
      <c r="H68" s="3">
        <f>145+100-205</f>
        <v>40</v>
      </c>
      <c r="I68" s="3" t="s">
        <v>484</v>
      </c>
    </row>
    <row r="69" spans="1:9">
      <c r="A69" s="23" t="s">
        <v>1394</v>
      </c>
      <c r="B69" s="23" t="s">
        <v>852</v>
      </c>
      <c r="C69" s="3" t="s">
        <v>264</v>
      </c>
      <c r="D69" s="1" t="s">
        <v>852</v>
      </c>
      <c r="E69" s="1" t="s">
        <v>853</v>
      </c>
      <c r="F69" s="1" t="s">
        <v>854</v>
      </c>
      <c r="G69" s="3" t="s">
        <v>486</v>
      </c>
      <c r="H69" s="3">
        <f>200+82-252</f>
        <v>30</v>
      </c>
      <c r="I69" s="3" t="s">
        <v>483</v>
      </c>
    </row>
    <row r="70" spans="1:9">
      <c r="A70" s="23" t="s">
        <v>1195</v>
      </c>
      <c r="B70" s="23" t="s">
        <v>1196</v>
      </c>
      <c r="C70" s="3" t="s">
        <v>264</v>
      </c>
      <c r="D70" s="1" t="s">
        <v>970</v>
      </c>
      <c r="E70" s="1" t="s">
        <v>594</v>
      </c>
      <c r="F70" s="1" t="s">
        <v>674</v>
      </c>
      <c r="G70" s="3" t="s">
        <v>486</v>
      </c>
      <c r="H70" s="3">
        <v>40</v>
      </c>
      <c r="I70" s="3" t="s">
        <v>484</v>
      </c>
    </row>
    <row r="71" spans="1:9">
      <c r="A71" s="23" t="s">
        <v>1195</v>
      </c>
      <c r="B71" s="23" t="s">
        <v>1196</v>
      </c>
      <c r="C71" s="3" t="s">
        <v>264</v>
      </c>
      <c r="D71" s="1" t="s">
        <v>970</v>
      </c>
      <c r="E71" s="1" t="s">
        <v>594</v>
      </c>
      <c r="F71" s="1" t="s">
        <v>674</v>
      </c>
      <c r="G71" s="3" t="s">
        <v>486</v>
      </c>
      <c r="H71" s="3">
        <v>40</v>
      </c>
      <c r="I71" s="3" t="s">
        <v>483</v>
      </c>
    </row>
    <row r="72" spans="1:9" s="23" customFormat="1">
      <c r="A72" s="23" t="s">
        <v>1146</v>
      </c>
      <c r="B72" s="23" t="s">
        <v>866</v>
      </c>
      <c r="C72" s="3" t="s">
        <v>264</v>
      </c>
      <c r="D72" s="20" t="s">
        <v>866</v>
      </c>
      <c r="E72" s="1" t="s">
        <v>867</v>
      </c>
      <c r="F72" s="1" t="s">
        <v>868</v>
      </c>
      <c r="G72" s="3" t="s">
        <v>486</v>
      </c>
      <c r="H72" s="3">
        <v>20</v>
      </c>
      <c r="I72" s="3" t="s">
        <v>483</v>
      </c>
    </row>
    <row r="73" spans="1:9">
      <c r="A73" s="23" t="s">
        <v>1146</v>
      </c>
      <c r="B73" s="23" t="s">
        <v>866</v>
      </c>
      <c r="C73" s="3" t="s">
        <v>264</v>
      </c>
      <c r="D73" s="20" t="s">
        <v>866</v>
      </c>
      <c r="E73" s="1" t="s">
        <v>867</v>
      </c>
      <c r="F73" s="1" t="s">
        <v>868</v>
      </c>
      <c r="G73" s="3" t="s">
        <v>486</v>
      </c>
      <c r="H73" s="3">
        <v>20</v>
      </c>
      <c r="I73" s="3" t="s">
        <v>484</v>
      </c>
    </row>
    <row r="74" spans="1:9">
      <c r="A74" s="23" t="s">
        <v>1197</v>
      </c>
      <c r="B74" s="23" t="s">
        <v>800</v>
      </c>
      <c r="C74" s="3" t="s">
        <v>264</v>
      </c>
      <c r="D74" s="1" t="s">
        <v>800</v>
      </c>
      <c r="E74" s="1" t="s">
        <v>989</v>
      </c>
      <c r="F74" s="1" t="s">
        <v>801</v>
      </c>
      <c r="G74" s="3" t="s">
        <v>486</v>
      </c>
      <c r="H74" s="3">
        <v>40</v>
      </c>
      <c r="I74" s="3" t="s">
        <v>484</v>
      </c>
    </row>
    <row r="75" spans="1:9">
      <c r="A75" s="23" t="s">
        <v>1197</v>
      </c>
      <c r="B75" s="23" t="s">
        <v>800</v>
      </c>
      <c r="C75" s="3" t="s">
        <v>264</v>
      </c>
      <c r="D75" s="1" t="s">
        <v>800</v>
      </c>
      <c r="E75" s="1" t="s">
        <v>989</v>
      </c>
      <c r="F75" s="1" t="s">
        <v>801</v>
      </c>
      <c r="G75" s="3" t="s">
        <v>486</v>
      </c>
      <c r="H75" s="3">
        <v>40</v>
      </c>
      <c r="I75" s="3" t="s">
        <v>483</v>
      </c>
    </row>
    <row r="76" spans="1:9">
      <c r="A76" s="23" t="s">
        <v>1198</v>
      </c>
      <c r="B76" s="23" t="s">
        <v>858</v>
      </c>
      <c r="C76" s="3" t="s">
        <v>264</v>
      </c>
      <c r="D76" s="1" t="s">
        <v>858</v>
      </c>
      <c r="E76" s="1" t="s">
        <v>990</v>
      </c>
      <c r="F76" s="1" t="s">
        <v>860</v>
      </c>
      <c r="G76" s="3" t="s">
        <v>486</v>
      </c>
      <c r="H76" s="3">
        <v>40</v>
      </c>
      <c r="I76" s="3" t="s">
        <v>483</v>
      </c>
    </row>
    <row r="77" spans="1:9">
      <c r="A77" s="23" t="s">
        <v>1198</v>
      </c>
      <c r="B77" s="23" t="s">
        <v>858</v>
      </c>
      <c r="C77" s="3" t="s">
        <v>264</v>
      </c>
      <c r="D77" s="1" t="s">
        <v>858</v>
      </c>
      <c r="E77" s="1" t="s">
        <v>990</v>
      </c>
      <c r="F77" s="1" t="s">
        <v>860</v>
      </c>
      <c r="G77" s="3" t="s">
        <v>486</v>
      </c>
      <c r="H77" s="3">
        <v>40</v>
      </c>
      <c r="I77" s="3" t="s">
        <v>484</v>
      </c>
    </row>
    <row r="78" spans="1:9">
      <c r="A78" s="23" t="s">
        <v>1417</v>
      </c>
      <c r="B78" s="23" t="s">
        <v>863</v>
      </c>
      <c r="C78" s="3" t="s">
        <v>264</v>
      </c>
      <c r="D78" s="1" t="s">
        <v>863</v>
      </c>
      <c r="E78" s="1" t="s">
        <v>995</v>
      </c>
      <c r="F78" s="1" t="s">
        <v>871</v>
      </c>
      <c r="G78" s="3" t="s">
        <v>486</v>
      </c>
      <c r="H78" s="3">
        <f>240+90-290</f>
        <v>40</v>
      </c>
      <c r="I78" s="3" t="s">
        <v>483</v>
      </c>
    </row>
    <row r="79" spans="1:9">
      <c r="A79" s="23" t="s">
        <v>1417</v>
      </c>
      <c r="B79" s="23" t="s">
        <v>863</v>
      </c>
      <c r="C79" s="3" t="s">
        <v>264</v>
      </c>
      <c r="D79" s="1" t="s">
        <v>863</v>
      </c>
      <c r="E79" s="1" t="s">
        <v>996</v>
      </c>
      <c r="F79" s="1" t="s">
        <v>871</v>
      </c>
      <c r="G79" s="3" t="s">
        <v>486</v>
      </c>
      <c r="H79" s="3">
        <f>175+25-160</f>
        <v>40</v>
      </c>
      <c r="I79" s="3" t="s">
        <v>484</v>
      </c>
    </row>
    <row r="80" spans="1:9">
      <c r="A80" s="23" t="s">
        <v>1199</v>
      </c>
      <c r="B80" s="23" t="s">
        <v>971</v>
      </c>
      <c r="C80" s="3" t="s">
        <v>264</v>
      </c>
      <c r="D80" s="1" t="s">
        <v>971</v>
      </c>
      <c r="E80" s="9" t="s">
        <v>807</v>
      </c>
      <c r="F80" s="1" t="s">
        <v>778</v>
      </c>
      <c r="G80" s="3" t="s">
        <v>486</v>
      </c>
      <c r="H80" s="3">
        <v>40</v>
      </c>
      <c r="I80" s="3" t="s">
        <v>484</v>
      </c>
    </row>
    <row r="81" spans="1:9">
      <c r="A81" s="23" t="s">
        <v>1199</v>
      </c>
      <c r="B81" s="23" t="s">
        <v>971</v>
      </c>
      <c r="C81" s="3" t="s">
        <v>264</v>
      </c>
      <c r="D81" s="1" t="s">
        <v>971</v>
      </c>
      <c r="E81" s="9" t="s">
        <v>807</v>
      </c>
      <c r="F81" s="1" t="s">
        <v>778</v>
      </c>
      <c r="G81" s="3" t="s">
        <v>486</v>
      </c>
      <c r="H81" s="3">
        <v>40</v>
      </c>
      <c r="I81" s="3" t="s">
        <v>483</v>
      </c>
    </row>
    <row r="82" spans="1:9">
      <c r="A82" s="23" t="s">
        <v>1292</v>
      </c>
      <c r="B82" s="23" t="s">
        <v>1293</v>
      </c>
      <c r="C82" s="3" t="s">
        <v>264</v>
      </c>
      <c r="D82" s="1" t="s">
        <v>444</v>
      </c>
      <c r="E82" s="1" t="s">
        <v>443</v>
      </c>
      <c r="F82" s="1" t="s">
        <v>669</v>
      </c>
      <c r="G82" s="3" t="s">
        <v>486</v>
      </c>
      <c r="H82" s="3">
        <v>80</v>
      </c>
      <c r="I82" s="3" t="s">
        <v>483</v>
      </c>
    </row>
    <row r="83" spans="1:9">
      <c r="A83" s="23" t="s">
        <v>1292</v>
      </c>
      <c r="B83" s="23" t="s">
        <v>1293</v>
      </c>
      <c r="C83" s="3" t="s">
        <v>264</v>
      </c>
      <c r="D83" s="1" t="s">
        <v>444</v>
      </c>
      <c r="E83" s="1" t="s">
        <v>443</v>
      </c>
      <c r="F83" s="1" t="s">
        <v>669</v>
      </c>
      <c r="G83" s="3" t="s">
        <v>486</v>
      </c>
      <c r="H83" s="3">
        <v>90</v>
      </c>
      <c r="I83" s="3" t="s">
        <v>484</v>
      </c>
    </row>
    <row r="84" spans="1:9">
      <c r="A84" s="23" t="s">
        <v>1335</v>
      </c>
      <c r="B84" s="23" t="s">
        <v>576</v>
      </c>
      <c r="C84" s="3" t="s">
        <v>264</v>
      </c>
      <c r="D84" s="1" t="s">
        <v>576</v>
      </c>
      <c r="E84" s="1" t="s">
        <v>997</v>
      </c>
      <c r="F84" s="1" t="s">
        <v>842</v>
      </c>
      <c r="G84" s="3" t="s">
        <v>486</v>
      </c>
      <c r="H84" s="3">
        <f>40+20+40+120</f>
        <v>220</v>
      </c>
      <c r="I84" s="3" t="s">
        <v>483</v>
      </c>
    </row>
    <row r="85" spans="1:9">
      <c r="A85" s="23" t="s">
        <v>1335</v>
      </c>
      <c r="B85" s="23" t="s">
        <v>576</v>
      </c>
      <c r="C85" s="3" t="s">
        <v>264</v>
      </c>
      <c r="D85" s="1" t="s">
        <v>576</v>
      </c>
      <c r="E85" s="1" t="s">
        <v>997</v>
      </c>
      <c r="F85" s="1" t="s">
        <v>842</v>
      </c>
      <c r="G85" s="3" t="s">
        <v>486</v>
      </c>
      <c r="H85" s="3">
        <f>40+20+40+100</f>
        <v>200</v>
      </c>
      <c r="I85" s="3" t="s">
        <v>484</v>
      </c>
    </row>
    <row r="86" spans="1:9">
      <c r="A86" s="23" t="s">
        <v>1147</v>
      </c>
      <c r="B86" s="23" t="s">
        <v>859</v>
      </c>
      <c r="C86" s="3" t="s">
        <v>264</v>
      </c>
      <c r="D86" s="1" t="s">
        <v>859</v>
      </c>
      <c r="E86" s="1" t="s">
        <v>991</v>
      </c>
      <c r="F86" s="1" t="s">
        <v>861</v>
      </c>
      <c r="G86" s="3" t="s">
        <v>486</v>
      </c>
      <c r="H86" s="3">
        <v>20</v>
      </c>
      <c r="I86" s="3" t="s">
        <v>483</v>
      </c>
    </row>
    <row r="87" spans="1:9">
      <c r="A87" s="23" t="s">
        <v>1147</v>
      </c>
      <c r="B87" s="23" t="s">
        <v>859</v>
      </c>
      <c r="C87" s="3" t="s">
        <v>264</v>
      </c>
      <c r="D87" s="1" t="s">
        <v>859</v>
      </c>
      <c r="E87" s="1" t="s">
        <v>991</v>
      </c>
      <c r="F87" s="1" t="s">
        <v>861</v>
      </c>
      <c r="G87" s="3" t="s">
        <v>486</v>
      </c>
      <c r="H87" s="3">
        <v>20</v>
      </c>
      <c r="I87" s="3" t="s">
        <v>484</v>
      </c>
    </row>
    <row r="88" spans="1:9">
      <c r="A88" s="23" t="s">
        <v>1407</v>
      </c>
      <c r="B88" s="23" t="s">
        <v>862</v>
      </c>
      <c r="C88" s="3" t="s">
        <v>264</v>
      </c>
      <c r="D88" s="1" t="s">
        <v>862</v>
      </c>
      <c r="E88" s="1" t="s">
        <v>998</v>
      </c>
      <c r="F88" s="1" t="s">
        <v>1539</v>
      </c>
      <c r="G88" s="3" t="s">
        <v>486</v>
      </c>
      <c r="H88" s="3">
        <f>230+70-260</f>
        <v>40</v>
      </c>
      <c r="I88" s="3" t="s">
        <v>483</v>
      </c>
    </row>
    <row r="89" spans="1:9">
      <c r="A89" s="23" t="s">
        <v>1407</v>
      </c>
      <c r="B89" s="23" t="s">
        <v>862</v>
      </c>
      <c r="C89" s="3" t="s">
        <v>264</v>
      </c>
      <c r="D89" s="1" t="s">
        <v>862</v>
      </c>
      <c r="E89" s="1" t="s">
        <v>999</v>
      </c>
      <c r="F89" s="1" t="s">
        <v>1539</v>
      </c>
      <c r="G89" s="3" t="s">
        <v>486</v>
      </c>
      <c r="H89" s="3">
        <f>160-140</f>
        <v>20</v>
      </c>
      <c r="I89" s="3" t="s">
        <v>484</v>
      </c>
    </row>
    <row r="90" spans="1:9">
      <c r="A90" s="23" t="s">
        <v>1439</v>
      </c>
      <c r="B90" s="23" t="s">
        <v>1440</v>
      </c>
      <c r="C90" s="3" t="s">
        <v>264</v>
      </c>
      <c r="D90" s="1" t="s">
        <v>448</v>
      </c>
      <c r="E90" s="1" t="s">
        <v>1441</v>
      </c>
      <c r="F90" s="1" t="s">
        <v>809</v>
      </c>
      <c r="G90" s="3" t="s">
        <v>486</v>
      </c>
      <c r="H90" s="3">
        <f>200+25</f>
        <v>225</v>
      </c>
      <c r="I90" s="3" t="s">
        <v>483</v>
      </c>
    </row>
    <row r="91" spans="1:9">
      <c r="A91" s="23" t="s">
        <v>1439</v>
      </c>
      <c r="B91" s="23" t="s">
        <v>1440</v>
      </c>
      <c r="C91" s="3" t="s">
        <v>264</v>
      </c>
      <c r="D91" s="1" t="s">
        <v>448</v>
      </c>
      <c r="E91" s="1" t="s">
        <v>1442</v>
      </c>
      <c r="F91" s="1" t="s">
        <v>809</v>
      </c>
      <c r="G91" s="3" t="s">
        <v>486</v>
      </c>
      <c r="H91" s="3">
        <f>250+45+30</f>
        <v>325</v>
      </c>
      <c r="I91" s="3" t="s">
        <v>484</v>
      </c>
    </row>
    <row r="92" spans="1:9">
      <c r="A92" s="23" t="s">
        <v>1272</v>
      </c>
      <c r="B92" s="23" t="s">
        <v>1273</v>
      </c>
      <c r="C92" s="3" t="s">
        <v>264</v>
      </c>
      <c r="D92" s="1" t="s">
        <v>577</v>
      </c>
      <c r="E92" s="1" t="s">
        <v>1000</v>
      </c>
      <c r="F92" s="1" t="s">
        <v>672</v>
      </c>
      <c r="G92" s="3" t="s">
        <v>486</v>
      </c>
      <c r="H92" s="3">
        <f>40+20+10</f>
        <v>70</v>
      </c>
      <c r="I92" s="3" t="s">
        <v>483</v>
      </c>
    </row>
    <row r="93" spans="1:9">
      <c r="A93" s="23" t="s">
        <v>1272</v>
      </c>
      <c r="B93" s="23" t="s">
        <v>1273</v>
      </c>
      <c r="C93" s="3" t="s">
        <v>264</v>
      </c>
      <c r="D93" s="1" t="s">
        <v>577</v>
      </c>
      <c r="E93" s="1" t="s">
        <v>1000</v>
      </c>
      <c r="F93" s="1" t="s">
        <v>672</v>
      </c>
      <c r="G93" s="3" t="s">
        <v>486</v>
      </c>
      <c r="H93" s="3">
        <f>40+20+10</f>
        <v>70</v>
      </c>
      <c r="I93" s="3" t="s">
        <v>484</v>
      </c>
    </row>
    <row r="94" spans="1:9">
      <c r="A94" s="23" t="s">
        <v>1244</v>
      </c>
      <c r="B94" s="23" t="s">
        <v>1245</v>
      </c>
      <c r="C94" s="3" t="s">
        <v>264</v>
      </c>
      <c r="D94" s="1" t="s">
        <v>637</v>
      </c>
      <c r="E94" s="1" t="s">
        <v>638</v>
      </c>
      <c r="F94" s="1" t="s">
        <v>671</v>
      </c>
      <c r="G94" s="3" t="s">
        <v>486</v>
      </c>
      <c r="H94" s="3">
        <v>60</v>
      </c>
      <c r="I94" s="3" t="s">
        <v>483</v>
      </c>
    </row>
    <row r="95" spans="1:9" ht="16.5" customHeight="1">
      <c r="A95" s="23" t="s">
        <v>1244</v>
      </c>
      <c r="B95" s="23" t="s">
        <v>1245</v>
      </c>
      <c r="C95" s="3" t="s">
        <v>264</v>
      </c>
      <c r="D95" s="1" t="s">
        <v>637</v>
      </c>
      <c r="E95" s="1" t="s">
        <v>638</v>
      </c>
      <c r="F95" s="1" t="s">
        <v>671</v>
      </c>
      <c r="G95" s="3" t="s">
        <v>486</v>
      </c>
      <c r="H95" s="3">
        <v>60</v>
      </c>
      <c r="I95" s="3" t="s">
        <v>484</v>
      </c>
    </row>
    <row r="96" spans="1:9">
      <c r="A96" s="23" t="s">
        <v>1200</v>
      </c>
      <c r="B96" s="23" t="s">
        <v>745</v>
      </c>
      <c r="C96" s="3" t="s">
        <v>264</v>
      </c>
      <c r="D96" s="1" t="s">
        <v>745</v>
      </c>
      <c r="E96" s="1" t="s">
        <v>1001</v>
      </c>
      <c r="F96" s="1" t="s">
        <v>746</v>
      </c>
      <c r="G96" s="3" t="s">
        <v>486</v>
      </c>
      <c r="H96" s="3">
        <v>40</v>
      </c>
      <c r="I96" s="3" t="s">
        <v>484</v>
      </c>
    </row>
    <row r="97" spans="1:9">
      <c r="A97" s="23" t="s">
        <v>1200</v>
      </c>
      <c r="B97" s="23" t="s">
        <v>745</v>
      </c>
      <c r="C97" s="3" t="s">
        <v>264</v>
      </c>
      <c r="D97" s="1" t="s">
        <v>745</v>
      </c>
      <c r="E97" s="1" t="s">
        <v>1001</v>
      </c>
      <c r="F97" s="1" t="s">
        <v>746</v>
      </c>
      <c r="G97" s="3" t="s">
        <v>486</v>
      </c>
      <c r="H97" s="3">
        <v>40</v>
      </c>
      <c r="I97" s="3" t="s">
        <v>483</v>
      </c>
    </row>
    <row r="98" spans="1:9">
      <c r="A98" s="23" t="s">
        <v>1223</v>
      </c>
      <c r="B98" s="23" t="s">
        <v>1224</v>
      </c>
      <c r="C98" s="3" t="s">
        <v>264</v>
      </c>
      <c r="D98" s="1" t="s">
        <v>886</v>
      </c>
      <c r="E98" s="1" t="s">
        <v>1003</v>
      </c>
      <c r="F98" s="1" t="s">
        <v>887</v>
      </c>
      <c r="G98" s="3" t="s">
        <v>486</v>
      </c>
      <c r="H98" s="3">
        <v>50</v>
      </c>
      <c r="I98" s="3" t="s">
        <v>484</v>
      </c>
    </row>
    <row r="99" spans="1:9">
      <c r="A99" s="23" t="s">
        <v>1223</v>
      </c>
      <c r="B99" s="23" t="s">
        <v>1224</v>
      </c>
      <c r="C99" s="3" t="s">
        <v>264</v>
      </c>
      <c r="D99" s="1" t="s">
        <v>886</v>
      </c>
      <c r="E99" s="1" t="s">
        <v>1003</v>
      </c>
      <c r="F99" s="1" t="s">
        <v>887</v>
      </c>
      <c r="G99" s="3" t="s">
        <v>486</v>
      </c>
      <c r="H99" s="3">
        <v>50</v>
      </c>
      <c r="I99" s="3" t="s">
        <v>483</v>
      </c>
    </row>
    <row r="100" spans="1:9">
      <c r="A100" s="23" t="s">
        <v>1168</v>
      </c>
      <c r="B100" s="23" t="s">
        <v>884</v>
      </c>
      <c r="C100" s="3" t="s">
        <v>264</v>
      </c>
      <c r="D100" s="1" t="s">
        <v>884</v>
      </c>
      <c r="E100" s="1" t="s">
        <v>1002</v>
      </c>
      <c r="F100" s="1" t="s">
        <v>885</v>
      </c>
      <c r="G100" s="3" t="s">
        <v>486</v>
      </c>
      <c r="H100" s="3">
        <v>30</v>
      </c>
      <c r="I100" s="3" t="s">
        <v>484</v>
      </c>
    </row>
    <row r="101" spans="1:9">
      <c r="A101" s="23" t="s">
        <v>1168</v>
      </c>
      <c r="B101" s="23" t="s">
        <v>884</v>
      </c>
      <c r="C101" s="3" t="s">
        <v>264</v>
      </c>
      <c r="D101" s="1" t="s">
        <v>884</v>
      </c>
      <c r="E101" s="1" t="s">
        <v>1002</v>
      </c>
      <c r="F101" s="1" t="s">
        <v>885</v>
      </c>
      <c r="G101" s="3" t="s">
        <v>486</v>
      </c>
      <c r="H101" s="3">
        <v>30</v>
      </c>
      <c r="I101" s="3" t="s">
        <v>483</v>
      </c>
    </row>
    <row r="102" spans="1:9">
      <c r="A102" s="23" t="s">
        <v>1311</v>
      </c>
      <c r="B102" s="23" t="s">
        <v>493</v>
      </c>
      <c r="C102" s="3" t="s">
        <v>264</v>
      </c>
      <c r="D102" s="1" t="s">
        <v>493</v>
      </c>
      <c r="E102" s="1" t="s">
        <v>428</v>
      </c>
      <c r="F102" s="1" t="s">
        <v>1519</v>
      </c>
      <c r="G102" s="3" t="s">
        <v>486</v>
      </c>
      <c r="H102" s="3">
        <f>80+20</f>
        <v>100</v>
      </c>
      <c r="I102" s="3" t="s">
        <v>484</v>
      </c>
    </row>
    <row r="103" spans="1:9">
      <c r="A103" s="23" t="s">
        <v>1311</v>
      </c>
      <c r="B103" s="23" t="s">
        <v>493</v>
      </c>
      <c r="C103" s="3" t="s">
        <v>264</v>
      </c>
      <c r="D103" s="1" t="s">
        <v>493</v>
      </c>
      <c r="E103" s="1" t="s">
        <v>428</v>
      </c>
      <c r="F103" s="1" t="s">
        <v>1519</v>
      </c>
      <c r="G103" s="3" t="s">
        <v>486</v>
      </c>
      <c r="H103" s="3">
        <v>90</v>
      </c>
      <c r="I103" s="3" t="s">
        <v>483</v>
      </c>
    </row>
    <row r="104" spans="1:9">
      <c r="A104" s="23" t="s">
        <v>1190</v>
      </c>
      <c r="B104" s="23" t="s">
        <v>1191</v>
      </c>
      <c r="C104" s="3" t="s">
        <v>264</v>
      </c>
      <c r="D104" s="1" t="s">
        <v>585</v>
      </c>
      <c r="E104" s="1" t="s">
        <v>586</v>
      </c>
      <c r="F104" s="1" t="s">
        <v>595</v>
      </c>
      <c r="G104" s="3" t="s">
        <v>486</v>
      </c>
      <c r="H104" s="3">
        <v>40</v>
      </c>
      <c r="I104" s="3" t="s">
        <v>483</v>
      </c>
    </row>
    <row r="105" spans="1:9">
      <c r="A105" s="23" t="s">
        <v>1190</v>
      </c>
      <c r="B105" s="23" t="s">
        <v>1191</v>
      </c>
      <c r="C105" s="3" t="s">
        <v>264</v>
      </c>
      <c r="D105" s="1" t="s">
        <v>585</v>
      </c>
      <c r="E105" s="1" t="s">
        <v>586</v>
      </c>
      <c r="F105" s="1" t="s">
        <v>595</v>
      </c>
      <c r="G105" s="3" t="s">
        <v>486</v>
      </c>
      <c r="H105" s="3">
        <v>50</v>
      </c>
      <c r="I105" s="3" t="s">
        <v>484</v>
      </c>
    </row>
    <row r="106" spans="1:9">
      <c r="A106" s="23" t="s">
        <v>1169</v>
      </c>
      <c r="B106" s="23" t="s">
        <v>1170</v>
      </c>
      <c r="C106" s="3" t="s">
        <v>264</v>
      </c>
      <c r="D106" s="1" t="s">
        <v>332</v>
      </c>
      <c r="E106" s="1" t="s">
        <v>331</v>
      </c>
      <c r="F106" s="1" t="s">
        <v>675</v>
      </c>
      <c r="G106" s="3" t="s">
        <v>486</v>
      </c>
      <c r="H106" s="3">
        <v>180</v>
      </c>
      <c r="I106" s="3" t="s">
        <v>484</v>
      </c>
    </row>
    <row r="107" spans="1:9">
      <c r="A107" s="23" t="s">
        <v>1169</v>
      </c>
      <c r="B107" s="23" t="s">
        <v>1170</v>
      </c>
      <c r="C107" s="3" t="s">
        <v>264</v>
      </c>
      <c r="D107" s="1" t="s">
        <v>332</v>
      </c>
      <c r="E107" s="1" t="s">
        <v>331</v>
      </c>
      <c r="F107" s="1" t="s">
        <v>675</v>
      </c>
      <c r="G107" s="3" t="s">
        <v>486</v>
      </c>
      <c r="H107" s="3">
        <v>30</v>
      </c>
      <c r="I107" s="3" t="s">
        <v>483</v>
      </c>
    </row>
    <row r="108" spans="1:9">
      <c r="A108" s="23" t="s">
        <v>1235</v>
      </c>
      <c r="B108" s="23" t="s">
        <v>1236</v>
      </c>
      <c r="C108" s="3" t="s">
        <v>264</v>
      </c>
      <c r="D108" s="1" t="s">
        <v>402</v>
      </c>
      <c r="E108" s="1" t="s">
        <v>401</v>
      </c>
      <c r="F108" s="1" t="s">
        <v>676</v>
      </c>
      <c r="G108" s="3" t="s">
        <v>486</v>
      </c>
      <c r="H108" s="3">
        <v>50</v>
      </c>
      <c r="I108" s="3" t="s">
        <v>483</v>
      </c>
    </row>
    <row r="109" spans="1:9">
      <c r="A109" s="23" t="s">
        <v>1352</v>
      </c>
      <c r="B109" s="23" t="s">
        <v>1353</v>
      </c>
      <c r="C109" s="3" t="s">
        <v>264</v>
      </c>
      <c r="D109" s="1" t="s">
        <v>335</v>
      </c>
      <c r="E109" s="1" t="s">
        <v>334</v>
      </c>
      <c r="F109" s="1" t="s">
        <v>901</v>
      </c>
      <c r="G109" s="3" t="s">
        <v>486</v>
      </c>
      <c r="H109" s="3">
        <v>110</v>
      </c>
      <c r="I109" s="3" t="s">
        <v>484</v>
      </c>
    </row>
    <row r="110" spans="1:9">
      <c r="A110" s="23" t="s">
        <v>1398</v>
      </c>
      <c r="B110" s="23" t="s">
        <v>1399</v>
      </c>
      <c r="C110" s="3" t="s">
        <v>264</v>
      </c>
      <c r="D110" s="1" t="s">
        <v>372</v>
      </c>
      <c r="E110" s="1" t="s">
        <v>799</v>
      </c>
      <c r="F110" s="1" t="s">
        <v>902</v>
      </c>
      <c r="G110" s="3" t="s">
        <v>486</v>
      </c>
      <c r="H110" s="3">
        <v>150</v>
      </c>
      <c r="I110" s="3" t="s">
        <v>484</v>
      </c>
    </row>
    <row r="111" spans="1:9">
      <c r="A111" s="23" t="s">
        <v>1426</v>
      </c>
      <c r="B111" s="23" t="s">
        <v>1427</v>
      </c>
      <c r="C111" s="3" t="s">
        <v>264</v>
      </c>
      <c r="D111" s="1" t="s">
        <v>365</v>
      </c>
      <c r="E111" s="1" t="s">
        <v>364</v>
      </c>
      <c r="F111" s="1" t="s">
        <v>677</v>
      </c>
      <c r="G111" s="3" t="s">
        <v>486</v>
      </c>
      <c r="H111" s="3">
        <f>180+20</f>
        <v>200</v>
      </c>
      <c r="I111" s="3" t="s">
        <v>484</v>
      </c>
    </row>
    <row r="112" spans="1:9">
      <c r="A112" s="23" t="s">
        <v>1201</v>
      </c>
      <c r="B112" s="23" t="s">
        <v>758</v>
      </c>
      <c r="C112" s="3" t="s">
        <v>264</v>
      </c>
      <c r="D112" s="1" t="s">
        <v>758</v>
      </c>
      <c r="E112" s="1" t="s">
        <v>759</v>
      </c>
      <c r="F112" s="1" t="s">
        <v>760</v>
      </c>
      <c r="G112" s="3" t="s">
        <v>486</v>
      </c>
      <c r="H112" s="3">
        <v>40</v>
      </c>
      <c r="I112" s="3" t="s">
        <v>483</v>
      </c>
    </row>
    <row r="113" spans="1:9">
      <c r="A113" s="23" t="s">
        <v>1201</v>
      </c>
      <c r="B113" s="23" t="s">
        <v>758</v>
      </c>
      <c r="C113" s="3" t="s">
        <v>264</v>
      </c>
      <c r="D113" s="1" t="s">
        <v>758</v>
      </c>
      <c r="E113" s="1" t="s">
        <v>759</v>
      </c>
      <c r="F113" s="1" t="s">
        <v>760</v>
      </c>
      <c r="G113" s="3" t="s">
        <v>486</v>
      </c>
      <c r="H113" s="3">
        <v>40</v>
      </c>
      <c r="I113" s="3" t="s">
        <v>484</v>
      </c>
    </row>
    <row r="114" spans="1:9">
      <c r="A114" s="23" t="s">
        <v>1390</v>
      </c>
      <c r="B114" s="23" t="s">
        <v>1391</v>
      </c>
      <c r="C114" s="3" t="s">
        <v>264</v>
      </c>
      <c r="D114" s="1" t="s">
        <v>414</v>
      </c>
      <c r="E114" s="1" t="s">
        <v>413</v>
      </c>
      <c r="F114" s="1" t="s">
        <v>903</v>
      </c>
      <c r="G114" s="3" t="s">
        <v>486</v>
      </c>
      <c r="H114" s="3">
        <v>140</v>
      </c>
      <c r="I114" s="3" t="s">
        <v>483</v>
      </c>
    </row>
    <row r="115" spans="1:9">
      <c r="A115" s="23" t="s">
        <v>1464</v>
      </c>
      <c r="B115" s="23" t="s">
        <v>1465</v>
      </c>
      <c r="C115" s="3" t="s">
        <v>264</v>
      </c>
      <c r="D115" s="1" t="s">
        <v>342</v>
      </c>
      <c r="E115" s="1" t="s">
        <v>341</v>
      </c>
      <c r="F115" s="1" t="s">
        <v>678</v>
      </c>
      <c r="G115" s="3" t="s">
        <v>486</v>
      </c>
      <c r="H115" s="3">
        <v>320</v>
      </c>
      <c r="I115" s="3" t="s">
        <v>484</v>
      </c>
    </row>
    <row r="116" spans="1:9">
      <c r="A116" s="23" t="s">
        <v>1171</v>
      </c>
      <c r="B116" s="23" t="s">
        <v>1172</v>
      </c>
      <c r="C116" s="3" t="s">
        <v>264</v>
      </c>
      <c r="D116" s="1" t="s">
        <v>351</v>
      </c>
      <c r="E116" s="1" t="s">
        <v>350</v>
      </c>
      <c r="F116" s="1" t="s">
        <v>679</v>
      </c>
      <c r="G116" s="3" t="s">
        <v>486</v>
      </c>
      <c r="H116" s="3">
        <v>110</v>
      </c>
      <c r="I116" s="3" t="s">
        <v>484</v>
      </c>
    </row>
    <row r="117" spans="1:9">
      <c r="A117" s="23" t="s">
        <v>1171</v>
      </c>
      <c r="B117" s="23" t="s">
        <v>1172</v>
      </c>
      <c r="C117" s="3" t="s">
        <v>264</v>
      </c>
      <c r="D117" s="1" t="s">
        <v>351</v>
      </c>
      <c r="E117" s="1" t="s">
        <v>350</v>
      </c>
      <c r="F117" s="1" t="s">
        <v>679</v>
      </c>
      <c r="G117" s="3" t="s">
        <v>486</v>
      </c>
      <c r="H117" s="3">
        <v>30</v>
      </c>
      <c r="I117" s="3" t="s">
        <v>483</v>
      </c>
    </row>
    <row r="118" spans="1:9">
      <c r="A118" s="23" t="s">
        <v>1247</v>
      </c>
      <c r="B118" s="23" t="s">
        <v>1248</v>
      </c>
      <c r="C118" s="3" t="s">
        <v>264</v>
      </c>
      <c r="D118" s="1" t="s">
        <v>394</v>
      </c>
      <c r="E118" s="1" t="s">
        <v>393</v>
      </c>
      <c r="F118" s="1" t="s">
        <v>680</v>
      </c>
      <c r="G118" s="3" t="s">
        <v>486</v>
      </c>
      <c r="H118" s="3">
        <v>60</v>
      </c>
      <c r="I118" s="3" t="s">
        <v>483</v>
      </c>
    </row>
    <row r="119" spans="1:9">
      <c r="A119" s="23" t="s">
        <v>1444</v>
      </c>
      <c r="B119" s="23" t="s">
        <v>1445</v>
      </c>
      <c r="C119" s="3" t="s">
        <v>264</v>
      </c>
      <c r="D119" s="1" t="s">
        <v>380</v>
      </c>
      <c r="E119" s="1" t="s">
        <v>379</v>
      </c>
      <c r="F119" s="1" t="s">
        <v>681</v>
      </c>
      <c r="G119" s="3" t="s">
        <v>486</v>
      </c>
      <c r="H119" s="3">
        <v>230</v>
      </c>
      <c r="I119" s="3" t="s">
        <v>484</v>
      </c>
    </row>
    <row r="120" spans="1:9">
      <c r="A120" s="23" t="s">
        <v>1246</v>
      </c>
      <c r="B120" s="23" t="s">
        <v>769</v>
      </c>
      <c r="C120" s="3" t="s">
        <v>264</v>
      </c>
      <c r="D120" s="1" t="s">
        <v>769</v>
      </c>
      <c r="E120" s="1" t="s">
        <v>632</v>
      </c>
      <c r="F120" s="1" t="s">
        <v>597</v>
      </c>
      <c r="G120" s="3" t="s">
        <v>486</v>
      </c>
      <c r="H120" s="3">
        <f>60</f>
        <v>60</v>
      </c>
      <c r="I120" s="3" t="s">
        <v>483</v>
      </c>
    </row>
    <row r="121" spans="1:9">
      <c r="A121" s="23" t="s">
        <v>1246</v>
      </c>
      <c r="B121" s="23" t="s">
        <v>769</v>
      </c>
      <c r="C121" s="3" t="s">
        <v>264</v>
      </c>
      <c r="D121" s="1" t="s">
        <v>769</v>
      </c>
      <c r="E121" s="1" t="s">
        <v>632</v>
      </c>
      <c r="F121" s="1" t="s">
        <v>597</v>
      </c>
      <c r="G121" s="3" t="s">
        <v>486</v>
      </c>
      <c r="H121" s="3">
        <f>30+30</f>
        <v>60</v>
      </c>
      <c r="I121" s="3" t="s">
        <v>484</v>
      </c>
    </row>
    <row r="122" spans="1:9">
      <c r="A122" s="23" t="s">
        <v>1437</v>
      </c>
      <c r="B122" s="23" t="s">
        <v>1438</v>
      </c>
      <c r="C122" s="3" t="s">
        <v>264</v>
      </c>
      <c r="D122" s="1" t="s">
        <v>358</v>
      </c>
      <c r="E122" s="1" t="s">
        <v>357</v>
      </c>
      <c r="F122" s="1" t="s">
        <v>682</v>
      </c>
      <c r="G122" s="3" t="s">
        <v>486</v>
      </c>
      <c r="H122" s="3">
        <v>220</v>
      </c>
      <c r="I122" s="3" t="s">
        <v>484</v>
      </c>
    </row>
    <row r="123" spans="1:9">
      <c r="A123" s="23" t="s">
        <v>1388</v>
      </c>
      <c r="B123" s="23" t="s">
        <v>1389</v>
      </c>
      <c r="C123" s="3" t="s">
        <v>264</v>
      </c>
      <c r="D123" s="1" t="s">
        <v>339</v>
      </c>
      <c r="E123" s="1" t="s">
        <v>1507</v>
      </c>
      <c r="F123" s="1" t="s">
        <v>1508</v>
      </c>
      <c r="G123" s="3" t="s">
        <v>486</v>
      </c>
      <c r="H123" s="3">
        <v>140</v>
      </c>
      <c r="I123" s="3" t="s">
        <v>484</v>
      </c>
    </row>
    <row r="124" spans="1:9">
      <c r="A124" s="23" t="s">
        <v>1249</v>
      </c>
      <c r="B124" s="23" t="s">
        <v>1250</v>
      </c>
      <c r="C124" s="3" t="s">
        <v>264</v>
      </c>
      <c r="D124" s="1" t="s">
        <v>377</v>
      </c>
      <c r="E124" s="1" t="s">
        <v>376</v>
      </c>
      <c r="F124" s="1" t="s">
        <v>1519</v>
      </c>
      <c r="G124" s="3" t="s">
        <v>486</v>
      </c>
      <c r="H124" s="3">
        <v>60</v>
      </c>
      <c r="I124" s="3" t="s">
        <v>484</v>
      </c>
    </row>
    <row r="125" spans="1:9">
      <c r="A125" s="23" t="s">
        <v>1175</v>
      </c>
      <c r="B125" s="23" t="s">
        <v>1176</v>
      </c>
      <c r="C125" s="3" t="s">
        <v>264</v>
      </c>
      <c r="D125" s="1" t="s">
        <v>561</v>
      </c>
      <c r="E125" s="1" t="s">
        <v>562</v>
      </c>
      <c r="F125" s="1" t="s">
        <v>596</v>
      </c>
      <c r="G125" s="3" t="s">
        <v>486</v>
      </c>
      <c r="H125" s="3">
        <v>30</v>
      </c>
      <c r="I125" s="3" t="s">
        <v>483</v>
      </c>
    </row>
    <row r="126" spans="1:9">
      <c r="A126" s="23" t="s">
        <v>1312</v>
      </c>
      <c r="B126" s="23" t="s">
        <v>1313</v>
      </c>
      <c r="C126" s="3" t="s">
        <v>264</v>
      </c>
      <c r="D126" s="1" t="s">
        <v>421</v>
      </c>
      <c r="E126" s="1" t="s">
        <v>552</v>
      </c>
      <c r="F126" s="1" t="s">
        <v>904</v>
      </c>
      <c r="G126" s="3" t="s">
        <v>486</v>
      </c>
      <c r="H126" s="3">
        <v>90</v>
      </c>
      <c r="I126" s="3" t="s">
        <v>484</v>
      </c>
    </row>
    <row r="127" spans="1:9">
      <c r="A127" s="23" t="s">
        <v>1312</v>
      </c>
      <c r="B127" s="23" t="s">
        <v>1313</v>
      </c>
      <c r="C127" s="3" t="s">
        <v>264</v>
      </c>
      <c r="D127" s="1" t="s">
        <v>421</v>
      </c>
      <c r="E127" s="1" t="s">
        <v>552</v>
      </c>
      <c r="F127" s="1" t="s">
        <v>905</v>
      </c>
      <c r="G127" s="3" t="s">
        <v>486</v>
      </c>
      <c r="H127" s="3">
        <v>150</v>
      </c>
      <c r="I127" s="3" t="s">
        <v>483</v>
      </c>
    </row>
    <row r="128" spans="1:9">
      <c r="A128" s="23" t="s">
        <v>1181</v>
      </c>
      <c r="B128" s="23" t="s">
        <v>1182</v>
      </c>
      <c r="C128" s="3" t="s">
        <v>264</v>
      </c>
      <c r="D128" s="1" t="s">
        <v>753</v>
      </c>
      <c r="E128" s="1" t="s">
        <v>754</v>
      </c>
      <c r="F128" s="1" t="s">
        <v>755</v>
      </c>
      <c r="G128" s="3" t="s">
        <v>486</v>
      </c>
      <c r="H128" s="3">
        <v>30</v>
      </c>
      <c r="I128" s="3" t="s">
        <v>483</v>
      </c>
    </row>
    <row r="129" spans="1:11">
      <c r="A129" s="23" t="s">
        <v>1177</v>
      </c>
      <c r="B129" s="23" t="s">
        <v>558</v>
      </c>
      <c r="C129" s="3" t="s">
        <v>264</v>
      </c>
      <c r="D129" s="1" t="s">
        <v>558</v>
      </c>
      <c r="E129" s="1" t="s">
        <v>559</v>
      </c>
      <c r="F129" s="1" t="s">
        <v>560</v>
      </c>
      <c r="G129" s="3" t="s">
        <v>486</v>
      </c>
      <c r="H129" s="3">
        <v>30</v>
      </c>
      <c r="I129" s="3" t="s">
        <v>483</v>
      </c>
    </row>
    <row r="130" spans="1:11" s="23" customFormat="1">
      <c r="A130" s="23" t="s">
        <v>1225</v>
      </c>
      <c r="B130" s="23" t="s">
        <v>1226</v>
      </c>
      <c r="C130" s="3" t="s">
        <v>264</v>
      </c>
      <c r="D130" s="1" t="s">
        <v>418</v>
      </c>
      <c r="E130" s="1" t="s">
        <v>417</v>
      </c>
      <c r="F130" s="1" t="s">
        <v>683</v>
      </c>
      <c r="G130" s="3" t="s">
        <v>486</v>
      </c>
      <c r="H130" s="3">
        <f>60-10</f>
        <v>50</v>
      </c>
      <c r="I130" s="3" t="s">
        <v>483</v>
      </c>
    </row>
    <row r="131" spans="1:11">
      <c r="A131" s="23" t="s">
        <v>1185</v>
      </c>
      <c r="B131" s="23" t="s">
        <v>557</v>
      </c>
      <c r="C131" s="3" t="s">
        <v>264</v>
      </c>
      <c r="D131" s="1" t="s">
        <v>557</v>
      </c>
      <c r="E131" s="1" t="s">
        <v>788</v>
      </c>
      <c r="F131" s="1" t="s">
        <v>598</v>
      </c>
      <c r="G131" s="3" t="s">
        <v>486</v>
      </c>
      <c r="H131" s="3">
        <v>35</v>
      </c>
      <c r="I131" s="3" t="s">
        <v>483</v>
      </c>
    </row>
    <row r="132" spans="1:11">
      <c r="A132" s="23" t="s">
        <v>1185</v>
      </c>
      <c r="B132" s="23" t="s">
        <v>557</v>
      </c>
      <c r="C132" s="3" t="s">
        <v>264</v>
      </c>
      <c r="D132" s="1" t="s">
        <v>557</v>
      </c>
      <c r="E132" s="1" t="s">
        <v>788</v>
      </c>
      <c r="F132" s="1" t="s">
        <v>598</v>
      </c>
      <c r="G132" s="3" t="s">
        <v>486</v>
      </c>
      <c r="H132" s="3">
        <v>40</v>
      </c>
      <c r="I132" s="3" t="s">
        <v>484</v>
      </c>
      <c r="J132" s="23"/>
      <c r="K132" s="23"/>
    </row>
    <row r="133" spans="1:11" s="23" customFormat="1">
      <c r="A133" s="23" t="s">
        <v>1379</v>
      </c>
      <c r="B133" s="23" t="s">
        <v>1380</v>
      </c>
      <c r="C133" s="3" t="s">
        <v>264</v>
      </c>
      <c r="D133" s="1" t="s">
        <v>328</v>
      </c>
      <c r="E133" s="1" t="s">
        <v>327</v>
      </c>
      <c r="F133" s="1" t="s">
        <v>684</v>
      </c>
      <c r="G133" s="3" t="s">
        <v>486</v>
      </c>
      <c r="H133" s="3">
        <v>130</v>
      </c>
      <c r="I133" s="3" t="s">
        <v>484</v>
      </c>
      <c r="J133" s="1"/>
      <c r="K133" s="1"/>
    </row>
    <row r="134" spans="1:11" s="23" customFormat="1">
      <c r="A134" s="23" t="s">
        <v>1221</v>
      </c>
      <c r="B134" s="23" t="s">
        <v>1222</v>
      </c>
      <c r="C134" s="3" t="s">
        <v>264</v>
      </c>
      <c r="D134" s="1" t="s">
        <v>581</v>
      </c>
      <c r="E134" s="1" t="s">
        <v>540</v>
      </c>
      <c r="F134" s="1" t="s">
        <v>685</v>
      </c>
      <c r="G134" s="3" t="s">
        <v>486</v>
      </c>
      <c r="H134" s="3">
        <f>60-10</f>
        <v>50</v>
      </c>
      <c r="I134" s="3" t="s">
        <v>484</v>
      </c>
    </row>
    <row r="135" spans="1:11">
      <c r="A135" s="23" t="s">
        <v>1221</v>
      </c>
      <c r="B135" s="23" t="s">
        <v>1222</v>
      </c>
      <c r="C135" s="3" t="s">
        <v>264</v>
      </c>
      <c r="D135" s="1" t="s">
        <v>581</v>
      </c>
      <c r="E135" s="1" t="s">
        <v>540</v>
      </c>
      <c r="F135" s="1" t="s">
        <v>685</v>
      </c>
      <c r="G135" s="3" t="s">
        <v>486</v>
      </c>
      <c r="H135" s="3">
        <f>60-10</f>
        <v>50</v>
      </c>
      <c r="I135" s="3" t="s">
        <v>483</v>
      </c>
    </row>
    <row r="136" spans="1:11">
      <c r="A136" s="23" t="s">
        <v>1227</v>
      </c>
      <c r="B136" s="23" t="s">
        <v>1228</v>
      </c>
      <c r="C136" s="3" t="s">
        <v>264</v>
      </c>
      <c r="D136" s="1" t="s">
        <v>369</v>
      </c>
      <c r="E136" s="1" t="s">
        <v>368</v>
      </c>
      <c r="F136" s="1" t="s">
        <v>686</v>
      </c>
      <c r="G136" s="3" t="s">
        <v>486</v>
      </c>
      <c r="H136" s="3">
        <f>70+20</f>
        <v>90</v>
      </c>
      <c r="I136" s="3" t="s">
        <v>484</v>
      </c>
    </row>
    <row r="137" spans="1:11">
      <c r="A137" s="23" t="s">
        <v>1227</v>
      </c>
      <c r="B137" s="23" t="s">
        <v>1228</v>
      </c>
      <c r="C137" s="3" t="s">
        <v>264</v>
      </c>
      <c r="D137" s="1" t="s">
        <v>369</v>
      </c>
      <c r="E137" s="1" t="s">
        <v>368</v>
      </c>
      <c r="F137" s="1" t="s">
        <v>686</v>
      </c>
      <c r="G137" s="3" t="s">
        <v>486</v>
      </c>
      <c r="H137" s="3">
        <f>30+20+20</f>
        <v>70</v>
      </c>
      <c r="I137" s="3" t="s">
        <v>483</v>
      </c>
    </row>
    <row r="138" spans="1:11">
      <c r="A138" s="23" t="s">
        <v>1432</v>
      </c>
      <c r="B138" s="23" t="s">
        <v>1433</v>
      </c>
      <c r="C138" s="3" t="s">
        <v>264</v>
      </c>
      <c r="D138" s="1" t="s">
        <v>363</v>
      </c>
      <c r="E138" s="1" t="s">
        <v>362</v>
      </c>
      <c r="F138" s="1" t="s">
        <v>687</v>
      </c>
      <c r="G138" s="3" t="s">
        <v>486</v>
      </c>
      <c r="H138" s="3">
        <f>200+20</f>
        <v>220</v>
      </c>
      <c r="I138" s="3" t="s">
        <v>484</v>
      </c>
    </row>
    <row r="139" spans="1:11">
      <c r="A139" s="23" t="s">
        <v>1432</v>
      </c>
      <c r="B139" s="23" t="s">
        <v>1433</v>
      </c>
      <c r="C139" s="3" t="s">
        <v>264</v>
      </c>
      <c r="D139" s="1" t="s">
        <v>363</v>
      </c>
      <c r="E139" s="1" t="s">
        <v>362</v>
      </c>
      <c r="F139" s="1" t="s">
        <v>687</v>
      </c>
      <c r="G139" s="3" t="s">
        <v>486</v>
      </c>
      <c r="H139" s="3">
        <f>190+20</f>
        <v>210</v>
      </c>
      <c r="I139" s="3" t="s">
        <v>483</v>
      </c>
    </row>
    <row r="140" spans="1:11">
      <c r="A140" s="23" t="s">
        <v>1448</v>
      </c>
      <c r="B140" s="23" t="s">
        <v>1449</v>
      </c>
      <c r="C140" s="3" t="s">
        <v>264</v>
      </c>
      <c r="D140" s="1" t="s">
        <v>375</v>
      </c>
      <c r="E140" s="1" t="s">
        <v>374</v>
      </c>
      <c r="F140" s="1" t="s">
        <v>688</v>
      </c>
      <c r="G140" s="3" t="s">
        <v>486</v>
      </c>
      <c r="H140" s="3">
        <v>240</v>
      </c>
      <c r="I140" s="3" t="s">
        <v>484</v>
      </c>
    </row>
    <row r="141" spans="1:11">
      <c r="A141" s="23" t="s">
        <v>1251</v>
      </c>
      <c r="B141" s="23" t="s">
        <v>1252</v>
      </c>
      <c r="C141" s="3" t="s">
        <v>264</v>
      </c>
      <c r="D141" s="1" t="s">
        <v>972</v>
      </c>
      <c r="E141" s="1" t="s">
        <v>420</v>
      </c>
      <c r="F141" s="1" t="s">
        <v>906</v>
      </c>
      <c r="G141" s="3" t="s">
        <v>486</v>
      </c>
      <c r="H141" s="3">
        <v>60</v>
      </c>
      <c r="I141" s="3" t="s">
        <v>483</v>
      </c>
    </row>
    <row r="142" spans="1:11">
      <c r="A142" s="23" t="s">
        <v>1251</v>
      </c>
      <c r="B142" s="23" t="s">
        <v>1252</v>
      </c>
      <c r="C142" s="3" t="s">
        <v>264</v>
      </c>
      <c r="D142" s="1" t="s">
        <v>972</v>
      </c>
      <c r="E142" s="1" t="s">
        <v>420</v>
      </c>
      <c r="F142" s="1" t="s">
        <v>906</v>
      </c>
      <c r="G142" s="3" t="s">
        <v>486</v>
      </c>
      <c r="H142" s="3">
        <v>80</v>
      </c>
      <c r="I142" s="3" t="s">
        <v>484</v>
      </c>
    </row>
    <row r="143" spans="1:11">
      <c r="A143" s="23" t="s">
        <v>1434</v>
      </c>
      <c r="B143" s="23" t="s">
        <v>1435</v>
      </c>
      <c r="C143" s="3" t="s">
        <v>264</v>
      </c>
      <c r="D143" s="1" t="s">
        <v>424</v>
      </c>
      <c r="E143" s="1" t="s">
        <v>346</v>
      </c>
      <c r="F143" s="1" t="s">
        <v>689</v>
      </c>
      <c r="G143" s="3" t="s">
        <v>486</v>
      </c>
      <c r="H143" s="3">
        <f>200+20-10</f>
        <v>210</v>
      </c>
      <c r="I143" s="3" t="s">
        <v>483</v>
      </c>
    </row>
    <row r="144" spans="1:11">
      <c r="A144" s="23" t="s">
        <v>1434</v>
      </c>
      <c r="B144" s="23" t="s">
        <v>1435</v>
      </c>
      <c r="C144" s="3" t="s">
        <v>264</v>
      </c>
      <c r="D144" s="1" t="s">
        <v>424</v>
      </c>
      <c r="E144" s="1" t="s">
        <v>346</v>
      </c>
      <c r="F144" s="1" t="s">
        <v>689</v>
      </c>
      <c r="G144" s="3" t="s">
        <v>486</v>
      </c>
      <c r="H144" s="3">
        <f>300+20+30-10</f>
        <v>340</v>
      </c>
      <c r="I144" s="3" t="s">
        <v>484</v>
      </c>
    </row>
    <row r="145" spans="1:9">
      <c r="A145" s="23" t="s">
        <v>1421</v>
      </c>
      <c r="B145" s="23" t="s">
        <v>1422</v>
      </c>
      <c r="C145" s="3" t="s">
        <v>264</v>
      </c>
      <c r="D145" s="1" t="s">
        <v>373</v>
      </c>
      <c r="E145" s="1" t="s">
        <v>727</v>
      </c>
      <c r="F145" s="1" t="s">
        <v>907</v>
      </c>
      <c r="G145" s="3" t="s">
        <v>486</v>
      </c>
      <c r="H145" s="3">
        <f>150+20+20+40</f>
        <v>230</v>
      </c>
      <c r="I145" s="3" t="s">
        <v>484</v>
      </c>
    </row>
    <row r="146" spans="1:9">
      <c r="A146" s="23" t="s">
        <v>1450</v>
      </c>
      <c r="B146" s="23" t="s">
        <v>1451</v>
      </c>
      <c r="C146" s="3" t="s">
        <v>264</v>
      </c>
      <c r="D146" s="1" t="s">
        <v>973</v>
      </c>
      <c r="E146" s="1" t="s">
        <v>529</v>
      </c>
      <c r="F146" s="1" t="s">
        <v>908</v>
      </c>
      <c r="G146" s="3" t="s">
        <v>486</v>
      </c>
      <c r="H146" s="3">
        <f>200+40</f>
        <v>240</v>
      </c>
      <c r="I146" s="3" t="s">
        <v>483</v>
      </c>
    </row>
    <row r="147" spans="1:9">
      <c r="A147" s="23" t="s">
        <v>1450</v>
      </c>
      <c r="B147" s="23" t="s">
        <v>1451</v>
      </c>
      <c r="C147" s="3" t="s">
        <v>264</v>
      </c>
      <c r="D147" s="1" t="s">
        <v>973</v>
      </c>
      <c r="E147" s="1" t="s">
        <v>529</v>
      </c>
      <c r="F147" s="1" t="s">
        <v>908</v>
      </c>
      <c r="G147" s="3" t="s">
        <v>486</v>
      </c>
      <c r="H147" s="3">
        <f>70+20+150</f>
        <v>240</v>
      </c>
      <c r="I147" s="3" t="s">
        <v>484</v>
      </c>
    </row>
    <row r="148" spans="1:9">
      <c r="A148" s="23" t="s">
        <v>1314</v>
      </c>
      <c r="B148" s="23" t="s">
        <v>1315</v>
      </c>
      <c r="C148" s="3" t="s">
        <v>264</v>
      </c>
      <c r="D148" s="1" t="s">
        <v>384</v>
      </c>
      <c r="E148" s="1" t="s">
        <v>383</v>
      </c>
      <c r="F148" s="1" t="s">
        <v>909</v>
      </c>
      <c r="G148" s="3" t="s">
        <v>486</v>
      </c>
      <c r="H148" s="3">
        <v>90</v>
      </c>
      <c r="I148" s="3" t="s">
        <v>484</v>
      </c>
    </row>
    <row r="149" spans="1:9">
      <c r="A149" s="23" t="s">
        <v>1173</v>
      </c>
      <c r="B149" s="23" t="s">
        <v>1174</v>
      </c>
      <c r="C149" s="3" t="s">
        <v>264</v>
      </c>
      <c r="D149" s="1" t="s">
        <v>396</v>
      </c>
      <c r="E149" s="1" t="s">
        <v>1506</v>
      </c>
      <c r="F149" s="1" t="s">
        <v>1505</v>
      </c>
      <c r="G149" s="3" t="s">
        <v>486</v>
      </c>
      <c r="H149" s="3">
        <f>30</f>
        <v>30</v>
      </c>
      <c r="I149" s="3" t="s">
        <v>483</v>
      </c>
    </row>
    <row r="150" spans="1:9">
      <c r="A150" s="23" t="s">
        <v>1415</v>
      </c>
      <c r="B150" s="23" t="s">
        <v>1416</v>
      </c>
      <c r="C150" s="3" t="s">
        <v>264</v>
      </c>
      <c r="D150" s="1" t="s">
        <v>409</v>
      </c>
      <c r="E150" s="1" t="s">
        <v>542</v>
      </c>
      <c r="F150" s="1" t="s">
        <v>690</v>
      </c>
      <c r="G150" s="3" t="s">
        <v>486</v>
      </c>
      <c r="H150" s="3">
        <v>170</v>
      </c>
      <c r="I150" s="3" t="s">
        <v>483</v>
      </c>
    </row>
    <row r="151" spans="1:9">
      <c r="A151" s="23" t="s">
        <v>1294</v>
      </c>
      <c r="B151" s="23" t="s">
        <v>1295</v>
      </c>
      <c r="C151" s="3" t="s">
        <v>264</v>
      </c>
      <c r="D151" s="1" t="s">
        <v>411</v>
      </c>
      <c r="E151" s="1" t="s">
        <v>410</v>
      </c>
      <c r="F151" s="1" t="s">
        <v>910</v>
      </c>
      <c r="G151" s="3" t="s">
        <v>486</v>
      </c>
      <c r="H151" s="3">
        <v>80</v>
      </c>
      <c r="I151" s="3" t="s">
        <v>483</v>
      </c>
    </row>
    <row r="152" spans="1:9">
      <c r="A152" s="23" t="s">
        <v>1284</v>
      </c>
      <c r="B152" s="23" t="s">
        <v>749</v>
      </c>
      <c r="C152" s="3" t="s">
        <v>264</v>
      </c>
      <c r="D152" s="1" t="s">
        <v>749</v>
      </c>
      <c r="E152" s="1" t="s">
        <v>750</v>
      </c>
      <c r="F152" s="1" t="s">
        <v>751</v>
      </c>
      <c r="G152" s="3" t="s">
        <v>486</v>
      </c>
      <c r="H152" s="3">
        <f>50+25</f>
        <v>75</v>
      </c>
      <c r="I152" s="3" t="s">
        <v>483</v>
      </c>
    </row>
    <row r="153" spans="1:9">
      <c r="A153" s="23" t="s">
        <v>1202</v>
      </c>
      <c r="B153" s="23" t="s">
        <v>548</v>
      </c>
      <c r="C153" s="3" t="s">
        <v>264</v>
      </c>
      <c r="D153" s="1" t="s">
        <v>548</v>
      </c>
      <c r="E153" s="1" t="s">
        <v>1011</v>
      </c>
      <c r="F153" s="1" t="s">
        <v>888</v>
      </c>
      <c r="G153" s="3" t="s">
        <v>486</v>
      </c>
      <c r="H153" s="3">
        <v>40</v>
      </c>
      <c r="I153" s="3" t="s">
        <v>483</v>
      </c>
    </row>
    <row r="154" spans="1:9">
      <c r="A154" s="23" t="s">
        <v>1149</v>
      </c>
      <c r="B154" s="23" t="s">
        <v>1150</v>
      </c>
      <c r="C154" s="22" t="s">
        <v>264</v>
      </c>
      <c r="D154" s="21" t="s">
        <v>389</v>
      </c>
      <c r="E154" s="21" t="s">
        <v>771</v>
      </c>
      <c r="F154" s="21" t="s">
        <v>770</v>
      </c>
      <c r="G154" s="25" t="s">
        <v>486</v>
      </c>
      <c r="H154" s="25">
        <f>20</f>
        <v>20</v>
      </c>
      <c r="I154" s="25" t="s">
        <v>483</v>
      </c>
    </row>
    <row r="155" spans="1:9">
      <c r="A155" s="23" t="s">
        <v>1149</v>
      </c>
      <c r="B155" s="23" t="s">
        <v>1150</v>
      </c>
      <c r="C155" s="25" t="s">
        <v>264</v>
      </c>
      <c r="D155" s="24" t="s">
        <v>389</v>
      </c>
      <c r="E155" s="24" t="s">
        <v>771</v>
      </c>
      <c r="F155" s="24" t="s">
        <v>770</v>
      </c>
      <c r="G155" s="25" t="s">
        <v>486</v>
      </c>
      <c r="H155" s="25">
        <v>30</v>
      </c>
      <c r="I155" s="25" t="s">
        <v>484</v>
      </c>
    </row>
    <row r="156" spans="1:9">
      <c r="A156" s="23" t="s">
        <v>1274</v>
      </c>
      <c r="B156" s="23" t="s">
        <v>1275</v>
      </c>
      <c r="C156" s="3" t="s">
        <v>264</v>
      </c>
      <c r="D156" s="1" t="s">
        <v>412</v>
      </c>
      <c r="E156" s="1" t="s">
        <v>549</v>
      </c>
      <c r="F156" s="1" t="s">
        <v>692</v>
      </c>
      <c r="G156" s="3" t="s">
        <v>486</v>
      </c>
      <c r="H156" s="3">
        <f>90-30-20</f>
        <v>40</v>
      </c>
      <c r="I156" s="3" t="s">
        <v>483</v>
      </c>
    </row>
    <row r="157" spans="1:9" ht="13.5" customHeight="1">
      <c r="A157" s="23" t="s">
        <v>1253</v>
      </c>
      <c r="B157" s="23" t="s">
        <v>556</v>
      </c>
      <c r="C157" s="3" t="s">
        <v>264</v>
      </c>
      <c r="D157" s="1" t="s">
        <v>556</v>
      </c>
      <c r="E157" s="1" t="s">
        <v>601</v>
      </c>
      <c r="F157" s="1" t="s">
        <v>691</v>
      </c>
      <c r="G157" s="3" t="s">
        <v>486</v>
      </c>
      <c r="H157" s="3">
        <v>60</v>
      </c>
      <c r="I157" s="3" t="s">
        <v>483</v>
      </c>
    </row>
    <row r="158" spans="1:9" ht="13.5" customHeight="1">
      <c r="A158" s="23" t="s">
        <v>1160</v>
      </c>
      <c r="B158" s="23" t="s">
        <v>1161</v>
      </c>
      <c r="C158" s="3" t="s">
        <v>264</v>
      </c>
      <c r="D158" s="1" t="s">
        <v>728</v>
      </c>
      <c r="E158" s="1" t="s">
        <v>1012</v>
      </c>
      <c r="F158" s="1" t="s">
        <v>693</v>
      </c>
      <c r="G158" s="3" t="s">
        <v>486</v>
      </c>
      <c r="H158" s="3">
        <v>30</v>
      </c>
      <c r="I158" s="3" t="s">
        <v>484</v>
      </c>
    </row>
    <row r="159" spans="1:9">
      <c r="A159" s="23" t="s">
        <v>1160</v>
      </c>
      <c r="B159" s="23" t="s">
        <v>1161</v>
      </c>
      <c r="C159" s="3" t="s">
        <v>264</v>
      </c>
      <c r="D159" s="1" t="s">
        <v>728</v>
      </c>
      <c r="E159" s="1" t="s">
        <v>1012</v>
      </c>
      <c r="F159" s="1" t="s">
        <v>693</v>
      </c>
      <c r="G159" s="3" t="s">
        <v>486</v>
      </c>
      <c r="H159" s="3">
        <v>30</v>
      </c>
      <c r="I159" s="3" t="s">
        <v>483</v>
      </c>
    </row>
    <row r="160" spans="1:9">
      <c r="A160" s="23" t="s">
        <v>1497</v>
      </c>
      <c r="B160" s="23" t="s">
        <v>1498</v>
      </c>
      <c r="C160" s="3" t="s">
        <v>264</v>
      </c>
      <c r="D160" s="1" t="s">
        <v>1502</v>
      </c>
      <c r="E160" s="1" t="s">
        <v>1499</v>
      </c>
      <c r="F160" s="1" t="s">
        <v>1500</v>
      </c>
      <c r="G160" s="3" t="s">
        <v>486</v>
      </c>
      <c r="H160" s="3">
        <v>40</v>
      </c>
      <c r="I160" s="3" t="s">
        <v>483</v>
      </c>
    </row>
    <row r="161" spans="1:9">
      <c r="A161" s="23" t="s">
        <v>1164</v>
      </c>
      <c r="B161" s="23" t="s">
        <v>1165</v>
      </c>
      <c r="C161" s="3" t="s">
        <v>264</v>
      </c>
      <c r="D161" s="1" t="s">
        <v>398</v>
      </c>
      <c r="E161" s="1" t="s">
        <v>397</v>
      </c>
      <c r="F161" s="1" t="s">
        <v>694</v>
      </c>
      <c r="G161" s="3" t="s">
        <v>486</v>
      </c>
      <c r="H161" s="3">
        <f>40-10</f>
        <v>30</v>
      </c>
      <c r="I161" s="3" t="s">
        <v>483</v>
      </c>
    </row>
    <row r="162" spans="1:9">
      <c r="A162" s="23" t="s">
        <v>1256</v>
      </c>
      <c r="B162" s="23" t="s">
        <v>1257</v>
      </c>
      <c r="C162" s="3" t="s">
        <v>264</v>
      </c>
      <c r="D162" s="1" t="s">
        <v>974</v>
      </c>
      <c r="E162" s="1" t="s">
        <v>1013</v>
      </c>
      <c r="F162" s="1" t="s">
        <v>695</v>
      </c>
      <c r="G162" s="3" t="s">
        <v>486</v>
      </c>
      <c r="H162" s="3">
        <f>80-20</f>
        <v>60</v>
      </c>
      <c r="I162" s="3" t="s">
        <v>483</v>
      </c>
    </row>
    <row r="163" spans="1:9">
      <c r="A163" s="23" t="s">
        <v>1377</v>
      </c>
      <c r="B163" s="23" t="s">
        <v>1378</v>
      </c>
      <c r="C163" s="3" t="s">
        <v>264</v>
      </c>
      <c r="D163" s="1" t="s">
        <v>416</v>
      </c>
      <c r="E163" s="1" t="s">
        <v>415</v>
      </c>
      <c r="F163" s="1" t="s">
        <v>911</v>
      </c>
      <c r="G163" s="3" t="s">
        <v>486</v>
      </c>
      <c r="H163" s="3">
        <v>130</v>
      </c>
      <c r="I163" s="3" t="s">
        <v>483</v>
      </c>
    </row>
    <row r="164" spans="1:9">
      <c r="A164" s="23" t="s">
        <v>1296</v>
      </c>
      <c r="B164" s="23" t="s">
        <v>730</v>
      </c>
      <c r="C164" s="3" t="s">
        <v>264</v>
      </c>
      <c r="D164" s="1" t="s">
        <v>730</v>
      </c>
      <c r="E164" s="1" t="s">
        <v>732</v>
      </c>
      <c r="F164" s="1" t="s">
        <v>731</v>
      </c>
      <c r="G164" s="3" t="s">
        <v>486</v>
      </c>
      <c r="H164" s="3">
        <f>40+40</f>
        <v>80</v>
      </c>
      <c r="I164" s="3" t="s">
        <v>483</v>
      </c>
    </row>
    <row r="165" spans="1:9">
      <c r="A165" s="23" t="s">
        <v>1337</v>
      </c>
      <c r="B165" s="23" t="s">
        <v>1338</v>
      </c>
      <c r="C165" s="3" t="s">
        <v>264</v>
      </c>
      <c r="D165" s="1" t="s">
        <v>390</v>
      </c>
      <c r="E165" s="1" t="s">
        <v>1014</v>
      </c>
      <c r="F165" s="1" t="s">
        <v>696</v>
      </c>
      <c r="G165" s="3" t="s">
        <v>486</v>
      </c>
      <c r="H165" s="3">
        <v>100</v>
      </c>
      <c r="I165" s="3" t="s">
        <v>483</v>
      </c>
    </row>
    <row r="166" spans="1:9">
      <c r="A166" s="23" t="s">
        <v>1203</v>
      </c>
      <c r="B166" s="23" t="s">
        <v>889</v>
      </c>
      <c r="C166" s="3" t="s">
        <v>264</v>
      </c>
      <c r="D166" s="1" t="s">
        <v>889</v>
      </c>
      <c r="E166" s="1" t="s">
        <v>1004</v>
      </c>
      <c r="F166" s="1" t="s">
        <v>890</v>
      </c>
      <c r="G166" s="3" t="s">
        <v>486</v>
      </c>
      <c r="H166" s="3">
        <v>40</v>
      </c>
      <c r="I166" s="3" t="s">
        <v>483</v>
      </c>
    </row>
    <row r="167" spans="1:9">
      <c r="A167" s="23" t="s">
        <v>1297</v>
      </c>
      <c r="B167" s="23" t="s">
        <v>490</v>
      </c>
      <c r="C167" s="3" t="s">
        <v>264</v>
      </c>
      <c r="D167" s="1" t="s">
        <v>490</v>
      </c>
      <c r="E167" s="1" t="s">
        <v>589</v>
      </c>
      <c r="F167" s="1" t="s">
        <v>697</v>
      </c>
      <c r="G167" s="3" t="s">
        <v>486</v>
      </c>
      <c r="H167" s="3">
        <v>80</v>
      </c>
      <c r="I167" s="3" t="s">
        <v>483</v>
      </c>
    </row>
    <row r="168" spans="1:9">
      <c r="A168" s="23" t="s">
        <v>1204</v>
      </c>
      <c r="B168" s="23" t="s">
        <v>793</v>
      </c>
      <c r="C168" s="3" t="s">
        <v>264</v>
      </c>
      <c r="D168" s="1" t="s">
        <v>793</v>
      </c>
      <c r="E168" s="1" t="s">
        <v>794</v>
      </c>
      <c r="F168" s="1" t="s">
        <v>912</v>
      </c>
      <c r="G168" s="3" t="s">
        <v>486</v>
      </c>
      <c r="H168" s="3">
        <f>40+20</f>
        <v>60</v>
      </c>
      <c r="I168" s="3" t="s">
        <v>484</v>
      </c>
    </row>
    <row r="169" spans="1:9">
      <c r="A169" s="23" t="s">
        <v>1204</v>
      </c>
      <c r="B169" s="23" t="s">
        <v>793</v>
      </c>
      <c r="C169" s="3" t="s">
        <v>264</v>
      </c>
      <c r="D169" s="1" t="s">
        <v>793</v>
      </c>
      <c r="E169" s="1" t="s">
        <v>794</v>
      </c>
      <c r="F169" s="1" t="s">
        <v>912</v>
      </c>
      <c r="G169" s="3" t="s">
        <v>486</v>
      </c>
      <c r="H169" s="3">
        <f>40+40</f>
        <v>80</v>
      </c>
      <c r="I169" s="3" t="s">
        <v>483</v>
      </c>
    </row>
    <row r="170" spans="1:9">
      <c r="A170" s="23" t="s">
        <v>1205</v>
      </c>
      <c r="B170" s="23" t="s">
        <v>1206</v>
      </c>
      <c r="C170" s="3" t="s">
        <v>264</v>
      </c>
      <c r="D170" s="1" t="s">
        <v>733</v>
      </c>
      <c r="E170" s="1" t="s">
        <v>734</v>
      </c>
      <c r="F170" s="1" t="s">
        <v>735</v>
      </c>
      <c r="G170" s="3" t="s">
        <v>486</v>
      </c>
      <c r="H170" s="3">
        <v>40</v>
      </c>
      <c r="I170" s="3" t="s">
        <v>483</v>
      </c>
    </row>
    <row r="171" spans="1:9">
      <c r="A171" s="23" t="s">
        <v>1263</v>
      </c>
      <c r="B171" s="23" t="s">
        <v>641</v>
      </c>
      <c r="C171" s="3" t="s">
        <v>264</v>
      </c>
      <c r="D171" s="1" t="s">
        <v>641</v>
      </c>
      <c r="E171" s="1" t="s">
        <v>891</v>
      </c>
      <c r="F171" s="1" t="s">
        <v>892</v>
      </c>
      <c r="G171" s="3" t="s">
        <v>486</v>
      </c>
      <c r="H171" s="3">
        <f>35+30</f>
        <v>65</v>
      </c>
      <c r="I171" s="3" t="s">
        <v>483</v>
      </c>
    </row>
    <row r="172" spans="1:9">
      <c r="A172" s="23" t="s">
        <v>1208</v>
      </c>
      <c r="B172" s="23" t="s">
        <v>1209</v>
      </c>
      <c r="C172" s="3" t="s">
        <v>264</v>
      </c>
      <c r="D172" s="1" t="s">
        <v>553</v>
      </c>
      <c r="E172" s="1" t="s">
        <v>404</v>
      </c>
      <c r="F172" s="1" t="s">
        <v>913</v>
      </c>
      <c r="G172" s="3" t="s">
        <v>486</v>
      </c>
      <c r="H172" s="3">
        <f>90-20</f>
        <v>70</v>
      </c>
      <c r="I172" s="3" t="s">
        <v>483</v>
      </c>
    </row>
    <row r="173" spans="1:9">
      <c r="A173" s="23" t="s">
        <v>1178</v>
      </c>
      <c r="B173" s="23" t="s">
        <v>779</v>
      </c>
      <c r="C173" s="3" t="s">
        <v>264</v>
      </c>
      <c r="D173" s="1" t="s">
        <v>779</v>
      </c>
      <c r="E173" s="1" t="s">
        <v>1005</v>
      </c>
      <c r="F173" s="1" t="s">
        <v>780</v>
      </c>
      <c r="G173" s="3" t="s">
        <v>486</v>
      </c>
      <c r="H173" s="3">
        <v>30</v>
      </c>
      <c r="I173" s="3" t="s">
        <v>483</v>
      </c>
    </row>
    <row r="174" spans="1:9">
      <c r="A174" s="23" t="s">
        <v>1148</v>
      </c>
      <c r="B174" s="23" t="s">
        <v>639</v>
      </c>
      <c r="C174" s="3" t="s">
        <v>264</v>
      </c>
      <c r="D174" s="1" t="s">
        <v>639</v>
      </c>
      <c r="E174" s="1" t="s">
        <v>640</v>
      </c>
      <c r="F174" s="1" t="s">
        <v>914</v>
      </c>
      <c r="G174" s="3" t="s">
        <v>486</v>
      </c>
      <c r="H174" s="3">
        <v>30</v>
      </c>
      <c r="I174" s="3" t="s">
        <v>484</v>
      </c>
    </row>
    <row r="175" spans="1:9">
      <c r="A175" s="23" t="s">
        <v>1148</v>
      </c>
      <c r="B175" s="23" t="s">
        <v>639</v>
      </c>
      <c r="C175" s="3" t="s">
        <v>264</v>
      </c>
      <c r="D175" s="1" t="s">
        <v>639</v>
      </c>
      <c r="E175" s="1" t="s">
        <v>640</v>
      </c>
      <c r="F175" s="1" t="s">
        <v>914</v>
      </c>
      <c r="G175" s="3" t="s">
        <v>486</v>
      </c>
      <c r="H175" s="3">
        <v>20</v>
      </c>
      <c r="I175" s="3" t="s">
        <v>483</v>
      </c>
    </row>
    <row r="176" spans="1:9">
      <c r="A176" s="23" t="s">
        <v>1458</v>
      </c>
      <c r="B176" s="23" t="s">
        <v>1459</v>
      </c>
      <c r="C176" s="3" t="s">
        <v>264</v>
      </c>
      <c r="D176" s="1" t="s">
        <v>408</v>
      </c>
      <c r="E176" s="1" t="s">
        <v>407</v>
      </c>
      <c r="F176" s="1" t="s">
        <v>698</v>
      </c>
      <c r="G176" s="3" t="s">
        <v>486</v>
      </c>
      <c r="H176" s="3">
        <f>300-20</f>
        <v>280</v>
      </c>
      <c r="I176" s="3" t="s">
        <v>483</v>
      </c>
    </row>
    <row r="177" spans="1:9">
      <c r="A177" s="23" t="s">
        <v>1336</v>
      </c>
      <c r="B177" s="23" t="s">
        <v>179</v>
      </c>
      <c r="C177" s="3" t="s">
        <v>264</v>
      </c>
      <c r="D177" s="1" t="s">
        <v>179</v>
      </c>
      <c r="E177" s="1" t="s">
        <v>392</v>
      </c>
      <c r="F177" s="1" t="s">
        <v>915</v>
      </c>
      <c r="G177" s="3" t="s">
        <v>486</v>
      </c>
      <c r="H177" s="3">
        <v>100</v>
      </c>
      <c r="I177" s="3" t="s">
        <v>483</v>
      </c>
    </row>
    <row r="178" spans="1:9">
      <c r="A178" s="23" t="s">
        <v>1392</v>
      </c>
      <c r="B178" s="23" t="s">
        <v>1393</v>
      </c>
      <c r="C178" s="3" t="s">
        <v>264</v>
      </c>
      <c r="D178" s="1" t="s">
        <v>403</v>
      </c>
      <c r="E178" s="1" t="s">
        <v>1015</v>
      </c>
      <c r="F178" s="1" t="s">
        <v>699</v>
      </c>
      <c r="G178" s="3" t="s">
        <v>486</v>
      </c>
      <c r="H178" s="3">
        <f>160-20</f>
        <v>140</v>
      </c>
      <c r="I178" s="3" t="s">
        <v>483</v>
      </c>
    </row>
    <row r="179" spans="1:9">
      <c r="A179" s="23" t="s">
        <v>1193</v>
      </c>
      <c r="B179" s="23" t="s">
        <v>1194</v>
      </c>
      <c r="C179" s="3" t="s">
        <v>264</v>
      </c>
      <c r="D179" s="1" t="s">
        <v>975</v>
      </c>
      <c r="E179" s="1" t="s">
        <v>600</v>
      </c>
      <c r="F179" s="1" t="s">
        <v>1542</v>
      </c>
      <c r="G179" s="3" t="s">
        <v>486</v>
      </c>
      <c r="H179" s="3">
        <v>50</v>
      </c>
      <c r="I179" s="3" t="s">
        <v>484</v>
      </c>
    </row>
    <row r="180" spans="1:9">
      <c r="A180" s="23" t="s">
        <v>1193</v>
      </c>
      <c r="B180" s="23" t="s">
        <v>1194</v>
      </c>
      <c r="C180" s="3" t="s">
        <v>264</v>
      </c>
      <c r="D180" s="1" t="s">
        <v>975</v>
      </c>
      <c r="E180" s="1" t="s">
        <v>600</v>
      </c>
      <c r="F180" s="1" t="s">
        <v>1542</v>
      </c>
      <c r="G180" s="3" t="s">
        <v>486</v>
      </c>
      <c r="H180" s="3">
        <v>40</v>
      </c>
      <c r="I180" s="3" t="s">
        <v>483</v>
      </c>
    </row>
    <row r="181" spans="1:9">
      <c r="A181" s="23" t="s">
        <v>1530</v>
      </c>
      <c r="B181" s="23" t="s">
        <v>1529</v>
      </c>
      <c r="C181" s="68" t="s">
        <v>264</v>
      </c>
      <c r="D181" s="69" t="s">
        <v>1529</v>
      </c>
      <c r="E181" s="69" t="s">
        <v>1531</v>
      </c>
      <c r="F181" s="69"/>
      <c r="G181" s="68" t="s">
        <v>486</v>
      </c>
      <c r="H181" s="68">
        <f>405-30-357+357</f>
        <v>375</v>
      </c>
      <c r="I181" s="68" t="s">
        <v>484</v>
      </c>
    </row>
    <row r="182" spans="1:9">
      <c r="A182" s="23" t="s">
        <v>1530</v>
      </c>
      <c r="B182" s="23" t="s">
        <v>1529</v>
      </c>
      <c r="C182" s="68" t="s">
        <v>264</v>
      </c>
      <c r="D182" s="69" t="s">
        <v>1529</v>
      </c>
      <c r="E182" s="69" t="s">
        <v>1531</v>
      </c>
      <c r="F182" s="69"/>
      <c r="G182" s="68" t="s">
        <v>486</v>
      </c>
      <c r="H182" s="68">
        <f>682-600+600</f>
        <v>682</v>
      </c>
      <c r="I182" s="68" t="s">
        <v>483</v>
      </c>
    </row>
    <row r="183" spans="1:9">
      <c r="A183" s="23" t="s">
        <v>1452</v>
      </c>
      <c r="B183" s="23" t="s">
        <v>1453</v>
      </c>
      <c r="C183" s="3" t="s">
        <v>264</v>
      </c>
      <c r="D183" s="1" t="s">
        <v>439</v>
      </c>
      <c r="E183" s="1" t="s">
        <v>356</v>
      </c>
      <c r="F183" s="1" t="s">
        <v>700</v>
      </c>
      <c r="G183" s="3" t="s">
        <v>486</v>
      </c>
      <c r="H183" s="3">
        <f>210+20+25-20+20</f>
        <v>255</v>
      </c>
      <c r="I183" s="3" t="s">
        <v>484</v>
      </c>
    </row>
    <row r="184" spans="1:9" s="23" customFormat="1">
      <c r="A184" s="23" t="s">
        <v>1452</v>
      </c>
      <c r="B184" s="23" t="s">
        <v>1453</v>
      </c>
      <c r="C184" s="3" t="s">
        <v>264</v>
      </c>
      <c r="D184" s="1" t="s">
        <v>439</v>
      </c>
      <c r="E184" s="1" t="s">
        <v>356</v>
      </c>
      <c r="F184" s="1" t="s">
        <v>700</v>
      </c>
      <c r="G184" s="3" t="s">
        <v>486</v>
      </c>
      <c r="H184" s="33">
        <f>200+24+20+25-20+20</f>
        <v>269</v>
      </c>
      <c r="I184" s="3" t="s">
        <v>483</v>
      </c>
    </row>
    <row r="185" spans="1:9">
      <c r="A185" s="23" t="s">
        <v>1179</v>
      </c>
      <c r="B185" s="23" t="s">
        <v>795</v>
      </c>
      <c r="C185" s="138" t="s">
        <v>264</v>
      </c>
      <c r="D185" s="137" t="s">
        <v>795</v>
      </c>
      <c r="E185" s="137" t="s">
        <v>797</v>
      </c>
      <c r="F185" s="137" t="s">
        <v>796</v>
      </c>
      <c r="G185" s="139" t="s">
        <v>511</v>
      </c>
      <c r="H185" s="138">
        <v>50</v>
      </c>
      <c r="I185" s="138" t="s">
        <v>484</v>
      </c>
    </row>
    <row r="186" spans="1:9" s="23" customFormat="1">
      <c r="A186" s="23" t="s">
        <v>1179</v>
      </c>
      <c r="B186" s="23" t="s">
        <v>795</v>
      </c>
      <c r="C186" s="138" t="s">
        <v>264</v>
      </c>
      <c r="D186" s="137" t="s">
        <v>795</v>
      </c>
      <c r="E186" s="137" t="s">
        <v>797</v>
      </c>
      <c r="F186" s="137" t="s">
        <v>796</v>
      </c>
      <c r="G186" s="139" t="s">
        <v>511</v>
      </c>
      <c r="H186" s="138">
        <v>30</v>
      </c>
      <c r="I186" s="138" t="s">
        <v>483</v>
      </c>
    </row>
    <row r="187" spans="1:9" s="23" customFormat="1">
      <c r="A187" s="23" t="s">
        <v>1207</v>
      </c>
      <c r="B187" s="23" t="s">
        <v>792</v>
      </c>
      <c r="C187" s="3" t="s">
        <v>264</v>
      </c>
      <c r="D187" s="20" t="s">
        <v>792</v>
      </c>
      <c r="E187" s="1" t="s">
        <v>843</v>
      </c>
      <c r="F187" s="20" t="s">
        <v>817</v>
      </c>
      <c r="G187" s="3" t="s">
        <v>486</v>
      </c>
      <c r="H187" s="3">
        <f>40</f>
        <v>40</v>
      </c>
      <c r="I187" s="3" t="s">
        <v>484</v>
      </c>
    </row>
    <row r="188" spans="1:9">
      <c r="A188" s="23" t="s">
        <v>1207</v>
      </c>
      <c r="B188" s="23" t="s">
        <v>792</v>
      </c>
      <c r="C188" s="3" t="s">
        <v>264</v>
      </c>
      <c r="D188" s="20" t="s">
        <v>792</v>
      </c>
      <c r="E188" s="1" t="s">
        <v>843</v>
      </c>
      <c r="F188" s="20" t="s">
        <v>817</v>
      </c>
      <c r="G188" s="3" t="s">
        <v>486</v>
      </c>
      <c r="H188" s="3">
        <f>40</f>
        <v>40</v>
      </c>
      <c r="I188" s="3" t="s">
        <v>483</v>
      </c>
    </row>
    <row r="189" spans="1:9">
      <c r="A189" s="23" t="s">
        <v>1408</v>
      </c>
      <c r="B189" s="23" t="s">
        <v>1409</v>
      </c>
      <c r="C189" s="3" t="s">
        <v>264</v>
      </c>
      <c r="D189" s="1" t="s">
        <v>382</v>
      </c>
      <c r="E189" s="1" t="s">
        <v>381</v>
      </c>
      <c r="F189" s="1" t="s">
        <v>701</v>
      </c>
      <c r="G189" s="3" t="s">
        <v>486</v>
      </c>
      <c r="H189" s="3">
        <f>160+20-20</f>
        <v>160</v>
      </c>
      <c r="I189" s="3" t="s">
        <v>484</v>
      </c>
    </row>
    <row r="190" spans="1:9">
      <c r="A190" s="23" t="s">
        <v>1254</v>
      </c>
      <c r="B190" s="23" t="s">
        <v>1255</v>
      </c>
      <c r="C190" s="3" t="s">
        <v>264</v>
      </c>
      <c r="D190" s="1" t="s">
        <v>488</v>
      </c>
      <c r="E190" s="1" t="s">
        <v>1016</v>
      </c>
      <c r="F190" s="1" t="s">
        <v>702</v>
      </c>
      <c r="G190" s="3" t="s">
        <v>486</v>
      </c>
      <c r="H190" s="3">
        <v>60</v>
      </c>
      <c r="I190" s="3" t="s">
        <v>483</v>
      </c>
    </row>
    <row r="191" spans="1:9">
      <c r="A191" s="23" t="s">
        <v>1298</v>
      </c>
      <c r="B191" s="23" t="s">
        <v>1299</v>
      </c>
      <c r="C191" s="80" t="s">
        <v>264</v>
      </c>
      <c r="D191" s="81" t="s">
        <v>1535</v>
      </c>
      <c r="E191" s="81" t="s">
        <v>1520</v>
      </c>
      <c r="F191" s="81" t="s">
        <v>1521</v>
      </c>
      <c r="G191" s="80" t="s">
        <v>486</v>
      </c>
      <c r="H191" s="80">
        <f>110+20+30</f>
        <v>160</v>
      </c>
      <c r="I191" s="80" t="s">
        <v>484</v>
      </c>
    </row>
    <row r="192" spans="1:9">
      <c r="A192" s="23" t="s">
        <v>1298</v>
      </c>
      <c r="B192" s="23" t="s">
        <v>1299</v>
      </c>
      <c r="C192" s="3" t="s">
        <v>264</v>
      </c>
      <c r="D192" s="1" t="s">
        <v>1535</v>
      </c>
      <c r="E192" s="1" t="s">
        <v>1520</v>
      </c>
      <c r="F192" s="1" t="s">
        <v>1521</v>
      </c>
      <c r="G192" s="3" t="s">
        <v>486</v>
      </c>
      <c r="H192" s="3">
        <f>80+30</f>
        <v>110</v>
      </c>
      <c r="I192" s="3" t="s">
        <v>483</v>
      </c>
    </row>
    <row r="193" spans="1:9">
      <c r="A193" s="23" t="s">
        <v>1423</v>
      </c>
      <c r="B193" s="23" t="s">
        <v>1424</v>
      </c>
      <c r="C193" s="3" t="s">
        <v>264</v>
      </c>
      <c r="D193" s="1" t="s">
        <v>537</v>
      </c>
      <c r="E193" s="1" t="s">
        <v>347</v>
      </c>
      <c r="F193" s="1" t="s">
        <v>599</v>
      </c>
      <c r="G193" s="3" t="s">
        <v>486</v>
      </c>
      <c r="H193" s="3">
        <f>170+20</f>
        <v>190</v>
      </c>
      <c r="I193" s="3" t="s">
        <v>484</v>
      </c>
    </row>
    <row r="194" spans="1:9" s="9" customFormat="1">
      <c r="A194" s="23" t="s">
        <v>1300</v>
      </c>
      <c r="B194" s="23" t="s">
        <v>1301</v>
      </c>
      <c r="C194" s="138" t="s">
        <v>264</v>
      </c>
      <c r="D194" s="137" t="s">
        <v>329</v>
      </c>
      <c r="E194" s="137" t="s">
        <v>539</v>
      </c>
      <c r="F194" s="137" t="s">
        <v>703</v>
      </c>
      <c r="G194" s="139" t="s">
        <v>511</v>
      </c>
      <c r="H194" s="138">
        <v>80</v>
      </c>
      <c r="I194" s="138" t="s">
        <v>484</v>
      </c>
    </row>
    <row r="195" spans="1:9" s="9" customFormat="1">
      <c r="A195" s="23" t="s">
        <v>1180</v>
      </c>
      <c r="B195" s="23" t="s">
        <v>789</v>
      </c>
      <c r="C195" s="138" t="s">
        <v>264</v>
      </c>
      <c r="D195" s="137" t="s">
        <v>789</v>
      </c>
      <c r="E195" s="137" t="s">
        <v>790</v>
      </c>
      <c r="F195" s="137" t="s">
        <v>791</v>
      </c>
      <c r="G195" s="139" t="s">
        <v>511</v>
      </c>
      <c r="H195" s="138">
        <v>50</v>
      </c>
      <c r="I195" s="138" t="s">
        <v>483</v>
      </c>
    </row>
    <row r="196" spans="1:9" s="9" customFormat="1">
      <c r="A196" s="23" t="s">
        <v>1180</v>
      </c>
      <c r="B196" s="23" t="s">
        <v>789</v>
      </c>
      <c r="C196" s="138" t="s">
        <v>264</v>
      </c>
      <c r="D196" s="137" t="s">
        <v>789</v>
      </c>
      <c r="E196" s="137" t="s">
        <v>790</v>
      </c>
      <c r="F196" s="137" t="s">
        <v>791</v>
      </c>
      <c r="G196" s="139" t="s">
        <v>511</v>
      </c>
      <c r="H196" s="138">
        <v>30</v>
      </c>
      <c r="I196" s="138" t="s">
        <v>484</v>
      </c>
    </row>
    <row r="197" spans="1:9" s="9" customFormat="1">
      <c r="A197" s="23" t="s">
        <v>1367</v>
      </c>
      <c r="B197" s="23" t="s">
        <v>1368</v>
      </c>
      <c r="C197" s="3" t="s">
        <v>264</v>
      </c>
      <c r="D197" s="1" t="s">
        <v>976</v>
      </c>
      <c r="E197" s="1" t="s">
        <v>391</v>
      </c>
      <c r="F197" s="1" t="s">
        <v>704</v>
      </c>
      <c r="G197" s="3" t="s">
        <v>486</v>
      </c>
      <c r="H197" s="3">
        <f>150-30</f>
        <v>120</v>
      </c>
      <c r="I197" s="3" t="s">
        <v>483</v>
      </c>
    </row>
    <row r="198" spans="1:9" s="9" customFormat="1">
      <c r="A198" s="23" t="s">
        <v>1354</v>
      </c>
      <c r="B198" s="23" t="s">
        <v>1355</v>
      </c>
      <c r="C198" s="3" t="s">
        <v>264</v>
      </c>
      <c r="D198" s="1" t="s">
        <v>445</v>
      </c>
      <c r="E198" s="1" t="s">
        <v>1017</v>
      </c>
      <c r="F198" s="1" t="s">
        <v>705</v>
      </c>
      <c r="G198" s="3" t="s">
        <v>486</v>
      </c>
      <c r="H198" s="3">
        <f>120-10</f>
        <v>110</v>
      </c>
      <c r="I198" s="3" t="s">
        <v>484</v>
      </c>
    </row>
    <row r="199" spans="1:9" s="9" customFormat="1">
      <c r="A199" s="23" t="s">
        <v>1354</v>
      </c>
      <c r="B199" s="23" t="s">
        <v>1355</v>
      </c>
      <c r="C199" s="3" t="s">
        <v>264</v>
      </c>
      <c r="D199" s="1" t="s">
        <v>445</v>
      </c>
      <c r="E199" s="1" t="s">
        <v>1017</v>
      </c>
      <c r="F199" s="1" t="s">
        <v>705</v>
      </c>
      <c r="G199" s="3" t="s">
        <v>486</v>
      </c>
      <c r="H199" s="3">
        <f>200-20</f>
        <v>180</v>
      </c>
      <c r="I199" s="3" t="s">
        <v>483</v>
      </c>
    </row>
    <row r="200" spans="1:9" s="9" customFormat="1">
      <c r="A200" s="23" t="s">
        <v>1472</v>
      </c>
      <c r="B200" s="23" t="s">
        <v>1473</v>
      </c>
      <c r="C200" s="3" t="s">
        <v>264</v>
      </c>
      <c r="D200" s="1" t="s">
        <v>378</v>
      </c>
      <c r="E200" s="1" t="s">
        <v>1018</v>
      </c>
      <c r="F200" s="1" t="s">
        <v>706</v>
      </c>
      <c r="G200" s="3" t="s">
        <v>486</v>
      </c>
      <c r="H200" s="3">
        <v>180</v>
      </c>
      <c r="I200" s="3" t="s">
        <v>484</v>
      </c>
    </row>
    <row r="201" spans="1:9" s="9" customFormat="1">
      <c r="A201" s="23" t="s">
        <v>1428</v>
      </c>
      <c r="B201" s="23" t="s">
        <v>1429</v>
      </c>
      <c r="C201" s="3" t="s">
        <v>264</v>
      </c>
      <c r="D201" s="1" t="s">
        <v>438</v>
      </c>
      <c r="E201" s="1" t="s">
        <v>1019</v>
      </c>
      <c r="F201" s="1" t="s">
        <v>707</v>
      </c>
      <c r="G201" s="3" t="s">
        <v>486</v>
      </c>
      <c r="H201" s="3">
        <v>260</v>
      </c>
      <c r="I201" s="3" t="s">
        <v>484</v>
      </c>
    </row>
    <row r="202" spans="1:9" s="9" customFormat="1">
      <c r="A202" s="23" t="s">
        <v>1428</v>
      </c>
      <c r="B202" s="23" t="s">
        <v>1429</v>
      </c>
      <c r="C202" s="3" t="s">
        <v>264</v>
      </c>
      <c r="D202" s="1" t="s">
        <v>438</v>
      </c>
      <c r="E202" s="1" t="s">
        <v>1019</v>
      </c>
      <c r="F202" s="1" t="s">
        <v>707</v>
      </c>
      <c r="G202" s="3" t="s">
        <v>486</v>
      </c>
      <c r="H202" s="3">
        <v>200</v>
      </c>
      <c r="I202" s="3" t="s">
        <v>483</v>
      </c>
    </row>
    <row r="203" spans="1:9" s="9" customFormat="1">
      <c r="A203" s="23" t="s">
        <v>1210</v>
      </c>
      <c r="B203" s="23" t="s">
        <v>1211</v>
      </c>
      <c r="C203" s="3" t="s">
        <v>264</v>
      </c>
      <c r="D203" s="1" t="s">
        <v>492</v>
      </c>
      <c r="E203" s="1" t="s">
        <v>330</v>
      </c>
      <c r="F203" s="1" t="s">
        <v>708</v>
      </c>
      <c r="G203" s="3" t="s">
        <v>486</v>
      </c>
      <c r="H203" s="3">
        <v>40</v>
      </c>
      <c r="I203" s="3" t="s">
        <v>484</v>
      </c>
    </row>
    <row r="204" spans="1:9" s="9" customFormat="1">
      <c r="A204" s="23" t="s">
        <v>1233</v>
      </c>
      <c r="B204" s="23" t="s">
        <v>1234</v>
      </c>
      <c r="C204" s="3" t="s">
        <v>264</v>
      </c>
      <c r="D204" s="1" t="s">
        <v>324</v>
      </c>
      <c r="E204" s="1" t="s">
        <v>323</v>
      </c>
      <c r="F204" s="1" t="s">
        <v>709</v>
      </c>
      <c r="G204" s="3" t="s">
        <v>486</v>
      </c>
      <c r="H204" s="3">
        <v>50</v>
      </c>
      <c r="I204" s="3" t="s">
        <v>484</v>
      </c>
    </row>
    <row r="205" spans="1:9" s="9" customFormat="1">
      <c r="A205" s="23" t="s">
        <v>1339</v>
      </c>
      <c r="B205" s="23" t="s">
        <v>1340</v>
      </c>
      <c r="C205" s="3" t="s">
        <v>264</v>
      </c>
      <c r="D205" s="1" t="s">
        <v>427</v>
      </c>
      <c r="E205" s="1" t="s">
        <v>1020</v>
      </c>
      <c r="F205" s="1" t="s">
        <v>777</v>
      </c>
      <c r="G205" s="3" t="s">
        <v>486</v>
      </c>
      <c r="H205" s="3">
        <v>200</v>
      </c>
      <c r="I205" s="3" t="s">
        <v>484</v>
      </c>
    </row>
    <row r="206" spans="1:9" s="9" customFormat="1">
      <c r="A206" s="23" t="s">
        <v>1339</v>
      </c>
      <c r="B206" s="23" t="s">
        <v>1340</v>
      </c>
      <c r="C206" s="3" t="s">
        <v>264</v>
      </c>
      <c r="D206" s="1" t="s">
        <v>427</v>
      </c>
      <c r="E206" s="1" t="s">
        <v>1020</v>
      </c>
      <c r="F206" s="1" t="s">
        <v>777</v>
      </c>
      <c r="G206" s="3" t="s">
        <v>486</v>
      </c>
      <c r="H206" s="3">
        <v>100</v>
      </c>
      <c r="I206" s="3" t="s">
        <v>483</v>
      </c>
    </row>
    <row r="207" spans="1:9" s="9" customFormat="1">
      <c r="A207" s="23" t="s">
        <v>1343</v>
      </c>
      <c r="B207" s="23" t="s">
        <v>1344</v>
      </c>
      <c r="C207" s="3" t="s">
        <v>264</v>
      </c>
      <c r="D207" s="1" t="s">
        <v>354</v>
      </c>
      <c r="E207" s="1" t="s">
        <v>353</v>
      </c>
      <c r="F207" s="1" t="s">
        <v>710</v>
      </c>
      <c r="G207" s="3" t="s">
        <v>486</v>
      </c>
      <c r="H207" s="3">
        <v>100</v>
      </c>
      <c r="I207" s="3" t="s">
        <v>484</v>
      </c>
    </row>
    <row r="208" spans="1:9" s="9" customFormat="1">
      <c r="A208" s="23" t="s">
        <v>1343</v>
      </c>
      <c r="B208" s="23" t="s">
        <v>1344</v>
      </c>
      <c r="C208" s="3" t="s">
        <v>264</v>
      </c>
      <c r="D208" s="1" t="s">
        <v>354</v>
      </c>
      <c r="E208" s="1" t="s">
        <v>353</v>
      </c>
      <c r="F208" s="1" t="s">
        <v>710</v>
      </c>
      <c r="G208" s="3" t="s">
        <v>486</v>
      </c>
      <c r="H208" s="4">
        <v>100</v>
      </c>
      <c r="I208" s="3" t="s">
        <v>483</v>
      </c>
    </row>
    <row r="209" spans="1:9" s="9" customFormat="1">
      <c r="A209" s="23" t="s">
        <v>1364</v>
      </c>
      <c r="B209" s="23" t="s">
        <v>1365</v>
      </c>
      <c r="C209" s="3" t="s">
        <v>264</v>
      </c>
      <c r="D209" s="1" t="s">
        <v>1366</v>
      </c>
      <c r="E209" s="1" t="s">
        <v>844</v>
      </c>
      <c r="F209" s="1" t="s">
        <v>845</v>
      </c>
      <c r="G209" s="3" t="s">
        <v>486</v>
      </c>
      <c r="H209" s="3">
        <v>120</v>
      </c>
      <c r="I209" s="3" t="s">
        <v>483</v>
      </c>
    </row>
    <row r="210" spans="1:9" s="9" customFormat="1">
      <c r="A210" s="23" t="s">
        <v>1360</v>
      </c>
      <c r="B210" s="23" t="s">
        <v>1361</v>
      </c>
      <c r="C210" s="3" t="s">
        <v>264</v>
      </c>
      <c r="D210" s="1" t="s">
        <v>580</v>
      </c>
      <c r="E210" s="1" t="s">
        <v>1021</v>
      </c>
      <c r="F210" s="1" t="s">
        <v>665</v>
      </c>
      <c r="G210" s="3" t="s">
        <v>486</v>
      </c>
      <c r="H210" s="3">
        <f>220+20+30</f>
        <v>270</v>
      </c>
      <c r="I210" s="3" t="s">
        <v>484</v>
      </c>
    </row>
    <row r="211" spans="1:9" s="9" customFormat="1">
      <c r="A211" s="23" t="s">
        <v>1360</v>
      </c>
      <c r="B211" s="23" t="s">
        <v>1361</v>
      </c>
      <c r="C211" s="3" t="s">
        <v>264</v>
      </c>
      <c r="D211" s="1" t="s">
        <v>580</v>
      </c>
      <c r="E211" s="1" t="s">
        <v>1021</v>
      </c>
      <c r="F211" s="1" t="s">
        <v>665</v>
      </c>
      <c r="G211" s="3" t="s">
        <v>486</v>
      </c>
      <c r="H211" s="3">
        <f>60+30+25</f>
        <v>115</v>
      </c>
      <c r="I211" s="3" t="s">
        <v>483</v>
      </c>
    </row>
    <row r="212" spans="1:9" s="9" customFormat="1">
      <c r="A212" s="23" t="s">
        <v>1231</v>
      </c>
      <c r="B212" s="23" t="s">
        <v>1232</v>
      </c>
      <c r="C212" s="3" t="s">
        <v>264</v>
      </c>
      <c r="D212" s="1" t="s">
        <v>583</v>
      </c>
      <c r="E212" s="1" t="s">
        <v>584</v>
      </c>
      <c r="F212" s="1" t="s">
        <v>711</v>
      </c>
      <c r="G212" s="3" t="s">
        <v>486</v>
      </c>
      <c r="H212" s="3">
        <v>50</v>
      </c>
      <c r="I212" s="3" t="s">
        <v>483</v>
      </c>
    </row>
    <row r="213" spans="1:9" s="9" customFormat="1">
      <c r="A213" s="23" t="s">
        <v>1400</v>
      </c>
      <c r="B213" s="23" t="s">
        <v>1401</v>
      </c>
      <c r="C213" s="3" t="s">
        <v>264</v>
      </c>
      <c r="D213" s="1" t="s">
        <v>352</v>
      </c>
      <c r="E213" s="1" t="s">
        <v>433</v>
      </c>
      <c r="F213" s="1" t="s">
        <v>712</v>
      </c>
      <c r="G213" s="3" t="s">
        <v>486</v>
      </c>
      <c r="H213" s="3">
        <v>330</v>
      </c>
      <c r="I213" s="3" t="s">
        <v>484</v>
      </c>
    </row>
    <row r="214" spans="1:9" s="9" customFormat="1">
      <c r="A214" s="23" t="s">
        <v>1400</v>
      </c>
      <c r="B214" s="23" t="s">
        <v>1401</v>
      </c>
      <c r="C214" s="3" t="s">
        <v>264</v>
      </c>
      <c r="D214" s="1" t="s">
        <v>352</v>
      </c>
      <c r="E214" s="1" t="s">
        <v>433</v>
      </c>
      <c r="F214" s="1" t="s">
        <v>712</v>
      </c>
      <c r="G214" s="3" t="s">
        <v>486</v>
      </c>
      <c r="H214" s="3">
        <v>150</v>
      </c>
      <c r="I214" s="3" t="s">
        <v>483</v>
      </c>
    </row>
    <row r="215" spans="1:9" s="9" customFormat="1">
      <c r="A215" s="23" t="s">
        <v>1238</v>
      </c>
      <c r="B215" s="23" t="s">
        <v>1239</v>
      </c>
      <c r="C215" s="3" t="s">
        <v>264</v>
      </c>
      <c r="D215" s="1" t="s">
        <v>535</v>
      </c>
      <c r="E215" s="1" t="s">
        <v>536</v>
      </c>
      <c r="F215" s="1" t="s">
        <v>713</v>
      </c>
      <c r="G215" s="3" t="s">
        <v>486</v>
      </c>
      <c r="H215" s="3">
        <v>52</v>
      </c>
      <c r="I215" s="3" t="s">
        <v>483</v>
      </c>
    </row>
    <row r="216" spans="1:9" s="9" customFormat="1">
      <c r="A216" s="23" t="s">
        <v>1383</v>
      </c>
      <c r="B216" s="23" t="s">
        <v>1384</v>
      </c>
      <c r="C216" s="3" t="s">
        <v>264</v>
      </c>
      <c r="D216" s="1" t="s">
        <v>429</v>
      </c>
      <c r="E216" s="1" t="s">
        <v>1022</v>
      </c>
      <c r="F216" s="1" t="s">
        <v>714</v>
      </c>
      <c r="G216" s="3" t="s">
        <v>486</v>
      </c>
      <c r="H216" s="3">
        <f>130+20</f>
        <v>150</v>
      </c>
      <c r="I216" s="3" t="s">
        <v>484</v>
      </c>
    </row>
    <row r="217" spans="1:9" s="9" customFormat="1">
      <c r="A217" s="23" t="s">
        <v>1383</v>
      </c>
      <c r="B217" s="23" t="s">
        <v>1384</v>
      </c>
      <c r="C217" s="3" t="s">
        <v>264</v>
      </c>
      <c r="D217" s="1" t="s">
        <v>429</v>
      </c>
      <c r="E217" s="1" t="s">
        <v>1022</v>
      </c>
      <c r="F217" s="1" t="s">
        <v>714</v>
      </c>
      <c r="G217" s="3" t="s">
        <v>486</v>
      </c>
      <c r="H217" s="3">
        <f>110+20</f>
        <v>130</v>
      </c>
      <c r="I217" s="3" t="s">
        <v>483</v>
      </c>
    </row>
    <row r="218" spans="1:9" s="9" customFormat="1">
      <c r="A218" s="23" t="s">
        <v>1219</v>
      </c>
      <c r="B218" s="23" t="s">
        <v>1220</v>
      </c>
      <c r="C218" s="3" t="s">
        <v>264</v>
      </c>
      <c r="D218" s="1" t="s">
        <v>1572</v>
      </c>
      <c r="E218" s="1" t="s">
        <v>345</v>
      </c>
      <c r="F218" s="1" t="s">
        <v>716</v>
      </c>
      <c r="G218" s="3" t="s">
        <v>486</v>
      </c>
      <c r="H218" s="3">
        <v>50</v>
      </c>
      <c r="I218" s="3" t="s">
        <v>484</v>
      </c>
    </row>
    <row r="219" spans="1:9" s="9" customFormat="1">
      <c r="A219" s="23" t="s">
        <v>1341</v>
      </c>
      <c r="B219" s="23" t="s">
        <v>1342</v>
      </c>
      <c r="C219" s="3" t="s">
        <v>264</v>
      </c>
      <c r="D219" s="1" t="s">
        <v>367</v>
      </c>
      <c r="E219" s="1" t="s">
        <v>366</v>
      </c>
      <c r="F219" s="1" t="s">
        <v>717</v>
      </c>
      <c r="G219" s="3" t="s">
        <v>486</v>
      </c>
      <c r="H219" s="3">
        <v>100</v>
      </c>
      <c r="I219" s="3" t="s">
        <v>484</v>
      </c>
    </row>
    <row r="220" spans="1:9" s="9" customFormat="1">
      <c r="A220" s="23" t="s">
        <v>1430</v>
      </c>
      <c r="B220" s="23" t="s">
        <v>1431</v>
      </c>
      <c r="C220" s="3" t="s">
        <v>264</v>
      </c>
      <c r="D220" s="1" t="s">
        <v>550</v>
      </c>
      <c r="E220" s="1" t="s">
        <v>337</v>
      </c>
      <c r="F220" s="1" t="s">
        <v>718</v>
      </c>
      <c r="G220" s="3" t="s">
        <v>486</v>
      </c>
      <c r="H220" s="3">
        <f>180+20</f>
        <v>200</v>
      </c>
      <c r="I220" s="3" t="s">
        <v>484</v>
      </c>
    </row>
    <row r="221" spans="1:9" s="9" customFormat="1">
      <c r="A221" s="23" t="s">
        <v>1345</v>
      </c>
      <c r="B221" s="23" t="s">
        <v>1346</v>
      </c>
      <c r="C221" s="3" t="s">
        <v>264</v>
      </c>
      <c r="D221" s="1" t="s">
        <v>322</v>
      </c>
      <c r="E221" s="1" t="s">
        <v>321</v>
      </c>
      <c r="F221" s="1" t="s">
        <v>916</v>
      </c>
      <c r="G221" s="3" t="s">
        <v>486</v>
      </c>
      <c r="H221" s="3">
        <v>180</v>
      </c>
      <c r="I221" s="3" t="s">
        <v>484</v>
      </c>
    </row>
    <row r="222" spans="1:9" s="9" customFormat="1">
      <c r="A222" s="23" t="s">
        <v>1345</v>
      </c>
      <c r="B222" s="23" t="s">
        <v>1346</v>
      </c>
      <c r="C222" s="3" t="s">
        <v>264</v>
      </c>
      <c r="D222" s="1" t="s">
        <v>322</v>
      </c>
      <c r="E222" s="1" t="s">
        <v>321</v>
      </c>
      <c r="F222" s="1" t="s">
        <v>916</v>
      </c>
      <c r="G222" s="3" t="s">
        <v>486</v>
      </c>
      <c r="H222" s="3">
        <v>100</v>
      </c>
      <c r="I222" s="3" t="s">
        <v>483</v>
      </c>
    </row>
    <row r="223" spans="1:9" s="9" customFormat="1">
      <c r="A223" s="23" t="s">
        <v>1356</v>
      </c>
      <c r="B223" s="23" t="s">
        <v>1357</v>
      </c>
      <c r="C223" s="3" t="s">
        <v>264</v>
      </c>
      <c r="D223" s="1" t="s">
        <v>425</v>
      </c>
      <c r="E223" s="1" t="s">
        <v>348</v>
      </c>
      <c r="F223" s="1" t="s">
        <v>719</v>
      </c>
      <c r="G223" s="3" t="s">
        <v>486</v>
      </c>
      <c r="H223" s="3">
        <f>210+20+20</f>
        <v>250</v>
      </c>
      <c r="I223" s="3" t="s">
        <v>484</v>
      </c>
    </row>
    <row r="224" spans="1:9" s="9" customFormat="1">
      <c r="A224" s="23" t="s">
        <v>1356</v>
      </c>
      <c r="B224" s="23" t="s">
        <v>1357</v>
      </c>
      <c r="C224" s="3" t="s">
        <v>264</v>
      </c>
      <c r="D224" s="1" t="s">
        <v>425</v>
      </c>
      <c r="E224" s="1" t="s">
        <v>348</v>
      </c>
      <c r="F224" s="1" t="s">
        <v>719</v>
      </c>
      <c r="G224" s="3" t="s">
        <v>486</v>
      </c>
      <c r="H224" s="3">
        <f>90+20</f>
        <v>110</v>
      </c>
      <c r="I224" s="3" t="s">
        <v>483</v>
      </c>
    </row>
    <row r="225" spans="1:9" s="9" customFormat="1">
      <c r="A225" s="23" t="s">
        <v>1302</v>
      </c>
      <c r="B225" s="23" t="s">
        <v>1303</v>
      </c>
      <c r="C225" s="3" t="s">
        <v>264</v>
      </c>
      <c r="D225" s="1" t="s">
        <v>426</v>
      </c>
      <c r="E225" s="1" t="s">
        <v>1023</v>
      </c>
      <c r="F225" s="1" t="s">
        <v>720</v>
      </c>
      <c r="G225" s="3" t="s">
        <v>486</v>
      </c>
      <c r="H225" s="3">
        <v>80</v>
      </c>
      <c r="I225" s="3" t="s">
        <v>484</v>
      </c>
    </row>
    <row r="226" spans="1:9" s="9" customFormat="1">
      <c r="A226" s="23" t="s">
        <v>1302</v>
      </c>
      <c r="B226" s="23" t="s">
        <v>1303</v>
      </c>
      <c r="C226" s="3" t="s">
        <v>264</v>
      </c>
      <c r="D226" s="1" t="s">
        <v>426</v>
      </c>
      <c r="E226" s="1" t="s">
        <v>1023</v>
      </c>
      <c r="F226" s="1" t="s">
        <v>720</v>
      </c>
      <c r="G226" s="3" t="s">
        <v>486</v>
      </c>
      <c r="H226" s="3">
        <v>80</v>
      </c>
      <c r="I226" s="3" t="s">
        <v>483</v>
      </c>
    </row>
    <row r="227" spans="1:9" s="9" customFormat="1">
      <c r="A227" s="23" t="s">
        <v>1369</v>
      </c>
      <c r="B227" s="23" t="s">
        <v>1370</v>
      </c>
      <c r="C227" s="3" t="s">
        <v>264</v>
      </c>
      <c r="D227" s="1" t="s">
        <v>343</v>
      </c>
      <c r="E227" s="1" t="s">
        <v>1024</v>
      </c>
      <c r="F227" s="1" t="s">
        <v>721</v>
      </c>
      <c r="G227" s="3" t="s">
        <v>486</v>
      </c>
      <c r="H227" s="3">
        <f>150+100</f>
        <v>250</v>
      </c>
      <c r="I227" s="3" t="s">
        <v>484</v>
      </c>
    </row>
    <row r="228" spans="1:9" s="9" customFormat="1">
      <c r="A228" s="23" t="s">
        <v>1369</v>
      </c>
      <c r="B228" s="23" t="s">
        <v>1370</v>
      </c>
      <c r="C228" s="3" t="s">
        <v>264</v>
      </c>
      <c r="D228" s="1" t="s">
        <v>343</v>
      </c>
      <c r="E228" s="1" t="s">
        <v>1024</v>
      </c>
      <c r="F228" s="1" t="s">
        <v>721</v>
      </c>
      <c r="G228" s="3" t="s">
        <v>486</v>
      </c>
      <c r="H228" s="3">
        <f>20+100</f>
        <v>120</v>
      </c>
      <c r="I228" s="3" t="s">
        <v>483</v>
      </c>
    </row>
    <row r="229" spans="1:9" s="9" customFormat="1">
      <c r="A229" s="23" t="s">
        <v>1316</v>
      </c>
      <c r="B229" s="23" t="s">
        <v>1317</v>
      </c>
      <c r="C229" s="3" t="s">
        <v>264</v>
      </c>
      <c r="D229" s="1" t="s">
        <v>386</v>
      </c>
      <c r="E229" s="1" t="s">
        <v>555</v>
      </c>
      <c r="F229" s="1" t="s">
        <v>722</v>
      </c>
      <c r="G229" s="3" t="s">
        <v>486</v>
      </c>
      <c r="H229" s="3">
        <v>90</v>
      </c>
      <c r="I229" s="3" t="s">
        <v>483</v>
      </c>
    </row>
    <row r="230" spans="1:9" s="9" customFormat="1">
      <c r="A230" s="23" t="s">
        <v>1151</v>
      </c>
      <c r="B230" s="23" t="s">
        <v>1152</v>
      </c>
      <c r="C230" s="3" t="s">
        <v>264</v>
      </c>
      <c r="D230" s="1" t="s">
        <v>361</v>
      </c>
      <c r="E230" s="1" t="s">
        <v>1025</v>
      </c>
      <c r="F230" s="1" t="s">
        <v>723</v>
      </c>
      <c r="G230" s="3" t="s">
        <v>486</v>
      </c>
      <c r="H230" s="3">
        <v>70</v>
      </c>
      <c r="I230" s="3" t="s">
        <v>484</v>
      </c>
    </row>
    <row r="231" spans="1:9" s="9" customFormat="1">
      <c r="A231" s="23" t="s">
        <v>1151</v>
      </c>
      <c r="B231" s="23" t="s">
        <v>1152</v>
      </c>
      <c r="C231" s="3" t="s">
        <v>264</v>
      </c>
      <c r="D231" s="1" t="s">
        <v>361</v>
      </c>
      <c r="E231" s="1" t="s">
        <v>1025</v>
      </c>
      <c r="F231" s="1" t="s">
        <v>723</v>
      </c>
      <c r="G231" s="3" t="s">
        <v>486</v>
      </c>
      <c r="H231" s="3">
        <v>20</v>
      </c>
      <c r="I231" s="3" t="s">
        <v>483</v>
      </c>
    </row>
    <row r="232" spans="1:9" s="9" customFormat="1">
      <c r="A232" s="23" t="s">
        <v>1333</v>
      </c>
      <c r="B232" s="23" t="s">
        <v>1334</v>
      </c>
      <c r="C232" s="3" t="s">
        <v>264</v>
      </c>
      <c r="D232" s="1" t="s">
        <v>450</v>
      </c>
      <c r="E232" s="1" t="s">
        <v>729</v>
      </c>
      <c r="F232" s="1" t="s">
        <v>917</v>
      </c>
      <c r="G232" s="3" t="s">
        <v>486</v>
      </c>
      <c r="H232" s="3">
        <v>110</v>
      </c>
      <c r="I232" s="3" t="s">
        <v>484</v>
      </c>
    </row>
    <row r="233" spans="1:9" s="9" customFormat="1">
      <c r="A233" s="23" t="s">
        <v>1333</v>
      </c>
      <c r="B233" s="23" t="s">
        <v>1334</v>
      </c>
      <c r="C233" s="3" t="s">
        <v>264</v>
      </c>
      <c r="D233" s="1" t="s">
        <v>450</v>
      </c>
      <c r="E233" s="1" t="s">
        <v>729</v>
      </c>
      <c r="F233" s="1" t="s">
        <v>917</v>
      </c>
      <c r="G233" s="3" t="s">
        <v>486</v>
      </c>
      <c r="H233" s="3">
        <v>100</v>
      </c>
      <c r="I233" s="3" t="s">
        <v>483</v>
      </c>
    </row>
    <row r="234" spans="1:9" s="9" customFormat="1">
      <c r="A234" s="23" t="s">
        <v>1276</v>
      </c>
      <c r="B234" s="23" t="s">
        <v>1277</v>
      </c>
      <c r="C234" s="3" t="s">
        <v>264</v>
      </c>
      <c r="D234" s="1" t="s">
        <v>344</v>
      </c>
      <c r="E234" s="1" t="s">
        <v>423</v>
      </c>
      <c r="F234" s="1" t="s">
        <v>1538</v>
      </c>
      <c r="G234" s="3" t="s">
        <v>486</v>
      </c>
      <c r="H234" s="3">
        <f>60+20+20</f>
        <v>100</v>
      </c>
      <c r="I234" s="3" t="s">
        <v>484</v>
      </c>
    </row>
    <row r="235" spans="1:9" s="9" customFormat="1">
      <c r="A235" s="23" t="s">
        <v>1276</v>
      </c>
      <c r="B235" s="23" t="s">
        <v>1277</v>
      </c>
      <c r="C235" s="3" t="s">
        <v>264</v>
      </c>
      <c r="D235" s="1" t="s">
        <v>344</v>
      </c>
      <c r="E235" s="1" t="s">
        <v>423</v>
      </c>
      <c r="F235" s="1" t="s">
        <v>1538</v>
      </c>
      <c r="G235" s="3" t="s">
        <v>486</v>
      </c>
      <c r="H235" s="3">
        <f>50+20</f>
        <v>70</v>
      </c>
      <c r="I235" s="3" t="s">
        <v>483</v>
      </c>
    </row>
    <row r="236" spans="1:9" s="9" customFormat="1">
      <c r="A236" s="23" t="s">
        <v>1278</v>
      </c>
      <c r="B236" s="23" t="s">
        <v>1279</v>
      </c>
      <c r="C236" s="3" t="s">
        <v>264</v>
      </c>
      <c r="D236" s="1" t="s">
        <v>371</v>
      </c>
      <c r="E236" s="1" t="s">
        <v>370</v>
      </c>
      <c r="F236" s="1" t="s">
        <v>724</v>
      </c>
      <c r="G236" s="3" t="s">
        <v>486</v>
      </c>
      <c r="H236" s="3">
        <v>70</v>
      </c>
      <c r="I236" s="3" t="s">
        <v>484</v>
      </c>
    </row>
    <row r="237" spans="1:9" s="9" customFormat="1">
      <c r="A237" s="26" t="s">
        <v>1188</v>
      </c>
      <c r="B237" s="26" t="s">
        <v>1189</v>
      </c>
      <c r="C237" s="3" t="s">
        <v>264</v>
      </c>
      <c r="D237" s="1" t="s">
        <v>326</v>
      </c>
      <c r="E237" s="1" t="s">
        <v>325</v>
      </c>
      <c r="F237" s="1" t="s">
        <v>1551</v>
      </c>
      <c r="G237" s="3" t="s">
        <v>486</v>
      </c>
      <c r="H237" s="3">
        <v>200</v>
      </c>
      <c r="I237" s="3" t="s">
        <v>484</v>
      </c>
    </row>
    <row r="238" spans="1:9" s="9" customFormat="1">
      <c r="A238" s="26" t="s">
        <v>1188</v>
      </c>
      <c r="B238" s="26" t="s">
        <v>1189</v>
      </c>
      <c r="C238" s="3" t="s">
        <v>264</v>
      </c>
      <c r="D238" s="1" t="s">
        <v>326</v>
      </c>
      <c r="E238" s="1" t="s">
        <v>325</v>
      </c>
      <c r="F238" s="1" t="s">
        <v>725</v>
      </c>
      <c r="G238" s="3" t="s">
        <v>486</v>
      </c>
      <c r="H238" s="3">
        <v>40</v>
      </c>
      <c r="I238" s="3" t="s">
        <v>483</v>
      </c>
    </row>
    <row r="239" spans="1:9" s="9" customFormat="1">
      <c r="A239" s="26" t="s">
        <v>1304</v>
      </c>
      <c r="B239" s="26" t="s">
        <v>1305</v>
      </c>
      <c r="C239" s="3" t="s">
        <v>264</v>
      </c>
      <c r="D239" s="1" t="s">
        <v>360</v>
      </c>
      <c r="E239" s="1" t="s">
        <v>359</v>
      </c>
      <c r="F239" s="1" t="s">
        <v>918</v>
      </c>
      <c r="G239" s="3" t="s">
        <v>486</v>
      </c>
      <c r="H239" s="3">
        <v>80</v>
      </c>
      <c r="I239" s="3" t="s">
        <v>484</v>
      </c>
    </row>
    <row r="240" spans="1:9" s="9" customFormat="1">
      <c r="A240" s="26" t="s">
        <v>1323</v>
      </c>
      <c r="B240" s="26" t="s">
        <v>470</v>
      </c>
      <c r="C240" s="13" t="s">
        <v>264</v>
      </c>
      <c r="D240" s="15" t="s">
        <v>470</v>
      </c>
      <c r="E240" s="15" t="s">
        <v>602</v>
      </c>
      <c r="F240" s="82" t="s">
        <v>919</v>
      </c>
      <c r="G240" s="13" t="s">
        <v>510</v>
      </c>
      <c r="H240" s="14">
        <v>100</v>
      </c>
      <c r="I240" s="14" t="s">
        <v>483</v>
      </c>
    </row>
    <row r="241" spans="1:9" s="9" customFormat="1">
      <c r="A241" s="26" t="s">
        <v>1323</v>
      </c>
      <c r="B241" s="26" t="s">
        <v>470</v>
      </c>
      <c r="C241" s="13" t="s">
        <v>264</v>
      </c>
      <c r="D241" s="15" t="s">
        <v>470</v>
      </c>
      <c r="E241" s="15" t="s">
        <v>602</v>
      </c>
      <c r="F241" s="82" t="s">
        <v>919</v>
      </c>
      <c r="G241" s="13" t="s">
        <v>510</v>
      </c>
      <c r="H241" s="14">
        <v>100</v>
      </c>
      <c r="I241" s="14" t="s">
        <v>484</v>
      </c>
    </row>
    <row r="242" spans="1:9" s="9" customFormat="1">
      <c r="A242" s="26" t="s">
        <v>1324</v>
      </c>
      <c r="B242" s="26" t="s">
        <v>478</v>
      </c>
      <c r="C242" s="13" t="s">
        <v>264</v>
      </c>
      <c r="D242" s="15" t="s">
        <v>478</v>
      </c>
      <c r="E242" s="15" t="s">
        <v>603</v>
      </c>
      <c r="F242" s="82" t="s">
        <v>920</v>
      </c>
      <c r="G242" s="13" t="s">
        <v>510</v>
      </c>
      <c r="H242" s="14">
        <v>100</v>
      </c>
      <c r="I242" s="14" t="s">
        <v>483</v>
      </c>
    </row>
    <row r="243" spans="1:9" s="9" customFormat="1">
      <c r="A243" s="26" t="s">
        <v>1324</v>
      </c>
      <c r="B243" s="26" t="s">
        <v>478</v>
      </c>
      <c r="C243" s="13" t="s">
        <v>264</v>
      </c>
      <c r="D243" s="15" t="s">
        <v>478</v>
      </c>
      <c r="E243" s="15" t="s">
        <v>603</v>
      </c>
      <c r="F243" s="82" t="s">
        <v>920</v>
      </c>
      <c r="G243" s="13" t="s">
        <v>510</v>
      </c>
      <c r="H243" s="14">
        <v>100</v>
      </c>
      <c r="I243" s="14" t="s">
        <v>484</v>
      </c>
    </row>
    <row r="244" spans="1:9" s="9" customFormat="1">
      <c r="A244" s="26" t="s">
        <v>1325</v>
      </c>
      <c r="B244" s="26" t="s">
        <v>480</v>
      </c>
      <c r="C244" s="13" t="s">
        <v>264</v>
      </c>
      <c r="D244" s="15" t="s">
        <v>480</v>
      </c>
      <c r="E244" s="15" t="s">
        <v>1006</v>
      </c>
      <c r="F244" s="82" t="s">
        <v>921</v>
      </c>
      <c r="G244" s="13" t="s">
        <v>510</v>
      </c>
      <c r="H244" s="14">
        <v>100</v>
      </c>
      <c r="I244" s="14" t="s">
        <v>483</v>
      </c>
    </row>
    <row r="245" spans="1:9" s="9" customFormat="1">
      <c r="A245" s="26" t="s">
        <v>1325</v>
      </c>
      <c r="B245" s="26" t="s">
        <v>480</v>
      </c>
      <c r="C245" s="13" t="s">
        <v>264</v>
      </c>
      <c r="D245" s="15" t="s">
        <v>480</v>
      </c>
      <c r="E245" s="15" t="s">
        <v>1006</v>
      </c>
      <c r="F245" s="82" t="s">
        <v>921</v>
      </c>
      <c r="G245" s="13" t="s">
        <v>510</v>
      </c>
      <c r="H245" s="14">
        <v>100</v>
      </c>
      <c r="I245" s="14" t="s">
        <v>484</v>
      </c>
    </row>
    <row r="246" spans="1:9" s="9" customFormat="1">
      <c r="A246" s="26" t="s">
        <v>1385</v>
      </c>
      <c r="B246" s="26" t="s">
        <v>474</v>
      </c>
      <c r="C246" s="13" t="s">
        <v>264</v>
      </c>
      <c r="D246" s="15" t="s">
        <v>474</v>
      </c>
      <c r="E246" s="15" t="s">
        <v>475</v>
      </c>
      <c r="F246" s="82" t="s">
        <v>922</v>
      </c>
      <c r="G246" s="13" t="s">
        <v>510</v>
      </c>
      <c r="H246" s="14">
        <v>140</v>
      </c>
      <c r="I246" s="14" t="s">
        <v>483</v>
      </c>
    </row>
    <row r="247" spans="1:9" s="9" customFormat="1">
      <c r="A247" s="26" t="s">
        <v>1385</v>
      </c>
      <c r="B247" s="26" t="s">
        <v>474</v>
      </c>
      <c r="C247" s="13" t="s">
        <v>264</v>
      </c>
      <c r="D247" s="15" t="s">
        <v>474</v>
      </c>
      <c r="E247" s="15" t="s">
        <v>475</v>
      </c>
      <c r="F247" s="82" t="s">
        <v>922</v>
      </c>
      <c r="G247" s="13" t="s">
        <v>510</v>
      </c>
      <c r="H247" s="14">
        <v>140</v>
      </c>
      <c r="I247" s="14" t="s">
        <v>484</v>
      </c>
    </row>
    <row r="248" spans="1:9" s="9" customFormat="1">
      <c r="A248" s="26" t="s">
        <v>1326</v>
      </c>
      <c r="B248" s="26" t="s">
        <v>479</v>
      </c>
      <c r="C248" s="13" t="s">
        <v>264</v>
      </c>
      <c r="D248" s="15" t="s">
        <v>479</v>
      </c>
      <c r="E248" s="15" t="s">
        <v>604</v>
      </c>
      <c r="F248" s="82" t="s">
        <v>923</v>
      </c>
      <c r="G248" s="13" t="s">
        <v>510</v>
      </c>
      <c r="H248" s="14">
        <v>100</v>
      </c>
      <c r="I248" s="14" t="s">
        <v>483</v>
      </c>
    </row>
    <row r="249" spans="1:9" s="9" customFormat="1">
      <c r="A249" s="26" t="s">
        <v>1326</v>
      </c>
      <c r="B249" s="26" t="s">
        <v>479</v>
      </c>
      <c r="C249" s="13" t="s">
        <v>264</v>
      </c>
      <c r="D249" s="15" t="s">
        <v>479</v>
      </c>
      <c r="E249" s="15" t="s">
        <v>604</v>
      </c>
      <c r="F249" s="82" t="s">
        <v>923</v>
      </c>
      <c r="G249" s="13" t="s">
        <v>510</v>
      </c>
      <c r="H249" s="14">
        <v>100</v>
      </c>
      <c r="I249" s="14" t="s">
        <v>484</v>
      </c>
    </row>
    <row r="250" spans="1:9" s="9" customFormat="1">
      <c r="A250" s="26" t="s">
        <v>1414</v>
      </c>
      <c r="B250" s="26" t="s">
        <v>471</v>
      </c>
      <c r="C250" s="13" t="s">
        <v>264</v>
      </c>
      <c r="D250" s="15" t="s">
        <v>471</v>
      </c>
      <c r="E250" s="15" t="s">
        <v>472</v>
      </c>
      <c r="F250" s="15" t="s">
        <v>1589</v>
      </c>
      <c r="G250" s="13" t="s">
        <v>510</v>
      </c>
      <c r="H250" s="14">
        <v>165</v>
      </c>
      <c r="I250" s="14" t="s">
        <v>483</v>
      </c>
    </row>
    <row r="251" spans="1:9" s="9" customFormat="1">
      <c r="A251" s="26" t="s">
        <v>1414</v>
      </c>
      <c r="B251" s="26" t="s">
        <v>471</v>
      </c>
      <c r="C251" s="13" t="s">
        <v>264</v>
      </c>
      <c r="D251" s="15" t="s">
        <v>471</v>
      </c>
      <c r="E251" s="15" t="s">
        <v>472</v>
      </c>
      <c r="F251" s="15" t="s">
        <v>1589</v>
      </c>
      <c r="G251" s="13" t="s">
        <v>510</v>
      </c>
      <c r="H251" s="14">
        <v>165</v>
      </c>
      <c r="I251" s="14" t="s">
        <v>484</v>
      </c>
    </row>
    <row r="252" spans="1:9" s="9" customFormat="1">
      <c r="A252" s="26" t="s">
        <v>1327</v>
      </c>
      <c r="B252" s="26" t="s">
        <v>469</v>
      </c>
      <c r="C252" s="13" t="s">
        <v>264</v>
      </c>
      <c r="D252" s="15" t="s">
        <v>469</v>
      </c>
      <c r="E252" s="15" t="s">
        <v>1007</v>
      </c>
      <c r="F252" s="82" t="s">
        <v>924</v>
      </c>
      <c r="G252" s="13" t="s">
        <v>510</v>
      </c>
      <c r="H252" s="14">
        <v>100</v>
      </c>
      <c r="I252" s="14" t="s">
        <v>483</v>
      </c>
    </row>
    <row r="253" spans="1:9" s="9" customFormat="1">
      <c r="A253" s="26" t="s">
        <v>1327</v>
      </c>
      <c r="B253" s="26" t="s">
        <v>469</v>
      </c>
      <c r="C253" s="13" t="s">
        <v>264</v>
      </c>
      <c r="D253" s="15" t="s">
        <v>469</v>
      </c>
      <c r="E253" s="15" t="s">
        <v>1007</v>
      </c>
      <c r="F253" s="82" t="s">
        <v>924</v>
      </c>
      <c r="G253" s="13" t="s">
        <v>510</v>
      </c>
      <c r="H253" s="14">
        <v>100</v>
      </c>
      <c r="I253" s="14" t="s">
        <v>484</v>
      </c>
    </row>
    <row r="254" spans="1:9" s="9" customFormat="1">
      <c r="A254" s="26" t="s">
        <v>1328</v>
      </c>
      <c r="B254" s="26" t="s">
        <v>468</v>
      </c>
      <c r="C254" s="13" t="s">
        <v>264</v>
      </c>
      <c r="D254" s="15" t="s">
        <v>468</v>
      </c>
      <c r="E254" s="15" t="s">
        <v>605</v>
      </c>
      <c r="F254" s="82" t="s">
        <v>925</v>
      </c>
      <c r="G254" s="13" t="s">
        <v>510</v>
      </c>
      <c r="H254" s="14">
        <v>100</v>
      </c>
      <c r="I254" s="14" t="s">
        <v>483</v>
      </c>
    </row>
    <row r="255" spans="1:9" s="9" customFormat="1">
      <c r="A255" s="26" t="s">
        <v>1328</v>
      </c>
      <c r="B255" s="26" t="s">
        <v>468</v>
      </c>
      <c r="C255" s="13" t="s">
        <v>264</v>
      </c>
      <c r="D255" s="15" t="s">
        <v>468</v>
      </c>
      <c r="E255" s="15" t="s">
        <v>605</v>
      </c>
      <c r="F255" s="82" t="s">
        <v>925</v>
      </c>
      <c r="G255" s="13" t="s">
        <v>510</v>
      </c>
      <c r="H255" s="14">
        <v>100</v>
      </c>
      <c r="I255" s="14" t="s">
        <v>484</v>
      </c>
    </row>
    <row r="256" spans="1:9" s="9" customFormat="1">
      <c r="A256" s="26" t="s">
        <v>1420</v>
      </c>
      <c r="B256" s="26" t="s">
        <v>459</v>
      </c>
      <c r="C256" s="13" t="s">
        <v>264</v>
      </c>
      <c r="D256" s="15" t="s">
        <v>459</v>
      </c>
      <c r="E256" s="15" t="s">
        <v>1008</v>
      </c>
      <c r="F256" s="82" t="s">
        <v>926</v>
      </c>
      <c r="G256" s="13" t="s">
        <v>510</v>
      </c>
      <c r="H256" s="14">
        <v>190</v>
      </c>
      <c r="I256" s="14" t="s">
        <v>483</v>
      </c>
    </row>
    <row r="257" spans="1:9" s="9" customFormat="1">
      <c r="A257" s="26" t="s">
        <v>1420</v>
      </c>
      <c r="B257" s="26" t="s">
        <v>459</v>
      </c>
      <c r="C257" s="13" t="s">
        <v>264</v>
      </c>
      <c r="D257" s="15" t="s">
        <v>459</v>
      </c>
      <c r="E257" s="15" t="s">
        <v>1008</v>
      </c>
      <c r="F257" s="82" t="s">
        <v>926</v>
      </c>
      <c r="G257" s="13" t="s">
        <v>510</v>
      </c>
      <c r="H257" s="14">
        <v>190</v>
      </c>
      <c r="I257" s="14" t="s">
        <v>484</v>
      </c>
    </row>
    <row r="258" spans="1:9" s="9" customFormat="1">
      <c r="A258" s="26" t="s">
        <v>1308</v>
      </c>
      <c r="B258" s="26" t="s">
        <v>466</v>
      </c>
      <c r="C258" s="13" t="s">
        <v>264</v>
      </c>
      <c r="D258" s="15" t="s">
        <v>466</v>
      </c>
      <c r="E258" s="15" t="s">
        <v>467</v>
      </c>
      <c r="F258" s="82" t="s">
        <v>927</v>
      </c>
      <c r="G258" s="13" t="s">
        <v>510</v>
      </c>
      <c r="H258" s="14">
        <v>90</v>
      </c>
      <c r="I258" s="14" t="s">
        <v>483</v>
      </c>
    </row>
    <row r="259" spans="1:9" s="9" customFormat="1">
      <c r="A259" s="26" t="s">
        <v>1308</v>
      </c>
      <c r="B259" s="26" t="s">
        <v>466</v>
      </c>
      <c r="C259" s="13" t="s">
        <v>264</v>
      </c>
      <c r="D259" s="15" t="s">
        <v>466</v>
      </c>
      <c r="E259" s="15" t="s">
        <v>467</v>
      </c>
      <c r="F259" s="82" t="s">
        <v>927</v>
      </c>
      <c r="G259" s="13" t="s">
        <v>510</v>
      </c>
      <c r="H259" s="14">
        <v>100</v>
      </c>
      <c r="I259" s="14" t="s">
        <v>484</v>
      </c>
    </row>
    <row r="260" spans="1:9" s="9" customFormat="1" ht="15" customHeight="1">
      <c r="A260" s="26" t="s">
        <v>1329</v>
      </c>
      <c r="B260" s="26" t="s">
        <v>473</v>
      </c>
      <c r="C260" s="13" t="s">
        <v>264</v>
      </c>
      <c r="D260" s="15" t="s">
        <v>473</v>
      </c>
      <c r="E260" s="15" t="s">
        <v>1009</v>
      </c>
      <c r="F260" s="82" t="s">
        <v>928</v>
      </c>
      <c r="G260" s="13" t="s">
        <v>510</v>
      </c>
      <c r="H260" s="14">
        <v>100</v>
      </c>
      <c r="I260" s="14" t="s">
        <v>483</v>
      </c>
    </row>
    <row r="261" spans="1:9" s="9" customFormat="1">
      <c r="A261" s="26" t="s">
        <v>1329</v>
      </c>
      <c r="B261" s="26" t="s">
        <v>473</v>
      </c>
      <c r="C261" s="13" t="s">
        <v>264</v>
      </c>
      <c r="D261" s="15" t="s">
        <v>473</v>
      </c>
      <c r="E261" s="15" t="s">
        <v>1009</v>
      </c>
      <c r="F261" s="82" t="s">
        <v>928</v>
      </c>
      <c r="G261" s="13" t="s">
        <v>510</v>
      </c>
      <c r="H261" s="14">
        <v>100</v>
      </c>
      <c r="I261" s="14" t="s">
        <v>484</v>
      </c>
    </row>
    <row r="262" spans="1:9" s="9" customFormat="1">
      <c r="A262" s="26" t="s">
        <v>1418</v>
      </c>
      <c r="B262" s="26" t="s">
        <v>464</v>
      </c>
      <c r="C262" s="13" t="s">
        <v>264</v>
      </c>
      <c r="D262" s="15" t="s">
        <v>464</v>
      </c>
      <c r="E262" s="15" t="s">
        <v>465</v>
      </c>
      <c r="F262" s="82" t="s">
        <v>929</v>
      </c>
      <c r="G262" s="13" t="s">
        <v>510</v>
      </c>
      <c r="H262" s="14">
        <v>180</v>
      </c>
      <c r="I262" s="14" t="s">
        <v>483</v>
      </c>
    </row>
    <row r="263" spans="1:9" s="9" customFormat="1">
      <c r="A263" s="26" t="s">
        <v>1418</v>
      </c>
      <c r="B263" s="26" t="s">
        <v>464</v>
      </c>
      <c r="C263" s="13" t="s">
        <v>264</v>
      </c>
      <c r="D263" s="15" t="s">
        <v>464</v>
      </c>
      <c r="E263" s="15" t="s">
        <v>465</v>
      </c>
      <c r="F263" s="82" t="s">
        <v>929</v>
      </c>
      <c r="G263" s="13" t="s">
        <v>510</v>
      </c>
      <c r="H263" s="14">
        <v>180</v>
      </c>
      <c r="I263" s="14" t="s">
        <v>484</v>
      </c>
    </row>
    <row r="264" spans="1:9" s="9" customFormat="1">
      <c r="A264" s="26" t="s">
        <v>1419</v>
      </c>
      <c r="B264" s="26" t="s">
        <v>476</v>
      </c>
      <c r="C264" s="13" t="s">
        <v>264</v>
      </c>
      <c r="D264" s="15" t="s">
        <v>476</v>
      </c>
      <c r="E264" s="15" t="s">
        <v>477</v>
      </c>
      <c r="F264" s="82" t="s">
        <v>930</v>
      </c>
      <c r="G264" s="13" t="s">
        <v>510</v>
      </c>
      <c r="H264" s="14">
        <v>180</v>
      </c>
      <c r="I264" s="14" t="s">
        <v>483</v>
      </c>
    </row>
    <row r="265" spans="1:9" s="9" customFormat="1">
      <c r="A265" s="26" t="s">
        <v>1419</v>
      </c>
      <c r="B265" s="26" t="s">
        <v>476</v>
      </c>
      <c r="C265" s="13" t="s">
        <v>264</v>
      </c>
      <c r="D265" s="15" t="s">
        <v>476</v>
      </c>
      <c r="E265" s="15" t="s">
        <v>477</v>
      </c>
      <c r="F265" s="82" t="s">
        <v>930</v>
      </c>
      <c r="G265" s="13" t="s">
        <v>510</v>
      </c>
      <c r="H265" s="14">
        <v>180</v>
      </c>
      <c r="I265" s="14" t="s">
        <v>484</v>
      </c>
    </row>
    <row r="266" spans="1:9" s="9" customFormat="1">
      <c r="A266" s="26" t="s">
        <v>1372</v>
      </c>
      <c r="B266" s="26" t="s">
        <v>458</v>
      </c>
      <c r="C266" s="13" t="s">
        <v>264</v>
      </c>
      <c r="D266" s="15" t="s">
        <v>458</v>
      </c>
      <c r="E266" s="15" t="s">
        <v>813</v>
      </c>
      <c r="F266" s="82" t="s">
        <v>931</v>
      </c>
      <c r="G266" s="13" t="s">
        <v>510</v>
      </c>
      <c r="H266" s="14">
        <v>130</v>
      </c>
      <c r="I266" s="14" t="s">
        <v>483</v>
      </c>
    </row>
    <row r="267" spans="1:9" s="9" customFormat="1">
      <c r="A267" s="26" t="s">
        <v>1372</v>
      </c>
      <c r="B267" s="26" t="s">
        <v>458</v>
      </c>
      <c r="C267" s="13" t="s">
        <v>264</v>
      </c>
      <c r="D267" s="15" t="s">
        <v>458</v>
      </c>
      <c r="E267" s="15" t="s">
        <v>813</v>
      </c>
      <c r="F267" s="82" t="s">
        <v>931</v>
      </c>
      <c r="G267" s="13" t="s">
        <v>510</v>
      </c>
      <c r="H267" s="14">
        <v>130</v>
      </c>
      <c r="I267" s="14" t="s">
        <v>484</v>
      </c>
    </row>
    <row r="268" spans="1:9" s="9" customFormat="1">
      <c r="A268" s="26" t="s">
        <v>1373</v>
      </c>
      <c r="B268" s="26" t="s">
        <v>456</v>
      </c>
      <c r="C268" s="13" t="s">
        <v>264</v>
      </c>
      <c r="D268" s="15" t="s">
        <v>456</v>
      </c>
      <c r="E268" s="15" t="s">
        <v>457</v>
      </c>
      <c r="F268" s="82" t="s">
        <v>932</v>
      </c>
      <c r="G268" s="13" t="s">
        <v>510</v>
      </c>
      <c r="H268" s="14">
        <v>130</v>
      </c>
      <c r="I268" s="14" t="s">
        <v>483</v>
      </c>
    </row>
    <row r="269" spans="1:9" s="9" customFormat="1">
      <c r="A269" s="26" t="s">
        <v>1373</v>
      </c>
      <c r="B269" s="26" t="s">
        <v>456</v>
      </c>
      <c r="C269" s="13" t="s">
        <v>264</v>
      </c>
      <c r="D269" s="15" t="s">
        <v>456</v>
      </c>
      <c r="E269" s="15" t="s">
        <v>457</v>
      </c>
      <c r="F269" s="82" t="s">
        <v>932</v>
      </c>
      <c r="G269" s="13" t="s">
        <v>510</v>
      </c>
      <c r="H269" s="14">
        <v>130</v>
      </c>
      <c r="I269" s="14" t="s">
        <v>484</v>
      </c>
    </row>
    <row r="270" spans="1:9" s="9" customFormat="1">
      <c r="A270" s="26" t="s">
        <v>1358</v>
      </c>
      <c r="B270" s="26" t="s">
        <v>460</v>
      </c>
      <c r="C270" s="13" t="s">
        <v>264</v>
      </c>
      <c r="D270" s="15" t="s">
        <v>460</v>
      </c>
      <c r="E270" s="15" t="s">
        <v>461</v>
      </c>
      <c r="F270" s="15" t="s">
        <v>1590</v>
      </c>
      <c r="G270" s="13" t="s">
        <v>510</v>
      </c>
      <c r="H270" s="14">
        <v>115</v>
      </c>
      <c r="I270" s="14" t="s">
        <v>483</v>
      </c>
    </row>
    <row r="271" spans="1:9" s="9" customFormat="1">
      <c r="A271" s="26" t="s">
        <v>1358</v>
      </c>
      <c r="B271" s="26" t="s">
        <v>460</v>
      </c>
      <c r="C271" s="13" t="s">
        <v>264</v>
      </c>
      <c r="D271" s="15" t="s">
        <v>460</v>
      </c>
      <c r="E271" s="15" t="s">
        <v>461</v>
      </c>
      <c r="F271" s="15" t="s">
        <v>1590</v>
      </c>
      <c r="G271" s="13" t="s">
        <v>510</v>
      </c>
      <c r="H271" s="14">
        <v>190</v>
      </c>
      <c r="I271" s="14" t="s">
        <v>484</v>
      </c>
    </row>
    <row r="272" spans="1:9" s="9" customFormat="1">
      <c r="A272" s="26" t="s">
        <v>1443</v>
      </c>
      <c r="B272" s="26" t="s">
        <v>462</v>
      </c>
      <c r="C272" s="13" t="s">
        <v>264</v>
      </c>
      <c r="D272" s="15" t="s">
        <v>462</v>
      </c>
      <c r="E272" s="15" t="s">
        <v>463</v>
      </c>
      <c r="F272" s="15" t="s">
        <v>1591</v>
      </c>
      <c r="G272" s="13" t="s">
        <v>510</v>
      </c>
      <c r="H272" s="14">
        <v>230</v>
      </c>
      <c r="I272" s="14" t="s">
        <v>483</v>
      </c>
    </row>
    <row r="273" spans="1:11" s="9" customFormat="1">
      <c r="A273" s="26" t="s">
        <v>1443</v>
      </c>
      <c r="B273" s="26" t="s">
        <v>462</v>
      </c>
      <c r="C273" s="13" t="s">
        <v>264</v>
      </c>
      <c r="D273" s="15" t="s">
        <v>462</v>
      </c>
      <c r="E273" s="15" t="s">
        <v>463</v>
      </c>
      <c r="F273" s="15" t="s">
        <v>1591</v>
      </c>
      <c r="G273" s="13" t="s">
        <v>510</v>
      </c>
      <c r="H273" s="14">
        <v>260</v>
      </c>
      <c r="I273" s="14" t="s">
        <v>484</v>
      </c>
    </row>
    <row r="274" spans="1:11" s="9" customFormat="1">
      <c r="A274" s="26" t="s">
        <v>1318</v>
      </c>
      <c r="B274" s="26" t="s">
        <v>180</v>
      </c>
      <c r="C274" s="5" t="s">
        <v>264</v>
      </c>
      <c r="D274" s="6" t="s">
        <v>180</v>
      </c>
      <c r="E274" s="7" t="s">
        <v>181</v>
      </c>
      <c r="F274" s="7" t="s">
        <v>933</v>
      </c>
      <c r="G274" s="5" t="s">
        <v>487</v>
      </c>
      <c r="H274" s="10">
        <v>100</v>
      </c>
      <c r="I274" s="10" t="s">
        <v>484</v>
      </c>
    </row>
    <row r="275" spans="1:11" s="9" customFormat="1">
      <c r="A275" s="26" t="s">
        <v>1318</v>
      </c>
      <c r="B275" s="26" t="s">
        <v>180</v>
      </c>
      <c r="C275" s="5" t="s">
        <v>264</v>
      </c>
      <c r="D275" s="7" t="s">
        <v>180</v>
      </c>
      <c r="E275" s="7" t="s">
        <v>181</v>
      </c>
      <c r="F275" s="7" t="s">
        <v>933</v>
      </c>
      <c r="G275" s="5" t="s">
        <v>487</v>
      </c>
      <c r="H275" s="10">
        <v>90</v>
      </c>
      <c r="I275" s="10" t="s">
        <v>483</v>
      </c>
    </row>
    <row r="276" spans="1:11" s="9" customFormat="1">
      <c r="A276" s="26" t="s">
        <v>1212</v>
      </c>
      <c r="B276" s="26" t="s">
        <v>182</v>
      </c>
      <c r="C276" s="5" t="s">
        <v>264</v>
      </c>
      <c r="D276" s="6" t="s">
        <v>182</v>
      </c>
      <c r="E276" s="7" t="s">
        <v>183</v>
      </c>
      <c r="F276" s="7" t="s">
        <v>934</v>
      </c>
      <c r="G276" s="5" t="s">
        <v>487</v>
      </c>
      <c r="H276" s="10">
        <v>40</v>
      </c>
      <c r="I276" s="10" t="s">
        <v>484</v>
      </c>
    </row>
    <row r="277" spans="1:11" s="9" customFormat="1">
      <c r="A277" s="26" t="s">
        <v>1212</v>
      </c>
      <c r="B277" s="26" t="s">
        <v>182</v>
      </c>
      <c r="C277" s="5" t="s">
        <v>264</v>
      </c>
      <c r="D277" s="7" t="s">
        <v>182</v>
      </c>
      <c r="E277" s="7" t="s">
        <v>183</v>
      </c>
      <c r="F277" s="7" t="s">
        <v>934</v>
      </c>
      <c r="G277" s="5" t="s">
        <v>487</v>
      </c>
      <c r="H277" s="10">
        <v>40</v>
      </c>
      <c r="I277" s="10" t="s">
        <v>483</v>
      </c>
    </row>
    <row r="278" spans="1:11" s="9" customFormat="1">
      <c r="A278" s="26" t="s">
        <v>1280</v>
      </c>
      <c r="B278" s="26" t="s">
        <v>184</v>
      </c>
      <c r="C278" s="5" t="s">
        <v>264</v>
      </c>
      <c r="D278" s="6" t="s">
        <v>184</v>
      </c>
      <c r="E278" s="7" t="s">
        <v>185</v>
      </c>
      <c r="F278" s="7" t="s">
        <v>935</v>
      </c>
      <c r="G278" s="5" t="s">
        <v>487</v>
      </c>
      <c r="H278" s="10">
        <v>70</v>
      </c>
      <c r="I278" s="10" t="s">
        <v>484</v>
      </c>
    </row>
    <row r="279" spans="1:11" s="9" customFormat="1">
      <c r="A279" s="26" t="s">
        <v>1280</v>
      </c>
      <c r="B279" s="26" t="s">
        <v>184</v>
      </c>
      <c r="C279" s="5" t="s">
        <v>264</v>
      </c>
      <c r="D279" s="7" t="s">
        <v>184</v>
      </c>
      <c r="E279" s="7" t="s">
        <v>185</v>
      </c>
      <c r="F279" s="7" t="s">
        <v>935</v>
      </c>
      <c r="G279" s="5" t="s">
        <v>487</v>
      </c>
      <c r="H279" s="10">
        <v>80</v>
      </c>
      <c r="I279" s="10" t="s">
        <v>483</v>
      </c>
    </row>
    <row r="280" spans="1:11" s="9" customFormat="1">
      <c r="A280" s="26" t="s">
        <v>1258</v>
      </c>
      <c r="B280" s="26" t="s">
        <v>1141</v>
      </c>
      <c r="C280" s="5" t="s">
        <v>264</v>
      </c>
      <c r="D280" s="7" t="s">
        <v>872</v>
      </c>
      <c r="E280" s="7" t="s">
        <v>296</v>
      </c>
      <c r="F280" s="7" t="s">
        <v>1594</v>
      </c>
      <c r="G280" s="5" t="s">
        <v>487</v>
      </c>
      <c r="H280" s="10">
        <v>70</v>
      </c>
      <c r="I280" s="10" t="s">
        <v>484</v>
      </c>
    </row>
    <row r="281" spans="1:11" s="9" customFormat="1">
      <c r="A281" s="26" t="s">
        <v>1258</v>
      </c>
      <c r="B281" s="26" t="s">
        <v>1141</v>
      </c>
      <c r="C281" s="5" t="s">
        <v>264</v>
      </c>
      <c r="D281" s="7" t="s">
        <v>872</v>
      </c>
      <c r="E281" s="7" t="s">
        <v>186</v>
      </c>
      <c r="F281" s="7" t="s">
        <v>1594</v>
      </c>
      <c r="G281" s="5" t="s">
        <v>487</v>
      </c>
      <c r="H281" s="10">
        <v>60</v>
      </c>
      <c r="I281" s="10" t="s">
        <v>483</v>
      </c>
    </row>
    <row r="282" spans="1:11" s="9" customFormat="1">
      <c r="A282" s="26" t="s">
        <v>1213</v>
      </c>
      <c r="B282" s="26" t="s">
        <v>187</v>
      </c>
      <c r="C282" s="5" t="s">
        <v>264</v>
      </c>
      <c r="D282" s="7" t="s">
        <v>187</v>
      </c>
      <c r="E282" s="7" t="s">
        <v>554</v>
      </c>
      <c r="F282" s="7" t="s">
        <v>1595</v>
      </c>
      <c r="G282" s="5" t="s">
        <v>487</v>
      </c>
      <c r="H282" s="10">
        <v>40</v>
      </c>
      <c r="I282" s="10" t="s">
        <v>483</v>
      </c>
    </row>
    <row r="283" spans="1:11" s="9" customFormat="1">
      <c r="A283" s="26" t="s">
        <v>1306</v>
      </c>
      <c r="B283" s="26" t="s">
        <v>188</v>
      </c>
      <c r="C283" s="5" t="s">
        <v>264</v>
      </c>
      <c r="D283" s="6" t="s">
        <v>188</v>
      </c>
      <c r="E283" s="7" t="s">
        <v>189</v>
      </c>
      <c r="F283" s="9" t="s">
        <v>936</v>
      </c>
      <c r="G283" s="5" t="s">
        <v>487</v>
      </c>
      <c r="H283" s="10">
        <v>110</v>
      </c>
      <c r="I283" s="10" t="s">
        <v>484</v>
      </c>
    </row>
    <row r="284" spans="1:11" s="9" customFormat="1">
      <c r="A284" s="26" t="s">
        <v>1306</v>
      </c>
      <c r="B284" s="26" t="s">
        <v>188</v>
      </c>
      <c r="C284" s="5" t="s">
        <v>264</v>
      </c>
      <c r="D284" s="7" t="s">
        <v>188</v>
      </c>
      <c r="E284" s="7" t="s">
        <v>189</v>
      </c>
      <c r="F284" s="7" t="s">
        <v>936</v>
      </c>
      <c r="G284" s="5" t="s">
        <v>487</v>
      </c>
      <c r="H284" s="8">
        <v>80</v>
      </c>
      <c r="I284" s="10" t="s">
        <v>483</v>
      </c>
    </row>
    <row r="285" spans="1:11" s="9" customFormat="1">
      <c r="A285" s="26" t="s">
        <v>1214</v>
      </c>
      <c r="B285" s="26" t="s">
        <v>195</v>
      </c>
      <c r="C285" s="5" t="s">
        <v>264</v>
      </c>
      <c r="D285" s="7" t="s">
        <v>195</v>
      </c>
      <c r="E285" s="7" t="s">
        <v>196</v>
      </c>
      <c r="F285" s="7" t="s">
        <v>939</v>
      </c>
      <c r="G285" s="5" t="s">
        <v>487</v>
      </c>
      <c r="H285" s="8">
        <v>40</v>
      </c>
      <c r="I285" s="10" t="s">
        <v>484</v>
      </c>
    </row>
    <row r="286" spans="1:11" s="9" customFormat="1">
      <c r="A286" s="26" t="s">
        <v>1214</v>
      </c>
      <c r="B286" s="26" t="s">
        <v>195</v>
      </c>
      <c r="C286" s="5" t="s">
        <v>264</v>
      </c>
      <c r="D286" s="7" t="s">
        <v>195</v>
      </c>
      <c r="E286" s="7" t="s">
        <v>196</v>
      </c>
      <c r="F286" s="7" t="s">
        <v>939</v>
      </c>
      <c r="G286" s="5" t="s">
        <v>487</v>
      </c>
      <c r="H286" s="8">
        <v>70</v>
      </c>
      <c r="I286" s="10" t="s">
        <v>483</v>
      </c>
    </row>
    <row r="287" spans="1:11" s="9" customFormat="1">
      <c r="A287" s="26" t="s">
        <v>1183</v>
      </c>
      <c r="B287" s="26" t="s">
        <v>197</v>
      </c>
      <c r="C287" s="5" t="s">
        <v>264</v>
      </c>
      <c r="D287" s="7" t="s">
        <v>197</v>
      </c>
      <c r="E287" s="7" t="s">
        <v>198</v>
      </c>
      <c r="F287" s="141" t="s">
        <v>1596</v>
      </c>
      <c r="G287" s="5" t="s">
        <v>487</v>
      </c>
      <c r="H287" s="8">
        <v>30</v>
      </c>
      <c r="I287" s="10" t="s">
        <v>483</v>
      </c>
    </row>
    <row r="288" spans="1:11" s="9" customFormat="1">
      <c r="A288" s="23" t="s">
        <v>1215</v>
      </c>
      <c r="B288" s="23" t="s">
        <v>209</v>
      </c>
      <c r="C288" s="5" t="s">
        <v>264</v>
      </c>
      <c r="D288" s="7" t="s">
        <v>209</v>
      </c>
      <c r="E288" s="7" t="s">
        <v>210</v>
      </c>
      <c r="F288" s="7" t="s">
        <v>945</v>
      </c>
      <c r="G288" s="5" t="s">
        <v>487</v>
      </c>
      <c r="H288" s="8">
        <v>40</v>
      </c>
      <c r="I288" s="10" t="s">
        <v>484</v>
      </c>
      <c r="J288" s="1"/>
      <c r="K288" s="1"/>
    </row>
    <row r="289" spans="1:11" s="9" customFormat="1">
      <c r="A289" s="23" t="s">
        <v>1215</v>
      </c>
      <c r="B289" s="23" t="s">
        <v>209</v>
      </c>
      <c r="C289" s="5" t="s">
        <v>264</v>
      </c>
      <c r="D289" s="7" t="s">
        <v>209</v>
      </c>
      <c r="E289" s="7" t="s">
        <v>210</v>
      </c>
      <c r="F289" s="7" t="s">
        <v>945</v>
      </c>
      <c r="G289" s="5" t="s">
        <v>487</v>
      </c>
      <c r="H289" s="8">
        <v>45</v>
      </c>
      <c r="I289" s="10" t="s">
        <v>483</v>
      </c>
      <c r="J289" s="1"/>
      <c r="K289" s="1"/>
    </row>
    <row r="290" spans="1:11" s="9" customFormat="1">
      <c r="A290" s="23" t="s">
        <v>1371</v>
      </c>
      <c r="B290" s="23" t="s">
        <v>211</v>
      </c>
      <c r="C290" s="5" t="s">
        <v>264</v>
      </c>
      <c r="D290" s="7" t="s">
        <v>211</v>
      </c>
      <c r="E290" s="7" t="s">
        <v>212</v>
      </c>
      <c r="F290" s="7" t="s">
        <v>946</v>
      </c>
      <c r="G290" s="5" t="s">
        <v>487</v>
      </c>
      <c r="H290" s="10">
        <v>120</v>
      </c>
      <c r="I290" s="10" t="s">
        <v>483</v>
      </c>
      <c r="J290" s="1"/>
      <c r="K290" s="1"/>
    </row>
    <row r="291" spans="1:11" s="9" customFormat="1">
      <c r="A291" s="23" t="s">
        <v>1402</v>
      </c>
      <c r="B291" s="23" t="s">
        <v>213</v>
      </c>
      <c r="C291" s="5" t="s">
        <v>264</v>
      </c>
      <c r="D291" s="6" t="s">
        <v>213</v>
      </c>
      <c r="E291" s="7" t="s">
        <v>214</v>
      </c>
      <c r="F291" s="7" t="s">
        <v>947</v>
      </c>
      <c r="G291" s="5" t="s">
        <v>487</v>
      </c>
      <c r="H291" s="10">
        <v>150</v>
      </c>
      <c r="I291" s="10" t="s">
        <v>484</v>
      </c>
      <c r="J291" s="1"/>
      <c r="K291" s="1"/>
    </row>
    <row r="292" spans="1:11" s="9" customFormat="1">
      <c r="A292" s="23" t="s">
        <v>1402</v>
      </c>
      <c r="B292" s="23" t="s">
        <v>213</v>
      </c>
      <c r="C292" s="5" t="s">
        <v>264</v>
      </c>
      <c r="D292" s="7" t="s">
        <v>213</v>
      </c>
      <c r="E292" s="7" t="s">
        <v>214</v>
      </c>
      <c r="F292" s="7" t="s">
        <v>947</v>
      </c>
      <c r="G292" s="5" t="s">
        <v>487</v>
      </c>
      <c r="H292" s="10">
        <v>160</v>
      </c>
      <c r="I292" s="10" t="s">
        <v>483</v>
      </c>
      <c r="J292" s="1"/>
      <c r="K292" s="1"/>
    </row>
    <row r="293" spans="1:11" s="9" customFormat="1">
      <c r="A293" s="23" t="s">
        <v>1216</v>
      </c>
      <c r="B293" s="23" t="s">
        <v>215</v>
      </c>
      <c r="C293" s="5" t="s">
        <v>264</v>
      </c>
      <c r="D293" s="6" t="s">
        <v>215</v>
      </c>
      <c r="E293" s="7" t="s">
        <v>216</v>
      </c>
      <c r="F293" s="7" t="s">
        <v>948</v>
      </c>
      <c r="G293" s="5" t="s">
        <v>487</v>
      </c>
      <c r="H293" s="10">
        <v>40</v>
      </c>
      <c r="I293" s="10" t="s">
        <v>484</v>
      </c>
      <c r="J293" s="1"/>
      <c r="K293" s="1"/>
    </row>
    <row r="294" spans="1:11" s="9" customFormat="1">
      <c r="A294" s="23" t="s">
        <v>1216</v>
      </c>
      <c r="B294" s="23" t="s">
        <v>215</v>
      </c>
      <c r="C294" s="5" t="s">
        <v>264</v>
      </c>
      <c r="D294" s="7" t="s">
        <v>215</v>
      </c>
      <c r="E294" s="7" t="s">
        <v>216</v>
      </c>
      <c r="F294" s="7" t="s">
        <v>948</v>
      </c>
      <c r="G294" s="5" t="s">
        <v>487</v>
      </c>
      <c r="H294" s="10">
        <v>50</v>
      </c>
      <c r="I294" s="10" t="s">
        <v>483</v>
      </c>
      <c r="J294" s="1"/>
      <c r="K294" s="1"/>
    </row>
    <row r="295" spans="1:11" s="9" customFormat="1">
      <c r="A295" s="23" t="s">
        <v>1281</v>
      </c>
      <c r="B295" s="23" t="s">
        <v>217</v>
      </c>
      <c r="C295" s="5" t="s">
        <v>264</v>
      </c>
      <c r="D295" s="6" t="s">
        <v>217</v>
      </c>
      <c r="E295" s="7" t="s">
        <v>218</v>
      </c>
      <c r="F295" s="7" t="s">
        <v>949</v>
      </c>
      <c r="G295" s="5" t="s">
        <v>487</v>
      </c>
      <c r="H295" s="10">
        <v>70</v>
      </c>
      <c r="I295" s="10" t="s">
        <v>484</v>
      </c>
      <c r="J295" s="1"/>
      <c r="K295" s="1"/>
    </row>
    <row r="296" spans="1:11" s="9" customFormat="1">
      <c r="A296" s="23" t="s">
        <v>1281</v>
      </c>
      <c r="B296" s="23" t="s">
        <v>217</v>
      </c>
      <c r="C296" s="5" t="s">
        <v>264</v>
      </c>
      <c r="D296" s="7" t="s">
        <v>217</v>
      </c>
      <c r="E296" s="7" t="s">
        <v>218</v>
      </c>
      <c r="F296" s="7" t="s">
        <v>949</v>
      </c>
      <c r="G296" s="5" t="s">
        <v>487</v>
      </c>
      <c r="H296" s="10">
        <v>110</v>
      </c>
      <c r="I296" s="10" t="s">
        <v>483</v>
      </c>
      <c r="J296" s="1"/>
      <c r="K296" s="1"/>
    </row>
    <row r="297" spans="1:11" s="9" customFormat="1">
      <c r="A297" s="23" t="s">
        <v>1347</v>
      </c>
      <c r="B297" s="23" t="s">
        <v>219</v>
      </c>
      <c r="C297" s="5" t="s">
        <v>264</v>
      </c>
      <c r="D297" s="6" t="s">
        <v>219</v>
      </c>
      <c r="E297" s="7" t="s">
        <v>220</v>
      </c>
      <c r="F297" s="7" t="s">
        <v>950</v>
      </c>
      <c r="G297" s="5" t="s">
        <v>487</v>
      </c>
      <c r="H297" s="10">
        <v>110</v>
      </c>
      <c r="I297" s="10" t="s">
        <v>484</v>
      </c>
      <c r="J297" s="1"/>
      <c r="K297" s="1"/>
    </row>
    <row r="298" spans="1:11">
      <c r="A298" s="23" t="s">
        <v>1347</v>
      </c>
      <c r="B298" s="23" t="s">
        <v>219</v>
      </c>
      <c r="C298" s="5" t="s">
        <v>264</v>
      </c>
      <c r="D298" s="7" t="s">
        <v>219</v>
      </c>
      <c r="E298" s="7" t="s">
        <v>220</v>
      </c>
      <c r="F298" s="7" t="s">
        <v>950</v>
      </c>
      <c r="G298" s="5" t="s">
        <v>487</v>
      </c>
      <c r="H298" s="10">
        <v>100</v>
      </c>
      <c r="I298" s="10" t="s">
        <v>483</v>
      </c>
    </row>
    <row r="299" spans="1:11">
      <c r="A299" s="23" t="s">
        <v>1261</v>
      </c>
      <c r="B299" s="23" t="s">
        <v>221</v>
      </c>
      <c r="C299" s="5" t="s">
        <v>264</v>
      </c>
      <c r="D299" s="7" t="s">
        <v>221</v>
      </c>
      <c r="E299" s="7" t="s">
        <v>222</v>
      </c>
      <c r="F299" s="7" t="s">
        <v>951</v>
      </c>
      <c r="G299" s="5" t="s">
        <v>487</v>
      </c>
      <c r="H299" s="10">
        <v>60</v>
      </c>
      <c r="I299" s="10" t="s">
        <v>483</v>
      </c>
    </row>
    <row r="300" spans="1:11">
      <c r="A300" s="23" t="s">
        <v>1282</v>
      </c>
      <c r="B300" s="23" t="s">
        <v>223</v>
      </c>
      <c r="C300" s="5" t="s">
        <v>264</v>
      </c>
      <c r="D300" s="6" t="s">
        <v>223</v>
      </c>
      <c r="E300" s="7" t="s">
        <v>224</v>
      </c>
      <c r="F300" s="7" t="s">
        <v>952</v>
      </c>
      <c r="G300" s="5" t="s">
        <v>487</v>
      </c>
      <c r="H300" s="10">
        <v>80</v>
      </c>
      <c r="I300" s="10" t="s">
        <v>484</v>
      </c>
    </row>
    <row r="301" spans="1:11">
      <c r="A301" s="23" t="s">
        <v>1282</v>
      </c>
      <c r="B301" s="23" t="s">
        <v>223</v>
      </c>
      <c r="C301" s="5" t="s">
        <v>264</v>
      </c>
      <c r="D301" s="7" t="s">
        <v>223</v>
      </c>
      <c r="E301" s="7" t="s">
        <v>224</v>
      </c>
      <c r="F301" s="7" t="s">
        <v>952</v>
      </c>
      <c r="G301" s="5" t="s">
        <v>487</v>
      </c>
      <c r="H301" s="10">
        <v>70</v>
      </c>
      <c r="I301" s="10" t="s">
        <v>483</v>
      </c>
    </row>
    <row r="302" spans="1:11">
      <c r="A302" s="23" t="s">
        <v>1320</v>
      </c>
      <c r="B302" s="23" t="s">
        <v>225</v>
      </c>
      <c r="C302" s="5" t="s">
        <v>264</v>
      </c>
      <c r="D302" s="6" t="s">
        <v>225</v>
      </c>
      <c r="E302" s="7" t="s">
        <v>226</v>
      </c>
      <c r="F302" s="7" t="s">
        <v>953</v>
      </c>
      <c r="G302" s="5" t="s">
        <v>487</v>
      </c>
      <c r="H302" s="10">
        <v>90</v>
      </c>
      <c r="I302" s="10" t="s">
        <v>484</v>
      </c>
    </row>
    <row r="303" spans="1:11">
      <c r="A303" s="23" t="s">
        <v>1320</v>
      </c>
      <c r="B303" s="23" t="s">
        <v>225</v>
      </c>
      <c r="C303" s="5" t="s">
        <v>264</v>
      </c>
      <c r="D303" s="7" t="s">
        <v>225</v>
      </c>
      <c r="E303" s="7" t="s">
        <v>226</v>
      </c>
      <c r="F303" s="7" t="s">
        <v>953</v>
      </c>
      <c r="G303" s="5" t="s">
        <v>487</v>
      </c>
      <c r="H303" s="10">
        <v>110</v>
      </c>
      <c r="I303" s="10" t="s">
        <v>483</v>
      </c>
    </row>
    <row r="304" spans="1:11">
      <c r="A304" s="23" t="s">
        <v>1307</v>
      </c>
      <c r="B304" s="23" t="s">
        <v>227</v>
      </c>
      <c r="C304" s="5" t="s">
        <v>264</v>
      </c>
      <c r="D304" s="6" t="s">
        <v>227</v>
      </c>
      <c r="E304" s="7" t="s">
        <v>228</v>
      </c>
      <c r="F304" s="7" t="s">
        <v>954</v>
      </c>
      <c r="G304" s="5" t="s">
        <v>487</v>
      </c>
      <c r="H304" s="10">
        <v>80</v>
      </c>
      <c r="I304" s="10" t="s">
        <v>484</v>
      </c>
    </row>
    <row r="305" spans="1:9">
      <c r="A305" s="23" t="s">
        <v>1307</v>
      </c>
      <c r="B305" s="23" t="s">
        <v>227</v>
      </c>
      <c r="C305" s="5" t="s">
        <v>264</v>
      </c>
      <c r="D305" s="7" t="s">
        <v>227</v>
      </c>
      <c r="E305" s="7" t="s">
        <v>228</v>
      </c>
      <c r="F305" s="7" t="s">
        <v>954</v>
      </c>
      <c r="G305" s="5" t="s">
        <v>487</v>
      </c>
      <c r="H305" s="10">
        <v>110</v>
      </c>
      <c r="I305" s="10" t="s">
        <v>483</v>
      </c>
    </row>
    <row r="306" spans="1:9">
      <c r="A306" s="23" t="s">
        <v>1264</v>
      </c>
      <c r="B306" s="23" t="s">
        <v>229</v>
      </c>
      <c r="C306" s="5" t="s">
        <v>264</v>
      </c>
      <c r="D306" s="6" t="s">
        <v>229</v>
      </c>
      <c r="E306" s="7" t="s">
        <v>230</v>
      </c>
      <c r="F306" s="7" t="s">
        <v>955</v>
      </c>
      <c r="G306" s="5" t="s">
        <v>487</v>
      </c>
      <c r="H306" s="10">
        <v>70</v>
      </c>
      <c r="I306" s="10" t="s">
        <v>484</v>
      </c>
    </row>
    <row r="307" spans="1:9">
      <c r="A307" s="23" t="s">
        <v>1264</v>
      </c>
      <c r="B307" s="23" t="s">
        <v>229</v>
      </c>
      <c r="C307" s="5" t="s">
        <v>264</v>
      </c>
      <c r="D307" s="7" t="s">
        <v>229</v>
      </c>
      <c r="E307" s="7" t="s">
        <v>230</v>
      </c>
      <c r="F307" s="7" t="s">
        <v>955</v>
      </c>
      <c r="G307" s="5" t="s">
        <v>487</v>
      </c>
      <c r="H307" s="10">
        <v>65</v>
      </c>
      <c r="I307" s="10" t="s">
        <v>483</v>
      </c>
    </row>
    <row r="308" spans="1:9">
      <c r="A308" s="23" t="s">
        <v>1285</v>
      </c>
      <c r="B308" s="23" t="s">
        <v>231</v>
      </c>
      <c r="C308" s="5" t="s">
        <v>264</v>
      </c>
      <c r="D308" s="6" t="s">
        <v>231</v>
      </c>
      <c r="E308" s="7" t="s">
        <v>232</v>
      </c>
      <c r="F308" s="7" t="s">
        <v>1593</v>
      </c>
      <c r="G308" s="5" t="s">
        <v>487</v>
      </c>
      <c r="H308" s="10">
        <v>110</v>
      </c>
      <c r="I308" s="10" t="s">
        <v>484</v>
      </c>
    </row>
    <row r="309" spans="1:9">
      <c r="A309" s="23" t="s">
        <v>1285</v>
      </c>
      <c r="B309" s="23" t="s">
        <v>231</v>
      </c>
      <c r="C309" s="5" t="s">
        <v>264</v>
      </c>
      <c r="D309" s="7" t="s">
        <v>231</v>
      </c>
      <c r="E309" s="7" t="s">
        <v>232</v>
      </c>
      <c r="F309" s="7" t="s">
        <v>1593</v>
      </c>
      <c r="G309" s="5" t="s">
        <v>487</v>
      </c>
      <c r="H309" s="10">
        <v>75</v>
      </c>
      <c r="I309" s="10" t="s">
        <v>483</v>
      </c>
    </row>
    <row r="310" spans="1:9">
      <c r="A310" s="23" t="s">
        <v>1321</v>
      </c>
      <c r="B310" s="23" t="s">
        <v>233</v>
      </c>
      <c r="C310" s="5" t="s">
        <v>264</v>
      </c>
      <c r="D310" s="7" t="s">
        <v>233</v>
      </c>
      <c r="E310" s="7" t="s">
        <v>234</v>
      </c>
      <c r="F310" s="7" t="s">
        <v>956</v>
      </c>
      <c r="G310" s="5" t="s">
        <v>487</v>
      </c>
      <c r="H310" s="10">
        <v>90</v>
      </c>
      <c r="I310" s="10" t="s">
        <v>483</v>
      </c>
    </row>
    <row r="311" spans="1:9">
      <c r="A311" s="23" t="s">
        <v>1322</v>
      </c>
      <c r="B311" s="23" t="s">
        <v>235</v>
      </c>
      <c r="C311" s="5" t="s">
        <v>264</v>
      </c>
      <c r="D311" s="7" t="s">
        <v>235</v>
      </c>
      <c r="E311" s="7" t="s">
        <v>236</v>
      </c>
      <c r="F311" s="7" t="s">
        <v>957</v>
      </c>
      <c r="G311" s="5" t="s">
        <v>487</v>
      </c>
      <c r="H311" s="10">
        <v>90</v>
      </c>
      <c r="I311" s="10" t="s">
        <v>483</v>
      </c>
    </row>
    <row r="312" spans="1:9">
      <c r="A312" s="23" t="s">
        <v>1262</v>
      </c>
      <c r="B312" s="23" t="s">
        <v>237</v>
      </c>
      <c r="C312" s="5" t="s">
        <v>264</v>
      </c>
      <c r="D312" s="6" t="s">
        <v>237</v>
      </c>
      <c r="E312" s="7" t="s">
        <v>238</v>
      </c>
      <c r="F312" s="7" t="s">
        <v>958</v>
      </c>
      <c r="G312" s="5" t="s">
        <v>487</v>
      </c>
      <c r="H312" s="10">
        <v>90</v>
      </c>
      <c r="I312" s="10" t="s">
        <v>484</v>
      </c>
    </row>
    <row r="313" spans="1:9">
      <c r="A313" s="23" t="s">
        <v>1262</v>
      </c>
      <c r="B313" s="23" t="s">
        <v>237</v>
      </c>
      <c r="C313" s="5" t="s">
        <v>264</v>
      </c>
      <c r="D313" s="7" t="s">
        <v>237</v>
      </c>
      <c r="E313" s="7" t="s">
        <v>238</v>
      </c>
      <c r="F313" s="7" t="s">
        <v>958</v>
      </c>
      <c r="G313" s="5" t="s">
        <v>487</v>
      </c>
      <c r="H313" s="10">
        <v>60</v>
      </c>
      <c r="I313" s="10" t="s">
        <v>483</v>
      </c>
    </row>
    <row r="314" spans="1:9">
      <c r="A314" s="23" t="s">
        <v>1217</v>
      </c>
      <c r="B314" s="23" t="s">
        <v>239</v>
      </c>
      <c r="C314" s="5" t="s">
        <v>264</v>
      </c>
      <c r="D314" s="6" t="s">
        <v>239</v>
      </c>
      <c r="E314" s="7" t="s">
        <v>240</v>
      </c>
      <c r="F314" s="7" t="s">
        <v>959</v>
      </c>
      <c r="G314" s="5" t="s">
        <v>487</v>
      </c>
      <c r="H314" s="10">
        <v>40</v>
      </c>
      <c r="I314" s="10" t="s">
        <v>484</v>
      </c>
    </row>
    <row r="315" spans="1:9">
      <c r="A315" s="23" t="s">
        <v>1217</v>
      </c>
      <c r="B315" s="23" t="s">
        <v>239</v>
      </c>
      <c r="C315" s="5" t="s">
        <v>264</v>
      </c>
      <c r="D315" s="7" t="s">
        <v>239</v>
      </c>
      <c r="E315" s="7" t="s">
        <v>240</v>
      </c>
      <c r="F315" s="7" t="s">
        <v>959</v>
      </c>
      <c r="G315" s="5" t="s">
        <v>487</v>
      </c>
      <c r="H315" s="10">
        <v>40</v>
      </c>
      <c r="I315" s="10" t="s">
        <v>483</v>
      </c>
    </row>
    <row r="316" spans="1:9">
      <c r="A316" s="23" t="s">
        <v>1237</v>
      </c>
      <c r="B316" s="23" t="s">
        <v>241</v>
      </c>
      <c r="C316" s="5" t="s">
        <v>264</v>
      </c>
      <c r="D316" s="6" t="s">
        <v>241</v>
      </c>
      <c r="E316" s="7" t="s">
        <v>242</v>
      </c>
      <c r="F316" s="7" t="s">
        <v>960</v>
      </c>
      <c r="G316" s="5" t="s">
        <v>487</v>
      </c>
      <c r="H316" s="10">
        <v>50</v>
      </c>
      <c r="I316" s="10" t="s">
        <v>484</v>
      </c>
    </row>
    <row r="317" spans="1:9">
      <c r="A317" s="23" t="s">
        <v>1237</v>
      </c>
      <c r="B317" s="23" t="s">
        <v>241</v>
      </c>
      <c r="C317" s="5" t="s">
        <v>264</v>
      </c>
      <c r="D317" s="7" t="s">
        <v>241</v>
      </c>
      <c r="E317" s="7" t="s">
        <v>242</v>
      </c>
      <c r="F317" s="7" t="s">
        <v>960</v>
      </c>
      <c r="G317" s="5" t="s">
        <v>487</v>
      </c>
      <c r="H317" s="10">
        <v>65</v>
      </c>
      <c r="I317" s="10" t="s">
        <v>483</v>
      </c>
    </row>
    <row r="318" spans="1:9">
      <c r="A318" s="23" t="s">
        <v>1462</v>
      </c>
      <c r="B318" s="23" t="s">
        <v>1463</v>
      </c>
      <c r="C318" s="27" t="s">
        <v>264</v>
      </c>
      <c r="D318" s="28" t="s">
        <v>453</v>
      </c>
      <c r="E318" s="28" t="s">
        <v>210</v>
      </c>
      <c r="F318" s="28" t="s">
        <v>967</v>
      </c>
      <c r="G318" s="27" t="s">
        <v>512</v>
      </c>
      <c r="H318" s="29">
        <v>300</v>
      </c>
      <c r="I318" s="30" t="s">
        <v>483</v>
      </c>
    </row>
    <row r="319" spans="1:9">
      <c r="A319" s="23" t="s">
        <v>1470</v>
      </c>
      <c r="B319" s="23" t="s">
        <v>1471</v>
      </c>
      <c r="C319" s="27" t="s">
        <v>264</v>
      </c>
      <c r="D319" s="28" t="s">
        <v>454</v>
      </c>
      <c r="E319" s="31" t="s">
        <v>1010</v>
      </c>
      <c r="F319" s="28" t="s">
        <v>1588</v>
      </c>
      <c r="G319" s="27" t="s">
        <v>512</v>
      </c>
      <c r="H319" s="29">
        <f>1995-95+200</f>
        <v>2100</v>
      </c>
      <c r="I319" s="30" t="s">
        <v>483</v>
      </c>
    </row>
    <row r="320" spans="1:9">
      <c r="A320" s="23" t="s">
        <v>1425</v>
      </c>
      <c r="B320" s="23" t="s">
        <v>481</v>
      </c>
      <c r="C320" s="27" t="s">
        <v>264</v>
      </c>
      <c r="D320" s="28" t="s">
        <v>481</v>
      </c>
      <c r="E320" s="28" t="s">
        <v>541</v>
      </c>
      <c r="F320" s="28" t="s">
        <v>961</v>
      </c>
      <c r="G320" s="27" t="s">
        <v>511</v>
      </c>
      <c r="H320" s="29">
        <f>800-602</f>
        <v>198</v>
      </c>
      <c r="I320" s="30" t="s">
        <v>483</v>
      </c>
    </row>
    <row r="321" spans="1:15">
      <c r="A321" s="23" t="s">
        <v>1467</v>
      </c>
      <c r="B321" s="23" t="s">
        <v>538</v>
      </c>
      <c r="C321" s="125" t="s">
        <v>264</v>
      </c>
      <c r="D321" s="136" t="s">
        <v>538</v>
      </c>
      <c r="E321" s="126" t="s">
        <v>1582</v>
      </c>
      <c r="F321" s="126" t="s">
        <v>962</v>
      </c>
      <c r="G321" s="125" t="s">
        <v>511</v>
      </c>
      <c r="H321" s="127">
        <v>1800</v>
      </c>
      <c r="I321" s="128" t="s">
        <v>484</v>
      </c>
    </row>
    <row r="322" spans="1:15">
      <c r="A322" s="23" t="s">
        <v>1467</v>
      </c>
      <c r="B322" s="23" t="s">
        <v>538</v>
      </c>
      <c r="C322" s="125" t="s">
        <v>264</v>
      </c>
      <c r="D322" s="126" t="s">
        <v>538</v>
      </c>
      <c r="E322" s="126" t="s">
        <v>1582</v>
      </c>
      <c r="F322" s="126" t="s">
        <v>962</v>
      </c>
      <c r="G322" s="125" t="s">
        <v>511</v>
      </c>
      <c r="H322" s="127">
        <v>1200</v>
      </c>
      <c r="I322" s="128" t="s">
        <v>483</v>
      </c>
    </row>
    <row r="323" spans="1:15">
      <c r="A323" s="23" t="s">
        <v>1466</v>
      </c>
      <c r="B323" s="23" t="s">
        <v>455</v>
      </c>
      <c r="C323" s="27" t="s">
        <v>264</v>
      </c>
      <c r="D323" s="32" t="s">
        <v>455</v>
      </c>
      <c r="E323" s="28" t="s">
        <v>606</v>
      </c>
      <c r="F323" s="28" t="s">
        <v>726</v>
      </c>
      <c r="G323" s="27" t="s">
        <v>511</v>
      </c>
      <c r="H323" s="29">
        <v>400</v>
      </c>
      <c r="I323" s="30" t="s">
        <v>484</v>
      </c>
    </row>
    <row r="324" spans="1:15">
      <c r="A324" s="23" t="s">
        <v>1466</v>
      </c>
      <c r="B324" s="23" t="s">
        <v>455</v>
      </c>
      <c r="C324" s="27" t="s">
        <v>264</v>
      </c>
      <c r="D324" s="28" t="s">
        <v>455</v>
      </c>
      <c r="E324" s="28" t="s">
        <v>606</v>
      </c>
      <c r="F324" s="28" t="s">
        <v>726</v>
      </c>
      <c r="G324" s="27" t="s">
        <v>511</v>
      </c>
      <c r="H324" s="29">
        <v>465</v>
      </c>
      <c r="I324" s="30" t="s">
        <v>483</v>
      </c>
    </row>
    <row r="325" spans="1:15">
      <c r="A325" s="23" t="s">
        <v>1468</v>
      </c>
      <c r="B325" s="23" t="s">
        <v>1469</v>
      </c>
      <c r="C325" s="27" t="s">
        <v>264</v>
      </c>
      <c r="D325" s="32" t="s">
        <v>811</v>
      </c>
      <c r="E325" s="28" t="s">
        <v>532</v>
      </c>
      <c r="F325" s="28" t="s">
        <v>963</v>
      </c>
      <c r="G325" s="27" t="s">
        <v>511</v>
      </c>
      <c r="H325" s="29">
        <f>1520+70</f>
        <v>1590</v>
      </c>
      <c r="I325" s="30" t="s">
        <v>484</v>
      </c>
    </row>
    <row r="326" spans="1:15">
      <c r="A326" s="23" t="s">
        <v>1468</v>
      </c>
      <c r="B326" s="23" t="s">
        <v>1469</v>
      </c>
      <c r="C326" s="27" t="s">
        <v>264</v>
      </c>
      <c r="D326" s="32" t="s">
        <v>811</v>
      </c>
      <c r="E326" s="28" t="s">
        <v>532</v>
      </c>
      <c r="F326" s="28" t="s">
        <v>963</v>
      </c>
      <c r="G326" s="27" t="s">
        <v>511</v>
      </c>
      <c r="H326" s="29">
        <f>1140+70</f>
        <v>1210</v>
      </c>
      <c r="I326" s="30" t="s">
        <v>483</v>
      </c>
    </row>
    <row r="327" spans="1:15">
      <c r="A327" s="26" t="s">
        <v>1153</v>
      </c>
      <c r="B327" s="26" t="s">
        <v>190</v>
      </c>
      <c r="C327" s="5" t="s">
        <v>264</v>
      </c>
      <c r="D327" s="6" t="s">
        <v>190</v>
      </c>
      <c r="E327" s="7" t="s">
        <v>191</v>
      </c>
      <c r="F327" s="7" t="s">
        <v>937</v>
      </c>
      <c r="G327" s="5" t="s">
        <v>874</v>
      </c>
      <c r="H327" s="8">
        <v>20</v>
      </c>
      <c r="I327" s="10" t="s">
        <v>484</v>
      </c>
      <c r="J327" s="9"/>
      <c r="K327" s="9"/>
    </row>
    <row r="328" spans="1:15">
      <c r="A328" s="26" t="s">
        <v>1153</v>
      </c>
      <c r="B328" s="26" t="s">
        <v>190</v>
      </c>
      <c r="C328" s="5" t="s">
        <v>264</v>
      </c>
      <c r="D328" s="7" t="s">
        <v>190</v>
      </c>
      <c r="E328" s="7" t="s">
        <v>191</v>
      </c>
      <c r="F328" s="7" t="s">
        <v>937</v>
      </c>
      <c r="G328" s="5" t="s">
        <v>874</v>
      </c>
      <c r="H328" s="8">
        <v>20</v>
      </c>
      <c r="I328" s="10" t="s">
        <v>483</v>
      </c>
      <c r="J328" s="9"/>
      <c r="K328" s="9"/>
    </row>
    <row r="329" spans="1:15">
      <c r="A329" s="26" t="s">
        <v>1186</v>
      </c>
      <c r="B329" s="26" t="s">
        <v>192</v>
      </c>
      <c r="C329" s="5" t="s">
        <v>264</v>
      </c>
      <c r="D329" s="6" t="s">
        <v>192</v>
      </c>
      <c r="E329" s="7" t="s">
        <v>191</v>
      </c>
      <c r="F329" s="7" t="s">
        <v>1592</v>
      </c>
      <c r="G329" s="5" t="s">
        <v>874</v>
      </c>
      <c r="H329" s="8">
        <v>40</v>
      </c>
      <c r="I329" s="10" t="s">
        <v>484</v>
      </c>
      <c r="J329" s="9"/>
      <c r="K329" s="9"/>
    </row>
    <row r="330" spans="1:15">
      <c r="A330" s="26" t="s">
        <v>1186</v>
      </c>
      <c r="B330" s="26" t="s">
        <v>192</v>
      </c>
      <c r="C330" s="5" t="s">
        <v>264</v>
      </c>
      <c r="D330" s="7" t="s">
        <v>192</v>
      </c>
      <c r="E330" s="7" t="s">
        <v>191</v>
      </c>
      <c r="F330" s="140" t="s">
        <v>1592</v>
      </c>
      <c r="G330" s="5" t="s">
        <v>874</v>
      </c>
      <c r="H330" s="8">
        <v>35</v>
      </c>
      <c r="I330" s="10" t="s">
        <v>483</v>
      </c>
      <c r="J330" s="9"/>
      <c r="K330" s="9"/>
      <c r="O330" s="1" t="s">
        <v>1480</v>
      </c>
    </row>
    <row r="331" spans="1:15">
      <c r="A331" s="26" t="s">
        <v>1154</v>
      </c>
      <c r="B331" s="26" t="s">
        <v>193</v>
      </c>
      <c r="C331" s="5" t="s">
        <v>264</v>
      </c>
      <c r="D331" s="6" t="s">
        <v>193</v>
      </c>
      <c r="E331" s="7" t="s">
        <v>194</v>
      </c>
      <c r="F331" s="7" t="s">
        <v>938</v>
      </c>
      <c r="G331" s="5" t="s">
        <v>874</v>
      </c>
      <c r="H331" s="8">
        <v>30</v>
      </c>
      <c r="I331" s="10" t="s">
        <v>484</v>
      </c>
      <c r="J331" s="9"/>
      <c r="K331" s="9"/>
    </row>
    <row r="332" spans="1:15">
      <c r="A332" s="26" t="s">
        <v>1154</v>
      </c>
      <c r="B332" s="26" t="s">
        <v>193</v>
      </c>
      <c r="C332" s="5" t="s">
        <v>264</v>
      </c>
      <c r="D332" s="7" t="s">
        <v>193</v>
      </c>
      <c r="E332" s="7" t="s">
        <v>194</v>
      </c>
      <c r="F332" s="7" t="s">
        <v>938</v>
      </c>
      <c r="G332" s="5" t="s">
        <v>874</v>
      </c>
      <c r="H332" s="8">
        <v>20</v>
      </c>
      <c r="I332" s="10" t="s">
        <v>483</v>
      </c>
      <c r="J332" s="9"/>
      <c r="K332" s="9"/>
    </row>
    <row r="333" spans="1:15">
      <c r="A333" s="26" t="s">
        <v>1184</v>
      </c>
      <c r="B333" s="26" t="s">
        <v>199</v>
      </c>
      <c r="C333" s="5" t="s">
        <v>264</v>
      </c>
      <c r="D333" s="6" t="s">
        <v>199</v>
      </c>
      <c r="E333" s="7" t="s">
        <v>200</v>
      </c>
      <c r="F333" s="7" t="s">
        <v>940</v>
      </c>
      <c r="G333" s="5" t="s">
        <v>874</v>
      </c>
      <c r="H333" s="8">
        <v>50</v>
      </c>
      <c r="I333" s="10" t="s">
        <v>484</v>
      </c>
      <c r="J333" s="9"/>
      <c r="K333" s="9"/>
    </row>
    <row r="334" spans="1:15">
      <c r="A334" s="26" t="s">
        <v>1184</v>
      </c>
      <c r="B334" s="26" t="s">
        <v>199</v>
      </c>
      <c r="C334" s="5" t="s">
        <v>264</v>
      </c>
      <c r="D334" s="7" t="s">
        <v>199</v>
      </c>
      <c r="E334" s="7" t="s">
        <v>200</v>
      </c>
      <c r="F334" s="7" t="s">
        <v>940</v>
      </c>
      <c r="G334" s="5" t="s">
        <v>874</v>
      </c>
      <c r="H334" s="8">
        <v>40</v>
      </c>
      <c r="I334" s="10" t="s">
        <v>483</v>
      </c>
      <c r="J334" s="9"/>
      <c r="K334" s="9"/>
    </row>
    <row r="335" spans="1:15">
      <c r="A335" s="26" t="s">
        <v>1155</v>
      </c>
      <c r="B335" s="26" t="s">
        <v>201</v>
      </c>
      <c r="C335" s="5" t="s">
        <v>264</v>
      </c>
      <c r="D335" s="6" t="s">
        <v>201</v>
      </c>
      <c r="E335" s="7" t="s">
        <v>202</v>
      </c>
      <c r="F335" s="7" t="s">
        <v>941</v>
      </c>
      <c r="G335" s="5" t="s">
        <v>874</v>
      </c>
      <c r="H335" s="8">
        <v>20</v>
      </c>
      <c r="I335" s="10" t="s">
        <v>484</v>
      </c>
      <c r="J335" s="9"/>
      <c r="K335" s="9"/>
    </row>
    <row r="336" spans="1:15">
      <c r="A336" s="26" t="s">
        <v>1155</v>
      </c>
      <c r="B336" s="26" t="s">
        <v>201</v>
      </c>
      <c r="C336" s="5" t="s">
        <v>264</v>
      </c>
      <c r="D336" s="7" t="s">
        <v>201</v>
      </c>
      <c r="E336" s="7" t="s">
        <v>202</v>
      </c>
      <c r="F336" s="7" t="s">
        <v>941</v>
      </c>
      <c r="G336" s="5" t="s">
        <v>874</v>
      </c>
      <c r="H336" s="8">
        <v>20</v>
      </c>
      <c r="I336" s="10" t="s">
        <v>483</v>
      </c>
      <c r="J336" s="9"/>
      <c r="K336" s="9"/>
    </row>
    <row r="337" spans="1:9">
      <c r="A337" s="23" t="s">
        <v>1319</v>
      </c>
      <c r="B337" s="23" t="s">
        <v>203</v>
      </c>
      <c r="C337" s="5" t="s">
        <v>264</v>
      </c>
      <c r="D337" s="6" t="s">
        <v>203</v>
      </c>
      <c r="E337" s="7" t="s">
        <v>204</v>
      </c>
      <c r="F337" s="7" t="s">
        <v>942</v>
      </c>
      <c r="G337" s="5" t="s">
        <v>874</v>
      </c>
      <c r="H337" s="8">
        <v>100</v>
      </c>
      <c r="I337" s="10" t="s">
        <v>484</v>
      </c>
    </row>
    <row r="338" spans="1:9">
      <c r="A338" s="23" t="s">
        <v>1319</v>
      </c>
      <c r="B338" s="23" t="s">
        <v>203</v>
      </c>
      <c r="C338" s="5" t="s">
        <v>264</v>
      </c>
      <c r="D338" s="7" t="s">
        <v>203</v>
      </c>
      <c r="E338" s="7" t="s">
        <v>204</v>
      </c>
      <c r="F338" s="7" t="s">
        <v>942</v>
      </c>
      <c r="G338" s="5" t="s">
        <v>874</v>
      </c>
      <c r="H338" s="8">
        <v>90</v>
      </c>
      <c r="I338" s="10" t="s">
        <v>483</v>
      </c>
    </row>
    <row r="339" spans="1:9">
      <c r="A339" s="23" t="s">
        <v>1259</v>
      </c>
      <c r="B339" s="23" t="s">
        <v>205</v>
      </c>
      <c r="C339" s="5" t="s">
        <v>264</v>
      </c>
      <c r="D339" s="6" t="s">
        <v>205</v>
      </c>
      <c r="E339" s="7" t="s">
        <v>206</v>
      </c>
      <c r="F339" s="7" t="s">
        <v>943</v>
      </c>
      <c r="G339" s="5" t="s">
        <v>874</v>
      </c>
      <c r="H339" s="8">
        <v>90</v>
      </c>
      <c r="I339" s="10" t="s">
        <v>484</v>
      </c>
    </row>
    <row r="340" spans="1:9">
      <c r="A340" s="23" t="s">
        <v>1259</v>
      </c>
      <c r="B340" s="23" t="s">
        <v>205</v>
      </c>
      <c r="C340" s="5" t="s">
        <v>264</v>
      </c>
      <c r="D340" s="7" t="s">
        <v>205</v>
      </c>
      <c r="E340" s="7" t="s">
        <v>206</v>
      </c>
      <c r="F340" s="7" t="s">
        <v>943</v>
      </c>
      <c r="G340" s="5" t="s">
        <v>874</v>
      </c>
      <c r="H340" s="8">
        <v>60</v>
      </c>
      <c r="I340" s="10" t="s">
        <v>483</v>
      </c>
    </row>
    <row r="341" spans="1:9">
      <c r="A341" s="23" t="s">
        <v>1260</v>
      </c>
      <c r="B341" s="23" t="s">
        <v>207</v>
      </c>
      <c r="C341" s="5" t="s">
        <v>264</v>
      </c>
      <c r="D341" s="6" t="s">
        <v>207</v>
      </c>
      <c r="E341" s="7" t="s">
        <v>208</v>
      </c>
      <c r="F341" s="7" t="s">
        <v>944</v>
      </c>
      <c r="G341" s="5" t="s">
        <v>874</v>
      </c>
      <c r="H341" s="8">
        <v>60</v>
      </c>
      <c r="I341" s="10" t="s">
        <v>484</v>
      </c>
    </row>
    <row r="342" spans="1:9">
      <c r="A342" s="23" t="s">
        <v>1260</v>
      </c>
      <c r="B342" s="23" t="s">
        <v>207</v>
      </c>
      <c r="C342" s="5" t="s">
        <v>264</v>
      </c>
      <c r="D342" s="7" t="s">
        <v>207</v>
      </c>
      <c r="E342" s="7" t="s">
        <v>208</v>
      </c>
      <c r="F342" s="7" t="s">
        <v>944</v>
      </c>
      <c r="G342" s="5" t="s">
        <v>874</v>
      </c>
      <c r="H342" s="8">
        <v>60</v>
      </c>
      <c r="I342" s="10" t="s">
        <v>483</v>
      </c>
    </row>
    <row r="344" spans="1:9">
      <c r="D344" s="39" t="s">
        <v>486</v>
      </c>
      <c r="G344" s="165" t="s">
        <v>878</v>
      </c>
      <c r="H344" s="166"/>
      <c r="I344" s="167"/>
    </row>
    <row r="345" spans="1:9">
      <c r="D345" s="39" t="s">
        <v>510</v>
      </c>
      <c r="G345" s="43" t="s">
        <v>877</v>
      </c>
      <c r="H345" s="43" t="s">
        <v>484</v>
      </c>
      <c r="I345" s="43" t="s">
        <v>483</v>
      </c>
    </row>
    <row r="346" spans="1:9">
      <c r="D346" s="39" t="s">
        <v>487</v>
      </c>
      <c r="G346" s="2" t="s">
        <v>486</v>
      </c>
      <c r="H346" s="2">
        <f>SUMIFS($H$3:$H$342,$I$3:$I$342,"COMIDAS",$G$3:$G$342,"ACCION SOCIAL")</f>
        <v>13875</v>
      </c>
      <c r="I346" s="2">
        <f>SUMIFS($H$3:$H$342,$I$3:$I$342,"REFRIGERIOS",$G$3:$G$342,"ACCION SOCIAL")</f>
        <v>11708</v>
      </c>
    </row>
    <row r="347" spans="1:9">
      <c r="D347" s="39" t="s">
        <v>512</v>
      </c>
      <c r="G347" s="34" t="s">
        <v>487</v>
      </c>
      <c r="H347" s="2">
        <f>SUMIFS($H$3:$H$342,$I$3:$I$342,"COMIDAS",$G$3:$G$342,"MIN. Y FLIA.")</f>
        <v>1450</v>
      </c>
      <c r="I347" s="2">
        <f>SUMIFS($H$3:$H$342,$I$3:$I$342,"REFRIGERIOS",$G$3:$G$342,"MIN. Y FLIA.")</f>
        <v>1910</v>
      </c>
    </row>
    <row r="348" spans="1:9">
      <c r="D348" s="39" t="s">
        <v>511</v>
      </c>
      <c r="G348" s="34" t="s">
        <v>874</v>
      </c>
      <c r="H348" s="2">
        <f>SUMIFS($H$3:$H$342,$I$3:$I$342,"COMIDAS",$G$3:$G$342,"Mtrio. de Justicia")</f>
        <v>410</v>
      </c>
      <c r="I348" s="2">
        <f>SUMIFS($H$3:$H$342,$I$3:$I$342,"REFRIGERIOS",$G$3:$G$342,"Mtrio. de Justicia")</f>
        <v>345</v>
      </c>
    </row>
    <row r="349" spans="1:9" ht="19.5">
      <c r="D349" s="39" t="s">
        <v>874</v>
      </c>
      <c r="E349" s="130"/>
      <c r="G349" s="2" t="s">
        <v>510</v>
      </c>
      <c r="H349" s="2">
        <f>SUMIFS($H$3:$H$342,$I$3:$I$342,"COMIDAS",$G$3:$G$342,"ASIST. LADR.")</f>
        <v>2365</v>
      </c>
      <c r="I349" s="2">
        <f>SUMIFS($H$3:$H$342,$I$3:$I$342,"REFRIGERIOS",$G$3:$G$342,"ASIST. LADR.")</f>
        <v>2250</v>
      </c>
    </row>
    <row r="350" spans="1:9">
      <c r="G350" s="2" t="s">
        <v>512</v>
      </c>
      <c r="H350" s="2">
        <f>SUMIFS($H$3:$H$342,$I$3:$I$342,"COMIDAS",$G$3:$G$342,"MOV. PAST.")</f>
        <v>0</v>
      </c>
      <c r="I350" s="2">
        <f>SUMIFS($H$3:$H$342,$I$3:$I$342,"REFRIGERIOS",$G$3:$G$342,"MOV. PAST.")</f>
        <v>2400</v>
      </c>
    </row>
    <row r="351" spans="1:9">
      <c r="G351" s="2" t="s">
        <v>511</v>
      </c>
      <c r="H351" s="2">
        <f>SUMIFS($H$3:$H$342,$I$3:$I$342,"COMIDAS",$G$3:$G$342,"MOV. SOC.")</f>
        <v>3950</v>
      </c>
      <c r="I351" s="2">
        <f>SUMIFS($H$3:$H$342,$I$3:$I$342,"REFRIGERIOS",$G$3:$G$342,"MOV. SOC.")</f>
        <v>3153</v>
      </c>
    </row>
    <row r="352" spans="1:9">
      <c r="G352" s="16"/>
      <c r="H352" s="35">
        <f>SUM(H346:H351)</f>
        <v>22050</v>
      </c>
      <c r="I352" s="35">
        <f>SUM(I346:I351)</f>
        <v>21766</v>
      </c>
    </row>
    <row r="354" spans="7:9">
      <c r="G354" s="165" t="s">
        <v>1559</v>
      </c>
      <c r="H354" s="166"/>
      <c r="I354" s="167"/>
    </row>
    <row r="355" spans="7:9">
      <c r="G355" s="16"/>
      <c r="H355" s="43" t="s">
        <v>484</v>
      </c>
      <c r="I355" s="43" t="s">
        <v>483</v>
      </c>
    </row>
    <row r="356" spans="7:9">
      <c r="G356" s="16" t="s">
        <v>1560</v>
      </c>
      <c r="H356" s="3" t="e">
        <f>COUNTIFS($I$1:$I$342,"COMIDAS",#REF!,"Reciben en Plan 1 (2026)")</f>
        <v>#REF!</v>
      </c>
      <c r="I356" s="3" t="e">
        <f>COUNTIFS($I$1:$I$342,"refrigerios",#REF!,"Reciben en Plan 1 (2026)")</f>
        <v>#REF!</v>
      </c>
    </row>
    <row r="357" spans="7:9">
      <c r="G357" s="3" t="s">
        <v>1561</v>
      </c>
      <c r="H357" s="3" t="e">
        <f>SUMIFS(#REF!,$I$3:$I$342,"COMIDAS",#REF!,"Reciben en Plan 1 (2026)")</f>
        <v>#REF!</v>
      </c>
      <c r="I357" s="3" t="e">
        <f>SUMIFS(#REF!,$I$3:$I$342,"REFRIGERIOS",#REF!,"Reciben en Plan 1 (2026)")</f>
        <v>#REF!</v>
      </c>
    </row>
  </sheetData>
  <sortState xmlns:xlrd2="http://schemas.microsoft.com/office/spreadsheetml/2017/richdata2" ref="A3:I342">
    <sortCondition ref="G3:G342"/>
  </sortState>
  <mergeCells count="3">
    <mergeCell ref="C1:I1"/>
    <mergeCell ref="G344:I344"/>
    <mergeCell ref="G354:I354"/>
  </mergeCells>
  <phoneticPr fontId="32" type="noConversion"/>
  <pageMargins left="0.19685039370078741" right="0.23622047244094491" top="0.15748031496062992" bottom="0.19685039370078741" header="0" footer="0"/>
  <pageSetup paperSize="9" scale="6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tabColor rgb="FF92D050"/>
  </sheetPr>
  <dimension ref="A1:O274"/>
  <sheetViews>
    <sheetView tabSelected="1" zoomScale="70" zoomScaleNormal="70" workbookViewId="0">
      <pane ySplit="2" topLeftCell="A237" activePane="bottomLeft" state="frozen"/>
      <selection pane="bottomLeft" activeCell="E163" sqref="E163"/>
    </sheetView>
  </sheetViews>
  <sheetFormatPr baseColWidth="10" defaultColWidth="11.42578125" defaultRowHeight="12.75"/>
  <cols>
    <col min="1" max="1" width="7.42578125" style="51" customWidth="1"/>
    <col min="2" max="2" width="61.5703125" style="52" customWidth="1"/>
    <col min="3" max="3" width="52" style="51" customWidth="1"/>
    <col min="4" max="4" width="68.140625" style="51" customWidth="1"/>
    <col min="5" max="5" width="66.85546875" style="53" bestFit="1" customWidth="1"/>
    <col min="6" max="6" width="27.85546875" style="51" bestFit="1" customWidth="1"/>
    <col min="7" max="7" width="19.7109375" style="51" customWidth="1"/>
    <col min="8" max="8" width="8.140625" style="51" customWidth="1"/>
    <col min="9" max="10" width="18.28515625" style="51" customWidth="1"/>
    <col min="11" max="11" width="1.140625" style="51" hidden="1" customWidth="1"/>
    <col min="12" max="12" width="6.28515625" style="51" hidden="1" customWidth="1"/>
    <col min="13" max="13" width="14.42578125" style="51" customWidth="1"/>
    <col min="14" max="14" width="13.42578125" style="51" customWidth="1"/>
    <col min="15" max="16384" width="11.42578125" style="51"/>
  </cols>
  <sheetData>
    <row r="1" spans="1:15" s="1" customFormat="1" ht="30" customHeight="1">
      <c r="A1" s="169" t="s">
        <v>1569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42" t="s">
        <v>1557</v>
      </c>
      <c r="N1" s="39" t="s">
        <v>879</v>
      </c>
    </row>
    <row r="2" spans="1:15" s="5" customFormat="1" ht="39.75" customHeight="1">
      <c r="A2" s="2" t="s">
        <v>261</v>
      </c>
      <c r="B2" s="43" t="s">
        <v>283</v>
      </c>
      <c r="C2" s="2" t="s">
        <v>262</v>
      </c>
      <c r="D2" s="2" t="s">
        <v>263</v>
      </c>
      <c r="E2" s="2" t="s">
        <v>591</v>
      </c>
      <c r="F2" s="2" t="s">
        <v>502</v>
      </c>
      <c r="G2" s="2" t="s">
        <v>284</v>
      </c>
      <c r="H2" s="2" t="s">
        <v>496</v>
      </c>
      <c r="I2" s="2" t="s">
        <v>875</v>
      </c>
      <c r="J2" s="2" t="s">
        <v>320</v>
      </c>
      <c r="K2" s="2" t="s">
        <v>752</v>
      </c>
      <c r="L2" s="2" t="s">
        <v>1556</v>
      </c>
      <c r="M2" s="1"/>
      <c r="N2" s="1"/>
      <c r="O2" s="1"/>
    </row>
    <row r="3" spans="1:15" s="9" customFormat="1" ht="15.75">
      <c r="A3" s="5" t="s">
        <v>498</v>
      </c>
      <c r="B3" s="45" t="s">
        <v>4</v>
      </c>
      <c r="C3" s="7" t="s">
        <v>4</v>
      </c>
      <c r="D3" s="7" t="s">
        <v>5</v>
      </c>
      <c r="E3" s="5" t="s">
        <v>1609</v>
      </c>
      <c r="F3" s="5" t="s">
        <v>1478</v>
      </c>
      <c r="G3" s="5" t="s">
        <v>294</v>
      </c>
      <c r="H3" s="8">
        <v>75</v>
      </c>
      <c r="I3" s="10" t="s">
        <v>876</v>
      </c>
      <c r="J3" s="10" t="s">
        <v>483</v>
      </c>
      <c r="L3" s="8"/>
    </row>
    <row r="4" spans="1:15" s="9" customFormat="1" ht="15.75">
      <c r="A4" s="5" t="s">
        <v>498</v>
      </c>
      <c r="B4" s="45" t="s">
        <v>4</v>
      </c>
      <c r="C4" s="7" t="s">
        <v>4</v>
      </c>
      <c r="D4" s="7" t="s">
        <v>5</v>
      </c>
      <c r="E4" s="5" t="s">
        <v>1609</v>
      </c>
      <c r="F4" s="5" t="s">
        <v>1478</v>
      </c>
      <c r="G4" s="5" t="s">
        <v>294</v>
      </c>
      <c r="H4" s="8">
        <v>60</v>
      </c>
      <c r="I4" s="8" t="s">
        <v>876</v>
      </c>
      <c r="J4" s="10" t="s">
        <v>484</v>
      </c>
      <c r="L4" s="8"/>
    </row>
    <row r="5" spans="1:15" s="9" customFormat="1" ht="15.75">
      <c r="A5" s="5" t="s">
        <v>499</v>
      </c>
      <c r="B5" s="7" t="s">
        <v>812</v>
      </c>
      <c r="C5" s="7" t="s">
        <v>812</v>
      </c>
      <c r="D5" s="7" t="s">
        <v>1482</v>
      </c>
      <c r="E5" s="5" t="s">
        <v>1030</v>
      </c>
      <c r="F5" s="5" t="s">
        <v>819</v>
      </c>
      <c r="G5" s="5" t="s">
        <v>146</v>
      </c>
      <c r="H5" s="8">
        <v>100</v>
      </c>
      <c r="I5" s="8" t="s">
        <v>486</v>
      </c>
      <c r="J5" s="10" t="s">
        <v>484</v>
      </c>
      <c r="K5" s="10"/>
      <c r="L5" s="10"/>
    </row>
    <row r="6" spans="1:15" s="9" customFormat="1" ht="15.75">
      <c r="A6" s="5" t="s">
        <v>499</v>
      </c>
      <c r="B6" s="44" t="s">
        <v>285</v>
      </c>
      <c r="C6" s="7" t="s">
        <v>243</v>
      </c>
      <c r="D6" s="7" t="s">
        <v>244</v>
      </c>
      <c r="E6" s="5" t="s">
        <v>624</v>
      </c>
      <c r="F6" s="5" t="s">
        <v>819</v>
      </c>
      <c r="G6" s="5" t="s">
        <v>146</v>
      </c>
      <c r="H6" s="10">
        <v>115</v>
      </c>
      <c r="I6" s="8" t="s">
        <v>876</v>
      </c>
      <c r="J6" s="10" t="s">
        <v>484</v>
      </c>
      <c r="L6" s="10"/>
    </row>
    <row r="7" spans="1:15" s="9" customFormat="1" ht="15.75">
      <c r="A7" s="5" t="s">
        <v>499</v>
      </c>
      <c r="B7" s="45" t="s">
        <v>285</v>
      </c>
      <c r="C7" s="7" t="s">
        <v>243</v>
      </c>
      <c r="D7" s="7" t="s">
        <v>244</v>
      </c>
      <c r="E7" s="5" t="s">
        <v>624</v>
      </c>
      <c r="F7" s="5" t="s">
        <v>819</v>
      </c>
      <c r="G7" s="5" t="s">
        <v>146</v>
      </c>
      <c r="H7" s="10">
        <v>110</v>
      </c>
      <c r="I7" s="10" t="s">
        <v>876</v>
      </c>
      <c r="J7" s="10" t="s">
        <v>483</v>
      </c>
      <c r="L7" s="10"/>
    </row>
    <row r="8" spans="1:15" s="9" customFormat="1" ht="15.75">
      <c r="A8" s="5" t="s">
        <v>499</v>
      </c>
      <c r="B8" s="44" t="s">
        <v>285</v>
      </c>
      <c r="C8" s="7" t="s">
        <v>298</v>
      </c>
      <c r="D8" s="7" t="s">
        <v>244</v>
      </c>
      <c r="E8" s="5" t="s">
        <v>1026</v>
      </c>
      <c r="F8" s="5" t="s">
        <v>819</v>
      </c>
      <c r="G8" s="5" t="s">
        <v>146</v>
      </c>
      <c r="H8" s="8">
        <v>60</v>
      </c>
      <c r="I8" s="8" t="s">
        <v>876</v>
      </c>
      <c r="J8" s="10" t="s">
        <v>484</v>
      </c>
      <c r="K8" s="10"/>
      <c r="L8" s="10"/>
    </row>
    <row r="9" spans="1:15" s="9" customFormat="1" ht="15.75">
      <c r="A9" s="5" t="s">
        <v>499</v>
      </c>
      <c r="B9" s="44" t="s">
        <v>285</v>
      </c>
      <c r="C9" s="7" t="s">
        <v>245</v>
      </c>
      <c r="D9" s="7" t="s">
        <v>246</v>
      </c>
      <c r="E9" s="5" t="s">
        <v>1027</v>
      </c>
      <c r="F9" s="5" t="s">
        <v>819</v>
      </c>
      <c r="G9" s="5" t="s">
        <v>146</v>
      </c>
      <c r="H9" s="8">
        <v>25</v>
      </c>
      <c r="I9" s="8" t="s">
        <v>876</v>
      </c>
      <c r="J9" s="10" t="s">
        <v>484</v>
      </c>
      <c r="L9" s="10"/>
    </row>
    <row r="10" spans="1:15" s="9" customFormat="1" ht="15.75">
      <c r="A10" s="5" t="s">
        <v>499</v>
      </c>
      <c r="B10" s="45" t="s">
        <v>285</v>
      </c>
      <c r="C10" s="7" t="s">
        <v>245</v>
      </c>
      <c r="D10" s="7" t="s">
        <v>246</v>
      </c>
      <c r="E10" s="5" t="s">
        <v>1027</v>
      </c>
      <c r="F10" s="5" t="s">
        <v>819</v>
      </c>
      <c r="G10" s="5" t="s">
        <v>146</v>
      </c>
      <c r="H10" s="8">
        <v>30</v>
      </c>
      <c r="I10" s="10" t="s">
        <v>876</v>
      </c>
      <c r="J10" s="10" t="s">
        <v>483</v>
      </c>
      <c r="L10" s="10"/>
    </row>
    <row r="11" spans="1:15" s="9" customFormat="1" ht="15.75">
      <c r="A11" s="5" t="s">
        <v>499</v>
      </c>
      <c r="B11" s="44" t="s">
        <v>285</v>
      </c>
      <c r="C11" s="7" t="s">
        <v>247</v>
      </c>
      <c r="D11" s="7" t="s">
        <v>248</v>
      </c>
      <c r="E11" s="5" t="s">
        <v>1028</v>
      </c>
      <c r="F11" s="5" t="s">
        <v>819</v>
      </c>
      <c r="G11" s="5" t="s">
        <v>146</v>
      </c>
      <c r="H11" s="10">
        <v>60</v>
      </c>
      <c r="I11" s="8" t="s">
        <v>876</v>
      </c>
      <c r="J11" s="10" t="s">
        <v>484</v>
      </c>
      <c r="L11" s="10"/>
    </row>
    <row r="12" spans="1:15" s="9" customFormat="1" ht="15.75">
      <c r="A12" s="5" t="s">
        <v>499</v>
      </c>
      <c r="B12" s="45" t="s">
        <v>285</v>
      </c>
      <c r="C12" s="7" t="s">
        <v>247</v>
      </c>
      <c r="D12" s="7" t="s">
        <v>248</v>
      </c>
      <c r="E12" s="5" t="s">
        <v>1028</v>
      </c>
      <c r="F12" s="5" t="s">
        <v>819</v>
      </c>
      <c r="G12" s="5" t="s">
        <v>146</v>
      </c>
      <c r="H12" s="10">
        <v>90</v>
      </c>
      <c r="I12" s="10" t="s">
        <v>876</v>
      </c>
      <c r="J12" s="10" t="s">
        <v>483</v>
      </c>
      <c r="L12" s="10"/>
    </row>
    <row r="13" spans="1:15" s="9" customFormat="1" ht="15.75">
      <c r="A13" s="5" t="s">
        <v>499</v>
      </c>
      <c r="B13" s="46" t="s">
        <v>90</v>
      </c>
      <c r="C13" s="7" t="s">
        <v>90</v>
      </c>
      <c r="D13" s="7" t="s">
        <v>91</v>
      </c>
      <c r="E13" s="5" t="s">
        <v>1029</v>
      </c>
      <c r="F13" s="5" t="s">
        <v>819</v>
      </c>
      <c r="G13" s="5" t="s">
        <v>146</v>
      </c>
      <c r="H13" s="8">
        <v>250</v>
      </c>
      <c r="I13" s="8" t="s">
        <v>486</v>
      </c>
      <c r="J13" s="10" t="s">
        <v>483</v>
      </c>
      <c r="K13" s="10"/>
      <c r="L13" s="10"/>
    </row>
    <row r="14" spans="1:15" s="9" customFormat="1" ht="15.75">
      <c r="A14" s="5" t="s">
        <v>498</v>
      </c>
      <c r="B14" s="44" t="s">
        <v>18</v>
      </c>
      <c r="C14" s="7" t="s">
        <v>18</v>
      </c>
      <c r="D14" s="7" t="s">
        <v>19</v>
      </c>
      <c r="E14" s="5" t="s">
        <v>1032</v>
      </c>
      <c r="F14" s="5" t="s">
        <v>820</v>
      </c>
      <c r="G14" s="5" t="s">
        <v>281</v>
      </c>
      <c r="H14" s="10">
        <v>35</v>
      </c>
      <c r="I14" s="8" t="s">
        <v>876</v>
      </c>
      <c r="J14" s="10" t="s">
        <v>484</v>
      </c>
      <c r="L14" s="10"/>
    </row>
    <row r="15" spans="1:15" s="9" customFormat="1" ht="15.75">
      <c r="A15" s="5" t="s">
        <v>498</v>
      </c>
      <c r="B15" s="45" t="s">
        <v>18</v>
      </c>
      <c r="C15" s="7" t="s">
        <v>18</v>
      </c>
      <c r="D15" s="7" t="s">
        <v>19</v>
      </c>
      <c r="E15" s="5" t="s">
        <v>1032</v>
      </c>
      <c r="F15" s="5" t="s">
        <v>820</v>
      </c>
      <c r="G15" s="5" t="s">
        <v>281</v>
      </c>
      <c r="H15" s="10">
        <v>60</v>
      </c>
      <c r="I15" s="10" t="s">
        <v>876</v>
      </c>
      <c r="J15" s="10" t="s">
        <v>483</v>
      </c>
      <c r="L15" s="10"/>
    </row>
    <row r="16" spans="1:15" s="9" customFormat="1" ht="15.75">
      <c r="A16" s="5" t="s">
        <v>498</v>
      </c>
      <c r="B16" s="44" t="s">
        <v>523</v>
      </c>
      <c r="C16" s="6" t="s">
        <v>523</v>
      </c>
      <c r="D16" s="7" t="s">
        <v>607</v>
      </c>
      <c r="E16" s="5" t="s">
        <v>1031</v>
      </c>
      <c r="F16" s="5" t="s">
        <v>820</v>
      </c>
      <c r="G16" s="5" t="s">
        <v>281</v>
      </c>
      <c r="H16" s="8">
        <v>30</v>
      </c>
      <c r="I16" s="8" t="s">
        <v>486</v>
      </c>
      <c r="J16" s="10" t="s">
        <v>484</v>
      </c>
    </row>
    <row r="17" spans="1:12" s="9" customFormat="1" ht="15.75">
      <c r="A17" s="5" t="s">
        <v>499</v>
      </c>
      <c r="B17" s="44" t="s">
        <v>44</v>
      </c>
      <c r="C17" s="7" t="s">
        <v>44</v>
      </c>
      <c r="D17" s="7" t="s">
        <v>45</v>
      </c>
      <c r="E17" s="5" t="s">
        <v>1033</v>
      </c>
      <c r="F17" s="5" t="s">
        <v>1479</v>
      </c>
      <c r="G17" s="5" t="s">
        <v>266</v>
      </c>
      <c r="H17" s="8">
        <v>50</v>
      </c>
      <c r="I17" s="8" t="s">
        <v>486</v>
      </c>
      <c r="J17" s="10" t="s">
        <v>484</v>
      </c>
      <c r="K17" s="10"/>
      <c r="L17" s="10"/>
    </row>
    <row r="18" spans="1:12" s="9" customFormat="1" ht="15.75">
      <c r="A18" s="5" t="s">
        <v>499</v>
      </c>
      <c r="B18" s="46" t="s">
        <v>44</v>
      </c>
      <c r="C18" s="7" t="s">
        <v>44</v>
      </c>
      <c r="D18" s="7" t="s">
        <v>45</v>
      </c>
      <c r="E18" s="5" t="s">
        <v>1033</v>
      </c>
      <c r="F18" s="5" t="s">
        <v>1479</v>
      </c>
      <c r="G18" s="5" t="s">
        <v>266</v>
      </c>
      <c r="H18" s="8">
        <v>50</v>
      </c>
      <c r="I18" s="8" t="s">
        <v>486</v>
      </c>
      <c r="J18" s="10" t="s">
        <v>483</v>
      </c>
      <c r="K18" s="10"/>
      <c r="L18" s="10"/>
    </row>
    <row r="19" spans="1:12" s="9" customFormat="1" ht="15.75">
      <c r="A19" s="5" t="s">
        <v>499</v>
      </c>
      <c r="B19" s="44" t="s">
        <v>46</v>
      </c>
      <c r="C19" s="7" t="s">
        <v>46</v>
      </c>
      <c r="D19" s="7" t="s">
        <v>47</v>
      </c>
      <c r="E19" s="5" t="s">
        <v>1034</v>
      </c>
      <c r="F19" s="5" t="s">
        <v>1479</v>
      </c>
      <c r="G19" s="5" t="s">
        <v>266</v>
      </c>
      <c r="H19" s="8">
        <f>90+20+25</f>
        <v>135</v>
      </c>
      <c r="I19" s="8" t="s">
        <v>486</v>
      </c>
      <c r="J19" s="10" t="s">
        <v>484</v>
      </c>
      <c r="K19" s="10"/>
      <c r="L19" s="10"/>
    </row>
    <row r="20" spans="1:12" s="9" customFormat="1" ht="15" customHeight="1">
      <c r="A20" s="5" t="s">
        <v>499</v>
      </c>
      <c r="B20" s="46" t="s">
        <v>46</v>
      </c>
      <c r="C20" s="7" t="s">
        <v>46</v>
      </c>
      <c r="D20" s="7" t="s">
        <v>47</v>
      </c>
      <c r="E20" s="5" t="s">
        <v>1034</v>
      </c>
      <c r="F20" s="5" t="s">
        <v>1479</v>
      </c>
      <c r="G20" s="5" t="s">
        <v>266</v>
      </c>
      <c r="H20" s="8">
        <f>20+20</f>
        <v>40</v>
      </c>
      <c r="I20" s="8" t="s">
        <v>486</v>
      </c>
      <c r="J20" s="10" t="s">
        <v>483</v>
      </c>
      <c r="K20" s="10"/>
      <c r="L20" s="10"/>
    </row>
    <row r="21" spans="1:12" s="9" customFormat="1" ht="15.75">
      <c r="A21" s="5" t="s">
        <v>499</v>
      </c>
      <c r="B21" s="44" t="s">
        <v>87</v>
      </c>
      <c r="C21" s="7" t="s">
        <v>87</v>
      </c>
      <c r="D21" s="7" t="s">
        <v>88</v>
      </c>
      <c r="E21" s="5" t="s">
        <v>1035</v>
      </c>
      <c r="F21" s="5" t="s">
        <v>1479</v>
      </c>
      <c r="G21" s="5" t="s">
        <v>266</v>
      </c>
      <c r="H21" s="8">
        <v>50</v>
      </c>
      <c r="I21" s="8" t="s">
        <v>486</v>
      </c>
      <c r="J21" s="10" t="s">
        <v>484</v>
      </c>
      <c r="K21" s="10"/>
      <c r="L21" s="10"/>
    </row>
    <row r="22" spans="1:12" s="9" customFormat="1" ht="15.75">
      <c r="A22" s="5" t="s">
        <v>499</v>
      </c>
      <c r="B22" s="46" t="s">
        <v>87</v>
      </c>
      <c r="C22" s="7" t="s">
        <v>87</v>
      </c>
      <c r="D22" s="7" t="s">
        <v>88</v>
      </c>
      <c r="E22" s="5" t="s">
        <v>1035</v>
      </c>
      <c r="F22" s="5" t="s">
        <v>1479</v>
      </c>
      <c r="G22" s="5" t="s">
        <v>266</v>
      </c>
      <c r="H22" s="8">
        <v>50</v>
      </c>
      <c r="I22" s="8" t="s">
        <v>486</v>
      </c>
      <c r="J22" s="10" t="s">
        <v>483</v>
      </c>
      <c r="K22" s="10"/>
      <c r="L22" s="10"/>
    </row>
    <row r="23" spans="1:12" s="9" customFormat="1" ht="15.75">
      <c r="A23" s="5" t="s">
        <v>499</v>
      </c>
      <c r="B23" s="44" t="s">
        <v>89</v>
      </c>
      <c r="C23" s="7" t="s">
        <v>89</v>
      </c>
      <c r="D23" s="7" t="s">
        <v>566</v>
      </c>
      <c r="E23" s="5" t="s">
        <v>1036</v>
      </c>
      <c r="F23" s="5" t="s">
        <v>1479</v>
      </c>
      <c r="G23" s="5" t="s">
        <v>266</v>
      </c>
      <c r="H23" s="8">
        <f>130+20</f>
        <v>150</v>
      </c>
      <c r="I23" s="8" t="s">
        <v>486</v>
      </c>
      <c r="J23" s="10" t="s">
        <v>484</v>
      </c>
      <c r="K23" s="10"/>
      <c r="L23" s="10"/>
    </row>
    <row r="24" spans="1:12" s="9" customFormat="1" ht="15.75">
      <c r="A24" s="5" t="s">
        <v>499</v>
      </c>
      <c r="B24" s="46" t="s">
        <v>89</v>
      </c>
      <c r="C24" s="7" t="s">
        <v>89</v>
      </c>
      <c r="D24" s="7" t="s">
        <v>566</v>
      </c>
      <c r="E24" s="5" t="s">
        <v>1036</v>
      </c>
      <c r="F24" s="5" t="s">
        <v>1479</v>
      </c>
      <c r="G24" s="5" t="s">
        <v>266</v>
      </c>
      <c r="H24" s="8">
        <v>50</v>
      </c>
      <c r="I24" s="8" t="s">
        <v>486</v>
      </c>
      <c r="J24" s="10" t="s">
        <v>483</v>
      </c>
      <c r="K24" s="10"/>
      <c r="L24" s="10"/>
    </row>
    <row r="25" spans="1:12" s="9" customFormat="1" ht="15.75">
      <c r="A25" s="5" t="s">
        <v>499</v>
      </c>
      <c r="B25" s="44" t="s">
        <v>105</v>
      </c>
      <c r="C25" s="7" t="s">
        <v>105</v>
      </c>
      <c r="D25" s="7" t="s">
        <v>608</v>
      </c>
      <c r="E25" s="5" t="s">
        <v>1037</v>
      </c>
      <c r="F25" s="5" t="s">
        <v>1479</v>
      </c>
      <c r="G25" s="5" t="s">
        <v>266</v>
      </c>
      <c r="H25" s="8">
        <v>65</v>
      </c>
      <c r="I25" s="8" t="s">
        <v>486</v>
      </c>
      <c r="J25" s="10" t="s">
        <v>484</v>
      </c>
      <c r="K25" s="10"/>
      <c r="L25" s="10"/>
    </row>
    <row r="26" spans="1:12" s="9" customFormat="1" ht="15.75">
      <c r="A26" s="5" t="s">
        <v>499</v>
      </c>
      <c r="B26" s="46" t="s">
        <v>105</v>
      </c>
      <c r="C26" s="7" t="s">
        <v>105</v>
      </c>
      <c r="D26" s="7" t="s">
        <v>608</v>
      </c>
      <c r="E26" s="5" t="s">
        <v>1037</v>
      </c>
      <c r="F26" s="5" t="s">
        <v>1479</v>
      </c>
      <c r="G26" s="5" t="s">
        <v>266</v>
      </c>
      <c r="H26" s="8">
        <f>65+20</f>
        <v>85</v>
      </c>
      <c r="I26" s="8" t="s">
        <v>486</v>
      </c>
      <c r="J26" s="10" t="s">
        <v>483</v>
      </c>
      <c r="K26" s="10"/>
      <c r="L26" s="10"/>
    </row>
    <row r="27" spans="1:12" s="9" customFormat="1" ht="15.75">
      <c r="A27" s="5" t="s">
        <v>499</v>
      </c>
      <c r="B27" s="44" t="s">
        <v>106</v>
      </c>
      <c r="C27" s="7" t="s">
        <v>106</v>
      </c>
      <c r="D27" s="7" t="s">
        <v>107</v>
      </c>
      <c r="E27" s="5" t="s">
        <v>1038</v>
      </c>
      <c r="F27" s="5" t="s">
        <v>1479</v>
      </c>
      <c r="G27" s="5" t="s">
        <v>266</v>
      </c>
      <c r="H27" s="8">
        <f>50+25+45</f>
        <v>120</v>
      </c>
      <c r="I27" s="8" t="s">
        <v>486</v>
      </c>
      <c r="J27" s="10" t="s">
        <v>484</v>
      </c>
    </row>
    <row r="28" spans="1:12" s="9" customFormat="1" ht="15.75">
      <c r="A28" s="5" t="s">
        <v>499</v>
      </c>
      <c r="B28" s="46" t="s">
        <v>106</v>
      </c>
      <c r="C28" s="7" t="s">
        <v>106</v>
      </c>
      <c r="D28" s="7" t="s">
        <v>107</v>
      </c>
      <c r="E28" s="5" t="s">
        <v>1038</v>
      </c>
      <c r="F28" s="5" t="s">
        <v>1479</v>
      </c>
      <c r="G28" s="5" t="s">
        <v>266</v>
      </c>
      <c r="H28" s="8">
        <f>60+25+25</f>
        <v>110</v>
      </c>
      <c r="I28" s="8" t="s">
        <v>486</v>
      </c>
      <c r="J28" s="10" t="s">
        <v>483</v>
      </c>
    </row>
    <row r="29" spans="1:12" s="9" customFormat="1" ht="15.75">
      <c r="A29" s="5" t="s">
        <v>533</v>
      </c>
      <c r="B29" s="44" t="s">
        <v>548</v>
      </c>
      <c r="C29" s="7" t="s">
        <v>548</v>
      </c>
      <c r="D29" s="7" t="s">
        <v>609</v>
      </c>
      <c r="E29" s="5" t="s">
        <v>1039</v>
      </c>
      <c r="F29" s="5" t="s">
        <v>821</v>
      </c>
      <c r="G29" s="5" t="s">
        <v>503</v>
      </c>
      <c r="H29" s="47">
        <f>20+20</f>
        <v>40</v>
      </c>
      <c r="I29" s="8" t="s">
        <v>486</v>
      </c>
      <c r="J29" s="10" t="s">
        <v>483</v>
      </c>
    </row>
    <row r="30" spans="1:12" s="9" customFormat="1" ht="15.75">
      <c r="A30" s="5" t="s">
        <v>533</v>
      </c>
      <c r="B30" s="44" t="s">
        <v>545</v>
      </c>
      <c r="C30" s="7" t="s">
        <v>545</v>
      </c>
      <c r="D30" s="7" t="s">
        <v>610</v>
      </c>
      <c r="E30" s="5" t="s">
        <v>1040</v>
      </c>
      <c r="F30" s="5" t="s">
        <v>821</v>
      </c>
      <c r="G30" s="5" t="s">
        <v>503</v>
      </c>
      <c r="H30" s="47">
        <v>50</v>
      </c>
      <c r="I30" s="8" t="s">
        <v>486</v>
      </c>
      <c r="J30" s="10" t="s">
        <v>483</v>
      </c>
    </row>
    <row r="31" spans="1:12" s="9" customFormat="1" ht="15.75">
      <c r="A31" s="5" t="s">
        <v>497</v>
      </c>
      <c r="B31" s="44" t="s">
        <v>299</v>
      </c>
      <c r="C31" s="7" t="s">
        <v>299</v>
      </c>
      <c r="D31" s="7" t="s">
        <v>1395</v>
      </c>
      <c r="E31" s="5" t="s">
        <v>744</v>
      </c>
      <c r="F31" s="5" t="s">
        <v>821</v>
      </c>
      <c r="G31" s="5" t="s">
        <v>276</v>
      </c>
      <c r="H31" s="10">
        <v>150</v>
      </c>
      <c r="I31" s="8" t="s">
        <v>876</v>
      </c>
      <c r="J31" s="10" t="s">
        <v>484</v>
      </c>
      <c r="K31" s="10"/>
      <c r="L31" s="10"/>
    </row>
    <row r="32" spans="1:12" s="9" customFormat="1" ht="15.75">
      <c r="A32" s="5" t="s">
        <v>497</v>
      </c>
      <c r="B32" s="44" t="s">
        <v>77</v>
      </c>
      <c r="C32" s="7" t="s">
        <v>77</v>
      </c>
      <c r="D32" s="7" t="s">
        <v>78</v>
      </c>
      <c r="E32" s="5" t="s">
        <v>1041</v>
      </c>
      <c r="F32" s="5" t="s">
        <v>821</v>
      </c>
      <c r="G32" s="5" t="s">
        <v>276</v>
      </c>
      <c r="H32" s="10">
        <v>45</v>
      </c>
      <c r="I32" s="8" t="s">
        <v>876</v>
      </c>
      <c r="J32" s="10" t="s">
        <v>484</v>
      </c>
      <c r="L32" s="10"/>
    </row>
    <row r="33" spans="1:12" s="9" customFormat="1" ht="15.75">
      <c r="A33" s="5" t="s">
        <v>497</v>
      </c>
      <c r="B33" s="45" t="s">
        <v>77</v>
      </c>
      <c r="C33" s="7" t="s">
        <v>77</v>
      </c>
      <c r="D33" s="7" t="s">
        <v>78</v>
      </c>
      <c r="E33" s="5" t="s">
        <v>1041</v>
      </c>
      <c r="F33" s="5" t="s">
        <v>821</v>
      </c>
      <c r="G33" s="5" t="s">
        <v>276</v>
      </c>
      <c r="H33" s="10">
        <v>40</v>
      </c>
      <c r="I33" s="10" t="s">
        <v>876</v>
      </c>
      <c r="J33" s="10" t="s">
        <v>483</v>
      </c>
      <c r="L33" s="10"/>
    </row>
    <row r="34" spans="1:12" s="9" customFormat="1" ht="15.75">
      <c r="A34" s="5" t="s">
        <v>497</v>
      </c>
      <c r="B34" s="44" t="s">
        <v>2</v>
      </c>
      <c r="C34" s="7" t="s">
        <v>2</v>
      </c>
      <c r="D34" s="7" t="s">
        <v>3</v>
      </c>
      <c r="E34" s="5" t="s">
        <v>622</v>
      </c>
      <c r="F34" s="5" t="s">
        <v>821</v>
      </c>
      <c r="G34" s="5" t="s">
        <v>289</v>
      </c>
      <c r="H34" s="10">
        <v>45</v>
      </c>
      <c r="I34" s="8" t="s">
        <v>876</v>
      </c>
      <c r="J34" s="10" t="s">
        <v>484</v>
      </c>
      <c r="L34" s="10"/>
    </row>
    <row r="35" spans="1:12" s="9" customFormat="1" ht="15.75">
      <c r="A35" s="5" t="s">
        <v>497</v>
      </c>
      <c r="B35" s="45" t="s">
        <v>2</v>
      </c>
      <c r="C35" s="7" t="s">
        <v>2</v>
      </c>
      <c r="D35" s="7" t="s">
        <v>3</v>
      </c>
      <c r="E35" s="5" t="s">
        <v>622</v>
      </c>
      <c r="F35" s="5" t="s">
        <v>821</v>
      </c>
      <c r="G35" s="5" t="s">
        <v>289</v>
      </c>
      <c r="H35" s="10">
        <v>60</v>
      </c>
      <c r="I35" s="10" t="s">
        <v>876</v>
      </c>
      <c r="J35" s="10" t="s">
        <v>483</v>
      </c>
      <c r="L35" s="10"/>
    </row>
    <row r="36" spans="1:12" s="9" customFormat="1" ht="15.75">
      <c r="A36" s="5" t="s">
        <v>533</v>
      </c>
      <c r="B36" s="44" t="s">
        <v>636</v>
      </c>
      <c r="C36" s="6" t="s">
        <v>636</v>
      </c>
      <c r="D36" s="6" t="s">
        <v>808</v>
      </c>
      <c r="E36" s="5" t="s">
        <v>810</v>
      </c>
      <c r="F36" s="5" t="s">
        <v>821</v>
      </c>
      <c r="G36" s="5" t="s">
        <v>289</v>
      </c>
      <c r="H36" s="8">
        <v>50</v>
      </c>
      <c r="I36" s="8" t="s">
        <v>486</v>
      </c>
      <c r="J36" s="10" t="s">
        <v>483</v>
      </c>
      <c r="K36" s="10"/>
      <c r="L36" s="10"/>
    </row>
    <row r="37" spans="1:12" s="9" customFormat="1" ht="15.75">
      <c r="A37" s="5" t="s">
        <v>533</v>
      </c>
      <c r="B37" s="44" t="s">
        <v>636</v>
      </c>
      <c r="C37" s="6" t="s">
        <v>636</v>
      </c>
      <c r="D37" s="6" t="s">
        <v>808</v>
      </c>
      <c r="E37" s="5" t="s">
        <v>810</v>
      </c>
      <c r="F37" s="5" t="s">
        <v>821</v>
      </c>
      <c r="G37" s="5" t="s">
        <v>289</v>
      </c>
      <c r="H37" s="8">
        <v>50</v>
      </c>
      <c r="I37" s="8" t="s">
        <v>486</v>
      </c>
      <c r="J37" s="10" t="s">
        <v>484</v>
      </c>
      <c r="K37" s="10"/>
      <c r="L37" s="10"/>
    </row>
    <row r="38" spans="1:12" s="9" customFormat="1" ht="15.75">
      <c r="A38" s="5" t="s">
        <v>497</v>
      </c>
      <c r="B38" s="44" t="s">
        <v>1528</v>
      </c>
      <c r="C38" s="44" t="s">
        <v>1528</v>
      </c>
      <c r="D38" s="7" t="s">
        <v>1522</v>
      </c>
      <c r="E38" s="5" t="s">
        <v>1047</v>
      </c>
      <c r="F38" s="5" t="s">
        <v>822</v>
      </c>
      <c r="G38" s="5" t="s">
        <v>272</v>
      </c>
      <c r="H38" s="8">
        <v>100</v>
      </c>
      <c r="I38" s="8" t="s">
        <v>486</v>
      </c>
      <c r="J38" s="10" t="s">
        <v>484</v>
      </c>
    </row>
    <row r="39" spans="1:12" s="9" customFormat="1" ht="15.75">
      <c r="A39" s="5" t="s">
        <v>497</v>
      </c>
      <c r="B39" s="44" t="s">
        <v>1528</v>
      </c>
      <c r="C39" s="44" t="s">
        <v>1528</v>
      </c>
      <c r="D39" s="7" t="s">
        <v>1522</v>
      </c>
      <c r="E39" s="5" t="s">
        <v>1047</v>
      </c>
      <c r="F39" s="5" t="s">
        <v>822</v>
      </c>
      <c r="G39" s="5" t="s">
        <v>272</v>
      </c>
      <c r="H39" s="8">
        <v>270</v>
      </c>
      <c r="I39" s="8" t="s">
        <v>486</v>
      </c>
      <c r="J39" s="10" t="s">
        <v>483</v>
      </c>
    </row>
    <row r="40" spans="1:12" s="9" customFormat="1" ht="15.75">
      <c r="A40" s="5" t="s">
        <v>497</v>
      </c>
      <c r="B40" s="44" t="s">
        <v>39</v>
      </c>
      <c r="C40" s="7" t="s">
        <v>39</v>
      </c>
      <c r="D40" s="7" t="s">
        <v>40</v>
      </c>
      <c r="E40" s="5" t="s">
        <v>1042</v>
      </c>
      <c r="F40" s="5" t="s">
        <v>822</v>
      </c>
      <c r="G40" s="5" t="s">
        <v>272</v>
      </c>
      <c r="H40" s="8">
        <f>60-30</f>
        <v>30</v>
      </c>
      <c r="I40" s="8" t="s">
        <v>486</v>
      </c>
      <c r="J40" s="10" t="s">
        <v>484</v>
      </c>
    </row>
    <row r="41" spans="1:12" s="9" customFormat="1" ht="15.75">
      <c r="A41" s="5" t="s">
        <v>497</v>
      </c>
      <c r="B41" s="44" t="s">
        <v>39</v>
      </c>
      <c r="C41" s="7" t="s">
        <v>39</v>
      </c>
      <c r="D41" s="7" t="s">
        <v>40</v>
      </c>
      <c r="E41" s="5" t="s">
        <v>1042</v>
      </c>
      <c r="F41" s="5" t="s">
        <v>822</v>
      </c>
      <c r="G41" s="5" t="s">
        <v>272</v>
      </c>
      <c r="H41" s="8">
        <f>150-20</f>
        <v>130</v>
      </c>
      <c r="I41" s="8" t="s">
        <v>486</v>
      </c>
      <c r="J41" s="10" t="s">
        <v>483</v>
      </c>
    </row>
    <row r="42" spans="1:12" s="9" customFormat="1" ht="15.75">
      <c r="A42" s="5" t="s">
        <v>497</v>
      </c>
      <c r="B42" s="44" t="s">
        <v>48</v>
      </c>
      <c r="C42" s="7" t="s">
        <v>48</v>
      </c>
      <c r="D42" s="7" t="s">
        <v>49</v>
      </c>
      <c r="E42" s="5" t="s">
        <v>1043</v>
      </c>
      <c r="F42" s="5" t="s">
        <v>822</v>
      </c>
      <c r="G42" s="5" t="s">
        <v>272</v>
      </c>
      <c r="H42" s="8">
        <v>30</v>
      </c>
      <c r="I42" s="8" t="s">
        <v>876</v>
      </c>
      <c r="J42" s="10" t="s">
        <v>484</v>
      </c>
      <c r="K42" s="10"/>
      <c r="L42" s="10"/>
    </row>
    <row r="43" spans="1:12" s="9" customFormat="1" ht="15.75">
      <c r="A43" s="5" t="s">
        <v>497</v>
      </c>
      <c r="B43" s="45" t="s">
        <v>48</v>
      </c>
      <c r="C43" s="7" t="s">
        <v>48</v>
      </c>
      <c r="D43" s="7" t="s">
        <v>49</v>
      </c>
      <c r="E43" s="5" t="s">
        <v>1043</v>
      </c>
      <c r="F43" s="5" t="s">
        <v>822</v>
      </c>
      <c r="G43" s="5" t="s">
        <v>272</v>
      </c>
      <c r="H43" s="8">
        <f>70</f>
        <v>70</v>
      </c>
      <c r="I43" s="10" t="s">
        <v>876</v>
      </c>
      <c r="J43" s="10" t="s">
        <v>483</v>
      </c>
      <c r="K43" s="10"/>
      <c r="L43" s="10"/>
    </row>
    <row r="44" spans="1:12" s="9" customFormat="1" ht="15.75">
      <c r="A44" s="5" t="s">
        <v>497</v>
      </c>
      <c r="B44" s="44" t="s">
        <v>81</v>
      </c>
      <c r="C44" s="7" t="s">
        <v>81</v>
      </c>
      <c r="D44" s="7" t="s">
        <v>82</v>
      </c>
      <c r="E44" s="5" t="s">
        <v>1044</v>
      </c>
      <c r="F44" s="5" t="s">
        <v>822</v>
      </c>
      <c r="G44" s="5" t="s">
        <v>272</v>
      </c>
      <c r="H44" s="10">
        <v>80</v>
      </c>
      <c r="I44" s="8" t="s">
        <v>876</v>
      </c>
      <c r="J44" s="10" t="s">
        <v>484</v>
      </c>
      <c r="L44" s="10"/>
    </row>
    <row r="45" spans="1:12" s="9" customFormat="1" ht="15.75">
      <c r="A45" s="5" t="s">
        <v>497</v>
      </c>
      <c r="B45" s="45" t="s">
        <v>81</v>
      </c>
      <c r="C45" s="7" t="s">
        <v>81</v>
      </c>
      <c r="D45" s="7" t="s">
        <v>82</v>
      </c>
      <c r="E45" s="5" t="s">
        <v>1044</v>
      </c>
      <c r="F45" s="5" t="s">
        <v>822</v>
      </c>
      <c r="G45" s="5" t="s">
        <v>272</v>
      </c>
      <c r="H45" s="10">
        <v>80</v>
      </c>
      <c r="I45" s="10" t="s">
        <v>876</v>
      </c>
      <c r="J45" s="10" t="s">
        <v>483</v>
      </c>
      <c r="L45" s="10"/>
    </row>
    <row r="46" spans="1:12" s="9" customFormat="1" ht="15.75">
      <c r="A46" s="5" t="s">
        <v>497</v>
      </c>
      <c r="B46" s="44" t="s">
        <v>86</v>
      </c>
      <c r="C46" s="7" t="s">
        <v>86</v>
      </c>
      <c r="D46" s="7" t="s">
        <v>1483</v>
      </c>
      <c r="E46" s="5" t="s">
        <v>1045</v>
      </c>
      <c r="F46" s="5" t="s">
        <v>822</v>
      </c>
      <c r="G46" s="5" t="s">
        <v>272</v>
      </c>
      <c r="H46" s="10">
        <v>85</v>
      </c>
      <c r="I46" s="8" t="s">
        <v>876</v>
      </c>
      <c r="J46" s="10" t="s">
        <v>484</v>
      </c>
      <c r="L46" s="10"/>
    </row>
    <row r="47" spans="1:12" s="9" customFormat="1" ht="15.75">
      <c r="A47" s="5" t="s">
        <v>497</v>
      </c>
      <c r="B47" s="45" t="s">
        <v>86</v>
      </c>
      <c r="C47" s="7" t="s">
        <v>86</v>
      </c>
      <c r="D47" s="7" t="s">
        <v>1483</v>
      </c>
      <c r="E47" s="5" t="s">
        <v>1045</v>
      </c>
      <c r="F47" s="5" t="s">
        <v>822</v>
      </c>
      <c r="G47" s="5" t="s">
        <v>272</v>
      </c>
      <c r="H47" s="10">
        <v>90</v>
      </c>
      <c r="I47" s="10" t="s">
        <v>876</v>
      </c>
      <c r="J47" s="10" t="s">
        <v>483</v>
      </c>
      <c r="L47" s="10"/>
    </row>
    <row r="48" spans="1:12" s="9" customFormat="1" ht="15.75">
      <c r="A48" s="5" t="s">
        <v>533</v>
      </c>
      <c r="B48" s="44" t="s">
        <v>578</v>
      </c>
      <c r="C48" s="6" t="s">
        <v>578</v>
      </c>
      <c r="D48" s="7" t="s">
        <v>611</v>
      </c>
      <c r="E48" s="5" t="s">
        <v>1046</v>
      </c>
      <c r="F48" s="5" t="s">
        <v>822</v>
      </c>
      <c r="G48" s="5" t="s">
        <v>272</v>
      </c>
      <c r="H48" s="8">
        <v>120</v>
      </c>
      <c r="I48" s="8" t="s">
        <v>486</v>
      </c>
      <c r="J48" s="10" t="s">
        <v>483</v>
      </c>
      <c r="K48" s="10"/>
      <c r="L48" s="10"/>
    </row>
    <row r="49" spans="1:12" s="9" customFormat="1" ht="15.75">
      <c r="A49" s="5" t="s">
        <v>533</v>
      </c>
      <c r="B49" s="44" t="s">
        <v>846</v>
      </c>
      <c r="C49" s="7" t="s">
        <v>846</v>
      </c>
      <c r="D49" s="7" t="s">
        <v>847</v>
      </c>
      <c r="E49" s="5" t="s">
        <v>1048</v>
      </c>
      <c r="F49" s="5" t="s">
        <v>822</v>
      </c>
      <c r="G49" s="5" t="s">
        <v>547</v>
      </c>
      <c r="H49" s="8">
        <f>20+20</f>
        <v>40</v>
      </c>
      <c r="I49" s="8" t="s">
        <v>486</v>
      </c>
      <c r="J49" s="10" t="s">
        <v>483</v>
      </c>
      <c r="K49" s="10"/>
      <c r="L49" s="10"/>
    </row>
    <row r="50" spans="1:12" s="9" customFormat="1" ht="15.75">
      <c r="A50" s="5" t="s">
        <v>499</v>
      </c>
      <c r="B50" s="44" t="s">
        <v>783</v>
      </c>
      <c r="C50" s="7" t="s">
        <v>783</v>
      </c>
      <c r="D50" s="7" t="s">
        <v>1605</v>
      </c>
      <c r="E50" s="5" t="s">
        <v>1049</v>
      </c>
      <c r="F50" s="5" t="s">
        <v>823</v>
      </c>
      <c r="G50" s="5" t="s">
        <v>784</v>
      </c>
      <c r="H50" s="8">
        <v>40</v>
      </c>
      <c r="I50" s="8" t="s">
        <v>486</v>
      </c>
      <c r="J50" s="10" t="s">
        <v>483</v>
      </c>
      <c r="K50" s="10"/>
      <c r="L50" s="10"/>
    </row>
    <row r="51" spans="1:12" s="9" customFormat="1" ht="15.75">
      <c r="A51" s="5" t="s">
        <v>499</v>
      </c>
      <c r="B51" s="44" t="s">
        <v>783</v>
      </c>
      <c r="C51" s="7" t="s">
        <v>783</v>
      </c>
      <c r="D51" s="7" t="s">
        <v>1605</v>
      </c>
      <c r="E51" s="5" t="s">
        <v>1049</v>
      </c>
      <c r="F51" s="5" t="s">
        <v>823</v>
      </c>
      <c r="G51" s="5" t="s">
        <v>784</v>
      </c>
      <c r="H51" s="8">
        <v>40</v>
      </c>
      <c r="I51" s="8" t="s">
        <v>486</v>
      </c>
      <c r="J51" s="10" t="s">
        <v>484</v>
      </c>
      <c r="K51" s="10"/>
      <c r="L51" s="10"/>
    </row>
    <row r="52" spans="1:12" s="9" customFormat="1" ht="15.75">
      <c r="A52" s="5" t="s">
        <v>526</v>
      </c>
      <c r="B52" s="46" t="s">
        <v>527</v>
      </c>
      <c r="C52" s="48" t="s">
        <v>531</v>
      </c>
      <c r="D52" s="7" t="s">
        <v>528</v>
      </c>
      <c r="E52" s="5" t="s">
        <v>1050</v>
      </c>
      <c r="F52" s="5" t="s">
        <v>823</v>
      </c>
      <c r="G52" s="5" t="s">
        <v>265</v>
      </c>
      <c r="H52" s="8">
        <f>25+20+15</f>
        <v>60</v>
      </c>
      <c r="I52" s="8" t="s">
        <v>486</v>
      </c>
      <c r="J52" s="10" t="s">
        <v>484</v>
      </c>
      <c r="K52" s="10"/>
      <c r="L52" s="10"/>
    </row>
    <row r="53" spans="1:12" s="9" customFormat="1" ht="15.75">
      <c r="A53" s="5" t="s">
        <v>526</v>
      </c>
      <c r="B53" s="46" t="s">
        <v>527</v>
      </c>
      <c r="C53" s="48" t="s">
        <v>531</v>
      </c>
      <c r="D53" s="7" t="s">
        <v>528</v>
      </c>
      <c r="E53" s="5" t="s">
        <v>1050</v>
      </c>
      <c r="F53" s="5" t="s">
        <v>823</v>
      </c>
      <c r="G53" s="5" t="s">
        <v>265</v>
      </c>
      <c r="H53" s="8">
        <f>25+20+15</f>
        <v>60</v>
      </c>
      <c r="I53" s="8" t="s">
        <v>486</v>
      </c>
      <c r="J53" s="10" t="s">
        <v>483</v>
      </c>
      <c r="K53" s="10"/>
      <c r="L53" s="10"/>
    </row>
    <row r="54" spans="1:12" s="9" customFormat="1" ht="15.75">
      <c r="A54" s="5" t="s">
        <v>499</v>
      </c>
      <c r="B54" s="45" t="s">
        <v>12</v>
      </c>
      <c r="C54" s="7" t="s">
        <v>12</v>
      </c>
      <c r="D54" s="7" t="s">
        <v>13</v>
      </c>
      <c r="E54" s="5" t="s">
        <v>625</v>
      </c>
      <c r="F54" s="5" t="s">
        <v>823</v>
      </c>
      <c r="G54" s="5" t="s">
        <v>265</v>
      </c>
      <c r="H54" s="10">
        <v>90</v>
      </c>
      <c r="I54" s="10" t="s">
        <v>876</v>
      </c>
      <c r="J54" s="10" t="s">
        <v>483</v>
      </c>
      <c r="L54" s="10"/>
    </row>
    <row r="55" spans="1:12" s="9" customFormat="1" ht="15.75">
      <c r="A55" s="5" t="s">
        <v>499</v>
      </c>
      <c r="B55" s="46" t="s">
        <v>28</v>
      </c>
      <c r="C55" s="7" t="s">
        <v>28</v>
      </c>
      <c r="D55" s="7" t="s">
        <v>29</v>
      </c>
      <c r="E55" s="5" t="s">
        <v>1608</v>
      </c>
      <c r="F55" s="5" t="s">
        <v>823</v>
      </c>
      <c r="G55" s="5" t="s">
        <v>265</v>
      </c>
      <c r="H55" s="8">
        <v>60</v>
      </c>
      <c r="I55" s="8" t="s">
        <v>486</v>
      </c>
      <c r="J55" s="10" t="s">
        <v>483</v>
      </c>
      <c r="K55" s="10"/>
      <c r="L55" s="10"/>
    </row>
    <row r="56" spans="1:12" s="9" customFormat="1" ht="15.75">
      <c r="A56" s="5" t="s">
        <v>499</v>
      </c>
      <c r="B56" s="44" t="s">
        <v>73</v>
      </c>
      <c r="C56" s="7" t="s">
        <v>73</v>
      </c>
      <c r="D56" s="7" t="s">
        <v>74</v>
      </c>
      <c r="E56" s="5" t="s">
        <v>1051</v>
      </c>
      <c r="F56" s="5" t="s">
        <v>823</v>
      </c>
      <c r="G56" s="5" t="s">
        <v>265</v>
      </c>
      <c r="H56" s="8">
        <v>30</v>
      </c>
      <c r="I56" s="8" t="s">
        <v>876</v>
      </c>
      <c r="J56" s="10" t="s">
        <v>484</v>
      </c>
    </row>
    <row r="57" spans="1:12" s="9" customFormat="1" ht="15.75">
      <c r="A57" s="5" t="s">
        <v>499</v>
      </c>
      <c r="B57" s="45" t="s">
        <v>73</v>
      </c>
      <c r="C57" s="7" t="s">
        <v>73</v>
      </c>
      <c r="D57" s="7" t="s">
        <v>74</v>
      </c>
      <c r="E57" s="5" t="s">
        <v>1051</v>
      </c>
      <c r="F57" s="5" t="s">
        <v>823</v>
      </c>
      <c r="G57" s="5" t="s">
        <v>265</v>
      </c>
      <c r="H57" s="8">
        <v>75</v>
      </c>
      <c r="I57" s="10" t="s">
        <v>876</v>
      </c>
      <c r="J57" s="10" t="s">
        <v>483</v>
      </c>
    </row>
    <row r="58" spans="1:12" s="9" customFormat="1" ht="15.75">
      <c r="A58" s="5" t="s">
        <v>499</v>
      </c>
      <c r="B58" s="46" t="s">
        <v>75</v>
      </c>
      <c r="C58" s="7" t="s">
        <v>75</v>
      </c>
      <c r="D58" s="7" t="s">
        <v>612</v>
      </c>
      <c r="E58" s="5" t="s">
        <v>1052</v>
      </c>
      <c r="F58" s="5" t="s">
        <v>823</v>
      </c>
      <c r="G58" s="5" t="s">
        <v>265</v>
      </c>
      <c r="H58" s="8">
        <v>40</v>
      </c>
      <c r="I58" s="8" t="s">
        <v>486</v>
      </c>
      <c r="J58" s="10" t="s">
        <v>483</v>
      </c>
      <c r="K58" s="10"/>
      <c r="L58" s="10"/>
    </row>
    <row r="59" spans="1:12" s="9" customFormat="1" ht="15.75">
      <c r="A59" s="5" t="s">
        <v>499</v>
      </c>
      <c r="B59" s="45" t="s">
        <v>25</v>
      </c>
      <c r="C59" s="7" t="s">
        <v>25</v>
      </c>
      <c r="D59" s="7" t="s">
        <v>26</v>
      </c>
      <c r="E59" s="5" t="s">
        <v>1053</v>
      </c>
      <c r="F59" s="5" t="s">
        <v>824</v>
      </c>
      <c r="G59" s="5" t="s">
        <v>268</v>
      </c>
      <c r="H59" s="10">
        <v>65</v>
      </c>
      <c r="I59" s="10" t="s">
        <v>876</v>
      </c>
      <c r="J59" s="10" t="s">
        <v>483</v>
      </c>
      <c r="L59" s="10"/>
    </row>
    <row r="60" spans="1:12" s="9" customFormat="1" ht="15.75">
      <c r="A60" s="5" t="s">
        <v>499</v>
      </c>
      <c r="B60" s="45" t="s">
        <v>544</v>
      </c>
      <c r="C60" s="7" t="s">
        <v>544</v>
      </c>
      <c r="D60" s="7" t="s">
        <v>27</v>
      </c>
      <c r="E60" s="5" t="s">
        <v>1054</v>
      </c>
      <c r="F60" s="5" t="s">
        <v>824</v>
      </c>
      <c r="G60" s="5" t="s">
        <v>268</v>
      </c>
      <c r="H60" s="10">
        <v>40</v>
      </c>
      <c r="I60" s="10" t="s">
        <v>876</v>
      </c>
      <c r="J60" s="10" t="s">
        <v>483</v>
      </c>
      <c r="L60" s="10"/>
    </row>
    <row r="61" spans="1:12" s="9" customFormat="1" ht="15.75">
      <c r="A61" s="5" t="s">
        <v>499</v>
      </c>
      <c r="B61" s="45" t="s">
        <v>33</v>
      </c>
      <c r="C61" s="7" t="s">
        <v>33</v>
      </c>
      <c r="D61" s="7" t="s">
        <v>34</v>
      </c>
      <c r="E61" s="5" t="s">
        <v>1055</v>
      </c>
      <c r="F61" s="5" t="s">
        <v>824</v>
      </c>
      <c r="G61" s="5" t="s">
        <v>268</v>
      </c>
      <c r="H61" s="10">
        <v>60</v>
      </c>
      <c r="I61" s="10" t="s">
        <v>876</v>
      </c>
      <c r="J61" s="10" t="s">
        <v>483</v>
      </c>
      <c r="L61" s="10"/>
    </row>
    <row r="62" spans="1:12" s="9" customFormat="1" ht="15.75">
      <c r="A62" s="5" t="s">
        <v>499</v>
      </c>
      <c r="B62" s="45" t="s">
        <v>37</v>
      </c>
      <c r="C62" s="7" t="s">
        <v>37</v>
      </c>
      <c r="D62" s="7" t="s">
        <v>38</v>
      </c>
      <c r="E62" s="5" t="s">
        <v>1056</v>
      </c>
      <c r="F62" s="5" t="s">
        <v>824</v>
      </c>
      <c r="G62" s="5" t="s">
        <v>268</v>
      </c>
      <c r="H62" s="10">
        <v>100</v>
      </c>
      <c r="I62" s="10" t="s">
        <v>876</v>
      </c>
      <c r="J62" s="10" t="s">
        <v>483</v>
      </c>
      <c r="K62" s="10"/>
      <c r="L62" s="10"/>
    </row>
    <row r="63" spans="1:12" s="9" customFormat="1" ht="15.75">
      <c r="A63" s="5" t="s">
        <v>499</v>
      </c>
      <c r="B63" s="44" t="s">
        <v>70</v>
      </c>
      <c r="C63" s="7" t="s">
        <v>70</v>
      </c>
      <c r="D63" s="7" t="s">
        <v>71</v>
      </c>
      <c r="E63" s="5" t="s">
        <v>1057</v>
      </c>
      <c r="F63" s="5" t="s">
        <v>824</v>
      </c>
      <c r="G63" s="5" t="s">
        <v>268</v>
      </c>
      <c r="H63" s="8">
        <v>30</v>
      </c>
      <c r="I63" s="8" t="s">
        <v>876</v>
      </c>
      <c r="J63" s="10" t="s">
        <v>484</v>
      </c>
      <c r="K63" s="10"/>
      <c r="L63" s="10"/>
    </row>
    <row r="64" spans="1:12" s="9" customFormat="1" ht="15.75">
      <c r="A64" s="5" t="s">
        <v>499</v>
      </c>
      <c r="B64" s="45" t="s">
        <v>70</v>
      </c>
      <c r="C64" s="7" t="s">
        <v>70</v>
      </c>
      <c r="D64" s="7" t="s">
        <v>71</v>
      </c>
      <c r="E64" s="5" t="s">
        <v>1058</v>
      </c>
      <c r="F64" s="5" t="s">
        <v>824</v>
      </c>
      <c r="G64" s="5" t="s">
        <v>268</v>
      </c>
      <c r="H64" s="8">
        <v>60</v>
      </c>
      <c r="I64" s="10" t="s">
        <v>876</v>
      </c>
      <c r="J64" s="10" t="s">
        <v>483</v>
      </c>
      <c r="K64" s="10"/>
      <c r="L64" s="10"/>
    </row>
    <row r="65" spans="1:12" s="9" customFormat="1" ht="15.75">
      <c r="A65" s="5" t="s">
        <v>499</v>
      </c>
      <c r="B65" s="45" t="s">
        <v>79</v>
      </c>
      <c r="C65" s="7" t="s">
        <v>79</v>
      </c>
      <c r="D65" s="7" t="s">
        <v>80</v>
      </c>
      <c r="E65" s="5" t="s">
        <v>1059</v>
      </c>
      <c r="F65" s="5" t="s">
        <v>824</v>
      </c>
      <c r="G65" s="5" t="s">
        <v>268</v>
      </c>
      <c r="H65" s="10">
        <v>50</v>
      </c>
      <c r="I65" s="10" t="s">
        <v>876</v>
      </c>
      <c r="J65" s="10" t="s">
        <v>483</v>
      </c>
      <c r="L65" s="10"/>
    </row>
    <row r="66" spans="1:12" s="9" customFormat="1" ht="15.75">
      <c r="A66" s="5" t="s">
        <v>499</v>
      </c>
      <c r="B66" s="44" t="s">
        <v>113</v>
      </c>
      <c r="C66" s="7" t="s">
        <v>113</v>
      </c>
      <c r="D66" s="7" t="s">
        <v>1475</v>
      </c>
      <c r="E66" s="5" t="s">
        <v>1060</v>
      </c>
      <c r="F66" s="5" t="s">
        <v>824</v>
      </c>
      <c r="G66" s="5" t="s">
        <v>268</v>
      </c>
      <c r="H66" s="8">
        <v>190</v>
      </c>
      <c r="I66" s="8" t="s">
        <v>486</v>
      </c>
      <c r="J66" s="10" t="s">
        <v>483</v>
      </c>
      <c r="K66" s="10"/>
      <c r="L66" s="10"/>
    </row>
    <row r="67" spans="1:12" s="9" customFormat="1" ht="15.75">
      <c r="A67" s="5" t="s">
        <v>499</v>
      </c>
      <c r="B67" s="44" t="s">
        <v>786</v>
      </c>
      <c r="C67" s="7" t="s">
        <v>786</v>
      </c>
      <c r="D67" s="7" t="s">
        <v>787</v>
      </c>
      <c r="E67" s="5" t="s">
        <v>1061</v>
      </c>
      <c r="F67" s="5" t="s">
        <v>824</v>
      </c>
      <c r="G67" s="5" t="s">
        <v>268</v>
      </c>
      <c r="H67" s="8">
        <v>20</v>
      </c>
      <c r="I67" s="8" t="s">
        <v>486</v>
      </c>
      <c r="J67" s="10" t="s">
        <v>483</v>
      </c>
      <c r="K67" s="10"/>
      <c r="L67" s="10"/>
    </row>
    <row r="68" spans="1:12" s="9" customFormat="1" ht="15.75">
      <c r="A68" s="5" t="s">
        <v>499</v>
      </c>
      <c r="B68" s="45" t="s">
        <v>108</v>
      </c>
      <c r="C68" s="7" t="s">
        <v>108</v>
      </c>
      <c r="D68" s="7" t="s">
        <v>109</v>
      </c>
      <c r="E68" s="5" t="s">
        <v>1062</v>
      </c>
      <c r="F68" s="5" t="s">
        <v>824</v>
      </c>
      <c r="G68" s="5" t="s">
        <v>268</v>
      </c>
      <c r="H68" s="8">
        <v>70</v>
      </c>
      <c r="I68" s="10" t="s">
        <v>876</v>
      </c>
      <c r="J68" s="10" t="s">
        <v>483</v>
      </c>
      <c r="K68" s="10"/>
      <c r="L68" s="10"/>
    </row>
    <row r="69" spans="1:12" s="9" customFormat="1" ht="15.75">
      <c r="A69" s="5" t="s">
        <v>497</v>
      </c>
      <c r="B69" s="44" t="s">
        <v>14</v>
      </c>
      <c r="C69" s="7" t="s">
        <v>14</v>
      </c>
      <c r="D69" s="7" t="s">
        <v>15</v>
      </c>
      <c r="E69" s="5" t="s">
        <v>1066</v>
      </c>
      <c r="F69" s="5" t="s">
        <v>882</v>
      </c>
      <c r="G69" s="5" t="s">
        <v>317</v>
      </c>
      <c r="H69" s="10">
        <v>51</v>
      </c>
      <c r="I69" s="8" t="s">
        <v>876</v>
      </c>
      <c r="J69" s="10" t="s">
        <v>484</v>
      </c>
      <c r="L69" s="10"/>
    </row>
    <row r="70" spans="1:12" s="9" customFormat="1" ht="15.75">
      <c r="A70" s="5" t="s">
        <v>497</v>
      </c>
      <c r="B70" s="45" t="s">
        <v>14</v>
      </c>
      <c r="C70" s="7" t="s">
        <v>14</v>
      </c>
      <c r="D70" s="7" t="s">
        <v>15</v>
      </c>
      <c r="E70" s="5" t="s">
        <v>1066</v>
      </c>
      <c r="F70" s="5" t="s">
        <v>882</v>
      </c>
      <c r="G70" s="5" t="s">
        <v>317</v>
      </c>
      <c r="H70" s="10">
        <v>60</v>
      </c>
      <c r="I70" s="10" t="s">
        <v>876</v>
      </c>
      <c r="J70" s="10" t="s">
        <v>483</v>
      </c>
      <c r="L70" s="10"/>
    </row>
    <row r="71" spans="1:12" s="9" customFormat="1" ht="15.75">
      <c r="A71" s="5" t="s">
        <v>497</v>
      </c>
      <c r="B71" s="44" t="s">
        <v>1063</v>
      </c>
      <c r="C71" s="7" t="s">
        <v>1063</v>
      </c>
      <c r="D71" s="7" t="s">
        <v>1064</v>
      </c>
      <c r="E71" s="5" t="s">
        <v>1065</v>
      </c>
      <c r="F71" s="5" t="s">
        <v>882</v>
      </c>
      <c r="G71" s="5" t="s">
        <v>317</v>
      </c>
      <c r="H71" s="8">
        <v>40</v>
      </c>
      <c r="I71" s="10" t="s">
        <v>486</v>
      </c>
      <c r="J71" s="10" t="s">
        <v>483</v>
      </c>
    </row>
    <row r="72" spans="1:12" s="9" customFormat="1" ht="15.75">
      <c r="A72" s="5" t="s">
        <v>497</v>
      </c>
      <c r="B72" s="44" t="s">
        <v>1063</v>
      </c>
      <c r="C72" s="7" t="s">
        <v>1063</v>
      </c>
      <c r="D72" s="7" t="s">
        <v>1064</v>
      </c>
      <c r="E72" s="5" t="s">
        <v>1065</v>
      </c>
      <c r="F72" s="5" t="s">
        <v>882</v>
      </c>
      <c r="G72" s="5" t="s">
        <v>317</v>
      </c>
      <c r="H72" s="8">
        <v>40</v>
      </c>
      <c r="I72" s="10" t="s">
        <v>486</v>
      </c>
      <c r="J72" s="10" t="s">
        <v>484</v>
      </c>
    </row>
    <row r="73" spans="1:12" s="9" customFormat="1" ht="15.75">
      <c r="A73" s="5" t="s">
        <v>497</v>
      </c>
      <c r="B73" s="44" t="s">
        <v>310</v>
      </c>
      <c r="C73" s="7" t="s">
        <v>310</v>
      </c>
      <c r="D73" s="7" t="s">
        <v>1485</v>
      </c>
      <c r="E73" s="5" t="s">
        <v>1606</v>
      </c>
      <c r="F73" s="5" t="s">
        <v>882</v>
      </c>
      <c r="G73" s="5" t="s">
        <v>290</v>
      </c>
      <c r="H73" s="8">
        <v>80</v>
      </c>
      <c r="I73" s="8" t="s">
        <v>486</v>
      </c>
      <c r="J73" s="10" t="s">
        <v>484</v>
      </c>
    </row>
    <row r="74" spans="1:12" s="9" customFormat="1" ht="15.75">
      <c r="A74" s="5" t="s">
        <v>513</v>
      </c>
      <c r="B74" s="49" t="s">
        <v>534</v>
      </c>
      <c r="C74" s="7" t="s">
        <v>534</v>
      </c>
      <c r="D74" s="7" t="s">
        <v>1484</v>
      </c>
      <c r="E74" s="5" t="s">
        <v>1067</v>
      </c>
      <c r="F74" s="5" t="s">
        <v>882</v>
      </c>
      <c r="G74" s="5" t="s">
        <v>280</v>
      </c>
      <c r="H74" s="8">
        <v>32</v>
      </c>
      <c r="I74" s="8" t="s">
        <v>486</v>
      </c>
      <c r="J74" s="10" t="s">
        <v>483</v>
      </c>
      <c r="K74" s="10"/>
      <c r="L74" s="10"/>
    </row>
    <row r="75" spans="1:12" s="9" customFormat="1" ht="15.75">
      <c r="A75" s="5" t="s">
        <v>513</v>
      </c>
      <c r="B75" s="49" t="s">
        <v>773</v>
      </c>
      <c r="C75" s="50" t="s">
        <v>773</v>
      </c>
      <c r="D75" s="7" t="s">
        <v>798</v>
      </c>
      <c r="E75" s="5" t="s">
        <v>627</v>
      </c>
      <c r="F75" s="5" t="s">
        <v>882</v>
      </c>
      <c r="G75" s="5" t="s">
        <v>280</v>
      </c>
      <c r="H75" s="8">
        <f>25+20+25</f>
        <v>70</v>
      </c>
      <c r="I75" s="8" t="s">
        <v>486</v>
      </c>
      <c r="J75" s="10" t="s">
        <v>483</v>
      </c>
      <c r="K75" s="10"/>
      <c r="L75" s="10"/>
    </row>
    <row r="76" spans="1:12" s="9" customFormat="1" ht="15.75">
      <c r="A76" s="5" t="s">
        <v>513</v>
      </c>
      <c r="B76" s="49" t="s">
        <v>773</v>
      </c>
      <c r="C76" s="50" t="s">
        <v>773</v>
      </c>
      <c r="D76" s="7" t="s">
        <v>798</v>
      </c>
      <c r="E76" s="5" t="s">
        <v>627</v>
      </c>
      <c r="F76" s="5" t="s">
        <v>882</v>
      </c>
      <c r="G76" s="5" t="s">
        <v>280</v>
      </c>
      <c r="H76" s="8">
        <f>25+20+25</f>
        <v>70</v>
      </c>
      <c r="I76" s="8" t="s">
        <v>486</v>
      </c>
      <c r="J76" s="10" t="s">
        <v>484</v>
      </c>
      <c r="K76" s="10"/>
      <c r="L76" s="10"/>
    </row>
    <row r="77" spans="1:12" s="9" customFormat="1" ht="15.75">
      <c r="A77" s="5" t="s">
        <v>499</v>
      </c>
      <c r="B77" s="44" t="s">
        <v>31</v>
      </c>
      <c r="C77" s="7" t="s">
        <v>134</v>
      </c>
      <c r="D77" s="7" t="s">
        <v>1476</v>
      </c>
      <c r="E77" s="5" t="s">
        <v>1068</v>
      </c>
      <c r="F77" s="5" t="s">
        <v>825</v>
      </c>
      <c r="G77" s="5" t="s">
        <v>269</v>
      </c>
      <c r="H77" s="8">
        <v>80</v>
      </c>
      <c r="I77" s="8" t="s">
        <v>876</v>
      </c>
      <c r="J77" s="10" t="s">
        <v>484</v>
      </c>
      <c r="K77" s="10"/>
      <c r="L77" s="10"/>
    </row>
    <row r="78" spans="1:12" s="9" customFormat="1" ht="15.75">
      <c r="A78" s="5" t="s">
        <v>499</v>
      </c>
      <c r="B78" s="45" t="s">
        <v>31</v>
      </c>
      <c r="C78" s="7" t="s">
        <v>134</v>
      </c>
      <c r="D78" s="7" t="s">
        <v>1476</v>
      </c>
      <c r="E78" s="5" t="s">
        <v>1068</v>
      </c>
      <c r="F78" s="5" t="s">
        <v>825</v>
      </c>
      <c r="G78" s="5" t="s">
        <v>269</v>
      </c>
      <c r="H78" s="8">
        <v>90</v>
      </c>
      <c r="I78" s="10" t="s">
        <v>876</v>
      </c>
      <c r="J78" s="10" t="s">
        <v>483</v>
      </c>
      <c r="K78" s="10"/>
      <c r="L78" s="10"/>
    </row>
    <row r="79" spans="1:12" s="9" customFormat="1" ht="15.75">
      <c r="A79" s="5" t="s">
        <v>499</v>
      </c>
      <c r="B79" s="45" t="s">
        <v>31</v>
      </c>
      <c r="C79" s="7" t="s">
        <v>135</v>
      </c>
      <c r="D79" s="7" t="s">
        <v>136</v>
      </c>
      <c r="E79" s="5" t="s">
        <v>1069</v>
      </c>
      <c r="F79" s="5" t="s">
        <v>825</v>
      </c>
      <c r="G79" s="5" t="s">
        <v>269</v>
      </c>
      <c r="H79" s="10">
        <v>80</v>
      </c>
      <c r="I79" s="10" t="s">
        <v>876</v>
      </c>
      <c r="J79" s="10" t="s">
        <v>483</v>
      </c>
      <c r="L79" s="10"/>
    </row>
    <row r="80" spans="1:12" s="9" customFormat="1" ht="15.75">
      <c r="A80" s="5" t="s">
        <v>499</v>
      </c>
      <c r="B80" s="45" t="s">
        <v>31</v>
      </c>
      <c r="C80" s="7" t="s">
        <v>137</v>
      </c>
      <c r="D80" s="7" t="s">
        <v>138</v>
      </c>
      <c r="E80" s="5" t="s">
        <v>1070</v>
      </c>
      <c r="F80" s="5" t="s">
        <v>825</v>
      </c>
      <c r="G80" s="5" t="s">
        <v>269</v>
      </c>
      <c r="H80" s="10">
        <v>70</v>
      </c>
      <c r="I80" s="10" t="s">
        <v>876</v>
      </c>
      <c r="J80" s="10" t="s">
        <v>483</v>
      </c>
      <c r="L80" s="10"/>
    </row>
    <row r="81" spans="1:12" s="9" customFormat="1" ht="15.75">
      <c r="A81" s="5" t="s">
        <v>499</v>
      </c>
      <c r="B81" s="45" t="s">
        <v>31</v>
      </c>
      <c r="C81" s="7" t="s">
        <v>31</v>
      </c>
      <c r="D81" s="7" t="s">
        <v>32</v>
      </c>
      <c r="E81" s="5" t="s">
        <v>626</v>
      </c>
      <c r="F81" s="5" t="s">
        <v>825</v>
      </c>
      <c r="G81" s="5" t="s">
        <v>269</v>
      </c>
      <c r="H81" s="8">
        <v>40</v>
      </c>
      <c r="I81" s="10" t="s">
        <v>876</v>
      </c>
      <c r="J81" s="10" t="s">
        <v>483</v>
      </c>
      <c r="L81" s="10"/>
    </row>
    <row r="82" spans="1:12" s="9" customFormat="1" ht="15.75">
      <c r="A82" s="5" t="s">
        <v>499</v>
      </c>
      <c r="B82" s="44" t="s">
        <v>31</v>
      </c>
      <c r="C82" s="7" t="s">
        <v>140</v>
      </c>
      <c r="D82" s="7" t="s">
        <v>139</v>
      </c>
      <c r="E82" s="5" t="s">
        <v>1071</v>
      </c>
      <c r="F82" s="5" t="s">
        <v>825</v>
      </c>
      <c r="G82" s="5" t="s">
        <v>269</v>
      </c>
      <c r="H82" s="8">
        <v>45</v>
      </c>
      <c r="I82" s="5" t="s">
        <v>874</v>
      </c>
      <c r="J82" s="5" t="s">
        <v>484</v>
      </c>
      <c r="K82" s="8"/>
      <c r="L82" s="8"/>
    </row>
    <row r="83" spans="1:12" s="9" customFormat="1" ht="15.75">
      <c r="A83" s="5" t="s">
        <v>499</v>
      </c>
      <c r="B83" s="45" t="s">
        <v>31</v>
      </c>
      <c r="C83" s="7" t="s">
        <v>140</v>
      </c>
      <c r="D83" s="7" t="s">
        <v>139</v>
      </c>
      <c r="E83" s="5" t="s">
        <v>1071</v>
      </c>
      <c r="F83" s="5" t="s">
        <v>825</v>
      </c>
      <c r="G83" s="5" t="s">
        <v>269</v>
      </c>
      <c r="H83" s="8">
        <v>50</v>
      </c>
      <c r="I83" s="5" t="s">
        <v>874</v>
      </c>
      <c r="J83" s="5" t="s">
        <v>483</v>
      </c>
      <c r="K83" s="8"/>
      <c r="L83" s="8"/>
    </row>
    <row r="84" spans="1:12" s="9" customFormat="1" ht="15.75">
      <c r="A84" s="5" t="s">
        <v>499</v>
      </c>
      <c r="B84" s="44" t="s">
        <v>31</v>
      </c>
      <c r="C84" s="7" t="s">
        <v>141</v>
      </c>
      <c r="D84" s="7" t="s">
        <v>142</v>
      </c>
      <c r="E84" s="5" t="s">
        <v>1072</v>
      </c>
      <c r="F84" s="5" t="s">
        <v>825</v>
      </c>
      <c r="G84" s="5" t="s">
        <v>269</v>
      </c>
      <c r="H84" s="8">
        <v>20</v>
      </c>
      <c r="I84" s="8" t="s">
        <v>876</v>
      </c>
      <c r="J84" s="10" t="s">
        <v>484</v>
      </c>
    </row>
    <row r="85" spans="1:12" s="9" customFormat="1" ht="15.75">
      <c r="A85" s="5" t="s">
        <v>499</v>
      </c>
      <c r="B85" s="45" t="s">
        <v>31</v>
      </c>
      <c r="C85" s="7" t="s">
        <v>141</v>
      </c>
      <c r="D85" s="7" t="s">
        <v>142</v>
      </c>
      <c r="E85" s="5" t="s">
        <v>1072</v>
      </c>
      <c r="F85" s="5" t="s">
        <v>825</v>
      </c>
      <c r="G85" s="5" t="s">
        <v>269</v>
      </c>
      <c r="H85" s="8">
        <v>30</v>
      </c>
      <c r="I85" s="10" t="s">
        <v>876</v>
      </c>
      <c r="J85" s="10" t="s">
        <v>483</v>
      </c>
    </row>
    <row r="86" spans="1:12" s="9" customFormat="1" ht="15.75">
      <c r="A86" s="5" t="s">
        <v>499</v>
      </c>
      <c r="B86" s="45" t="s">
        <v>31</v>
      </c>
      <c r="C86" s="7" t="s">
        <v>143</v>
      </c>
      <c r="D86" s="7" t="s">
        <v>144</v>
      </c>
      <c r="E86" s="5" t="s">
        <v>1073</v>
      </c>
      <c r="F86" s="5" t="s">
        <v>825</v>
      </c>
      <c r="G86" s="5" t="s">
        <v>269</v>
      </c>
      <c r="H86" s="8">
        <v>90</v>
      </c>
      <c r="I86" s="10" t="s">
        <v>876</v>
      </c>
      <c r="J86" s="10" t="s">
        <v>483</v>
      </c>
      <c r="L86" s="10"/>
    </row>
    <row r="87" spans="1:12" s="9" customFormat="1" ht="15.75">
      <c r="A87" s="5" t="s">
        <v>499</v>
      </c>
      <c r="B87" s="45" t="s">
        <v>31</v>
      </c>
      <c r="C87" s="7" t="s">
        <v>145</v>
      </c>
      <c r="D87" s="7" t="s">
        <v>1486</v>
      </c>
      <c r="E87" s="5" t="s">
        <v>1074</v>
      </c>
      <c r="F87" s="5" t="s">
        <v>825</v>
      </c>
      <c r="G87" s="5" t="s">
        <v>269</v>
      </c>
      <c r="H87" s="8">
        <v>100</v>
      </c>
      <c r="I87" s="10" t="s">
        <v>876</v>
      </c>
      <c r="J87" s="10" t="s">
        <v>483</v>
      </c>
      <c r="L87" s="10"/>
    </row>
    <row r="88" spans="1:12" s="9" customFormat="1" ht="15.75">
      <c r="A88" s="5" t="s">
        <v>499</v>
      </c>
      <c r="B88" s="44" t="s">
        <v>282</v>
      </c>
      <c r="C88" s="7" t="s">
        <v>128</v>
      </c>
      <c r="D88" s="7" t="s">
        <v>1374</v>
      </c>
      <c r="E88" s="5" t="s">
        <v>1075</v>
      </c>
      <c r="F88" s="5" t="s">
        <v>825</v>
      </c>
      <c r="G88" s="5" t="s">
        <v>269</v>
      </c>
      <c r="H88" s="8">
        <v>100</v>
      </c>
      <c r="I88" s="8" t="s">
        <v>486</v>
      </c>
      <c r="J88" s="10" t="s">
        <v>484</v>
      </c>
      <c r="K88" s="10"/>
      <c r="L88" s="10"/>
    </row>
    <row r="89" spans="1:12" s="9" customFormat="1" ht="15.75">
      <c r="A89" s="5" t="s">
        <v>499</v>
      </c>
      <c r="B89" s="46" t="s">
        <v>282</v>
      </c>
      <c r="C89" s="7" t="s">
        <v>128</v>
      </c>
      <c r="D89" s="7" t="s">
        <v>1374</v>
      </c>
      <c r="E89" s="5" t="s">
        <v>1075</v>
      </c>
      <c r="F89" s="5" t="s">
        <v>825</v>
      </c>
      <c r="G89" s="5" t="s">
        <v>269</v>
      </c>
      <c r="H89" s="8">
        <v>130</v>
      </c>
      <c r="I89" s="8" t="s">
        <v>486</v>
      </c>
      <c r="J89" s="10" t="s">
        <v>483</v>
      </c>
    </row>
    <row r="90" spans="1:12" s="9" customFormat="1" ht="15.75">
      <c r="A90" s="5" t="s">
        <v>499</v>
      </c>
      <c r="B90" s="44" t="s">
        <v>282</v>
      </c>
      <c r="C90" s="7" t="s">
        <v>306</v>
      </c>
      <c r="D90" s="7" t="s">
        <v>307</v>
      </c>
      <c r="E90" s="5" t="s">
        <v>1076</v>
      </c>
      <c r="F90" s="5" t="s">
        <v>825</v>
      </c>
      <c r="G90" s="5" t="s">
        <v>269</v>
      </c>
      <c r="H90" s="8">
        <v>75</v>
      </c>
      <c r="I90" s="8" t="s">
        <v>486</v>
      </c>
      <c r="J90" s="10" t="s">
        <v>484</v>
      </c>
      <c r="K90" s="10"/>
      <c r="L90" s="10"/>
    </row>
    <row r="91" spans="1:12" s="9" customFormat="1" ht="15.75">
      <c r="A91" s="5" t="s">
        <v>499</v>
      </c>
      <c r="B91" s="46" t="s">
        <v>282</v>
      </c>
      <c r="C91" s="7" t="s">
        <v>129</v>
      </c>
      <c r="D91" s="7" t="s">
        <v>130</v>
      </c>
      <c r="E91" s="5" t="s">
        <v>1597</v>
      </c>
      <c r="F91" s="5" t="s">
        <v>825</v>
      </c>
      <c r="G91" s="5" t="s">
        <v>269</v>
      </c>
      <c r="H91" s="8">
        <v>255</v>
      </c>
      <c r="I91" s="8" t="s">
        <v>486</v>
      </c>
      <c r="J91" s="10" t="s">
        <v>483</v>
      </c>
      <c r="K91" s="10"/>
      <c r="L91" s="10"/>
    </row>
    <row r="92" spans="1:12" s="9" customFormat="1" ht="15.75">
      <c r="A92" s="114" t="s">
        <v>499</v>
      </c>
      <c r="B92" s="115" t="s">
        <v>282</v>
      </c>
      <c r="C92" s="116" t="s">
        <v>131</v>
      </c>
      <c r="D92" s="116" t="s">
        <v>103</v>
      </c>
      <c r="E92" s="5" t="s">
        <v>1597</v>
      </c>
      <c r="F92" s="114" t="s">
        <v>825</v>
      </c>
      <c r="G92" s="114" t="s">
        <v>269</v>
      </c>
      <c r="H92" s="117">
        <v>880</v>
      </c>
      <c r="I92" s="118" t="s">
        <v>486</v>
      </c>
      <c r="J92" s="117" t="s">
        <v>484</v>
      </c>
      <c r="K92" s="118"/>
      <c r="L92" s="118"/>
    </row>
    <row r="93" spans="1:12" s="9" customFormat="1" ht="15.75">
      <c r="A93" s="114" t="s">
        <v>499</v>
      </c>
      <c r="B93" s="115" t="s">
        <v>282</v>
      </c>
      <c r="C93" s="116" t="s">
        <v>131</v>
      </c>
      <c r="D93" s="116" t="s">
        <v>103</v>
      </c>
      <c r="E93" s="5" t="s">
        <v>1597</v>
      </c>
      <c r="F93" s="114" t="s">
        <v>825</v>
      </c>
      <c r="G93" s="114" t="s">
        <v>269</v>
      </c>
      <c r="H93" s="117">
        <v>1050</v>
      </c>
      <c r="I93" s="118" t="s">
        <v>486</v>
      </c>
      <c r="J93" s="117" t="s">
        <v>483</v>
      </c>
      <c r="K93" s="118"/>
      <c r="L93" s="118"/>
    </row>
    <row r="94" spans="1:12" s="9" customFormat="1" ht="15.75">
      <c r="A94" s="5" t="s">
        <v>499</v>
      </c>
      <c r="B94" s="45" t="s">
        <v>269</v>
      </c>
      <c r="C94" s="7" t="s">
        <v>269</v>
      </c>
      <c r="D94" s="7" t="s">
        <v>1543</v>
      </c>
      <c r="E94" s="5" t="s">
        <v>1547</v>
      </c>
      <c r="F94" s="5" t="s">
        <v>825</v>
      </c>
      <c r="G94" s="5" t="s">
        <v>269</v>
      </c>
      <c r="H94" s="8">
        <v>20</v>
      </c>
      <c r="I94" s="10" t="s">
        <v>486</v>
      </c>
      <c r="J94" s="10" t="s">
        <v>483</v>
      </c>
      <c r="K94" s="10"/>
      <c r="L94" s="10"/>
    </row>
    <row r="95" spans="1:12" s="9" customFormat="1" ht="15.75">
      <c r="A95" s="5" t="s">
        <v>499</v>
      </c>
      <c r="B95" s="45" t="s">
        <v>269</v>
      </c>
      <c r="C95" s="7" t="s">
        <v>269</v>
      </c>
      <c r="D95" s="7" t="s">
        <v>1543</v>
      </c>
      <c r="E95" s="5" t="s">
        <v>1547</v>
      </c>
      <c r="F95" s="5" t="s">
        <v>825</v>
      </c>
      <c r="G95" s="5" t="s">
        <v>269</v>
      </c>
      <c r="H95" s="8">
        <v>15</v>
      </c>
      <c r="I95" s="10" t="s">
        <v>486</v>
      </c>
      <c r="J95" s="10" t="s">
        <v>484</v>
      </c>
      <c r="K95" s="10"/>
      <c r="L95" s="10"/>
    </row>
    <row r="96" spans="1:12" s="9" customFormat="1" ht="15.75">
      <c r="A96" s="5" t="s">
        <v>499</v>
      </c>
      <c r="B96" s="44" t="s">
        <v>66</v>
      </c>
      <c r="C96" s="7" t="s">
        <v>66</v>
      </c>
      <c r="D96" s="7" t="s">
        <v>139</v>
      </c>
      <c r="E96" s="5" t="s">
        <v>1077</v>
      </c>
      <c r="F96" s="5" t="s">
        <v>825</v>
      </c>
      <c r="G96" s="5" t="s">
        <v>269</v>
      </c>
      <c r="H96" s="8">
        <v>50</v>
      </c>
      <c r="I96" s="8" t="s">
        <v>876</v>
      </c>
      <c r="J96" s="10" t="s">
        <v>484</v>
      </c>
      <c r="K96" s="10"/>
      <c r="L96" s="10"/>
    </row>
    <row r="97" spans="1:12" s="9" customFormat="1" ht="15.75">
      <c r="A97" s="5" t="s">
        <v>499</v>
      </c>
      <c r="B97" s="45" t="s">
        <v>66</v>
      </c>
      <c r="C97" s="7" t="s">
        <v>66</v>
      </c>
      <c r="D97" s="7" t="s">
        <v>139</v>
      </c>
      <c r="E97" s="5" t="s">
        <v>1077</v>
      </c>
      <c r="F97" s="5" t="s">
        <v>825</v>
      </c>
      <c r="G97" s="5" t="s">
        <v>269</v>
      </c>
      <c r="H97" s="8">
        <v>60</v>
      </c>
      <c r="I97" s="10" t="s">
        <v>876</v>
      </c>
      <c r="J97" s="10" t="s">
        <v>483</v>
      </c>
      <c r="K97" s="10"/>
      <c r="L97" s="10"/>
    </row>
    <row r="98" spans="1:12" s="9" customFormat="1" ht="15.75">
      <c r="A98" s="5" t="s">
        <v>526</v>
      </c>
      <c r="B98" s="45" t="s">
        <v>855</v>
      </c>
      <c r="C98" s="7" t="s">
        <v>815</v>
      </c>
      <c r="D98" s="7" t="s">
        <v>850</v>
      </c>
      <c r="E98" s="5" t="s">
        <v>851</v>
      </c>
      <c r="F98" s="5" t="s">
        <v>825</v>
      </c>
      <c r="G98" s="5" t="s">
        <v>269</v>
      </c>
      <c r="H98" s="8">
        <f>30+20</f>
        <v>50</v>
      </c>
      <c r="I98" s="8" t="s">
        <v>486</v>
      </c>
      <c r="J98" s="10" t="s">
        <v>484</v>
      </c>
      <c r="K98" s="8"/>
      <c r="L98" s="8"/>
    </row>
    <row r="99" spans="1:12" s="9" customFormat="1" ht="15.75">
      <c r="A99" s="5" t="s">
        <v>513</v>
      </c>
      <c r="B99" s="45" t="s">
        <v>1159</v>
      </c>
      <c r="C99" s="7" t="s">
        <v>781</v>
      </c>
      <c r="D99" s="7" t="s">
        <v>782</v>
      </c>
      <c r="E99" s="5" t="s">
        <v>1078</v>
      </c>
      <c r="F99" s="5" t="s">
        <v>826</v>
      </c>
      <c r="G99" s="5" t="s">
        <v>315</v>
      </c>
      <c r="H99" s="8">
        <v>30</v>
      </c>
      <c r="I99" s="8" t="s">
        <v>486</v>
      </c>
      <c r="J99" s="10" t="s">
        <v>483</v>
      </c>
      <c r="K99" s="10"/>
      <c r="L99" s="10"/>
    </row>
    <row r="100" spans="1:12" s="9" customFormat="1" ht="15.75">
      <c r="A100" s="5" t="s">
        <v>513</v>
      </c>
      <c r="B100" s="45" t="s">
        <v>1159</v>
      </c>
      <c r="C100" s="7" t="s">
        <v>781</v>
      </c>
      <c r="D100" s="7" t="s">
        <v>782</v>
      </c>
      <c r="E100" s="5" t="s">
        <v>1078</v>
      </c>
      <c r="F100" s="5" t="s">
        <v>826</v>
      </c>
      <c r="G100" s="5" t="s">
        <v>315</v>
      </c>
      <c r="H100" s="8">
        <v>60</v>
      </c>
      <c r="I100" s="8" t="s">
        <v>486</v>
      </c>
      <c r="J100" s="10" t="s">
        <v>484</v>
      </c>
      <c r="K100" s="10"/>
      <c r="L100" s="10"/>
    </row>
    <row r="101" spans="1:12" s="9" customFormat="1" ht="15" customHeight="1">
      <c r="A101" s="5" t="s">
        <v>498</v>
      </c>
      <c r="B101" s="44" t="s">
        <v>574</v>
      </c>
      <c r="C101" s="6" t="s">
        <v>574</v>
      </c>
      <c r="D101" s="7" t="s">
        <v>614</v>
      </c>
      <c r="E101" s="5" t="s">
        <v>1079</v>
      </c>
      <c r="F101" s="5" t="s">
        <v>826</v>
      </c>
      <c r="G101" s="5" t="s">
        <v>315</v>
      </c>
      <c r="H101" s="8">
        <f>180+60+60</f>
        <v>300</v>
      </c>
      <c r="I101" s="8" t="s">
        <v>486</v>
      </c>
      <c r="J101" s="10" t="s">
        <v>484</v>
      </c>
      <c r="K101" s="10"/>
      <c r="L101" s="10"/>
    </row>
    <row r="102" spans="1:12" s="9" customFormat="1" ht="15.75">
      <c r="A102" s="5" t="s">
        <v>498</v>
      </c>
      <c r="B102" s="44" t="s">
        <v>574</v>
      </c>
      <c r="C102" s="6" t="s">
        <v>574</v>
      </c>
      <c r="D102" s="7" t="s">
        <v>614</v>
      </c>
      <c r="E102" s="5" t="s">
        <v>1079</v>
      </c>
      <c r="F102" s="5" t="s">
        <v>826</v>
      </c>
      <c r="G102" s="5" t="s">
        <v>315</v>
      </c>
      <c r="H102" s="8">
        <v>100</v>
      </c>
      <c r="I102" s="8" t="s">
        <v>486</v>
      </c>
      <c r="J102" s="10" t="s">
        <v>483</v>
      </c>
      <c r="K102" s="10"/>
      <c r="L102" s="10"/>
    </row>
    <row r="103" spans="1:12" s="9" customFormat="1" ht="15.75">
      <c r="A103" s="5" t="s">
        <v>498</v>
      </c>
      <c r="B103" s="45" t="s">
        <v>21</v>
      </c>
      <c r="C103" s="7" t="s">
        <v>21</v>
      </c>
      <c r="D103" s="7" t="s">
        <v>22</v>
      </c>
      <c r="E103" s="5" t="s">
        <v>1080</v>
      </c>
      <c r="F103" s="5" t="s">
        <v>826</v>
      </c>
      <c r="G103" s="5" t="s">
        <v>315</v>
      </c>
      <c r="H103" s="10">
        <v>35</v>
      </c>
      <c r="I103" s="10" t="s">
        <v>876</v>
      </c>
      <c r="J103" s="10" t="s">
        <v>483</v>
      </c>
      <c r="L103" s="10"/>
    </row>
    <row r="104" spans="1:12" s="9" customFormat="1" ht="15.75">
      <c r="A104" s="5" t="s">
        <v>513</v>
      </c>
      <c r="B104" s="45" t="s">
        <v>736</v>
      </c>
      <c r="C104" s="7" t="s">
        <v>546</v>
      </c>
      <c r="D104" s="7" t="s">
        <v>613</v>
      </c>
      <c r="E104" s="5" t="s">
        <v>1081</v>
      </c>
      <c r="F104" s="5" t="s">
        <v>826</v>
      </c>
      <c r="G104" s="5" t="s">
        <v>315</v>
      </c>
      <c r="H104" s="8">
        <f>25+20</f>
        <v>45</v>
      </c>
      <c r="I104" s="8" t="s">
        <v>486</v>
      </c>
      <c r="J104" s="10" t="s">
        <v>484</v>
      </c>
      <c r="K104" s="10"/>
      <c r="L104" s="10"/>
    </row>
    <row r="105" spans="1:12" s="9" customFormat="1" ht="15.75">
      <c r="A105" s="5" t="s">
        <v>513</v>
      </c>
      <c r="B105" s="45" t="s">
        <v>736</v>
      </c>
      <c r="C105" s="7" t="s">
        <v>546</v>
      </c>
      <c r="D105" s="7" t="s">
        <v>613</v>
      </c>
      <c r="E105" s="5" t="s">
        <v>1081</v>
      </c>
      <c r="F105" s="5" t="s">
        <v>826</v>
      </c>
      <c r="G105" s="5" t="s">
        <v>315</v>
      </c>
      <c r="H105" s="8">
        <f>25+15+40</f>
        <v>80</v>
      </c>
      <c r="I105" s="8" t="s">
        <v>486</v>
      </c>
      <c r="J105" s="10" t="s">
        <v>483</v>
      </c>
      <c r="K105" s="10"/>
      <c r="L105" s="10"/>
    </row>
    <row r="106" spans="1:12" s="9" customFormat="1" ht="15.75">
      <c r="A106" s="5" t="s">
        <v>513</v>
      </c>
      <c r="B106" s="19" t="s">
        <v>761</v>
      </c>
      <c r="C106" s="1" t="s">
        <v>761</v>
      </c>
      <c r="D106" s="1" t="s">
        <v>762</v>
      </c>
      <c r="E106" s="3" t="s">
        <v>1082</v>
      </c>
      <c r="F106" s="5" t="s">
        <v>827</v>
      </c>
      <c r="G106" s="5" t="s">
        <v>504</v>
      </c>
      <c r="H106" s="8">
        <v>20</v>
      </c>
      <c r="I106" s="8" t="s">
        <v>486</v>
      </c>
      <c r="J106" s="10" t="s">
        <v>483</v>
      </c>
      <c r="K106" s="10"/>
      <c r="L106" s="10"/>
    </row>
    <row r="107" spans="1:12" s="9" customFormat="1" ht="15.75">
      <c r="A107" s="5" t="s">
        <v>513</v>
      </c>
      <c r="B107" s="19" t="s">
        <v>761</v>
      </c>
      <c r="C107" s="1" t="s">
        <v>761</v>
      </c>
      <c r="D107" s="1" t="s">
        <v>762</v>
      </c>
      <c r="E107" s="3" t="s">
        <v>1082</v>
      </c>
      <c r="F107" s="5" t="s">
        <v>827</v>
      </c>
      <c r="G107" s="5" t="s">
        <v>504</v>
      </c>
      <c r="H107" s="8">
        <v>20</v>
      </c>
      <c r="I107" s="8" t="s">
        <v>486</v>
      </c>
      <c r="J107" s="10" t="s">
        <v>484</v>
      </c>
      <c r="K107" s="10"/>
      <c r="L107" s="10"/>
    </row>
    <row r="108" spans="1:12" s="9" customFormat="1" ht="15.75">
      <c r="A108" s="5" t="s">
        <v>513</v>
      </c>
      <c r="B108" s="45" t="s">
        <v>567</v>
      </c>
      <c r="C108" s="7" t="s">
        <v>567</v>
      </c>
      <c r="D108" s="7" t="s">
        <v>615</v>
      </c>
      <c r="E108" s="5" t="s">
        <v>1083</v>
      </c>
      <c r="F108" s="5" t="s">
        <v>827</v>
      </c>
      <c r="G108" s="5" t="s">
        <v>278</v>
      </c>
      <c r="H108" s="10">
        <f>30+30</f>
        <v>60</v>
      </c>
      <c r="I108" s="8" t="s">
        <v>486</v>
      </c>
      <c r="J108" s="10" t="s">
        <v>484</v>
      </c>
      <c r="K108" s="10"/>
      <c r="L108" s="10"/>
    </row>
    <row r="109" spans="1:12" s="9" customFormat="1" ht="15.75">
      <c r="A109" s="5" t="s">
        <v>513</v>
      </c>
      <c r="B109" s="45" t="s">
        <v>567</v>
      </c>
      <c r="C109" s="7" t="s">
        <v>567</v>
      </c>
      <c r="D109" s="7" t="s">
        <v>615</v>
      </c>
      <c r="E109" s="5" t="s">
        <v>1083</v>
      </c>
      <c r="F109" s="5" t="s">
        <v>827</v>
      </c>
      <c r="G109" s="5" t="s">
        <v>278</v>
      </c>
      <c r="H109" s="10">
        <f>30+60</f>
        <v>90</v>
      </c>
      <c r="I109" s="8" t="s">
        <v>486</v>
      </c>
      <c r="J109" s="10" t="s">
        <v>483</v>
      </c>
      <c r="K109" s="10"/>
      <c r="L109" s="10"/>
    </row>
    <row r="110" spans="1:12" s="9" customFormat="1" ht="15.75">
      <c r="A110" s="5" t="s">
        <v>498</v>
      </c>
      <c r="B110" s="7" t="s">
        <v>126</v>
      </c>
      <c r="C110" s="7" t="s">
        <v>126</v>
      </c>
      <c r="D110" s="7" t="s">
        <v>1604</v>
      </c>
      <c r="E110" s="5" t="s">
        <v>1086</v>
      </c>
      <c r="F110" s="5" t="s">
        <v>827</v>
      </c>
      <c r="G110" s="5" t="s">
        <v>278</v>
      </c>
      <c r="H110" s="8">
        <f>40</f>
        <v>40</v>
      </c>
      <c r="I110" s="8" t="s">
        <v>486</v>
      </c>
      <c r="J110" s="10" t="s">
        <v>483</v>
      </c>
      <c r="K110" s="10"/>
      <c r="L110" s="10"/>
    </row>
    <row r="111" spans="1:12" s="9" customFormat="1" ht="15.75">
      <c r="A111" s="5" t="s">
        <v>513</v>
      </c>
      <c r="B111" s="45" t="s">
        <v>570</v>
      </c>
      <c r="C111" s="7" t="s">
        <v>570</v>
      </c>
      <c r="D111" s="7" t="s">
        <v>571</v>
      </c>
      <c r="E111" s="5" t="s">
        <v>623</v>
      </c>
      <c r="F111" s="5" t="s">
        <v>827</v>
      </c>
      <c r="G111" s="5" t="s">
        <v>278</v>
      </c>
      <c r="H111" s="10">
        <v>40</v>
      </c>
      <c r="I111" s="8" t="s">
        <v>486</v>
      </c>
      <c r="J111" s="10" t="s">
        <v>484</v>
      </c>
      <c r="K111" s="10"/>
      <c r="L111" s="10"/>
    </row>
    <row r="112" spans="1:12" s="9" customFormat="1" ht="15.75">
      <c r="A112" s="5" t="s">
        <v>513</v>
      </c>
      <c r="B112" s="45" t="s">
        <v>570</v>
      </c>
      <c r="C112" s="7" t="s">
        <v>570</v>
      </c>
      <c r="D112" s="7" t="s">
        <v>571</v>
      </c>
      <c r="E112" s="5" t="s">
        <v>623</v>
      </c>
      <c r="F112" s="5" t="s">
        <v>827</v>
      </c>
      <c r="G112" s="5" t="s">
        <v>278</v>
      </c>
      <c r="H112" s="10">
        <v>40</v>
      </c>
      <c r="I112" s="8" t="s">
        <v>486</v>
      </c>
      <c r="J112" s="10" t="s">
        <v>483</v>
      </c>
      <c r="K112" s="10"/>
      <c r="L112" s="10"/>
    </row>
    <row r="113" spans="1:12" s="9" customFormat="1" ht="15.75">
      <c r="A113" s="5" t="s">
        <v>498</v>
      </c>
      <c r="B113" s="44" t="s">
        <v>50</v>
      </c>
      <c r="C113" s="7" t="s">
        <v>50</v>
      </c>
      <c r="D113" s="7" t="s">
        <v>51</v>
      </c>
      <c r="E113" s="5" t="s">
        <v>1085</v>
      </c>
      <c r="F113" s="5" t="s">
        <v>827</v>
      </c>
      <c r="G113" s="5" t="s">
        <v>278</v>
      </c>
      <c r="H113" s="8">
        <v>45</v>
      </c>
      <c r="I113" s="8" t="s">
        <v>876</v>
      </c>
      <c r="J113" s="10" t="s">
        <v>484</v>
      </c>
      <c r="K113" s="10"/>
      <c r="L113" s="10"/>
    </row>
    <row r="114" spans="1:12" s="9" customFormat="1" ht="15.75">
      <c r="A114" s="5" t="s">
        <v>498</v>
      </c>
      <c r="B114" s="45" t="s">
        <v>50</v>
      </c>
      <c r="C114" s="7" t="s">
        <v>50</v>
      </c>
      <c r="D114" s="7" t="s">
        <v>51</v>
      </c>
      <c r="E114" s="5" t="s">
        <v>1085</v>
      </c>
      <c r="F114" s="5" t="s">
        <v>827</v>
      </c>
      <c r="G114" s="5" t="s">
        <v>278</v>
      </c>
      <c r="H114" s="8">
        <v>50</v>
      </c>
      <c r="I114" s="10" t="s">
        <v>876</v>
      </c>
      <c r="J114" s="10" t="s">
        <v>483</v>
      </c>
      <c r="K114" s="10"/>
      <c r="L114" s="10"/>
    </row>
    <row r="115" spans="1:12" s="9" customFormat="1" ht="15.75">
      <c r="A115" s="5" t="s">
        <v>498</v>
      </c>
      <c r="B115" s="44" t="s">
        <v>312</v>
      </c>
      <c r="C115" s="7" t="s">
        <v>312</v>
      </c>
      <c r="D115" s="7" t="s">
        <v>313</v>
      </c>
      <c r="E115" s="142" t="s">
        <v>1564</v>
      </c>
      <c r="F115" s="5" t="s">
        <v>827</v>
      </c>
      <c r="G115" s="5" t="s">
        <v>278</v>
      </c>
      <c r="H115" s="8">
        <v>100</v>
      </c>
      <c r="I115" s="8" t="s">
        <v>486</v>
      </c>
      <c r="J115" s="10" t="s">
        <v>484</v>
      </c>
      <c r="K115" s="10"/>
      <c r="L115" s="10"/>
    </row>
    <row r="116" spans="1:12" s="9" customFormat="1" ht="15.75">
      <c r="A116" s="5" t="s">
        <v>498</v>
      </c>
      <c r="B116" s="44" t="s">
        <v>312</v>
      </c>
      <c r="C116" s="7" t="s">
        <v>312</v>
      </c>
      <c r="D116" s="7" t="s">
        <v>313</v>
      </c>
      <c r="E116" s="142" t="s">
        <v>1564</v>
      </c>
      <c r="F116" s="5" t="s">
        <v>827</v>
      </c>
      <c r="G116" s="5" t="s">
        <v>278</v>
      </c>
      <c r="H116" s="8">
        <v>15</v>
      </c>
      <c r="I116" s="8" t="s">
        <v>486</v>
      </c>
      <c r="J116" s="10" t="s">
        <v>483</v>
      </c>
      <c r="K116" s="10"/>
      <c r="L116" s="10"/>
    </row>
    <row r="117" spans="1:12" s="9" customFormat="1" ht="15.75">
      <c r="A117" s="5" t="s">
        <v>498</v>
      </c>
      <c r="B117" s="7" t="s">
        <v>127</v>
      </c>
      <c r="C117" s="7" t="s">
        <v>127</v>
      </c>
      <c r="D117" s="7" t="s">
        <v>1602</v>
      </c>
      <c r="E117" s="142" t="s">
        <v>1565</v>
      </c>
      <c r="F117" s="5" t="s">
        <v>827</v>
      </c>
      <c r="G117" s="5" t="s">
        <v>278</v>
      </c>
      <c r="H117" s="8">
        <v>150</v>
      </c>
      <c r="I117" s="8" t="s">
        <v>486</v>
      </c>
      <c r="J117" s="10" t="s">
        <v>483</v>
      </c>
      <c r="K117" s="10"/>
      <c r="L117" s="10"/>
    </row>
    <row r="118" spans="1:12" s="9" customFormat="1" ht="15.75">
      <c r="A118" s="5" t="s">
        <v>498</v>
      </c>
      <c r="B118" s="44" t="s">
        <v>16</v>
      </c>
      <c r="C118" s="7" t="s">
        <v>16</v>
      </c>
      <c r="D118" s="7" t="s">
        <v>17</v>
      </c>
      <c r="E118" s="5" t="s">
        <v>1084</v>
      </c>
      <c r="F118" s="5" t="s">
        <v>827</v>
      </c>
      <c r="G118" s="5" t="s">
        <v>295</v>
      </c>
      <c r="H118" s="10">
        <v>70</v>
      </c>
      <c r="I118" s="8" t="s">
        <v>876</v>
      </c>
      <c r="J118" s="10" t="s">
        <v>484</v>
      </c>
      <c r="L118" s="10"/>
    </row>
    <row r="119" spans="1:12" s="9" customFormat="1" ht="15.75">
      <c r="A119" s="5" t="s">
        <v>498</v>
      </c>
      <c r="B119" s="45" t="s">
        <v>16</v>
      </c>
      <c r="C119" s="7" t="s">
        <v>16</v>
      </c>
      <c r="D119" s="7" t="s">
        <v>17</v>
      </c>
      <c r="E119" s="5" t="s">
        <v>1084</v>
      </c>
      <c r="F119" s="5" t="s">
        <v>827</v>
      </c>
      <c r="G119" s="5" t="s">
        <v>295</v>
      </c>
      <c r="H119" s="10">
        <v>70</v>
      </c>
      <c r="I119" s="10" t="s">
        <v>876</v>
      </c>
      <c r="J119" s="10" t="s">
        <v>483</v>
      </c>
      <c r="L119" s="10"/>
    </row>
    <row r="120" spans="1:12" s="9" customFormat="1" ht="15.75">
      <c r="A120" s="5" t="s">
        <v>498</v>
      </c>
      <c r="B120" s="45" t="s">
        <v>50</v>
      </c>
      <c r="C120" s="7" t="s">
        <v>132</v>
      </c>
      <c r="D120" s="7" t="s">
        <v>133</v>
      </c>
      <c r="E120" s="5" t="s">
        <v>1610</v>
      </c>
      <c r="F120" s="5" t="s">
        <v>827</v>
      </c>
      <c r="G120" s="5" t="s">
        <v>295</v>
      </c>
      <c r="H120" s="10">
        <v>100</v>
      </c>
      <c r="I120" s="10" t="s">
        <v>876</v>
      </c>
      <c r="J120" s="10" t="s">
        <v>483</v>
      </c>
      <c r="L120" s="10"/>
    </row>
    <row r="121" spans="1:12" s="9" customFormat="1" ht="15.75">
      <c r="A121" s="5" t="s">
        <v>499</v>
      </c>
      <c r="B121" s="46" t="s">
        <v>768</v>
      </c>
      <c r="C121" s="48" t="s">
        <v>768</v>
      </c>
      <c r="D121" s="7" t="s">
        <v>617</v>
      </c>
      <c r="E121" s="5" t="s">
        <v>1087</v>
      </c>
      <c r="F121" s="5" t="s">
        <v>828</v>
      </c>
      <c r="G121" s="5" t="s">
        <v>1504</v>
      </c>
      <c r="H121" s="8">
        <v>25</v>
      </c>
      <c r="I121" s="8" t="s">
        <v>486</v>
      </c>
      <c r="J121" s="10" t="s">
        <v>484</v>
      </c>
    </row>
    <row r="122" spans="1:12" s="9" customFormat="1" ht="15.75">
      <c r="A122" s="5" t="s">
        <v>499</v>
      </c>
      <c r="B122" s="46" t="s">
        <v>768</v>
      </c>
      <c r="C122" s="48" t="s">
        <v>768</v>
      </c>
      <c r="D122" s="7" t="s">
        <v>617</v>
      </c>
      <c r="E122" s="5" t="s">
        <v>1087</v>
      </c>
      <c r="F122" s="5" t="s">
        <v>828</v>
      </c>
      <c r="G122" s="5" t="s">
        <v>1504</v>
      </c>
      <c r="H122" s="8">
        <v>25</v>
      </c>
      <c r="I122" s="8" t="s">
        <v>486</v>
      </c>
      <c r="J122" s="10" t="s">
        <v>483</v>
      </c>
    </row>
    <row r="123" spans="1:12" s="9" customFormat="1" ht="15.75">
      <c r="A123" s="5" t="s">
        <v>499</v>
      </c>
      <c r="B123" s="7" t="s">
        <v>756</v>
      </c>
      <c r="C123" s="7" t="s">
        <v>756</v>
      </c>
      <c r="D123" s="7" t="s">
        <v>308</v>
      </c>
      <c r="E123" s="5" t="s">
        <v>1578</v>
      </c>
      <c r="F123" s="5" t="s">
        <v>828</v>
      </c>
      <c r="G123" s="5" t="s">
        <v>1504</v>
      </c>
      <c r="H123" s="8">
        <v>15</v>
      </c>
      <c r="I123" s="8" t="s">
        <v>486</v>
      </c>
      <c r="J123" s="10" t="s">
        <v>484</v>
      </c>
    </row>
    <row r="124" spans="1:12" s="9" customFormat="1" ht="15.75">
      <c r="A124" s="5" t="s">
        <v>499</v>
      </c>
      <c r="B124" s="7" t="s">
        <v>757</v>
      </c>
      <c r="C124" s="7" t="s">
        <v>757</v>
      </c>
      <c r="D124" s="7" t="s">
        <v>104</v>
      </c>
      <c r="E124" s="5" t="s">
        <v>1088</v>
      </c>
      <c r="F124" s="5" t="s">
        <v>828</v>
      </c>
      <c r="G124" s="5" t="s">
        <v>1504</v>
      </c>
      <c r="H124" s="8">
        <v>80</v>
      </c>
      <c r="I124" s="8" t="s">
        <v>486</v>
      </c>
      <c r="J124" s="10" t="s">
        <v>483</v>
      </c>
      <c r="K124" s="10"/>
      <c r="L124" s="10"/>
    </row>
    <row r="125" spans="1:12" s="9" customFormat="1" ht="15.75">
      <c r="A125" s="5" t="s">
        <v>526</v>
      </c>
      <c r="B125" s="44" t="s">
        <v>575</v>
      </c>
      <c r="C125" s="6" t="s">
        <v>575</v>
      </c>
      <c r="D125" s="7" t="s">
        <v>616</v>
      </c>
      <c r="E125" s="5" t="s">
        <v>1089</v>
      </c>
      <c r="F125" s="5" t="s">
        <v>828</v>
      </c>
      <c r="G125" s="5" t="s">
        <v>270</v>
      </c>
      <c r="H125" s="8">
        <f>30+20</f>
        <v>50</v>
      </c>
      <c r="I125" s="8" t="s">
        <v>486</v>
      </c>
      <c r="J125" s="10" t="s">
        <v>484</v>
      </c>
    </row>
    <row r="126" spans="1:12" s="9" customFormat="1" ht="15.75">
      <c r="A126" s="5" t="s">
        <v>526</v>
      </c>
      <c r="B126" s="44" t="s">
        <v>575</v>
      </c>
      <c r="C126" s="6" t="s">
        <v>575</v>
      </c>
      <c r="D126" s="7" t="s">
        <v>616</v>
      </c>
      <c r="E126" s="5" t="s">
        <v>1089</v>
      </c>
      <c r="F126" s="5" t="s">
        <v>828</v>
      </c>
      <c r="G126" s="5" t="s">
        <v>270</v>
      </c>
      <c r="H126" s="8">
        <f>30+20</f>
        <v>50</v>
      </c>
      <c r="I126" s="8" t="s">
        <v>486</v>
      </c>
      <c r="J126" s="10" t="s">
        <v>483</v>
      </c>
    </row>
    <row r="127" spans="1:12" s="9" customFormat="1" ht="15.75">
      <c r="A127" s="5" t="s">
        <v>499</v>
      </c>
      <c r="B127" s="7" t="s">
        <v>297</v>
      </c>
      <c r="C127" s="7" t="s">
        <v>297</v>
      </c>
      <c r="D127" s="7" t="s">
        <v>1603</v>
      </c>
      <c r="E127" s="5" t="s">
        <v>1091</v>
      </c>
      <c r="F127" s="5" t="s">
        <v>828</v>
      </c>
      <c r="G127" s="5" t="s">
        <v>270</v>
      </c>
      <c r="H127" s="8">
        <v>70</v>
      </c>
      <c r="I127" s="8" t="s">
        <v>876</v>
      </c>
      <c r="J127" s="10" t="s">
        <v>484</v>
      </c>
    </row>
    <row r="128" spans="1:12" s="9" customFormat="1" ht="15.75">
      <c r="A128" s="5" t="s">
        <v>499</v>
      </c>
      <c r="B128" s="7" t="s">
        <v>302</v>
      </c>
      <c r="C128" s="7" t="s">
        <v>302</v>
      </c>
      <c r="D128" s="7" t="s">
        <v>303</v>
      </c>
      <c r="E128" s="5" t="s">
        <v>1092</v>
      </c>
      <c r="F128" s="5" t="s">
        <v>828</v>
      </c>
      <c r="G128" s="5" t="s">
        <v>270</v>
      </c>
      <c r="H128" s="8">
        <v>100</v>
      </c>
      <c r="I128" s="8" t="s">
        <v>486</v>
      </c>
      <c r="J128" s="10" t="s">
        <v>484</v>
      </c>
    </row>
    <row r="129" spans="1:13" s="9" customFormat="1" ht="15.75">
      <c r="A129" s="5" t="s">
        <v>499</v>
      </c>
      <c r="B129" s="44" t="s">
        <v>304</v>
      </c>
      <c r="C129" s="7" t="s">
        <v>304</v>
      </c>
      <c r="D129" s="7" t="s">
        <v>305</v>
      </c>
      <c r="E129" s="5" t="s">
        <v>1090</v>
      </c>
      <c r="F129" s="5" t="s">
        <v>828</v>
      </c>
      <c r="G129" s="5" t="s">
        <v>270</v>
      </c>
      <c r="H129" s="8">
        <v>55</v>
      </c>
      <c r="I129" s="8" t="s">
        <v>486</v>
      </c>
      <c r="J129" s="10" t="s">
        <v>484</v>
      </c>
    </row>
    <row r="130" spans="1:13" s="9" customFormat="1" ht="15.75">
      <c r="A130" s="5" t="s">
        <v>526</v>
      </c>
      <c r="B130" s="46" t="s">
        <v>633</v>
      </c>
      <c r="C130" s="48" t="s">
        <v>633</v>
      </c>
      <c r="D130" s="7" t="s">
        <v>634</v>
      </c>
      <c r="E130" s="5" t="s">
        <v>1093</v>
      </c>
      <c r="F130" s="5" t="s">
        <v>828</v>
      </c>
      <c r="G130" s="5" t="s">
        <v>288</v>
      </c>
      <c r="H130" s="8">
        <f>40+10</f>
        <v>50</v>
      </c>
      <c r="I130" s="8" t="s">
        <v>486</v>
      </c>
      <c r="J130" s="10" t="s">
        <v>483</v>
      </c>
      <c r="K130" s="10"/>
      <c r="L130" s="10"/>
    </row>
    <row r="131" spans="1:13" s="9" customFormat="1" ht="15.75">
      <c r="A131" s="5" t="s">
        <v>526</v>
      </c>
      <c r="B131" s="46" t="s">
        <v>633</v>
      </c>
      <c r="C131" s="48" t="s">
        <v>633</v>
      </c>
      <c r="D131" s="7" t="s">
        <v>634</v>
      </c>
      <c r="E131" s="5" t="s">
        <v>1093</v>
      </c>
      <c r="F131" s="5" t="s">
        <v>828</v>
      </c>
      <c r="G131" s="5" t="s">
        <v>288</v>
      </c>
      <c r="H131" s="8">
        <f>50+25+20</f>
        <v>95</v>
      </c>
      <c r="I131" s="8" t="s">
        <v>486</v>
      </c>
      <c r="J131" s="10" t="s">
        <v>484</v>
      </c>
    </row>
    <row r="132" spans="1:13" s="9" customFormat="1" ht="15.75">
      <c r="A132" s="5" t="s">
        <v>499</v>
      </c>
      <c r="B132" s="45" t="s">
        <v>111</v>
      </c>
      <c r="C132" s="7" t="s">
        <v>111</v>
      </c>
      <c r="D132" s="7" t="s">
        <v>112</v>
      </c>
      <c r="E132" s="5" t="s">
        <v>1611</v>
      </c>
      <c r="F132" s="5" t="s">
        <v>828</v>
      </c>
      <c r="G132" s="5" t="s">
        <v>288</v>
      </c>
      <c r="H132" s="8">
        <f>30+20</f>
        <v>50</v>
      </c>
      <c r="I132" s="8" t="s">
        <v>486</v>
      </c>
      <c r="J132" s="10" t="s">
        <v>483</v>
      </c>
      <c r="K132" s="10"/>
      <c r="L132" s="10"/>
      <c r="M132" s="8"/>
    </row>
    <row r="133" spans="1:13" s="9" customFormat="1" ht="15.75">
      <c r="A133" s="5" t="s">
        <v>499</v>
      </c>
      <c r="B133" s="44" t="s">
        <v>72</v>
      </c>
      <c r="C133" s="7" t="s">
        <v>72</v>
      </c>
      <c r="D133" s="45" t="s">
        <v>1566</v>
      </c>
      <c r="E133" s="5" t="s">
        <v>1094</v>
      </c>
      <c r="F133" s="5" t="s">
        <v>828</v>
      </c>
      <c r="G133" s="5" t="s">
        <v>288</v>
      </c>
      <c r="H133" s="8">
        <v>20</v>
      </c>
      <c r="I133" s="8" t="s">
        <v>876</v>
      </c>
      <c r="J133" s="10" t="s">
        <v>484</v>
      </c>
      <c r="K133" s="8"/>
      <c r="L133" s="8"/>
    </row>
    <row r="134" spans="1:13" s="9" customFormat="1" ht="15.75">
      <c r="A134" s="5" t="s">
        <v>499</v>
      </c>
      <c r="B134" s="45" t="s">
        <v>72</v>
      </c>
      <c r="C134" s="7" t="s">
        <v>72</v>
      </c>
      <c r="D134" s="45" t="s">
        <v>1566</v>
      </c>
      <c r="E134" s="5" t="s">
        <v>1094</v>
      </c>
      <c r="F134" s="5" t="s">
        <v>828</v>
      </c>
      <c r="G134" s="5" t="s">
        <v>288</v>
      </c>
      <c r="H134" s="8">
        <v>40</v>
      </c>
      <c r="I134" s="10" t="s">
        <v>876</v>
      </c>
      <c r="J134" s="10" t="s">
        <v>483</v>
      </c>
    </row>
    <row r="135" spans="1:13" s="9" customFormat="1" ht="15.75">
      <c r="A135" s="5" t="s">
        <v>499</v>
      </c>
      <c r="B135" s="44" t="s">
        <v>72</v>
      </c>
      <c r="C135" s="7" t="s">
        <v>150</v>
      </c>
      <c r="D135" s="7" t="s">
        <v>151</v>
      </c>
      <c r="E135" s="5" t="s">
        <v>1095</v>
      </c>
      <c r="F135" s="5" t="s">
        <v>828</v>
      </c>
      <c r="G135" s="5" t="s">
        <v>288</v>
      </c>
      <c r="H135" s="10">
        <v>55</v>
      </c>
      <c r="I135" s="8" t="s">
        <v>876</v>
      </c>
      <c r="J135" s="10" t="s">
        <v>484</v>
      </c>
      <c r="L135" s="10"/>
    </row>
    <row r="136" spans="1:13" s="9" customFormat="1" ht="15.75">
      <c r="A136" s="5" t="s">
        <v>499</v>
      </c>
      <c r="B136" s="45" t="s">
        <v>72</v>
      </c>
      <c r="C136" s="7" t="s">
        <v>150</v>
      </c>
      <c r="D136" s="7" t="s">
        <v>151</v>
      </c>
      <c r="E136" s="5" t="s">
        <v>1095</v>
      </c>
      <c r="F136" s="5" t="s">
        <v>828</v>
      </c>
      <c r="G136" s="5" t="s">
        <v>288</v>
      </c>
      <c r="H136" s="10">
        <v>90</v>
      </c>
      <c r="I136" s="10" t="s">
        <v>876</v>
      </c>
      <c r="J136" s="10" t="s">
        <v>483</v>
      </c>
      <c r="L136" s="10"/>
    </row>
    <row r="137" spans="1:13" s="9" customFormat="1" ht="15.75">
      <c r="A137" s="5" t="s">
        <v>526</v>
      </c>
      <c r="B137" s="45" t="s">
        <v>642</v>
      </c>
      <c r="C137" s="7" t="s">
        <v>642</v>
      </c>
      <c r="D137" s="7" t="s">
        <v>643</v>
      </c>
      <c r="E137" s="5" t="s">
        <v>644</v>
      </c>
      <c r="F137" s="5" t="s">
        <v>828</v>
      </c>
      <c r="G137" s="5" t="s">
        <v>288</v>
      </c>
      <c r="H137" s="8">
        <v>40</v>
      </c>
      <c r="I137" s="8" t="s">
        <v>486</v>
      </c>
      <c r="J137" s="10" t="s">
        <v>483</v>
      </c>
      <c r="K137" s="10"/>
      <c r="L137" s="10"/>
    </row>
    <row r="138" spans="1:13" s="9" customFormat="1" ht="15.75">
      <c r="A138" s="5" t="s">
        <v>499</v>
      </c>
      <c r="B138" s="44" t="s">
        <v>60</v>
      </c>
      <c r="C138" s="7" t="s">
        <v>60</v>
      </c>
      <c r="D138" s="7" t="s">
        <v>61</v>
      </c>
      <c r="E138" s="5" t="s">
        <v>1096</v>
      </c>
      <c r="F138" s="5" t="s">
        <v>829</v>
      </c>
      <c r="G138" s="5" t="s">
        <v>149</v>
      </c>
      <c r="H138" s="8">
        <v>30</v>
      </c>
      <c r="I138" s="8" t="s">
        <v>876</v>
      </c>
      <c r="J138" s="10" t="s">
        <v>484</v>
      </c>
      <c r="K138" s="10"/>
      <c r="L138" s="10"/>
    </row>
    <row r="139" spans="1:13" s="9" customFormat="1" ht="15.75">
      <c r="A139" s="5" t="s">
        <v>499</v>
      </c>
      <c r="B139" s="45" t="s">
        <v>60</v>
      </c>
      <c r="C139" s="7" t="s">
        <v>60</v>
      </c>
      <c r="D139" s="7" t="s">
        <v>61</v>
      </c>
      <c r="E139" s="5" t="s">
        <v>1096</v>
      </c>
      <c r="F139" s="5" t="s">
        <v>829</v>
      </c>
      <c r="G139" s="5" t="s">
        <v>149</v>
      </c>
      <c r="H139" s="8">
        <v>50</v>
      </c>
      <c r="I139" s="10" t="s">
        <v>876</v>
      </c>
      <c r="J139" s="10" t="s">
        <v>483</v>
      </c>
    </row>
    <row r="140" spans="1:13" s="9" customFormat="1" ht="15.75">
      <c r="A140" s="5" t="s">
        <v>499</v>
      </c>
      <c r="B140" s="7" t="s">
        <v>309</v>
      </c>
      <c r="C140" s="7" t="s">
        <v>309</v>
      </c>
      <c r="D140" s="7" t="s">
        <v>1487</v>
      </c>
      <c r="E140" s="5" t="s">
        <v>1098</v>
      </c>
      <c r="F140" s="5" t="s">
        <v>829</v>
      </c>
      <c r="G140" s="5" t="s">
        <v>149</v>
      </c>
      <c r="H140" s="8">
        <v>30</v>
      </c>
      <c r="I140" s="8" t="s">
        <v>486</v>
      </c>
      <c r="J140" s="10" t="s">
        <v>484</v>
      </c>
      <c r="K140" s="10"/>
      <c r="L140" s="10"/>
    </row>
    <row r="141" spans="1:13" s="9" customFormat="1" ht="15.75">
      <c r="A141" s="5" t="s">
        <v>499</v>
      </c>
      <c r="B141" s="44" t="s">
        <v>98</v>
      </c>
      <c r="C141" s="7" t="s">
        <v>98</v>
      </c>
      <c r="D141" s="7" t="s">
        <v>99</v>
      </c>
      <c r="E141" s="5" t="s">
        <v>1097</v>
      </c>
      <c r="F141" s="5" t="s">
        <v>829</v>
      </c>
      <c r="G141" s="5" t="s">
        <v>149</v>
      </c>
      <c r="H141" s="8">
        <v>80</v>
      </c>
      <c r="I141" s="8" t="s">
        <v>486</v>
      </c>
      <c r="J141" s="10" t="s">
        <v>484</v>
      </c>
    </row>
    <row r="142" spans="1:13" s="9" customFormat="1" ht="15.75">
      <c r="A142" s="5" t="s">
        <v>499</v>
      </c>
      <c r="B142" s="46" t="s">
        <v>98</v>
      </c>
      <c r="C142" s="7" t="s">
        <v>98</v>
      </c>
      <c r="D142" s="7" t="s">
        <v>99</v>
      </c>
      <c r="E142" s="5" t="s">
        <v>1097</v>
      </c>
      <c r="F142" s="5" t="s">
        <v>829</v>
      </c>
      <c r="G142" s="5" t="s">
        <v>149</v>
      </c>
      <c r="H142" s="8">
        <v>80</v>
      </c>
      <c r="I142" s="8" t="s">
        <v>486</v>
      </c>
      <c r="J142" s="10" t="s">
        <v>483</v>
      </c>
      <c r="K142" s="10"/>
      <c r="L142" s="10"/>
    </row>
    <row r="143" spans="1:13" s="9" customFormat="1" ht="15.75">
      <c r="A143" s="5" t="s">
        <v>497</v>
      </c>
      <c r="B143" s="44" t="s">
        <v>772</v>
      </c>
      <c r="C143" s="6" t="s">
        <v>772</v>
      </c>
      <c r="D143" s="7" t="s">
        <v>110</v>
      </c>
      <c r="E143" s="5" t="s">
        <v>1099</v>
      </c>
      <c r="F143" s="5" t="s">
        <v>830</v>
      </c>
      <c r="G143" s="5" t="s">
        <v>274</v>
      </c>
      <c r="H143" s="8">
        <v>40</v>
      </c>
      <c r="I143" s="8" t="s">
        <v>876</v>
      </c>
      <c r="J143" s="10" t="s">
        <v>484</v>
      </c>
      <c r="K143" s="10"/>
      <c r="L143" s="10"/>
    </row>
    <row r="144" spans="1:13" s="9" customFormat="1" ht="15.75">
      <c r="A144" s="5" t="s">
        <v>497</v>
      </c>
      <c r="B144" s="44" t="s">
        <v>772</v>
      </c>
      <c r="C144" s="6" t="s">
        <v>772</v>
      </c>
      <c r="D144" s="7" t="s">
        <v>110</v>
      </c>
      <c r="E144" s="5" t="s">
        <v>1099</v>
      </c>
      <c r="F144" s="5" t="s">
        <v>830</v>
      </c>
      <c r="G144" s="5" t="s">
        <v>274</v>
      </c>
      <c r="H144" s="8">
        <v>50</v>
      </c>
      <c r="I144" s="10" t="s">
        <v>876</v>
      </c>
      <c r="J144" s="10" t="s">
        <v>483</v>
      </c>
    </row>
    <row r="145" spans="1:13" s="9" customFormat="1" ht="15.75">
      <c r="A145" s="5" t="s">
        <v>497</v>
      </c>
      <c r="B145" s="44" t="s">
        <v>8</v>
      </c>
      <c r="C145" s="7" t="s">
        <v>8</v>
      </c>
      <c r="D145" s="7" t="s">
        <v>9</v>
      </c>
      <c r="E145" s="5" t="s">
        <v>1100</v>
      </c>
      <c r="F145" s="5" t="s">
        <v>830</v>
      </c>
      <c r="G145" s="5" t="s">
        <v>274</v>
      </c>
      <c r="H145" s="10">
        <v>50</v>
      </c>
      <c r="I145" s="8" t="s">
        <v>876</v>
      </c>
      <c r="J145" s="10" t="s">
        <v>484</v>
      </c>
      <c r="L145" s="10"/>
    </row>
    <row r="146" spans="1:13" s="9" customFormat="1" ht="15.75">
      <c r="A146" s="5" t="s">
        <v>497</v>
      </c>
      <c r="B146" s="45" t="s">
        <v>8</v>
      </c>
      <c r="C146" s="7" t="s">
        <v>8</v>
      </c>
      <c r="D146" s="7" t="s">
        <v>9</v>
      </c>
      <c r="E146" s="5" t="s">
        <v>1100</v>
      </c>
      <c r="F146" s="5" t="s">
        <v>830</v>
      </c>
      <c r="G146" s="5" t="s">
        <v>274</v>
      </c>
      <c r="H146" s="10">
        <v>60</v>
      </c>
      <c r="I146" s="10" t="s">
        <v>876</v>
      </c>
      <c r="J146" s="10" t="s">
        <v>483</v>
      </c>
      <c r="L146" s="10"/>
    </row>
    <row r="147" spans="1:13" s="9" customFormat="1" ht="15.75">
      <c r="A147" s="5" t="s">
        <v>497</v>
      </c>
      <c r="B147" s="44" t="s">
        <v>20</v>
      </c>
      <c r="C147" s="7" t="s">
        <v>20</v>
      </c>
      <c r="D147" s="7" t="s">
        <v>1477</v>
      </c>
      <c r="E147" s="5" t="s">
        <v>1101</v>
      </c>
      <c r="F147" s="5" t="s">
        <v>830</v>
      </c>
      <c r="G147" s="5" t="s">
        <v>274</v>
      </c>
      <c r="H147" s="10">
        <v>50</v>
      </c>
      <c r="I147" s="8" t="s">
        <v>876</v>
      </c>
      <c r="J147" s="10" t="s">
        <v>484</v>
      </c>
      <c r="L147" s="10"/>
    </row>
    <row r="148" spans="1:13" s="9" customFormat="1" ht="15.75">
      <c r="A148" s="5" t="s">
        <v>497</v>
      </c>
      <c r="B148" s="45" t="s">
        <v>20</v>
      </c>
      <c r="C148" s="7" t="s">
        <v>20</v>
      </c>
      <c r="D148" s="7" t="s">
        <v>1477</v>
      </c>
      <c r="E148" s="5" t="s">
        <v>1101</v>
      </c>
      <c r="F148" s="5" t="s">
        <v>830</v>
      </c>
      <c r="G148" s="5" t="s">
        <v>274</v>
      </c>
      <c r="H148" s="10">
        <v>60</v>
      </c>
      <c r="I148" s="10" t="s">
        <v>876</v>
      </c>
      <c r="J148" s="10" t="s">
        <v>483</v>
      </c>
      <c r="L148" s="10"/>
    </row>
    <row r="149" spans="1:13" s="9" customFormat="1" ht="15.75">
      <c r="A149" s="5" t="s">
        <v>497</v>
      </c>
      <c r="B149" s="44" t="s">
        <v>573</v>
      </c>
      <c r="C149" s="7" t="s">
        <v>573</v>
      </c>
      <c r="D149" s="7" t="s">
        <v>572</v>
      </c>
      <c r="E149" s="5" t="s">
        <v>1102</v>
      </c>
      <c r="F149" s="5" t="s">
        <v>830</v>
      </c>
      <c r="G149" s="5" t="s">
        <v>274</v>
      </c>
      <c r="H149" s="8">
        <v>60</v>
      </c>
      <c r="I149" s="8" t="s">
        <v>486</v>
      </c>
      <c r="J149" s="10" t="s">
        <v>483</v>
      </c>
      <c r="K149" s="8"/>
      <c r="L149" s="8"/>
    </row>
    <row r="150" spans="1:13" s="9" customFormat="1" ht="15.75">
      <c r="A150" s="5" t="s">
        <v>497</v>
      </c>
      <c r="B150" s="44" t="s">
        <v>573</v>
      </c>
      <c r="C150" s="7" t="s">
        <v>573</v>
      </c>
      <c r="D150" s="7" t="s">
        <v>572</v>
      </c>
      <c r="E150" s="5" t="s">
        <v>1102</v>
      </c>
      <c r="F150" s="5" t="s">
        <v>830</v>
      </c>
      <c r="G150" s="5" t="s">
        <v>274</v>
      </c>
      <c r="H150" s="8">
        <v>50</v>
      </c>
      <c r="I150" s="8" t="s">
        <v>486</v>
      </c>
      <c r="J150" s="10" t="s">
        <v>484</v>
      </c>
      <c r="K150" s="8"/>
      <c r="L150" s="8"/>
    </row>
    <row r="151" spans="1:13" s="9" customFormat="1" ht="15.75">
      <c r="A151" s="114" t="s">
        <v>497</v>
      </c>
      <c r="B151" s="115" t="s">
        <v>1509</v>
      </c>
      <c r="C151" s="115" t="s">
        <v>1509</v>
      </c>
      <c r="D151" s="116" t="s">
        <v>1558</v>
      </c>
      <c r="E151" s="114" t="s">
        <v>1607</v>
      </c>
      <c r="F151" s="114" t="s">
        <v>830</v>
      </c>
      <c r="G151" s="114" t="s">
        <v>274</v>
      </c>
      <c r="H151" s="118">
        <v>200</v>
      </c>
      <c r="I151" s="118" t="s">
        <v>486</v>
      </c>
      <c r="J151" s="117" t="s">
        <v>484</v>
      </c>
      <c r="K151" s="118"/>
      <c r="L151" s="118"/>
    </row>
    <row r="152" spans="1:13" s="9" customFormat="1" ht="15.75">
      <c r="A152" s="114" t="s">
        <v>497</v>
      </c>
      <c r="B152" s="115" t="s">
        <v>1509</v>
      </c>
      <c r="C152" s="115" t="s">
        <v>1509</v>
      </c>
      <c r="D152" s="116" t="s">
        <v>1558</v>
      </c>
      <c r="E152" s="114" t="s">
        <v>1607</v>
      </c>
      <c r="F152" s="114" t="s">
        <v>830</v>
      </c>
      <c r="G152" s="114" t="s">
        <v>274</v>
      </c>
      <c r="H152" s="118">
        <v>300</v>
      </c>
      <c r="I152" s="118" t="s">
        <v>486</v>
      </c>
      <c r="J152" s="117" t="s">
        <v>483</v>
      </c>
      <c r="K152" s="118"/>
      <c r="L152" s="118"/>
    </row>
    <row r="153" spans="1:13" s="9" customFormat="1" ht="15.75">
      <c r="A153" s="5" t="s">
        <v>497</v>
      </c>
      <c r="B153" s="44" t="s">
        <v>54</v>
      </c>
      <c r="C153" s="7" t="s">
        <v>54</v>
      </c>
      <c r="D153" s="7" t="s">
        <v>55</v>
      </c>
      <c r="E153" s="5" t="s">
        <v>1612</v>
      </c>
      <c r="F153" s="5" t="s">
        <v>830</v>
      </c>
      <c r="G153" s="5" t="s">
        <v>274</v>
      </c>
      <c r="H153" s="8">
        <f>60</f>
        <v>60</v>
      </c>
      <c r="I153" s="8" t="s">
        <v>876</v>
      </c>
      <c r="J153" s="10" t="s">
        <v>484</v>
      </c>
      <c r="K153" s="10"/>
      <c r="L153" s="10"/>
    </row>
    <row r="154" spans="1:13" s="9" customFormat="1" ht="15.75">
      <c r="A154" s="5" t="s">
        <v>497</v>
      </c>
      <c r="B154" s="45" t="s">
        <v>54</v>
      </c>
      <c r="C154" s="7" t="s">
        <v>54</v>
      </c>
      <c r="D154" s="7" t="s">
        <v>55</v>
      </c>
      <c r="E154" s="5" t="s">
        <v>1612</v>
      </c>
      <c r="F154" s="5" t="s">
        <v>830</v>
      </c>
      <c r="G154" s="5" t="s">
        <v>274</v>
      </c>
      <c r="H154" s="8">
        <f>90</f>
        <v>90</v>
      </c>
      <c r="I154" s="10" t="s">
        <v>876</v>
      </c>
      <c r="J154" s="10" t="s">
        <v>483</v>
      </c>
      <c r="K154" s="10"/>
      <c r="L154" s="10"/>
      <c r="M154" s="8"/>
    </row>
    <row r="155" spans="1:13" s="9" customFormat="1" ht="15.75">
      <c r="A155" s="5" t="s">
        <v>497</v>
      </c>
      <c r="B155" s="45" t="s">
        <v>76</v>
      </c>
      <c r="C155" s="7" t="s">
        <v>76</v>
      </c>
      <c r="D155" s="7" t="s">
        <v>1488</v>
      </c>
      <c r="E155" s="5" t="s">
        <v>1613</v>
      </c>
      <c r="F155" s="5" t="s">
        <v>830</v>
      </c>
      <c r="G155" s="5" t="s">
        <v>274</v>
      </c>
      <c r="H155" s="8">
        <v>20</v>
      </c>
      <c r="I155" s="10" t="s">
        <v>876</v>
      </c>
      <c r="J155" s="10" t="s">
        <v>483</v>
      </c>
    </row>
    <row r="156" spans="1:13" s="9" customFormat="1" ht="15.75">
      <c r="A156" s="5" t="s">
        <v>497</v>
      </c>
      <c r="B156" s="44" t="s">
        <v>83</v>
      </c>
      <c r="C156" s="7" t="s">
        <v>83</v>
      </c>
      <c r="D156" s="7" t="s">
        <v>84</v>
      </c>
      <c r="E156" s="5" t="s">
        <v>1103</v>
      </c>
      <c r="F156" s="5" t="s">
        <v>830</v>
      </c>
      <c r="G156" s="5" t="s">
        <v>274</v>
      </c>
      <c r="H156" s="10">
        <v>50</v>
      </c>
      <c r="I156" s="8" t="s">
        <v>876</v>
      </c>
      <c r="J156" s="10" t="s">
        <v>484</v>
      </c>
      <c r="L156" s="10"/>
    </row>
    <row r="157" spans="1:13" s="9" customFormat="1" ht="15.75">
      <c r="A157" s="5" t="s">
        <v>497</v>
      </c>
      <c r="B157" s="45" t="s">
        <v>83</v>
      </c>
      <c r="C157" s="7" t="s">
        <v>83</v>
      </c>
      <c r="D157" s="7" t="s">
        <v>84</v>
      </c>
      <c r="E157" s="5" t="s">
        <v>1103</v>
      </c>
      <c r="F157" s="5" t="s">
        <v>830</v>
      </c>
      <c r="G157" s="5" t="s">
        <v>274</v>
      </c>
      <c r="H157" s="10">
        <v>70</v>
      </c>
      <c r="I157" s="10" t="s">
        <v>876</v>
      </c>
      <c r="J157" s="10" t="s">
        <v>483</v>
      </c>
      <c r="L157" s="10"/>
    </row>
    <row r="158" spans="1:13" s="9" customFormat="1" ht="15.75">
      <c r="A158" s="5" t="s">
        <v>497</v>
      </c>
      <c r="B158" s="45" t="s">
        <v>85</v>
      </c>
      <c r="C158" s="7" t="s">
        <v>85</v>
      </c>
      <c r="D158" s="7" t="s">
        <v>621</v>
      </c>
      <c r="E158" s="5" t="s">
        <v>1104</v>
      </c>
      <c r="F158" s="5" t="s">
        <v>830</v>
      </c>
      <c r="G158" s="5" t="s">
        <v>274</v>
      </c>
      <c r="H158" s="10">
        <v>70</v>
      </c>
      <c r="I158" s="10" t="s">
        <v>876</v>
      </c>
      <c r="J158" s="10" t="s">
        <v>483</v>
      </c>
      <c r="L158" s="10"/>
    </row>
    <row r="159" spans="1:13" s="9" customFormat="1" ht="15.75">
      <c r="A159" s="5" t="s">
        <v>497</v>
      </c>
      <c r="B159" s="44" t="s">
        <v>92</v>
      </c>
      <c r="C159" s="7" t="s">
        <v>92</v>
      </c>
      <c r="D159" s="7" t="s">
        <v>93</v>
      </c>
      <c r="E159" s="5" t="s">
        <v>1105</v>
      </c>
      <c r="F159" s="5" t="s">
        <v>830</v>
      </c>
      <c r="G159" s="5" t="s">
        <v>274</v>
      </c>
      <c r="H159" s="8">
        <v>445</v>
      </c>
      <c r="I159" s="8" t="s">
        <v>486</v>
      </c>
      <c r="J159" s="10" t="s">
        <v>483</v>
      </c>
      <c r="K159" s="10"/>
      <c r="L159" s="10"/>
    </row>
    <row r="160" spans="1:13" s="9" customFormat="1" ht="15.75">
      <c r="A160" s="5" t="s">
        <v>497</v>
      </c>
      <c r="B160" s="44" t="s">
        <v>494</v>
      </c>
      <c r="C160" s="7" t="s">
        <v>495</v>
      </c>
      <c r="D160" s="7" t="s">
        <v>1436</v>
      </c>
      <c r="E160" s="5" t="s">
        <v>1106</v>
      </c>
      <c r="F160" s="5" t="s">
        <v>831</v>
      </c>
      <c r="G160" s="5" t="s">
        <v>273</v>
      </c>
      <c r="H160" s="8">
        <v>220</v>
      </c>
      <c r="I160" s="8" t="s">
        <v>486</v>
      </c>
      <c r="J160" s="10" t="s">
        <v>483</v>
      </c>
    </row>
    <row r="161" spans="1:12" s="9" customFormat="1" ht="15.75">
      <c r="A161" s="5" t="s">
        <v>497</v>
      </c>
      <c r="B161" s="7" t="s">
        <v>115</v>
      </c>
      <c r="C161" s="7" t="s">
        <v>115</v>
      </c>
      <c r="D161" s="7" t="s">
        <v>116</v>
      </c>
      <c r="E161" s="5" t="s">
        <v>1107</v>
      </c>
      <c r="F161" s="5" t="s">
        <v>831</v>
      </c>
      <c r="G161" s="5" t="s">
        <v>273</v>
      </c>
      <c r="H161" s="8">
        <v>30</v>
      </c>
      <c r="I161" s="8" t="s">
        <v>876</v>
      </c>
      <c r="J161" s="10" t="s">
        <v>484</v>
      </c>
    </row>
    <row r="162" spans="1:12" s="9" customFormat="1" ht="15.75">
      <c r="A162" s="5" t="s">
        <v>497</v>
      </c>
      <c r="B162" s="7" t="s">
        <v>115</v>
      </c>
      <c r="C162" s="7" t="s">
        <v>115</v>
      </c>
      <c r="D162" s="7" t="s">
        <v>116</v>
      </c>
      <c r="E162" s="5" t="s">
        <v>1107</v>
      </c>
      <c r="F162" s="5" t="s">
        <v>831</v>
      </c>
      <c r="G162" s="5" t="s">
        <v>273</v>
      </c>
      <c r="H162" s="8">
        <v>50</v>
      </c>
      <c r="I162" s="10" t="s">
        <v>876</v>
      </c>
      <c r="J162" s="10" t="s">
        <v>483</v>
      </c>
      <c r="K162" s="10"/>
      <c r="L162" s="10"/>
    </row>
    <row r="163" spans="1:12" s="9" customFormat="1" ht="15.75">
      <c r="A163" s="5" t="s">
        <v>497</v>
      </c>
      <c r="B163" s="7" t="s">
        <v>117</v>
      </c>
      <c r="C163" s="7" t="s">
        <v>117</v>
      </c>
      <c r="D163" s="7" t="s">
        <v>118</v>
      </c>
      <c r="E163" s="5" t="s">
        <v>1620</v>
      </c>
      <c r="F163" s="5" t="s">
        <v>831</v>
      </c>
      <c r="G163" s="5" t="s">
        <v>273</v>
      </c>
      <c r="H163" s="10">
        <v>30</v>
      </c>
      <c r="I163" s="10" t="s">
        <v>876</v>
      </c>
      <c r="J163" s="10" t="s">
        <v>483</v>
      </c>
      <c r="L163" s="10"/>
    </row>
    <row r="164" spans="1:12" s="9" customFormat="1" ht="15.75">
      <c r="A164" s="5" t="s">
        <v>498</v>
      </c>
      <c r="B164" s="7" t="s">
        <v>311</v>
      </c>
      <c r="C164" s="7" t="s">
        <v>311</v>
      </c>
      <c r="D164" s="7" t="s">
        <v>1490</v>
      </c>
      <c r="E164" s="5" t="s">
        <v>1119</v>
      </c>
      <c r="F164" s="5" t="s">
        <v>832</v>
      </c>
      <c r="G164" s="5" t="s">
        <v>279</v>
      </c>
      <c r="H164" s="8">
        <v>50</v>
      </c>
      <c r="I164" s="8" t="s">
        <v>486</v>
      </c>
      <c r="J164" s="10" t="s">
        <v>484</v>
      </c>
      <c r="K164" s="10"/>
      <c r="L164" s="10"/>
    </row>
    <row r="165" spans="1:12" s="9" customFormat="1" ht="15.75">
      <c r="A165" s="5" t="s">
        <v>498</v>
      </c>
      <c r="B165" s="44" t="s">
        <v>551</v>
      </c>
      <c r="C165" s="6" t="s">
        <v>551</v>
      </c>
      <c r="D165" s="7" t="s">
        <v>1489</v>
      </c>
      <c r="E165" s="5" t="s">
        <v>1108</v>
      </c>
      <c r="F165" s="5" t="s">
        <v>832</v>
      </c>
      <c r="G165" s="5" t="s">
        <v>279</v>
      </c>
      <c r="H165" s="8">
        <f>40+20+40</f>
        <v>100</v>
      </c>
      <c r="I165" s="8" t="s">
        <v>486</v>
      </c>
      <c r="J165" s="10" t="s">
        <v>484</v>
      </c>
    </row>
    <row r="166" spans="1:12" s="9" customFormat="1" ht="15.75">
      <c r="A166" s="5" t="s">
        <v>498</v>
      </c>
      <c r="B166" s="44" t="s">
        <v>551</v>
      </c>
      <c r="C166" s="6" t="s">
        <v>551</v>
      </c>
      <c r="D166" s="7" t="s">
        <v>1489</v>
      </c>
      <c r="E166" s="5" t="s">
        <v>1108</v>
      </c>
      <c r="F166" s="5" t="s">
        <v>832</v>
      </c>
      <c r="G166" s="5" t="s">
        <v>279</v>
      </c>
      <c r="H166" s="8">
        <f>50+20+30</f>
        <v>100</v>
      </c>
      <c r="I166" s="8" t="s">
        <v>486</v>
      </c>
      <c r="J166" s="10" t="s">
        <v>483</v>
      </c>
      <c r="K166" s="10"/>
      <c r="L166" s="10"/>
    </row>
    <row r="167" spans="1:12" s="9" customFormat="1" ht="15.75">
      <c r="A167" s="5" t="s">
        <v>498</v>
      </c>
      <c r="B167" s="45" t="s">
        <v>1474</v>
      </c>
      <c r="C167" s="7" t="s">
        <v>1474</v>
      </c>
      <c r="D167" s="7" t="s">
        <v>785</v>
      </c>
      <c r="E167" s="5" t="s">
        <v>1109</v>
      </c>
      <c r="F167" s="5" t="s">
        <v>832</v>
      </c>
      <c r="G167" s="5" t="s">
        <v>279</v>
      </c>
      <c r="H167" s="8">
        <v>60</v>
      </c>
      <c r="I167" s="8" t="s">
        <v>486</v>
      </c>
      <c r="J167" s="10" t="s">
        <v>484</v>
      </c>
      <c r="K167" s="10"/>
      <c r="L167" s="10"/>
    </row>
    <row r="168" spans="1:12" s="9" customFormat="1" ht="15.75">
      <c r="A168" s="5" t="s">
        <v>498</v>
      </c>
      <c r="B168" s="45" t="s">
        <v>1474</v>
      </c>
      <c r="C168" s="7" t="s">
        <v>1474</v>
      </c>
      <c r="D168" s="7" t="s">
        <v>785</v>
      </c>
      <c r="E168" s="5" t="s">
        <v>1109</v>
      </c>
      <c r="F168" s="5" t="s">
        <v>832</v>
      </c>
      <c r="G168" s="5" t="s">
        <v>279</v>
      </c>
      <c r="H168" s="8">
        <v>60</v>
      </c>
      <c r="I168" s="8" t="s">
        <v>486</v>
      </c>
      <c r="J168" s="10" t="s">
        <v>483</v>
      </c>
      <c r="K168" s="10"/>
      <c r="L168" s="10"/>
    </row>
    <row r="169" spans="1:12" s="9" customFormat="1" ht="15.75">
      <c r="A169" s="5" t="s">
        <v>498</v>
      </c>
      <c r="B169" s="45" t="s">
        <v>56</v>
      </c>
      <c r="C169" s="7" t="s">
        <v>162</v>
      </c>
      <c r="D169" s="7" t="s">
        <v>163</v>
      </c>
      <c r="E169" s="5" t="s">
        <v>1110</v>
      </c>
      <c r="F169" s="5" t="s">
        <v>832</v>
      </c>
      <c r="G169" s="5" t="s">
        <v>279</v>
      </c>
      <c r="H169" s="10">
        <v>70</v>
      </c>
      <c r="I169" s="10" t="s">
        <v>876</v>
      </c>
      <c r="J169" s="10" t="s">
        <v>483</v>
      </c>
      <c r="L169" s="10"/>
    </row>
    <row r="170" spans="1:12" s="9" customFormat="1" ht="15.75">
      <c r="A170" s="5" t="s">
        <v>498</v>
      </c>
      <c r="B170" s="45" t="s">
        <v>56</v>
      </c>
      <c r="C170" s="7" t="s">
        <v>164</v>
      </c>
      <c r="D170" s="7" t="s">
        <v>165</v>
      </c>
      <c r="E170" s="5" t="s">
        <v>1111</v>
      </c>
      <c r="F170" s="5" t="s">
        <v>832</v>
      </c>
      <c r="G170" s="5" t="s">
        <v>279</v>
      </c>
      <c r="H170" s="10">
        <v>70</v>
      </c>
      <c r="I170" s="10" t="s">
        <v>876</v>
      </c>
      <c r="J170" s="10" t="s">
        <v>483</v>
      </c>
      <c r="L170" s="10"/>
    </row>
    <row r="171" spans="1:12" s="9" customFormat="1" ht="15.75">
      <c r="A171" s="5" t="s">
        <v>498</v>
      </c>
      <c r="B171" s="45" t="s">
        <v>56</v>
      </c>
      <c r="C171" s="7" t="s">
        <v>166</v>
      </c>
      <c r="D171" s="7" t="s">
        <v>167</v>
      </c>
      <c r="E171" s="5" t="s">
        <v>1112</v>
      </c>
      <c r="F171" s="5" t="s">
        <v>832</v>
      </c>
      <c r="G171" s="5" t="s">
        <v>279</v>
      </c>
      <c r="H171" s="10">
        <v>90</v>
      </c>
      <c r="I171" s="10" t="s">
        <v>876</v>
      </c>
      <c r="J171" s="10" t="s">
        <v>483</v>
      </c>
      <c r="L171" s="10"/>
    </row>
    <row r="172" spans="1:12" s="9" customFormat="1" ht="15.75">
      <c r="A172" s="5" t="s">
        <v>498</v>
      </c>
      <c r="B172" s="45" t="s">
        <v>56</v>
      </c>
      <c r="C172" s="7" t="s">
        <v>168</v>
      </c>
      <c r="D172" s="7" t="s">
        <v>169</v>
      </c>
      <c r="E172" s="5" t="s">
        <v>1113</v>
      </c>
      <c r="F172" s="5" t="s">
        <v>832</v>
      </c>
      <c r="G172" s="5" t="s">
        <v>279</v>
      </c>
      <c r="H172" s="10">
        <v>70</v>
      </c>
      <c r="I172" s="10" t="s">
        <v>876</v>
      </c>
      <c r="J172" s="10" t="s">
        <v>483</v>
      </c>
      <c r="L172" s="10"/>
    </row>
    <row r="173" spans="1:12" s="9" customFormat="1" ht="15.75">
      <c r="A173" s="5" t="s">
        <v>498</v>
      </c>
      <c r="B173" s="45" t="s">
        <v>56</v>
      </c>
      <c r="C173" s="7" t="s">
        <v>170</v>
      </c>
      <c r="D173" s="7" t="s">
        <v>171</v>
      </c>
      <c r="E173" s="5" t="s">
        <v>1114</v>
      </c>
      <c r="F173" s="5" t="s">
        <v>832</v>
      </c>
      <c r="G173" s="5" t="s">
        <v>279</v>
      </c>
      <c r="H173" s="10">
        <v>80</v>
      </c>
      <c r="I173" s="10" t="s">
        <v>876</v>
      </c>
      <c r="J173" s="10" t="s">
        <v>483</v>
      </c>
      <c r="L173" s="10"/>
    </row>
    <row r="174" spans="1:12" s="9" customFormat="1" ht="15.75">
      <c r="A174" s="5" t="s">
        <v>498</v>
      </c>
      <c r="B174" s="45" t="s">
        <v>56</v>
      </c>
      <c r="C174" s="7" t="s">
        <v>172</v>
      </c>
      <c r="D174" s="7" t="s">
        <v>173</v>
      </c>
      <c r="E174" s="5" t="s">
        <v>1115</v>
      </c>
      <c r="F174" s="5" t="s">
        <v>832</v>
      </c>
      <c r="G174" s="5" t="s">
        <v>279</v>
      </c>
      <c r="H174" s="10">
        <v>40</v>
      </c>
      <c r="I174" s="10" t="s">
        <v>876</v>
      </c>
      <c r="J174" s="10" t="s">
        <v>483</v>
      </c>
      <c r="L174" s="10"/>
    </row>
    <row r="175" spans="1:12" s="9" customFormat="1" ht="15.75">
      <c r="A175" s="5" t="s">
        <v>498</v>
      </c>
      <c r="B175" s="44" t="s">
        <v>56</v>
      </c>
      <c r="C175" s="7" t="s">
        <v>56</v>
      </c>
      <c r="D175" s="7" t="s">
        <v>57</v>
      </c>
      <c r="E175" s="5" t="s">
        <v>1116</v>
      </c>
      <c r="F175" s="5" t="s">
        <v>832</v>
      </c>
      <c r="G175" s="5" t="s">
        <v>279</v>
      </c>
      <c r="H175" s="8">
        <v>30</v>
      </c>
      <c r="I175" s="8" t="s">
        <v>876</v>
      </c>
      <c r="J175" s="10" t="s">
        <v>484</v>
      </c>
      <c r="K175" s="10"/>
      <c r="L175" s="10"/>
    </row>
    <row r="176" spans="1:12" s="9" customFormat="1" ht="15.75">
      <c r="A176" s="5" t="s">
        <v>498</v>
      </c>
      <c r="B176" s="45" t="s">
        <v>56</v>
      </c>
      <c r="C176" s="7" t="s">
        <v>56</v>
      </c>
      <c r="D176" s="7" t="s">
        <v>57</v>
      </c>
      <c r="E176" s="5" t="s">
        <v>1116</v>
      </c>
      <c r="F176" s="5" t="s">
        <v>832</v>
      </c>
      <c r="G176" s="5" t="s">
        <v>279</v>
      </c>
      <c r="H176" s="8">
        <v>50</v>
      </c>
      <c r="I176" s="10" t="s">
        <v>876</v>
      </c>
      <c r="J176" s="10" t="s">
        <v>483</v>
      </c>
      <c r="K176" s="10"/>
      <c r="L176" s="10"/>
    </row>
    <row r="177" spans="1:12" s="9" customFormat="1" ht="15.75">
      <c r="A177" s="5" t="s">
        <v>498</v>
      </c>
      <c r="B177" s="45" t="s">
        <v>56</v>
      </c>
      <c r="C177" s="7" t="s">
        <v>174</v>
      </c>
      <c r="D177" s="7" t="s">
        <v>175</v>
      </c>
      <c r="E177" s="5" t="s">
        <v>1117</v>
      </c>
      <c r="F177" s="5" t="s">
        <v>832</v>
      </c>
      <c r="G177" s="5" t="s">
        <v>279</v>
      </c>
      <c r="H177" s="8">
        <v>50</v>
      </c>
      <c r="I177" s="10" t="s">
        <v>876</v>
      </c>
      <c r="J177" s="10" t="s">
        <v>483</v>
      </c>
      <c r="L177" s="10"/>
    </row>
    <row r="178" spans="1:12" s="9" customFormat="1" ht="15.75">
      <c r="A178" s="5" t="s">
        <v>498</v>
      </c>
      <c r="B178" s="49" t="s">
        <v>500</v>
      </c>
      <c r="C178" s="50" t="s">
        <v>500</v>
      </c>
      <c r="D178" s="7" t="s">
        <v>1537</v>
      </c>
      <c r="E178" s="5" t="s">
        <v>1118</v>
      </c>
      <c r="F178" s="5" t="s">
        <v>832</v>
      </c>
      <c r="G178" s="5" t="s">
        <v>279</v>
      </c>
      <c r="H178" s="8">
        <v>390</v>
      </c>
      <c r="I178" s="8" t="s">
        <v>486</v>
      </c>
      <c r="J178" s="10" t="s">
        <v>483</v>
      </c>
      <c r="K178" s="10"/>
      <c r="L178" s="10"/>
    </row>
    <row r="179" spans="1:12" s="9" customFormat="1" ht="15.75">
      <c r="A179" s="5" t="s">
        <v>498</v>
      </c>
      <c r="B179" s="44" t="s">
        <v>41</v>
      </c>
      <c r="C179" s="7" t="s">
        <v>41</v>
      </c>
      <c r="D179" s="7" t="s">
        <v>42</v>
      </c>
      <c r="E179" s="5" t="s">
        <v>1598</v>
      </c>
      <c r="F179" s="5" t="s">
        <v>832</v>
      </c>
      <c r="G179" s="5" t="s">
        <v>505</v>
      </c>
      <c r="H179" s="8">
        <v>80</v>
      </c>
      <c r="I179" s="8" t="s">
        <v>486</v>
      </c>
      <c r="J179" s="10" t="s">
        <v>484</v>
      </c>
      <c r="K179" s="10"/>
      <c r="L179" s="10"/>
    </row>
    <row r="180" spans="1:12" s="9" customFormat="1" ht="15.75">
      <c r="A180" s="5" t="s">
        <v>498</v>
      </c>
      <c r="B180" s="49" t="s">
        <v>41</v>
      </c>
      <c r="C180" s="7" t="s">
        <v>41</v>
      </c>
      <c r="D180" s="7" t="s">
        <v>42</v>
      </c>
      <c r="E180" s="5" t="s">
        <v>1598</v>
      </c>
      <c r="F180" s="5" t="s">
        <v>832</v>
      </c>
      <c r="G180" s="5" t="s">
        <v>505</v>
      </c>
      <c r="H180" s="8">
        <v>80</v>
      </c>
      <c r="I180" s="8" t="s">
        <v>486</v>
      </c>
      <c r="J180" s="10" t="s">
        <v>483</v>
      </c>
      <c r="K180" s="10"/>
      <c r="L180" s="10"/>
    </row>
    <row r="181" spans="1:12" s="9" customFormat="1" ht="15.75">
      <c r="A181" s="5" t="s">
        <v>499</v>
      </c>
      <c r="B181" s="45" t="s">
        <v>66</v>
      </c>
      <c r="C181" s="7" t="s">
        <v>147</v>
      </c>
      <c r="D181" s="7" t="s">
        <v>148</v>
      </c>
      <c r="E181" s="5" t="s">
        <v>1121</v>
      </c>
      <c r="F181" s="5" t="s">
        <v>833</v>
      </c>
      <c r="G181" s="5" t="s">
        <v>267</v>
      </c>
      <c r="H181" s="10">
        <v>50</v>
      </c>
      <c r="I181" s="10" t="s">
        <v>876</v>
      </c>
      <c r="J181" s="10" t="s">
        <v>483</v>
      </c>
      <c r="L181" s="10"/>
    </row>
    <row r="182" spans="1:12" s="9" customFormat="1" ht="15.75">
      <c r="A182" s="5" t="s">
        <v>499</v>
      </c>
      <c r="B182" s="45" t="s">
        <v>66</v>
      </c>
      <c r="C182" s="7" t="s">
        <v>66</v>
      </c>
      <c r="D182" s="7" t="s">
        <v>67</v>
      </c>
      <c r="E182" s="5" t="s">
        <v>1120</v>
      </c>
      <c r="F182" s="5" t="s">
        <v>833</v>
      </c>
      <c r="G182" s="5" t="s">
        <v>267</v>
      </c>
      <c r="H182" s="8">
        <v>30</v>
      </c>
      <c r="I182" s="8" t="s">
        <v>876</v>
      </c>
      <c r="J182" s="10" t="s">
        <v>484</v>
      </c>
    </row>
    <row r="183" spans="1:12" s="9" customFormat="1" ht="15.75">
      <c r="A183" s="5" t="s">
        <v>499</v>
      </c>
      <c r="B183" s="45" t="s">
        <v>66</v>
      </c>
      <c r="C183" s="7" t="s">
        <v>66</v>
      </c>
      <c r="D183" s="7" t="s">
        <v>67</v>
      </c>
      <c r="E183" s="5" t="s">
        <v>1120</v>
      </c>
      <c r="F183" s="5" t="s">
        <v>833</v>
      </c>
      <c r="G183" s="5" t="s">
        <v>267</v>
      </c>
      <c r="H183" s="8">
        <v>50</v>
      </c>
      <c r="I183" s="10" t="s">
        <v>876</v>
      </c>
      <c r="J183" s="10" t="s">
        <v>483</v>
      </c>
      <c r="K183" s="10"/>
      <c r="L183" s="10"/>
    </row>
    <row r="184" spans="1:12" s="9" customFormat="1" ht="15.75">
      <c r="A184" s="5" t="s">
        <v>498</v>
      </c>
      <c r="B184" s="49" t="s">
        <v>101</v>
      </c>
      <c r="C184" s="7" t="s">
        <v>101</v>
      </c>
      <c r="D184" s="7" t="s">
        <v>102</v>
      </c>
      <c r="E184" s="5" t="s">
        <v>1122</v>
      </c>
      <c r="F184" s="5" t="s">
        <v>834</v>
      </c>
      <c r="G184" s="5" t="s">
        <v>506</v>
      </c>
      <c r="H184" s="8">
        <v>45</v>
      </c>
      <c r="I184" s="8" t="s">
        <v>486</v>
      </c>
      <c r="J184" s="10" t="s">
        <v>483</v>
      </c>
      <c r="K184" s="10"/>
      <c r="L184" s="10"/>
    </row>
    <row r="185" spans="1:12" s="9" customFormat="1" ht="15.75">
      <c r="A185" s="5" t="s">
        <v>513</v>
      </c>
      <c r="B185" s="44" t="s">
        <v>587</v>
      </c>
      <c r="C185" s="6" t="s">
        <v>587</v>
      </c>
      <c r="D185" s="7" t="s">
        <v>618</v>
      </c>
      <c r="E185" s="5" t="s">
        <v>1123</v>
      </c>
      <c r="F185" s="5" t="s">
        <v>834</v>
      </c>
      <c r="G185" s="5" t="s">
        <v>316</v>
      </c>
      <c r="H185" s="8">
        <f>14+16</f>
        <v>30</v>
      </c>
      <c r="I185" s="8" t="s">
        <v>486</v>
      </c>
      <c r="J185" s="10" t="s">
        <v>484</v>
      </c>
      <c r="K185" s="10"/>
      <c r="L185" s="10"/>
    </row>
    <row r="186" spans="1:12" s="9" customFormat="1" ht="15.75">
      <c r="A186" s="5" t="s">
        <v>513</v>
      </c>
      <c r="B186" s="44" t="s">
        <v>587</v>
      </c>
      <c r="C186" s="6" t="s">
        <v>587</v>
      </c>
      <c r="D186" s="7" t="s">
        <v>618</v>
      </c>
      <c r="E186" s="5" t="s">
        <v>1123</v>
      </c>
      <c r="F186" s="5" t="s">
        <v>834</v>
      </c>
      <c r="G186" s="5" t="s">
        <v>316</v>
      </c>
      <c r="H186" s="8">
        <f>20+15</f>
        <v>35</v>
      </c>
      <c r="I186" s="8" t="s">
        <v>486</v>
      </c>
      <c r="J186" s="10" t="s">
        <v>483</v>
      </c>
      <c r="K186" s="10"/>
      <c r="L186" s="10"/>
    </row>
    <row r="187" spans="1:12" s="9" customFormat="1" ht="15.75">
      <c r="A187" s="5" t="s">
        <v>498</v>
      </c>
      <c r="B187" s="49" t="s">
        <v>525</v>
      </c>
      <c r="C187" s="50" t="s">
        <v>530</v>
      </c>
      <c r="D187" s="7" t="s">
        <v>100</v>
      </c>
      <c r="E187" s="5" t="s">
        <v>1124</v>
      </c>
      <c r="F187" s="5" t="s">
        <v>834</v>
      </c>
      <c r="G187" s="5" t="s">
        <v>392</v>
      </c>
      <c r="H187" s="8">
        <f>10+20</f>
        <v>30</v>
      </c>
      <c r="I187" s="8" t="s">
        <v>486</v>
      </c>
      <c r="J187" s="10" t="s">
        <v>484</v>
      </c>
      <c r="K187" s="10"/>
      <c r="L187" s="10"/>
    </row>
    <row r="188" spans="1:12" s="9" customFormat="1" ht="15.75">
      <c r="A188" s="5" t="s">
        <v>498</v>
      </c>
      <c r="B188" s="49" t="s">
        <v>525</v>
      </c>
      <c r="C188" s="50" t="s">
        <v>530</v>
      </c>
      <c r="D188" s="7" t="s">
        <v>100</v>
      </c>
      <c r="E188" s="5" t="s">
        <v>1124</v>
      </c>
      <c r="F188" s="5" t="s">
        <v>834</v>
      </c>
      <c r="G188" s="5" t="s">
        <v>392</v>
      </c>
      <c r="H188" s="8">
        <v>80</v>
      </c>
      <c r="I188" s="8" t="s">
        <v>486</v>
      </c>
      <c r="J188" s="10" t="s">
        <v>483</v>
      </c>
      <c r="K188" s="10"/>
      <c r="L188" s="10"/>
    </row>
    <row r="189" spans="1:12" s="9" customFormat="1" ht="15.75">
      <c r="A189" s="5" t="s">
        <v>498</v>
      </c>
      <c r="B189" s="45" t="s">
        <v>6</v>
      </c>
      <c r="C189" s="7" t="s">
        <v>6</v>
      </c>
      <c r="D189" s="7" t="s">
        <v>7</v>
      </c>
      <c r="E189" s="5" t="s">
        <v>1125</v>
      </c>
      <c r="F189" s="5" t="s">
        <v>835</v>
      </c>
      <c r="G189" s="5" t="s">
        <v>841</v>
      </c>
      <c r="H189" s="10">
        <v>80</v>
      </c>
      <c r="I189" s="10" t="s">
        <v>876</v>
      </c>
      <c r="J189" s="10" t="s">
        <v>483</v>
      </c>
      <c r="L189" s="10"/>
    </row>
    <row r="190" spans="1:12" s="9" customFormat="1" ht="15.75">
      <c r="A190" s="5" t="s">
        <v>498</v>
      </c>
      <c r="B190" s="44" t="s">
        <v>6</v>
      </c>
      <c r="C190" s="7" t="s">
        <v>6</v>
      </c>
      <c r="D190" s="7" t="s">
        <v>7</v>
      </c>
      <c r="E190" s="5" t="s">
        <v>1125</v>
      </c>
      <c r="F190" s="5" t="s">
        <v>835</v>
      </c>
      <c r="G190" s="5" t="s">
        <v>841</v>
      </c>
      <c r="H190" s="10">
        <v>85</v>
      </c>
      <c r="I190" s="8" t="s">
        <v>876</v>
      </c>
      <c r="J190" s="10" t="s">
        <v>484</v>
      </c>
      <c r="L190" s="10"/>
    </row>
    <row r="191" spans="1:12" s="9" customFormat="1" ht="15.75">
      <c r="A191" s="5" t="s">
        <v>498</v>
      </c>
      <c r="B191" s="44" t="s">
        <v>6</v>
      </c>
      <c r="C191" s="7" t="s">
        <v>156</v>
      </c>
      <c r="D191" s="7" t="s">
        <v>157</v>
      </c>
      <c r="E191" s="5" t="s">
        <v>1126</v>
      </c>
      <c r="F191" s="5" t="s">
        <v>835</v>
      </c>
      <c r="G191" s="5" t="s">
        <v>841</v>
      </c>
      <c r="H191" s="8">
        <v>50</v>
      </c>
      <c r="I191" s="10" t="s">
        <v>876</v>
      </c>
      <c r="J191" s="10" t="s">
        <v>483</v>
      </c>
      <c r="K191" s="10"/>
      <c r="L191" s="10"/>
    </row>
    <row r="192" spans="1:12" s="9" customFormat="1" ht="15.75">
      <c r="A192" s="5" t="s">
        <v>498</v>
      </c>
      <c r="B192" s="44" t="s">
        <v>6</v>
      </c>
      <c r="C192" s="7" t="s">
        <v>156</v>
      </c>
      <c r="D192" s="7" t="s">
        <v>157</v>
      </c>
      <c r="E192" s="5" t="s">
        <v>1126</v>
      </c>
      <c r="F192" s="5" t="s">
        <v>835</v>
      </c>
      <c r="G192" s="5" t="s">
        <v>841</v>
      </c>
      <c r="H192" s="8">
        <v>25</v>
      </c>
      <c r="I192" s="8" t="s">
        <v>876</v>
      </c>
      <c r="J192" s="10" t="s">
        <v>484</v>
      </c>
      <c r="K192" s="10"/>
      <c r="L192" s="10"/>
    </row>
    <row r="193" spans="1:12" s="9" customFormat="1" ht="15.75">
      <c r="A193" s="5" t="s">
        <v>498</v>
      </c>
      <c r="B193" s="50" t="s">
        <v>43</v>
      </c>
      <c r="C193" s="7" t="s">
        <v>43</v>
      </c>
      <c r="D193" s="7" t="s">
        <v>849</v>
      </c>
      <c r="E193" s="5" t="s">
        <v>1128</v>
      </c>
      <c r="F193" s="5" t="s">
        <v>835</v>
      </c>
      <c r="G193" s="5" t="s">
        <v>841</v>
      </c>
      <c r="H193" s="8">
        <f>90+20</f>
        <v>110</v>
      </c>
      <c r="I193" s="8" t="s">
        <v>486</v>
      </c>
      <c r="J193" s="10" t="s">
        <v>483</v>
      </c>
      <c r="K193" s="10"/>
      <c r="L193" s="10"/>
    </row>
    <row r="194" spans="1:12" s="9" customFormat="1" ht="15.75">
      <c r="A194" s="5" t="s">
        <v>498</v>
      </c>
      <c r="B194" s="50" t="s">
        <v>43</v>
      </c>
      <c r="C194" s="7" t="s">
        <v>43</v>
      </c>
      <c r="D194" s="7" t="s">
        <v>849</v>
      </c>
      <c r="E194" s="5" t="s">
        <v>1128</v>
      </c>
      <c r="F194" s="5" t="s">
        <v>835</v>
      </c>
      <c r="G194" s="5" t="s">
        <v>841</v>
      </c>
      <c r="H194" s="8">
        <v>330</v>
      </c>
      <c r="I194" s="8" t="s">
        <v>486</v>
      </c>
      <c r="J194" s="10" t="s">
        <v>484</v>
      </c>
      <c r="K194" s="10"/>
      <c r="L194" s="10"/>
    </row>
    <row r="195" spans="1:12" s="9" customFormat="1" ht="15.75">
      <c r="A195" s="5" t="s">
        <v>498</v>
      </c>
      <c r="B195" s="6" t="s">
        <v>43</v>
      </c>
      <c r="C195" s="7" t="s">
        <v>314</v>
      </c>
      <c r="D195" s="7" t="s">
        <v>1599</v>
      </c>
      <c r="E195" s="5" t="s">
        <v>1127</v>
      </c>
      <c r="F195" s="5" t="s">
        <v>835</v>
      </c>
      <c r="G195" s="5" t="s">
        <v>841</v>
      </c>
      <c r="H195" s="8">
        <v>80</v>
      </c>
      <c r="I195" s="8" t="s">
        <v>486</v>
      </c>
      <c r="J195" s="10" t="s">
        <v>484</v>
      </c>
      <c r="K195" s="10"/>
      <c r="L195" s="10"/>
    </row>
    <row r="196" spans="1:12" s="9" customFormat="1" ht="15.75">
      <c r="A196" s="5" t="s">
        <v>498</v>
      </c>
      <c r="B196" s="7" t="s">
        <v>300</v>
      </c>
      <c r="C196" s="7" t="s">
        <v>300</v>
      </c>
      <c r="D196" s="7" t="s">
        <v>1599</v>
      </c>
      <c r="E196" s="5" t="s">
        <v>1571</v>
      </c>
      <c r="F196" s="5" t="s">
        <v>835</v>
      </c>
      <c r="G196" s="5" t="s">
        <v>841</v>
      </c>
      <c r="H196" s="8">
        <v>20</v>
      </c>
      <c r="I196" s="8" t="s">
        <v>876</v>
      </c>
      <c r="J196" s="10" t="s">
        <v>484</v>
      </c>
      <c r="K196" s="10"/>
      <c r="L196" s="10"/>
    </row>
    <row r="197" spans="1:12" s="9" customFormat="1" ht="15.75">
      <c r="A197" s="5" t="s">
        <v>498</v>
      </c>
      <c r="B197" s="7" t="s">
        <v>301</v>
      </c>
      <c r="C197" s="7" t="s">
        <v>301</v>
      </c>
      <c r="D197" s="7" t="s">
        <v>1599</v>
      </c>
      <c r="E197" s="5" t="s">
        <v>1573</v>
      </c>
      <c r="F197" s="5" t="s">
        <v>835</v>
      </c>
      <c r="G197" s="5" t="s">
        <v>841</v>
      </c>
      <c r="H197" s="8">
        <v>20</v>
      </c>
      <c r="I197" s="8" t="s">
        <v>876</v>
      </c>
      <c r="J197" s="10" t="s">
        <v>484</v>
      </c>
      <c r="K197" s="10"/>
      <c r="L197" s="10"/>
    </row>
    <row r="198" spans="1:12" s="9" customFormat="1" ht="15.75">
      <c r="A198" s="5" t="s">
        <v>498</v>
      </c>
      <c r="B198" s="7" t="s">
        <v>120</v>
      </c>
      <c r="C198" s="7" t="s">
        <v>120</v>
      </c>
      <c r="D198" s="7" t="s">
        <v>121</v>
      </c>
      <c r="E198" s="5" t="s">
        <v>1614</v>
      </c>
      <c r="F198" s="5" t="s">
        <v>836</v>
      </c>
      <c r="G198" s="5" t="s">
        <v>319</v>
      </c>
      <c r="H198" s="10">
        <v>60</v>
      </c>
      <c r="I198" s="10" t="s">
        <v>876</v>
      </c>
      <c r="J198" s="10" t="s">
        <v>483</v>
      </c>
      <c r="L198" s="10"/>
    </row>
    <row r="199" spans="1:12" s="9" customFormat="1" ht="15.75">
      <c r="A199" s="5" t="s">
        <v>498</v>
      </c>
      <c r="B199" s="7" t="s">
        <v>120</v>
      </c>
      <c r="C199" s="7" t="s">
        <v>120</v>
      </c>
      <c r="D199" s="7" t="s">
        <v>121</v>
      </c>
      <c r="E199" s="5" t="s">
        <v>1614</v>
      </c>
      <c r="F199" s="5" t="s">
        <v>836</v>
      </c>
      <c r="G199" s="5" t="s">
        <v>319</v>
      </c>
      <c r="H199" s="10">
        <v>60</v>
      </c>
      <c r="I199" s="8" t="s">
        <v>876</v>
      </c>
      <c r="J199" s="10" t="s">
        <v>484</v>
      </c>
      <c r="L199" s="10"/>
    </row>
    <row r="200" spans="1:12" s="9" customFormat="1" ht="15.75">
      <c r="A200" s="5" t="s">
        <v>498</v>
      </c>
      <c r="B200" s="45" t="s">
        <v>122</v>
      </c>
      <c r="C200" s="7" t="s">
        <v>122</v>
      </c>
      <c r="D200" s="7" t="s">
        <v>123</v>
      </c>
      <c r="E200" s="5" t="s">
        <v>1615</v>
      </c>
      <c r="F200" s="5" t="s">
        <v>836</v>
      </c>
      <c r="G200" s="5" t="s">
        <v>319</v>
      </c>
      <c r="H200" s="8">
        <v>40</v>
      </c>
      <c r="I200" s="10" t="s">
        <v>876</v>
      </c>
      <c r="J200" s="10" t="s">
        <v>483</v>
      </c>
      <c r="K200" s="10"/>
      <c r="L200" s="10"/>
    </row>
    <row r="201" spans="1:12" s="9" customFormat="1" ht="15.75">
      <c r="A201" s="5" t="s">
        <v>498</v>
      </c>
      <c r="B201" s="45" t="s">
        <v>122</v>
      </c>
      <c r="C201" s="7" t="s">
        <v>122</v>
      </c>
      <c r="D201" s="7" t="s">
        <v>123</v>
      </c>
      <c r="E201" s="5" t="s">
        <v>1615</v>
      </c>
      <c r="F201" s="5" t="s">
        <v>836</v>
      </c>
      <c r="G201" s="5" t="s">
        <v>319</v>
      </c>
      <c r="H201" s="8">
        <f>50</f>
        <v>50</v>
      </c>
      <c r="I201" s="8" t="s">
        <v>876</v>
      </c>
      <c r="J201" s="10" t="s">
        <v>484</v>
      </c>
      <c r="K201" s="10"/>
      <c r="L201" s="10"/>
    </row>
    <row r="202" spans="1:12" s="9" customFormat="1" ht="15.75">
      <c r="A202" s="5" t="s">
        <v>498</v>
      </c>
      <c r="B202" s="45" t="s">
        <v>124</v>
      </c>
      <c r="C202" s="7" t="s">
        <v>124</v>
      </c>
      <c r="D202" s="7" t="s">
        <v>125</v>
      </c>
      <c r="E202" s="5" t="s">
        <v>1616</v>
      </c>
      <c r="F202" s="5" t="s">
        <v>836</v>
      </c>
      <c r="G202" s="5" t="s">
        <v>319</v>
      </c>
      <c r="H202" s="10">
        <v>30</v>
      </c>
      <c r="I202" s="10" t="s">
        <v>876</v>
      </c>
      <c r="J202" s="10" t="s">
        <v>483</v>
      </c>
      <c r="L202" s="10"/>
    </row>
    <row r="203" spans="1:12" s="9" customFormat="1" ht="15.75">
      <c r="A203" s="5" t="s">
        <v>497</v>
      </c>
      <c r="B203" s="44" t="s">
        <v>524</v>
      </c>
      <c r="C203" s="6" t="s">
        <v>524</v>
      </c>
      <c r="D203" s="7" t="s">
        <v>35</v>
      </c>
      <c r="E203" s="5" t="s">
        <v>1129</v>
      </c>
      <c r="F203" s="5" t="s">
        <v>837</v>
      </c>
      <c r="G203" s="5" t="s">
        <v>507</v>
      </c>
      <c r="H203" s="8">
        <v>45</v>
      </c>
      <c r="I203" s="8" t="s">
        <v>876</v>
      </c>
      <c r="J203" s="10" t="s">
        <v>484</v>
      </c>
      <c r="K203" s="10"/>
      <c r="L203" s="10"/>
    </row>
    <row r="204" spans="1:12" s="9" customFormat="1" ht="15.75">
      <c r="A204" s="5" t="s">
        <v>497</v>
      </c>
      <c r="B204" s="44" t="s">
        <v>524</v>
      </c>
      <c r="C204" s="6" t="s">
        <v>524</v>
      </c>
      <c r="D204" s="7" t="s">
        <v>35</v>
      </c>
      <c r="E204" s="5" t="s">
        <v>1129</v>
      </c>
      <c r="F204" s="5" t="s">
        <v>837</v>
      </c>
      <c r="G204" s="5" t="s">
        <v>507</v>
      </c>
      <c r="H204" s="8">
        <v>35</v>
      </c>
      <c r="I204" s="10" t="s">
        <v>876</v>
      </c>
      <c r="J204" s="10" t="s">
        <v>483</v>
      </c>
    </row>
    <row r="205" spans="1:12" s="9" customFormat="1" ht="15.75">
      <c r="A205" s="5" t="s">
        <v>497</v>
      </c>
      <c r="B205" s="44" t="s">
        <v>543</v>
      </c>
      <c r="C205" s="6" t="s">
        <v>543</v>
      </c>
      <c r="D205" s="7" t="s">
        <v>619</v>
      </c>
      <c r="E205" s="5" t="s">
        <v>1130</v>
      </c>
      <c r="F205" s="5" t="s">
        <v>837</v>
      </c>
      <c r="G205" s="5" t="s">
        <v>507</v>
      </c>
      <c r="H205" s="8">
        <f>30-10+30</f>
        <v>50</v>
      </c>
      <c r="I205" s="8" t="s">
        <v>486</v>
      </c>
      <c r="J205" s="10" t="s">
        <v>484</v>
      </c>
    </row>
    <row r="206" spans="1:12" s="9" customFormat="1" ht="15.75">
      <c r="A206" s="5" t="s">
        <v>497</v>
      </c>
      <c r="B206" s="44" t="s">
        <v>543</v>
      </c>
      <c r="C206" s="6" t="s">
        <v>543</v>
      </c>
      <c r="D206" s="7" t="s">
        <v>619</v>
      </c>
      <c r="E206" s="5" t="s">
        <v>1130</v>
      </c>
      <c r="F206" s="5" t="s">
        <v>837</v>
      </c>
      <c r="G206" s="5" t="s">
        <v>507</v>
      </c>
      <c r="H206" s="8">
        <f>30-10+40+30+20+40</f>
        <v>150</v>
      </c>
      <c r="I206" s="8" t="s">
        <v>486</v>
      </c>
      <c r="J206" s="10" t="s">
        <v>483</v>
      </c>
      <c r="K206" s="10"/>
      <c r="L206" s="10"/>
    </row>
    <row r="207" spans="1:12" s="9" customFormat="1" ht="15.75">
      <c r="A207" s="5" t="s">
        <v>497</v>
      </c>
      <c r="B207" s="44" t="s">
        <v>64</v>
      </c>
      <c r="C207" s="7" t="s">
        <v>64</v>
      </c>
      <c r="D207" s="7" t="s">
        <v>65</v>
      </c>
      <c r="E207" s="5" t="s">
        <v>628</v>
      </c>
      <c r="F207" s="5" t="s">
        <v>837</v>
      </c>
      <c r="G207" s="5" t="s">
        <v>507</v>
      </c>
      <c r="H207" s="8">
        <v>20</v>
      </c>
      <c r="I207" s="8" t="s">
        <v>876</v>
      </c>
      <c r="J207" s="10" t="s">
        <v>484</v>
      </c>
      <c r="K207" s="10"/>
      <c r="L207" s="10"/>
    </row>
    <row r="208" spans="1:12" s="9" customFormat="1" ht="15.75">
      <c r="A208" s="5" t="s">
        <v>497</v>
      </c>
      <c r="B208" s="45" t="s">
        <v>64</v>
      </c>
      <c r="C208" s="7" t="s">
        <v>64</v>
      </c>
      <c r="D208" s="7" t="s">
        <v>65</v>
      </c>
      <c r="E208" s="5" t="s">
        <v>628</v>
      </c>
      <c r="F208" s="5" t="s">
        <v>837</v>
      </c>
      <c r="G208" s="5" t="s">
        <v>507</v>
      </c>
      <c r="H208" s="8">
        <v>25</v>
      </c>
      <c r="I208" s="10" t="s">
        <v>876</v>
      </c>
      <c r="J208" s="10" t="s">
        <v>483</v>
      </c>
      <c r="K208" s="10"/>
      <c r="L208" s="10"/>
    </row>
    <row r="209" spans="1:15" s="9" customFormat="1" ht="15.75">
      <c r="A209" s="5" t="s">
        <v>533</v>
      </c>
      <c r="B209" s="49" t="s">
        <v>565</v>
      </c>
      <c r="C209" s="50" t="s">
        <v>565</v>
      </c>
      <c r="D209" s="7" t="s">
        <v>1491</v>
      </c>
      <c r="E209" s="5" t="s">
        <v>631</v>
      </c>
      <c r="F209" s="5" t="s">
        <v>837</v>
      </c>
      <c r="G209" s="5" t="s">
        <v>507</v>
      </c>
      <c r="H209" s="8">
        <v>30</v>
      </c>
      <c r="I209" s="8" t="s">
        <v>486</v>
      </c>
      <c r="J209" s="10" t="s">
        <v>483</v>
      </c>
      <c r="K209" s="10"/>
      <c r="L209" s="10"/>
      <c r="M209" s="26"/>
      <c r="N209" s="26"/>
      <c r="O209" s="26"/>
    </row>
    <row r="210" spans="1:15" s="9" customFormat="1" ht="15.75">
      <c r="A210" s="5" t="s">
        <v>533</v>
      </c>
      <c r="B210" s="49" t="s">
        <v>565</v>
      </c>
      <c r="C210" s="50" t="s">
        <v>565</v>
      </c>
      <c r="D210" s="7" t="s">
        <v>1491</v>
      </c>
      <c r="E210" s="5" t="s">
        <v>631</v>
      </c>
      <c r="F210" s="5" t="s">
        <v>837</v>
      </c>
      <c r="G210" s="5" t="s">
        <v>507</v>
      </c>
      <c r="H210" s="8">
        <v>10</v>
      </c>
      <c r="I210" s="8" t="s">
        <v>486</v>
      </c>
      <c r="J210" s="10" t="s">
        <v>484</v>
      </c>
      <c r="K210" s="10"/>
      <c r="L210" s="10"/>
    </row>
    <row r="211" spans="1:15" s="9" customFormat="1" ht="15.75">
      <c r="A211" s="5" t="s">
        <v>497</v>
      </c>
      <c r="B211" s="44" t="s">
        <v>286</v>
      </c>
      <c r="C211" s="7" t="s">
        <v>259</v>
      </c>
      <c r="D211" s="7" t="s">
        <v>260</v>
      </c>
      <c r="E211" s="5" t="s">
        <v>1131</v>
      </c>
      <c r="F211" s="5" t="s">
        <v>837</v>
      </c>
      <c r="G211" s="5" t="s">
        <v>507</v>
      </c>
      <c r="H211" s="8">
        <f>60-10</f>
        <v>50</v>
      </c>
      <c r="I211" s="8" t="s">
        <v>876</v>
      </c>
      <c r="J211" s="10" t="s">
        <v>484</v>
      </c>
      <c r="K211" s="10"/>
      <c r="L211" s="10"/>
    </row>
    <row r="212" spans="1:15" s="9" customFormat="1" ht="15.75">
      <c r="A212" s="5" t="s">
        <v>497</v>
      </c>
      <c r="B212" s="45" t="s">
        <v>286</v>
      </c>
      <c r="C212" s="7" t="s">
        <v>259</v>
      </c>
      <c r="D212" s="7" t="s">
        <v>260</v>
      </c>
      <c r="E212" s="5" t="s">
        <v>1131</v>
      </c>
      <c r="F212" s="5" t="s">
        <v>837</v>
      </c>
      <c r="G212" s="5" t="s">
        <v>507</v>
      </c>
      <c r="H212" s="8">
        <f>50-10</f>
        <v>40</v>
      </c>
      <c r="I212" s="10" t="s">
        <v>876</v>
      </c>
      <c r="J212" s="10" t="s">
        <v>483</v>
      </c>
      <c r="K212" s="10"/>
      <c r="L212" s="10"/>
    </row>
    <row r="213" spans="1:15" s="9" customFormat="1" ht="15.75">
      <c r="A213" s="5" t="s">
        <v>533</v>
      </c>
      <c r="B213" s="6" t="s">
        <v>740</v>
      </c>
      <c r="C213" s="6" t="s">
        <v>740</v>
      </c>
      <c r="D213" s="7" t="s">
        <v>741</v>
      </c>
      <c r="E213" s="5" t="s">
        <v>742</v>
      </c>
      <c r="F213" s="5" t="s">
        <v>837</v>
      </c>
      <c r="G213" s="5" t="s">
        <v>743</v>
      </c>
      <c r="H213" s="8">
        <f>50+20</f>
        <v>70</v>
      </c>
      <c r="I213" s="8" t="s">
        <v>486</v>
      </c>
      <c r="J213" s="10" t="s">
        <v>483</v>
      </c>
      <c r="K213" s="10"/>
      <c r="L213" s="10"/>
    </row>
    <row r="214" spans="1:15" s="9" customFormat="1" ht="15.75">
      <c r="A214" s="5" t="s">
        <v>533</v>
      </c>
      <c r="B214" s="7" t="s">
        <v>804</v>
      </c>
      <c r="C214" s="7" t="s">
        <v>804</v>
      </c>
      <c r="D214" s="7" t="s">
        <v>805</v>
      </c>
      <c r="E214" s="5" t="s">
        <v>806</v>
      </c>
      <c r="F214" s="5" t="s">
        <v>837</v>
      </c>
      <c r="G214" s="5" t="s">
        <v>803</v>
      </c>
      <c r="H214" s="8">
        <v>40</v>
      </c>
      <c r="I214" s="8" t="s">
        <v>486</v>
      </c>
      <c r="J214" s="10" t="s">
        <v>483</v>
      </c>
      <c r="K214" s="10"/>
      <c r="L214" s="10"/>
    </row>
    <row r="215" spans="1:15" s="9" customFormat="1" ht="15.75">
      <c r="A215" s="5" t="s">
        <v>497</v>
      </c>
      <c r="B215" s="7" t="s">
        <v>119</v>
      </c>
      <c r="C215" s="7" t="s">
        <v>119</v>
      </c>
      <c r="D215" s="7" t="s">
        <v>1576</v>
      </c>
      <c r="E215" s="5" t="s">
        <v>1574</v>
      </c>
      <c r="F215" s="5" t="s">
        <v>837</v>
      </c>
      <c r="G215" s="5" t="s">
        <v>271</v>
      </c>
      <c r="H215" s="8">
        <v>50</v>
      </c>
      <c r="I215" s="8" t="s">
        <v>876</v>
      </c>
      <c r="J215" s="10" t="s">
        <v>484</v>
      </c>
    </row>
    <row r="216" spans="1:15" s="9" customFormat="1" ht="15.75">
      <c r="A216" s="5" t="s">
        <v>497</v>
      </c>
      <c r="B216" s="7" t="s">
        <v>119</v>
      </c>
      <c r="C216" s="7" t="s">
        <v>119</v>
      </c>
      <c r="D216" s="7" t="s">
        <v>1576</v>
      </c>
      <c r="E216" s="5" t="s">
        <v>1574</v>
      </c>
      <c r="F216" s="5" t="s">
        <v>837</v>
      </c>
      <c r="G216" s="5" t="s">
        <v>271</v>
      </c>
      <c r="H216" s="8">
        <v>40</v>
      </c>
      <c r="I216" s="10" t="s">
        <v>876</v>
      </c>
      <c r="J216" s="10" t="s">
        <v>483</v>
      </c>
      <c r="K216" s="10"/>
      <c r="L216" s="10"/>
    </row>
    <row r="217" spans="1:15" s="9" customFormat="1" ht="15.75">
      <c r="A217" s="5" t="s">
        <v>497</v>
      </c>
      <c r="B217" s="45" t="s">
        <v>10</v>
      </c>
      <c r="C217" s="7" t="s">
        <v>10</v>
      </c>
      <c r="D217" s="7" t="s">
        <v>11</v>
      </c>
      <c r="E217" s="5" t="s">
        <v>1132</v>
      </c>
      <c r="F217" s="5" t="s">
        <v>837</v>
      </c>
      <c r="G217" s="5" t="s">
        <v>271</v>
      </c>
      <c r="H217" s="10">
        <v>50</v>
      </c>
      <c r="I217" s="10" t="s">
        <v>876</v>
      </c>
      <c r="J217" s="10" t="s">
        <v>483</v>
      </c>
      <c r="L217" s="10"/>
    </row>
    <row r="218" spans="1:15" s="9" customFormat="1" ht="15.75">
      <c r="A218" s="5" t="s">
        <v>497</v>
      </c>
      <c r="B218" s="44" t="s">
        <v>30</v>
      </c>
      <c r="C218" s="7" t="s">
        <v>30</v>
      </c>
      <c r="D218" s="7" t="s">
        <v>1585</v>
      </c>
      <c r="E218" s="5" t="s">
        <v>1584</v>
      </c>
      <c r="F218" s="5" t="s">
        <v>837</v>
      </c>
      <c r="G218" s="5" t="s">
        <v>1583</v>
      </c>
      <c r="H218" s="8">
        <v>80</v>
      </c>
      <c r="I218" s="8" t="s">
        <v>486</v>
      </c>
      <c r="J218" s="10" t="s">
        <v>483</v>
      </c>
    </row>
    <row r="219" spans="1:15" s="9" customFormat="1" ht="15.75">
      <c r="A219" s="5" t="s">
        <v>497</v>
      </c>
      <c r="B219" s="45" t="s">
        <v>514</v>
      </c>
      <c r="C219" s="7" t="s">
        <v>514</v>
      </c>
      <c r="D219" s="7" t="s">
        <v>1577</v>
      </c>
      <c r="E219" s="5" t="s">
        <v>1575</v>
      </c>
      <c r="F219" s="5" t="s">
        <v>837</v>
      </c>
      <c r="G219" s="5" t="s">
        <v>271</v>
      </c>
      <c r="H219" s="8">
        <v>20</v>
      </c>
      <c r="I219" s="8" t="s">
        <v>486</v>
      </c>
      <c r="J219" s="10" t="s">
        <v>483</v>
      </c>
      <c r="K219" s="10"/>
      <c r="L219" s="10"/>
    </row>
    <row r="220" spans="1:15" s="9" customFormat="1" ht="15.75">
      <c r="A220" s="5" t="s">
        <v>497</v>
      </c>
      <c r="B220" s="45" t="s">
        <v>1544</v>
      </c>
      <c r="C220" s="7" t="s">
        <v>1544</v>
      </c>
      <c r="D220" s="7" t="s">
        <v>1545</v>
      </c>
      <c r="E220" s="5" t="s">
        <v>1546</v>
      </c>
      <c r="F220" s="5" t="s">
        <v>837</v>
      </c>
      <c r="G220" s="5" t="s">
        <v>271</v>
      </c>
      <c r="H220" s="10">
        <v>20</v>
      </c>
      <c r="I220" s="10" t="s">
        <v>486</v>
      </c>
      <c r="J220" s="10" t="s">
        <v>483</v>
      </c>
      <c r="K220" s="10"/>
      <c r="L220" s="10"/>
    </row>
    <row r="221" spans="1:15" s="9" customFormat="1" ht="15.75">
      <c r="A221" s="5" t="s">
        <v>497</v>
      </c>
      <c r="B221" s="45" t="s">
        <v>776</v>
      </c>
      <c r="C221" s="7" t="s">
        <v>776</v>
      </c>
      <c r="D221" s="7" t="s">
        <v>114</v>
      </c>
      <c r="E221" s="5" t="s">
        <v>1133</v>
      </c>
      <c r="F221" s="5" t="s">
        <v>838</v>
      </c>
      <c r="G221" s="5" t="s">
        <v>291</v>
      </c>
      <c r="H221" s="10">
        <v>70</v>
      </c>
      <c r="I221" s="10" t="s">
        <v>876</v>
      </c>
      <c r="J221" s="10" t="s">
        <v>483</v>
      </c>
      <c r="L221" s="10"/>
    </row>
    <row r="222" spans="1:15" s="9" customFormat="1" ht="15.75">
      <c r="A222" s="5" t="s">
        <v>497</v>
      </c>
      <c r="B222" s="44" t="s">
        <v>36</v>
      </c>
      <c r="C222" s="7" t="s">
        <v>36</v>
      </c>
      <c r="D222" s="7" t="s">
        <v>1600</v>
      </c>
      <c r="E222" s="5"/>
      <c r="F222" s="5" t="s">
        <v>838</v>
      </c>
      <c r="G222" s="5" t="s">
        <v>291</v>
      </c>
      <c r="H222" s="8">
        <v>25</v>
      </c>
      <c r="I222" s="10" t="s">
        <v>876</v>
      </c>
      <c r="J222" s="10" t="s">
        <v>483</v>
      </c>
      <c r="L222" s="10"/>
    </row>
    <row r="223" spans="1:15" s="9" customFormat="1" ht="15.75">
      <c r="A223" s="5" t="s">
        <v>497</v>
      </c>
      <c r="B223" s="44" t="s">
        <v>23</v>
      </c>
      <c r="C223" s="7" t="s">
        <v>23</v>
      </c>
      <c r="D223" s="7" t="s">
        <v>24</v>
      </c>
      <c r="E223" s="5" t="s">
        <v>1134</v>
      </c>
      <c r="F223" s="5" t="s">
        <v>838</v>
      </c>
      <c r="G223" s="5" t="s">
        <v>318</v>
      </c>
      <c r="H223" s="10">
        <v>65</v>
      </c>
      <c r="I223" s="8" t="s">
        <v>876</v>
      </c>
      <c r="J223" s="10" t="s">
        <v>484</v>
      </c>
      <c r="L223" s="10"/>
    </row>
    <row r="224" spans="1:15" s="9" customFormat="1" ht="15.75">
      <c r="A224" s="5" t="s">
        <v>497</v>
      </c>
      <c r="B224" s="44" t="s">
        <v>58</v>
      </c>
      <c r="C224" s="7" t="s">
        <v>58</v>
      </c>
      <c r="D224" s="7" t="s">
        <v>59</v>
      </c>
      <c r="E224" s="5" t="s">
        <v>1617</v>
      </c>
      <c r="F224" s="5" t="s">
        <v>838</v>
      </c>
      <c r="G224" s="5" t="s">
        <v>292</v>
      </c>
      <c r="H224" s="8">
        <v>25</v>
      </c>
      <c r="I224" s="8" t="s">
        <v>876</v>
      </c>
      <c r="J224" s="10" t="s">
        <v>484</v>
      </c>
      <c r="K224" s="10"/>
      <c r="L224" s="10"/>
    </row>
    <row r="225" spans="1:13" s="9" customFormat="1" ht="15.75">
      <c r="A225" s="5" t="s">
        <v>497</v>
      </c>
      <c r="B225" s="45" t="s">
        <v>58</v>
      </c>
      <c r="C225" s="7" t="s">
        <v>58</v>
      </c>
      <c r="D225" s="7" t="s">
        <v>59</v>
      </c>
      <c r="E225" s="5" t="s">
        <v>1617</v>
      </c>
      <c r="F225" s="5" t="s">
        <v>838</v>
      </c>
      <c r="G225" s="5" t="s">
        <v>292</v>
      </c>
      <c r="H225" s="8">
        <v>40</v>
      </c>
      <c r="I225" s="10" t="s">
        <v>876</v>
      </c>
      <c r="J225" s="10" t="s">
        <v>483</v>
      </c>
      <c r="K225" s="10"/>
      <c r="L225" s="10"/>
    </row>
    <row r="226" spans="1:13" s="9" customFormat="1" ht="15.75">
      <c r="A226" s="5" t="s">
        <v>497</v>
      </c>
      <c r="B226" s="45" t="s">
        <v>23</v>
      </c>
      <c r="C226" s="7" t="s">
        <v>23</v>
      </c>
      <c r="D226" s="7" t="s">
        <v>24</v>
      </c>
      <c r="E226" s="5" t="s">
        <v>1134</v>
      </c>
      <c r="F226" s="5" t="s">
        <v>838</v>
      </c>
      <c r="G226" s="5" t="s">
        <v>275</v>
      </c>
      <c r="H226" s="10">
        <v>60</v>
      </c>
      <c r="I226" s="10" t="s">
        <v>876</v>
      </c>
      <c r="J226" s="10" t="s">
        <v>483</v>
      </c>
      <c r="L226" s="10"/>
    </row>
    <row r="227" spans="1:13" s="9" customFormat="1" ht="15.75">
      <c r="A227" s="5" t="s">
        <v>497</v>
      </c>
      <c r="B227" s="44" t="s">
        <v>68</v>
      </c>
      <c r="C227" s="7" t="s">
        <v>152</v>
      </c>
      <c r="D227" s="7" t="s">
        <v>19</v>
      </c>
      <c r="E227" s="5" t="s">
        <v>1135</v>
      </c>
      <c r="F227" s="5" t="s">
        <v>838</v>
      </c>
      <c r="G227" s="5" t="s">
        <v>275</v>
      </c>
      <c r="H227" s="10">
        <v>90</v>
      </c>
      <c r="I227" s="8" t="s">
        <v>876</v>
      </c>
      <c r="J227" s="10" t="s">
        <v>484</v>
      </c>
      <c r="L227" s="10"/>
    </row>
    <row r="228" spans="1:13" s="9" customFormat="1" ht="15.75">
      <c r="A228" s="5" t="s">
        <v>497</v>
      </c>
      <c r="B228" s="45" t="s">
        <v>68</v>
      </c>
      <c r="C228" s="7" t="s">
        <v>152</v>
      </c>
      <c r="D228" s="7" t="s">
        <v>19</v>
      </c>
      <c r="E228" s="5" t="s">
        <v>1135</v>
      </c>
      <c r="F228" s="5" t="s">
        <v>838</v>
      </c>
      <c r="G228" s="5" t="s">
        <v>275</v>
      </c>
      <c r="H228" s="10">
        <v>80</v>
      </c>
      <c r="I228" s="10" t="s">
        <v>876</v>
      </c>
      <c r="J228" s="10" t="s">
        <v>483</v>
      </c>
      <c r="L228" s="10"/>
    </row>
    <row r="229" spans="1:13" s="9" customFormat="1" ht="15.75">
      <c r="A229" s="5" t="s">
        <v>497</v>
      </c>
      <c r="B229" s="44" t="s">
        <v>68</v>
      </c>
      <c r="C229" s="7" t="s">
        <v>153</v>
      </c>
      <c r="D229" s="7" t="s">
        <v>1601</v>
      </c>
      <c r="E229" s="5"/>
      <c r="F229" s="5" t="s">
        <v>838</v>
      </c>
      <c r="G229" s="5" t="s">
        <v>275</v>
      </c>
      <c r="H229" s="8">
        <v>45</v>
      </c>
      <c r="I229" s="8" t="s">
        <v>486</v>
      </c>
      <c r="J229" s="10" t="s">
        <v>483</v>
      </c>
      <c r="K229" s="10"/>
      <c r="L229" s="10"/>
    </row>
    <row r="230" spans="1:13" s="9" customFormat="1" ht="15.75">
      <c r="A230" s="5" t="s">
        <v>497</v>
      </c>
      <c r="B230" s="44" t="s">
        <v>68</v>
      </c>
      <c r="C230" s="7" t="s">
        <v>68</v>
      </c>
      <c r="D230" s="7" t="s">
        <v>69</v>
      </c>
      <c r="E230" s="5" t="s">
        <v>1136</v>
      </c>
      <c r="F230" s="5" t="s">
        <v>838</v>
      </c>
      <c r="G230" s="5" t="s">
        <v>275</v>
      </c>
      <c r="H230" s="8">
        <v>40</v>
      </c>
      <c r="I230" s="8" t="s">
        <v>876</v>
      </c>
      <c r="J230" s="10" t="s">
        <v>484</v>
      </c>
    </row>
    <row r="231" spans="1:13" s="9" customFormat="1" ht="15.75">
      <c r="A231" s="5" t="s">
        <v>497</v>
      </c>
      <c r="B231" s="45" t="s">
        <v>68</v>
      </c>
      <c r="C231" s="7" t="s">
        <v>68</v>
      </c>
      <c r="D231" s="7" t="s">
        <v>69</v>
      </c>
      <c r="E231" s="5" t="s">
        <v>1136</v>
      </c>
      <c r="F231" s="5" t="s">
        <v>838</v>
      </c>
      <c r="G231" s="5" t="s">
        <v>275</v>
      </c>
      <c r="H231" s="8">
        <v>60</v>
      </c>
      <c r="I231" s="10" t="s">
        <v>876</v>
      </c>
      <c r="J231" s="10" t="s">
        <v>483</v>
      </c>
      <c r="K231" s="8"/>
      <c r="L231" s="8"/>
    </row>
    <row r="232" spans="1:13" s="9" customFormat="1" ht="15.75">
      <c r="A232" s="5" t="s">
        <v>497</v>
      </c>
      <c r="B232" s="45" t="s">
        <v>1548</v>
      </c>
      <c r="C232" s="7" t="s">
        <v>1548</v>
      </c>
      <c r="D232" s="7" t="s">
        <v>1549</v>
      </c>
      <c r="E232" s="5" t="s">
        <v>1550</v>
      </c>
      <c r="F232" s="5" t="s">
        <v>838</v>
      </c>
      <c r="G232" s="5" t="s">
        <v>275</v>
      </c>
      <c r="H232" s="10">
        <v>20</v>
      </c>
      <c r="I232" s="10" t="s">
        <v>486</v>
      </c>
      <c r="J232" s="10" t="s">
        <v>483</v>
      </c>
      <c r="K232" s="10"/>
      <c r="L232" s="10"/>
    </row>
    <row r="233" spans="1:13" s="9" customFormat="1" ht="15.75">
      <c r="A233" s="5" t="s">
        <v>497</v>
      </c>
      <c r="B233" s="45" t="s">
        <v>1548</v>
      </c>
      <c r="C233" s="7" t="s">
        <v>1548</v>
      </c>
      <c r="D233" s="7" t="s">
        <v>1549</v>
      </c>
      <c r="E233" s="5" t="s">
        <v>1550</v>
      </c>
      <c r="F233" s="5" t="s">
        <v>838</v>
      </c>
      <c r="G233" s="5" t="s">
        <v>275</v>
      </c>
      <c r="H233" s="10">
        <v>20</v>
      </c>
      <c r="I233" s="10" t="s">
        <v>486</v>
      </c>
      <c r="J233" s="10" t="s">
        <v>484</v>
      </c>
      <c r="K233" s="10"/>
      <c r="L233" s="10"/>
    </row>
    <row r="234" spans="1:13" s="9" customFormat="1" ht="15.75">
      <c r="A234" s="5" t="s">
        <v>513</v>
      </c>
      <c r="B234" s="45" t="s">
        <v>563</v>
      </c>
      <c r="C234" s="7" t="s">
        <v>563</v>
      </c>
      <c r="D234" s="7" t="s">
        <v>564</v>
      </c>
      <c r="E234" s="5" t="s">
        <v>1137</v>
      </c>
      <c r="F234" s="5" t="s">
        <v>839</v>
      </c>
      <c r="G234" s="5" t="s">
        <v>508</v>
      </c>
      <c r="H234" s="8">
        <f>50+20</f>
        <v>70</v>
      </c>
      <c r="I234" s="8" t="s">
        <v>486</v>
      </c>
      <c r="J234" s="10" t="s">
        <v>484</v>
      </c>
    </row>
    <row r="235" spans="1:13" s="9" customFormat="1" ht="15.75">
      <c r="A235" s="5" t="s">
        <v>498</v>
      </c>
      <c r="B235" s="45" t="s">
        <v>287</v>
      </c>
      <c r="C235" s="7" t="s">
        <v>249</v>
      </c>
      <c r="D235" s="7" t="s">
        <v>250</v>
      </c>
      <c r="E235" s="124"/>
      <c r="F235" s="5" t="s">
        <v>839</v>
      </c>
      <c r="G235" s="5" t="s">
        <v>508</v>
      </c>
      <c r="H235" s="10">
        <v>60</v>
      </c>
      <c r="I235" s="10" t="s">
        <v>876</v>
      </c>
      <c r="J235" s="10" t="s">
        <v>483</v>
      </c>
      <c r="L235" s="10"/>
    </row>
    <row r="236" spans="1:13" s="9" customFormat="1" ht="15.75">
      <c r="A236" s="5" t="s">
        <v>498</v>
      </c>
      <c r="B236" s="44" t="s">
        <v>287</v>
      </c>
      <c r="C236" s="7" t="s">
        <v>251</v>
      </c>
      <c r="D236" s="7" t="s">
        <v>252</v>
      </c>
      <c r="E236" s="5" t="s">
        <v>629</v>
      </c>
      <c r="F236" s="5" t="s">
        <v>839</v>
      </c>
      <c r="G236" s="5" t="s">
        <v>508</v>
      </c>
      <c r="H236" s="8">
        <v>60</v>
      </c>
      <c r="I236" s="8" t="s">
        <v>876</v>
      </c>
      <c r="J236" s="10" t="s">
        <v>484</v>
      </c>
      <c r="K236" s="10"/>
      <c r="L236" s="10"/>
    </row>
    <row r="237" spans="1:13" s="9" customFormat="1" ht="15.75">
      <c r="A237" s="5" t="s">
        <v>498</v>
      </c>
      <c r="B237" s="45" t="s">
        <v>287</v>
      </c>
      <c r="C237" s="7" t="s">
        <v>251</v>
      </c>
      <c r="D237" s="7" t="s">
        <v>252</v>
      </c>
      <c r="E237" s="5" t="s">
        <v>629</v>
      </c>
      <c r="F237" s="5" t="s">
        <v>839</v>
      </c>
      <c r="G237" s="5" t="s">
        <v>508</v>
      </c>
      <c r="H237" s="8">
        <v>80</v>
      </c>
      <c r="I237" s="10" t="s">
        <v>876</v>
      </c>
      <c r="J237" s="10" t="s">
        <v>483</v>
      </c>
      <c r="K237" s="10"/>
      <c r="L237" s="10"/>
    </row>
    <row r="238" spans="1:13" s="9" customFormat="1" ht="15.75">
      <c r="A238" s="5" t="s">
        <v>498</v>
      </c>
      <c r="B238" s="44" t="s">
        <v>287</v>
      </c>
      <c r="C238" s="7" t="s">
        <v>253</v>
      </c>
      <c r="D238" s="7" t="s">
        <v>254</v>
      </c>
      <c r="E238" s="10" t="s">
        <v>1138</v>
      </c>
      <c r="F238" s="5" t="s">
        <v>839</v>
      </c>
      <c r="G238" s="5" t="s">
        <v>508</v>
      </c>
      <c r="H238" s="8">
        <v>40</v>
      </c>
      <c r="I238" s="5" t="s">
        <v>874</v>
      </c>
      <c r="J238" s="5" t="s">
        <v>484</v>
      </c>
      <c r="K238" s="10"/>
      <c r="L238" s="10"/>
      <c r="M238" s="8"/>
    </row>
    <row r="239" spans="1:13" s="9" customFormat="1" ht="15.75">
      <c r="A239" s="5" t="s">
        <v>498</v>
      </c>
      <c r="B239" s="45" t="s">
        <v>287</v>
      </c>
      <c r="C239" s="7" t="s">
        <v>253</v>
      </c>
      <c r="D239" s="7" t="s">
        <v>254</v>
      </c>
      <c r="E239" s="10" t="s">
        <v>1138</v>
      </c>
      <c r="F239" s="5" t="s">
        <v>839</v>
      </c>
      <c r="G239" s="5" t="s">
        <v>508</v>
      </c>
      <c r="H239" s="8">
        <v>45</v>
      </c>
      <c r="I239" s="5" t="s">
        <v>874</v>
      </c>
      <c r="J239" s="5" t="s">
        <v>483</v>
      </c>
      <c r="K239" s="10"/>
      <c r="L239" s="10"/>
      <c r="M239" s="8"/>
    </row>
    <row r="240" spans="1:13" s="9" customFormat="1" ht="15.75">
      <c r="A240" s="5" t="s">
        <v>498</v>
      </c>
      <c r="B240" s="45" t="s">
        <v>287</v>
      </c>
      <c r="C240" s="7" t="s">
        <v>255</v>
      </c>
      <c r="D240" s="7" t="s">
        <v>256</v>
      </c>
      <c r="E240" s="170" t="s">
        <v>1621</v>
      </c>
      <c r="F240" s="5" t="s">
        <v>839</v>
      </c>
      <c r="G240" s="5" t="s">
        <v>508</v>
      </c>
      <c r="H240" s="10">
        <v>80</v>
      </c>
      <c r="I240" s="10" t="s">
        <v>876</v>
      </c>
      <c r="J240" s="10" t="s">
        <v>483</v>
      </c>
      <c r="L240" s="10"/>
    </row>
    <row r="241" spans="1:13" s="9" customFormat="1" ht="15.75">
      <c r="A241" s="5" t="s">
        <v>498</v>
      </c>
      <c r="B241" s="45" t="s">
        <v>287</v>
      </c>
      <c r="C241" s="7" t="s">
        <v>257</v>
      </c>
      <c r="D241" s="7" t="s">
        <v>258</v>
      </c>
      <c r="E241" s="5" t="s">
        <v>1622</v>
      </c>
      <c r="F241" s="5" t="s">
        <v>839</v>
      </c>
      <c r="G241" s="5" t="s">
        <v>508</v>
      </c>
      <c r="H241" s="10">
        <v>80</v>
      </c>
      <c r="I241" s="10" t="s">
        <v>876</v>
      </c>
      <c r="J241" s="10" t="s">
        <v>483</v>
      </c>
      <c r="L241" s="10"/>
    </row>
    <row r="242" spans="1:13" s="9" customFormat="1" ht="15.75">
      <c r="A242" s="5" t="s">
        <v>498</v>
      </c>
      <c r="B242" s="49" t="s">
        <v>96</v>
      </c>
      <c r="C242" s="7" t="s">
        <v>96</v>
      </c>
      <c r="D242" s="7" t="s">
        <v>97</v>
      </c>
      <c r="E242" s="5" t="s">
        <v>1619</v>
      </c>
      <c r="F242" s="5" t="s">
        <v>839</v>
      </c>
      <c r="G242" s="5" t="s">
        <v>508</v>
      </c>
      <c r="H242" s="8">
        <f>200-20</f>
        <v>180</v>
      </c>
      <c r="I242" s="8" t="s">
        <v>486</v>
      </c>
      <c r="J242" s="10" t="s">
        <v>483</v>
      </c>
      <c r="K242" s="10"/>
      <c r="L242" s="10"/>
    </row>
    <row r="243" spans="1:13" s="9" customFormat="1" ht="15.75">
      <c r="A243" s="5" t="s">
        <v>498</v>
      </c>
      <c r="B243" s="49" t="s">
        <v>588</v>
      </c>
      <c r="C243" s="50" t="s">
        <v>588</v>
      </c>
      <c r="D243" s="7" t="s">
        <v>848</v>
      </c>
      <c r="E243" s="5" t="s">
        <v>1139</v>
      </c>
      <c r="F243" s="5" t="s">
        <v>839</v>
      </c>
      <c r="G243" s="5" t="s">
        <v>508</v>
      </c>
      <c r="H243" s="8">
        <f>40+20</f>
        <v>60</v>
      </c>
      <c r="I243" s="8" t="s">
        <v>486</v>
      </c>
      <c r="J243" s="10" t="s">
        <v>483</v>
      </c>
      <c r="K243" s="10"/>
      <c r="L243" s="10"/>
    </row>
    <row r="244" spans="1:13" s="9" customFormat="1" ht="15.75">
      <c r="A244" s="5" t="s">
        <v>513</v>
      </c>
      <c r="B244" s="45" t="s">
        <v>590</v>
      </c>
      <c r="C244" s="7" t="s">
        <v>590</v>
      </c>
      <c r="D244" s="7" t="s">
        <v>620</v>
      </c>
      <c r="E244" s="5" t="s">
        <v>1618</v>
      </c>
      <c r="F244" s="5" t="s">
        <v>839</v>
      </c>
      <c r="G244" s="5" t="s">
        <v>508</v>
      </c>
      <c r="H244" s="8">
        <f>20+10</f>
        <v>30</v>
      </c>
      <c r="I244" s="8" t="s">
        <v>486</v>
      </c>
      <c r="J244" s="10" t="s">
        <v>483</v>
      </c>
      <c r="K244" s="10"/>
      <c r="L244" s="10"/>
    </row>
    <row r="245" spans="1:13" s="9" customFormat="1" ht="15.75">
      <c r="A245" s="5" t="s">
        <v>498</v>
      </c>
      <c r="B245" s="44" t="s">
        <v>0</v>
      </c>
      <c r="C245" s="7" t="s">
        <v>0</v>
      </c>
      <c r="D245" s="7" t="s">
        <v>1</v>
      </c>
      <c r="E245" s="5"/>
      <c r="F245" s="5" t="s">
        <v>839</v>
      </c>
      <c r="G245" s="5" t="s">
        <v>277</v>
      </c>
      <c r="H245" s="8">
        <v>40</v>
      </c>
      <c r="I245" s="8" t="s">
        <v>486</v>
      </c>
      <c r="J245" s="10" t="s">
        <v>484</v>
      </c>
      <c r="K245" s="10"/>
      <c r="L245" s="10"/>
    </row>
    <row r="246" spans="1:13" s="9" customFormat="1" ht="15.75">
      <c r="A246" s="5" t="s">
        <v>498</v>
      </c>
      <c r="B246" s="49" t="s">
        <v>0</v>
      </c>
      <c r="C246" s="7" t="s">
        <v>0</v>
      </c>
      <c r="D246" s="7" t="s">
        <v>1</v>
      </c>
      <c r="E246" s="5"/>
      <c r="F246" s="5" t="s">
        <v>839</v>
      </c>
      <c r="G246" s="5" t="s">
        <v>277</v>
      </c>
      <c r="H246" s="8">
        <v>40</v>
      </c>
      <c r="I246" s="8" t="s">
        <v>486</v>
      </c>
      <c r="J246" s="10" t="s">
        <v>483</v>
      </c>
      <c r="K246" s="10"/>
      <c r="L246" s="10"/>
    </row>
    <row r="247" spans="1:13" s="9" customFormat="1" ht="15.75">
      <c r="A247" s="5" t="s">
        <v>513</v>
      </c>
      <c r="B247" s="49" t="s">
        <v>737</v>
      </c>
      <c r="C247" s="50" t="s">
        <v>737</v>
      </c>
      <c r="D247" s="7" t="s">
        <v>738</v>
      </c>
      <c r="E247" s="5" t="s">
        <v>739</v>
      </c>
      <c r="F247" s="5" t="s">
        <v>839</v>
      </c>
      <c r="G247" s="5" t="s">
        <v>277</v>
      </c>
      <c r="H247" s="8">
        <v>50</v>
      </c>
      <c r="I247" s="8" t="s">
        <v>486</v>
      </c>
      <c r="J247" s="10" t="s">
        <v>484</v>
      </c>
      <c r="K247" s="10"/>
      <c r="L247" s="10"/>
      <c r="M247" s="8"/>
    </row>
    <row r="248" spans="1:13" s="9" customFormat="1" ht="15.75">
      <c r="A248" s="5" t="s">
        <v>513</v>
      </c>
      <c r="B248" s="49" t="s">
        <v>737</v>
      </c>
      <c r="C248" s="50" t="s">
        <v>737</v>
      </c>
      <c r="D248" s="7" t="s">
        <v>738</v>
      </c>
      <c r="E248" s="5" t="s">
        <v>739</v>
      </c>
      <c r="F248" s="5" t="s">
        <v>839</v>
      </c>
      <c r="G248" s="5" t="s">
        <v>277</v>
      </c>
      <c r="H248" s="8">
        <v>50</v>
      </c>
      <c r="I248" s="8" t="s">
        <v>486</v>
      </c>
      <c r="J248" s="10" t="s">
        <v>483</v>
      </c>
      <c r="K248" s="10"/>
      <c r="L248" s="10"/>
    </row>
    <row r="249" spans="1:13" s="9" customFormat="1" ht="15.75">
      <c r="A249" s="5" t="s">
        <v>498</v>
      </c>
      <c r="B249" s="45" t="s">
        <v>52</v>
      </c>
      <c r="C249" s="7" t="s">
        <v>158</v>
      </c>
      <c r="D249" s="7" t="s">
        <v>159</v>
      </c>
      <c r="E249" s="171" t="s">
        <v>1623</v>
      </c>
      <c r="F249" s="5" t="s">
        <v>839</v>
      </c>
      <c r="G249" s="5" t="s">
        <v>277</v>
      </c>
      <c r="H249" s="10">
        <v>65</v>
      </c>
      <c r="I249" s="10" t="s">
        <v>876</v>
      </c>
      <c r="J249" s="10" t="s">
        <v>483</v>
      </c>
      <c r="L249" s="10"/>
    </row>
    <row r="250" spans="1:13" s="9" customFormat="1" ht="15.75">
      <c r="A250" s="5" t="s">
        <v>498</v>
      </c>
      <c r="B250" s="45" t="s">
        <v>52</v>
      </c>
      <c r="C250" s="7" t="s">
        <v>52</v>
      </c>
      <c r="D250" s="7" t="s">
        <v>53</v>
      </c>
      <c r="E250" s="5" t="s">
        <v>1586</v>
      </c>
      <c r="F250" s="5" t="s">
        <v>839</v>
      </c>
      <c r="G250" s="5" t="s">
        <v>277</v>
      </c>
      <c r="H250" s="8">
        <f>70</f>
        <v>70</v>
      </c>
      <c r="I250" s="10" t="s">
        <v>876</v>
      </c>
      <c r="J250" s="10" t="s">
        <v>483</v>
      </c>
    </row>
    <row r="251" spans="1:13" s="9" customFormat="1" ht="15.75">
      <c r="A251" s="5" t="s">
        <v>498</v>
      </c>
      <c r="B251" s="44" t="s">
        <v>52</v>
      </c>
      <c r="C251" s="7" t="s">
        <v>52</v>
      </c>
      <c r="D251" s="7" t="s">
        <v>53</v>
      </c>
      <c r="E251" s="5" t="s">
        <v>1586</v>
      </c>
      <c r="F251" s="5" t="s">
        <v>839</v>
      </c>
      <c r="G251" s="5" t="s">
        <v>277</v>
      </c>
      <c r="H251" s="8">
        <v>40</v>
      </c>
      <c r="I251" s="8" t="s">
        <v>876</v>
      </c>
      <c r="J251" s="10" t="s">
        <v>484</v>
      </c>
      <c r="K251" s="10"/>
      <c r="L251" s="10"/>
    </row>
    <row r="252" spans="1:13" s="9" customFormat="1" ht="15.75">
      <c r="A252" s="5" t="s">
        <v>498</v>
      </c>
      <c r="B252" s="44" t="s">
        <v>52</v>
      </c>
      <c r="C252" s="7" t="s">
        <v>160</v>
      </c>
      <c r="D252" s="7" t="s">
        <v>161</v>
      </c>
      <c r="E252" s="5"/>
      <c r="F252" s="5" t="s">
        <v>839</v>
      </c>
      <c r="G252" s="5" t="s">
        <v>277</v>
      </c>
      <c r="H252" s="8">
        <v>25</v>
      </c>
      <c r="I252" s="8" t="s">
        <v>876</v>
      </c>
      <c r="J252" s="10" t="s">
        <v>484</v>
      </c>
      <c r="K252" s="10"/>
      <c r="L252" s="10"/>
    </row>
    <row r="253" spans="1:13" s="9" customFormat="1" ht="15.75">
      <c r="A253" s="5" t="s">
        <v>498</v>
      </c>
      <c r="B253" s="45" t="s">
        <v>52</v>
      </c>
      <c r="C253" s="7" t="s">
        <v>160</v>
      </c>
      <c r="D253" s="7" t="s">
        <v>161</v>
      </c>
      <c r="E253" s="5"/>
      <c r="F253" s="5" t="s">
        <v>839</v>
      </c>
      <c r="G253" s="5" t="s">
        <v>277</v>
      </c>
      <c r="H253" s="8">
        <v>45</v>
      </c>
      <c r="I253" s="10" t="s">
        <v>876</v>
      </c>
      <c r="J253" s="10" t="s">
        <v>483</v>
      </c>
      <c r="K253" s="10"/>
      <c r="L253" s="10"/>
    </row>
    <row r="254" spans="1:13" s="9" customFormat="1" ht="15.75">
      <c r="A254" s="5" t="s">
        <v>498</v>
      </c>
      <c r="B254" s="49" t="s">
        <v>94</v>
      </c>
      <c r="C254" s="7" t="s">
        <v>94</v>
      </c>
      <c r="D254" s="7" t="s">
        <v>95</v>
      </c>
      <c r="E254" s="5" t="s">
        <v>630</v>
      </c>
      <c r="F254" s="5" t="s">
        <v>839</v>
      </c>
      <c r="G254" s="5" t="s">
        <v>277</v>
      </c>
      <c r="H254" s="8">
        <v>80</v>
      </c>
      <c r="I254" s="8" t="s">
        <v>486</v>
      </c>
      <c r="J254" s="10" t="s">
        <v>483</v>
      </c>
    </row>
    <row r="255" spans="1:13" s="9" customFormat="1" ht="15.75">
      <c r="A255" s="5" t="s">
        <v>497</v>
      </c>
      <c r="B255" s="44" t="s">
        <v>62</v>
      </c>
      <c r="C255" s="7" t="s">
        <v>62</v>
      </c>
      <c r="D255" s="7" t="s">
        <v>63</v>
      </c>
      <c r="E255" s="5" t="s">
        <v>1140</v>
      </c>
      <c r="F255" s="5" t="s">
        <v>840</v>
      </c>
      <c r="G255" s="5" t="s">
        <v>293</v>
      </c>
      <c r="H255" s="8">
        <v>25</v>
      </c>
      <c r="I255" s="8" t="s">
        <v>876</v>
      </c>
      <c r="J255" s="10" t="s">
        <v>484</v>
      </c>
      <c r="K255" s="10"/>
      <c r="L255" s="10"/>
    </row>
    <row r="256" spans="1:13" s="9" customFormat="1" ht="15.75">
      <c r="A256" s="5" t="s">
        <v>497</v>
      </c>
      <c r="B256" s="45" t="s">
        <v>62</v>
      </c>
      <c r="C256" s="7" t="s">
        <v>62</v>
      </c>
      <c r="D256" s="7" t="s">
        <v>63</v>
      </c>
      <c r="E256" s="5" t="s">
        <v>1140</v>
      </c>
      <c r="F256" s="5" t="s">
        <v>840</v>
      </c>
      <c r="G256" s="5" t="s">
        <v>293</v>
      </c>
      <c r="H256" s="8">
        <v>50</v>
      </c>
      <c r="I256" s="10" t="s">
        <v>876</v>
      </c>
      <c r="J256" s="10" t="s">
        <v>483</v>
      </c>
    </row>
    <row r="257" spans="1:13" s="9" customFormat="1" ht="15.75">
      <c r="A257" s="5" t="s">
        <v>497</v>
      </c>
      <c r="B257" s="45" t="s">
        <v>62</v>
      </c>
      <c r="C257" s="7" t="s">
        <v>154</v>
      </c>
      <c r="D257" s="7" t="s">
        <v>155</v>
      </c>
      <c r="E257" s="5"/>
      <c r="F257" s="5" t="s">
        <v>840</v>
      </c>
      <c r="G257" s="5" t="s">
        <v>293</v>
      </c>
      <c r="H257" s="8">
        <v>50</v>
      </c>
      <c r="I257" s="5" t="s">
        <v>874</v>
      </c>
      <c r="J257" s="5" t="s">
        <v>483</v>
      </c>
      <c r="K257" s="10"/>
      <c r="L257" s="10"/>
    </row>
    <row r="258" spans="1:13" s="9" customFormat="1" ht="15.75">
      <c r="A258" s="5"/>
      <c r="B258" s="49"/>
      <c r="C258" s="50"/>
      <c r="D258" s="7"/>
      <c r="E258" s="5"/>
      <c r="F258" s="5"/>
      <c r="G258" s="5"/>
      <c r="H258" s="8"/>
      <c r="I258" s="8"/>
      <c r="J258" s="10"/>
      <c r="K258" s="10"/>
      <c r="L258" s="10"/>
      <c r="M258" s="8"/>
    </row>
    <row r="259" spans="1:13" s="9" customFormat="1" ht="15.75">
      <c r="A259" s="5"/>
      <c r="B259" s="39" t="s">
        <v>486</v>
      </c>
      <c r="C259" s="7"/>
      <c r="D259" s="7"/>
      <c r="E259" s="5"/>
      <c r="I259" s="168" t="s">
        <v>878</v>
      </c>
      <c r="J259" s="168"/>
      <c r="K259" s="10"/>
      <c r="L259" s="10"/>
    </row>
    <row r="260" spans="1:13" s="9" customFormat="1" ht="15.75">
      <c r="A260" s="5"/>
      <c r="B260" s="39" t="s">
        <v>487</v>
      </c>
      <c r="C260" s="7"/>
      <c r="D260" s="7"/>
      <c r="E260" s="5"/>
      <c r="F260" s="7"/>
      <c r="H260" s="36" t="s">
        <v>877</v>
      </c>
      <c r="I260" s="2" t="s">
        <v>484</v>
      </c>
      <c r="J260" s="2" t="s">
        <v>483</v>
      </c>
      <c r="K260" s="1"/>
      <c r="L260" s="1"/>
    </row>
    <row r="261" spans="1:13" ht="15.75">
      <c r="B261" s="39" t="s">
        <v>874</v>
      </c>
      <c r="H261" s="36" t="s">
        <v>486</v>
      </c>
      <c r="I261" s="112">
        <f>SUMIFS($H$3:$H$257,$J$3:$J$257,"COMIDAS",$I$3:$I$257,"ACCION SOCIAL")</f>
        <v>4615</v>
      </c>
      <c r="J261" s="112">
        <f>SUMIFS($H$3:$H$257,$J$3:$J$257,"refrigerios",$I$3:$I$257,"ACCION SOCIAL")</f>
        <v>7122</v>
      </c>
      <c r="K261" s="1"/>
      <c r="L261" s="1"/>
    </row>
    <row r="262" spans="1:13" ht="15.75">
      <c r="B262" s="135"/>
      <c r="H262" s="37" t="s">
        <v>487</v>
      </c>
      <c r="I262" s="112">
        <f>SUMIFS($H$3:$H$257,$J$3:$J$257,"COMIDAS",$I$3:$I$257,"MIN. Y FLIA.")</f>
        <v>2476</v>
      </c>
      <c r="J262" s="112">
        <f>SUMIFS($H$3:$H$257,$J$3:$J$257,"refrigerios",$I$3:$I$257,"MIN. Y FLIA.")</f>
        <v>4805</v>
      </c>
      <c r="K262" s="1"/>
      <c r="L262" s="1"/>
    </row>
    <row r="263" spans="1:13" ht="15.75">
      <c r="B263" s="135"/>
      <c r="H263" s="37" t="s">
        <v>874</v>
      </c>
      <c r="I263" s="112">
        <f>SUMIFS($H$3:$H$257,$J$3:$J$257,"COMIDAS",$I$3:$I$257,"Mtrio. de Justicia")</f>
        <v>85</v>
      </c>
      <c r="J263" s="112">
        <f>SUMIFS($H$3:$H$257,$J$3:$J$257,"refrigerios",$I$3:$I$257,"Mtrio. de Justicia")</f>
        <v>145</v>
      </c>
    </row>
    <row r="264" spans="1:13" ht="15.75">
      <c r="H264" s="16"/>
      <c r="I264" s="113">
        <f>SUM(I261:I263)</f>
        <v>7176</v>
      </c>
      <c r="J264" s="113">
        <f>SUM(J261:J263)</f>
        <v>12072</v>
      </c>
      <c r="K264" s="1"/>
      <c r="L264" s="1"/>
    </row>
    <row r="265" spans="1:13" ht="15.75">
      <c r="H265" s="16"/>
      <c r="I265" s="16"/>
      <c r="J265" s="1"/>
      <c r="K265" s="1"/>
      <c r="L265" s="1"/>
    </row>
    <row r="266" spans="1:13" ht="15.75">
      <c r="A266" s="1"/>
      <c r="B266" s="19"/>
      <c r="H266" s="3"/>
      <c r="I266" s="16"/>
      <c r="J266" s="1"/>
      <c r="K266" s="1"/>
      <c r="L266" s="1"/>
    </row>
    <row r="267" spans="1:13" ht="15.75">
      <c r="H267" s="165" t="s">
        <v>1559</v>
      </c>
      <c r="I267" s="166"/>
      <c r="J267" s="167"/>
      <c r="K267" s="1"/>
      <c r="L267" s="1"/>
    </row>
    <row r="268" spans="1:13" ht="15.75">
      <c r="H268" s="16"/>
      <c r="I268" s="43" t="s">
        <v>484</v>
      </c>
      <c r="J268" s="43" t="s">
        <v>483</v>
      </c>
      <c r="K268" s="1"/>
      <c r="L268" s="1"/>
    </row>
    <row r="269" spans="1:13" ht="15.75">
      <c r="H269" s="16" t="s">
        <v>1560</v>
      </c>
      <c r="I269" s="3" t="e">
        <f>COUNTIFS($J$1:$J$257,"COMIDAS",#REF!,"Reciben en Plan 1 (2026)")</f>
        <v>#REF!</v>
      </c>
      <c r="J269" s="3" t="e">
        <f>COUNTIFS($J$1:$J$257,"refrigerios",#REF!,"Reciben en Plan 1 (2026)")</f>
        <v>#REF!</v>
      </c>
      <c r="K269" s="1"/>
      <c r="L269" s="1"/>
    </row>
    <row r="270" spans="1:13" ht="15.75">
      <c r="H270" s="3" t="s">
        <v>1561</v>
      </c>
      <c r="I270" s="3" t="e">
        <f>SUMIFS($K$3:$K$257,$J$3:$J$257,"COMIDAS",#REF!,"Reciben en Plan 1 (2026)")</f>
        <v>#REF!</v>
      </c>
      <c r="J270" s="3" t="e">
        <f>SUMIFS($K$3:$K$257,$J$3:$J$257,"REFRIGERIOS",#REF!,"Reciben en Plan 1 (2026)")</f>
        <v>#REF!</v>
      </c>
    </row>
    <row r="271" spans="1:13" ht="15.75">
      <c r="H271" s="3"/>
      <c r="I271" s="16"/>
      <c r="J271" s="1"/>
    </row>
    <row r="272" spans="1:13" ht="15.75">
      <c r="H272" s="16"/>
      <c r="I272" s="16"/>
      <c r="J272" s="1"/>
    </row>
    <row r="273" spans="8:10" ht="15.75">
      <c r="H273" s="16"/>
      <c r="I273" s="16"/>
      <c r="J273" s="1"/>
    </row>
    <row r="274" spans="8:10" ht="15.75">
      <c r="I274" s="16"/>
      <c r="J274" s="1"/>
    </row>
  </sheetData>
  <sortState xmlns:xlrd2="http://schemas.microsoft.com/office/spreadsheetml/2017/richdata2" ref="A3:L257">
    <sortCondition ref="F3:F257"/>
    <sortCondition ref="G3:G257"/>
    <sortCondition ref="B3:B257"/>
    <sortCondition ref="C3:C257"/>
  </sortState>
  <mergeCells count="3">
    <mergeCell ref="I259:J259"/>
    <mergeCell ref="A1:L1"/>
    <mergeCell ref="H267:J267"/>
  </mergeCells>
  <conditionalFormatting sqref="M102:M104">
    <cfRule type="cellIs" dxfId="1" priority="3" operator="greaterThan">
      <formula>0</formula>
    </cfRule>
  </conditionalFormatting>
  <conditionalFormatting sqref="M254:M255">
    <cfRule type="cellIs" dxfId="0" priority="2" operator="greaterThan">
      <formula>0</formula>
    </cfRule>
  </conditionalFormatting>
  <pageMargins left="0.2" right="0.19685039370078741" top="0.27559055118110237" bottom="0.19685039370078741" header="0.15748031496062992" footer="0.15748031496062992"/>
  <pageSetup paperSize="9" scale="60" orientation="landscape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7ACCD-1296-498E-88BA-F1AD875F17DF}">
  <sheetPr>
    <tabColor rgb="FF7030A0"/>
  </sheetPr>
  <dimension ref="A1:J19"/>
  <sheetViews>
    <sheetView workbookViewId="0">
      <selection activeCell="K16" sqref="K16"/>
    </sheetView>
  </sheetViews>
  <sheetFormatPr baseColWidth="10" defaultRowHeight="12.75"/>
  <cols>
    <col min="2" max="2" width="18" bestFit="1" customWidth="1"/>
    <col min="3" max="3" width="17.42578125" customWidth="1"/>
    <col min="9" max="9" width="14.28515625" bestFit="1" customWidth="1"/>
  </cols>
  <sheetData>
    <row r="1" spans="1:10" ht="13.5" thickBot="1"/>
    <row r="2" spans="1:10" ht="13.5" thickBot="1">
      <c r="B2" s="180" t="s">
        <v>1624</v>
      </c>
      <c r="C2" s="181"/>
    </row>
    <row r="3" spans="1:10">
      <c r="A3" s="172"/>
      <c r="B3" s="184" t="s">
        <v>1625</v>
      </c>
      <c r="C3" s="185" t="s">
        <v>483</v>
      </c>
      <c r="I3" s="175" t="s">
        <v>1631</v>
      </c>
      <c r="J3" s="176"/>
    </row>
    <row r="4" spans="1:10" ht="20.25" thickBot="1">
      <c r="B4" s="186">
        <v>29226</v>
      </c>
      <c r="C4" s="187">
        <v>33838</v>
      </c>
      <c r="I4" s="173"/>
      <c r="J4" s="174" t="s">
        <v>1633</v>
      </c>
    </row>
    <row r="5" spans="1:10">
      <c r="I5" s="201" t="s">
        <v>1632</v>
      </c>
      <c r="J5" s="202">
        <v>42</v>
      </c>
    </row>
    <row r="6" spans="1:10" ht="13.5" thickBot="1">
      <c r="I6" s="178" t="s">
        <v>1634</v>
      </c>
      <c r="J6" s="179">
        <v>30</v>
      </c>
    </row>
    <row r="7" spans="1:10">
      <c r="B7" s="188" t="s">
        <v>1626</v>
      </c>
      <c r="C7" s="189"/>
      <c r="I7" s="173" t="s">
        <v>1635</v>
      </c>
      <c r="J7" s="174">
        <v>30</v>
      </c>
    </row>
    <row r="8" spans="1:10" ht="13.5" thickBot="1">
      <c r="B8" s="190">
        <v>1600</v>
      </c>
      <c r="C8" s="191"/>
      <c r="I8" s="173" t="s">
        <v>1636</v>
      </c>
      <c r="J8" s="174">
        <v>30</v>
      </c>
    </row>
    <row r="9" spans="1:10" ht="13.5" thickBot="1">
      <c r="I9" s="173" t="s">
        <v>1637</v>
      </c>
      <c r="J9" s="174">
        <v>30</v>
      </c>
    </row>
    <row r="10" spans="1:10">
      <c r="B10" s="180" t="s">
        <v>1627</v>
      </c>
      <c r="C10" s="181"/>
      <c r="I10" s="173" t="s">
        <v>1638</v>
      </c>
      <c r="J10" s="174">
        <v>30</v>
      </c>
    </row>
    <row r="11" spans="1:10">
      <c r="B11" s="192">
        <f>B4*B8</f>
        <v>46761600</v>
      </c>
      <c r="C11" s="193">
        <f>C4*B8</f>
        <v>54140800</v>
      </c>
      <c r="I11" s="173" t="s">
        <v>1639</v>
      </c>
      <c r="J11" s="174">
        <v>30</v>
      </c>
    </row>
    <row r="12" spans="1:10" ht="13.5" thickBot="1">
      <c r="B12" s="194" t="s">
        <v>1628</v>
      </c>
      <c r="C12" s="195"/>
      <c r="I12" s="203" t="s">
        <v>1640</v>
      </c>
      <c r="J12" s="204">
        <v>30</v>
      </c>
    </row>
    <row r="13" spans="1:10" ht="13.5" thickBot="1">
      <c r="B13" s="196">
        <f>SUM(B11+C11)</f>
        <v>100902400</v>
      </c>
      <c r="C13" s="197"/>
      <c r="I13" s="198" t="s">
        <v>635</v>
      </c>
      <c r="J13" s="199"/>
    </row>
    <row r="14" spans="1:10" ht="13.5" thickBot="1">
      <c r="I14" s="177" t="s">
        <v>1641</v>
      </c>
      <c r="J14" s="200">
        <f>SUM(J5:J12)</f>
        <v>252</v>
      </c>
    </row>
    <row r="15" spans="1:10">
      <c r="B15" s="180" t="s">
        <v>1629</v>
      </c>
      <c r="C15" s="181"/>
    </row>
    <row r="16" spans="1:10" ht="13.5" thickBot="1">
      <c r="B16" s="182">
        <f>SUM(B13*30)</f>
        <v>3027072000</v>
      </c>
      <c r="C16" s="183"/>
    </row>
    <row r="17" spans="2:3" ht="13.5" thickBot="1"/>
    <row r="18" spans="2:3">
      <c r="B18" s="180" t="s">
        <v>1630</v>
      </c>
      <c r="C18" s="181"/>
    </row>
    <row r="19" spans="2:3" ht="13.5" thickBot="1">
      <c r="B19" s="182">
        <f>SUM(B13*252)</f>
        <v>25427404800</v>
      </c>
      <c r="C19" s="183"/>
    </row>
  </sheetData>
  <mergeCells count="12">
    <mergeCell ref="B16:C16"/>
    <mergeCell ref="B18:C18"/>
    <mergeCell ref="B19:C19"/>
    <mergeCell ref="B8:C8"/>
    <mergeCell ref="I3:J3"/>
    <mergeCell ref="I13:J13"/>
    <mergeCell ref="B2:C2"/>
    <mergeCell ref="B7:C7"/>
    <mergeCell ref="B10:C10"/>
    <mergeCell ref="B12:C12"/>
    <mergeCell ref="B13:C13"/>
    <mergeCell ref="B15:C15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Tablero</vt:lpstr>
      <vt:lpstr>Mapa</vt:lpstr>
      <vt:lpstr>PADRON CAP</vt:lpstr>
      <vt:lpstr>PADRON INTERIOR</vt:lpstr>
      <vt:lpstr>PRESUPUESTO</vt:lpstr>
      <vt:lpstr>'PADRON CAP'!Área_de_impresión</vt:lpstr>
      <vt:lpstr>'PADRON CAP'!Títulos_a_imprimir</vt:lpstr>
      <vt:lpstr>'PADRON INTERIOR'!Títulos_a_imprimir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Gustavo Vallejos</cp:lastModifiedBy>
  <cp:lastPrinted>2025-12-18T19:42:27Z</cp:lastPrinted>
  <dcterms:created xsi:type="dcterms:W3CDTF">2014-07-14T15:47:17Z</dcterms:created>
  <dcterms:modified xsi:type="dcterms:W3CDTF">2026-03-25T14:25:51Z</dcterms:modified>
</cp:coreProperties>
</file>