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ownloads\"/>
    </mc:Choice>
  </mc:AlternateContent>
  <xr:revisionPtr revIDLastSave="0" documentId="13_ncr:1_{B4A8DD9E-6901-4E41-8C09-D399C6B92FEA}" xr6:coauthVersionLast="47" xr6:coauthVersionMax="47" xr10:uidLastSave="{00000000-0000-0000-0000-000000000000}"/>
  <bookViews>
    <workbookView xWindow="5736" yWindow="2316" windowWidth="17280" windowHeight="9024" xr2:uid="{00000000-000D-0000-FFFF-FFFF00000000}"/>
  </bookViews>
  <sheets>
    <sheet name="Résultats" sheetId="2" r:id="rId1"/>
    <sheet name="Donné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2" l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9" i="2"/>
  <c r="AF27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9" i="2"/>
  <c r="AD27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9" i="2"/>
  <c r="AB27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9" i="2"/>
  <c r="Z27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9" i="2"/>
  <c r="R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9" i="2"/>
  <c r="X27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9" i="2"/>
  <c r="V27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9" i="2"/>
  <c r="S24" i="2"/>
  <c r="S27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5" i="2"/>
  <c r="S9" i="2"/>
  <c r="R27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9" i="2"/>
  <c r="AA8" i="2"/>
  <c r="AB8" i="2"/>
  <c r="AC8" i="2"/>
  <c r="AD8" i="2"/>
  <c r="AE8" i="2"/>
  <c r="AF8" i="2"/>
  <c r="W8" i="2"/>
  <c r="X8" i="2"/>
  <c r="Y8" i="2"/>
  <c r="Z8" i="2"/>
  <c r="V8" i="2"/>
  <c r="U8" i="2"/>
  <c r="S8" i="2"/>
  <c r="AH7" i="2"/>
  <c r="Y7" i="2"/>
  <c r="AA7" i="2"/>
  <c r="AC7" i="2"/>
  <c r="AE7" i="2"/>
  <c r="W7" i="2"/>
  <c r="U7" i="2"/>
  <c r="R7" i="2"/>
  <c r="R5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9" i="2"/>
  <c r="P7" i="2"/>
  <c r="O8" i="2"/>
  <c r="N8" i="2"/>
  <c r="N7" i="2"/>
  <c r="M8" i="2"/>
  <c r="L8" i="2"/>
  <c r="L7" i="2"/>
  <c r="L5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9" i="2"/>
  <c r="E15" i="2"/>
  <c r="F15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9" i="2"/>
  <c r="E9" i="2" s="1"/>
  <c r="F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9" i="2"/>
  <c r="J8" i="2"/>
  <c r="I8" i="2"/>
  <c r="I7" i="2"/>
  <c r="H8" i="2"/>
  <c r="G8" i="2"/>
  <c r="G7" i="2"/>
  <c r="F7" i="2"/>
  <c r="E7" i="2"/>
  <c r="D7" i="2"/>
  <c r="C7" i="2"/>
  <c r="B7" i="2"/>
  <c r="B5" i="2"/>
  <c r="B3" i="2"/>
  <c r="B2" i="2"/>
  <c r="N27" i="2" l="1"/>
  <c r="I27" i="2"/>
  <c r="O27" i="2"/>
  <c r="J27" i="2"/>
</calcChain>
</file>

<file path=xl/sharedStrings.xml><?xml version="1.0" encoding="utf-8"?>
<sst xmlns="http://schemas.openxmlformats.org/spreadsheetml/2006/main" count="88" uniqueCount="52">
  <si>
    <t>AssureTout Inc.</t>
  </si>
  <si>
    <t>Payes annuelles de l'année 2012</t>
  </si>
  <si>
    <t>Informations employé</t>
  </si>
  <si>
    <t>Activités annuelle</t>
  </si>
  <si>
    <t>Bénifices directs de la semaine</t>
  </si>
  <si>
    <t>Employé</t>
  </si>
  <si>
    <t>Sexe</t>
  </si>
  <si>
    <t>Date d'embauche</t>
  </si>
  <si>
    <t>Année d'expérience</t>
  </si>
  <si>
    <t>Nbr semaines vacance</t>
  </si>
  <si>
    <t>Salaire horaire</t>
  </si>
  <si>
    <t>Attente au niveau des ventes</t>
  </si>
  <si>
    <t>Heures travaillées</t>
  </si>
  <si>
    <t>Ventes réalisées</t>
  </si>
  <si>
    <t>Appréciation client</t>
  </si>
  <si>
    <t>Salaire</t>
  </si>
  <si>
    <t>Prime 1</t>
  </si>
  <si>
    <t>Prime 2</t>
  </si>
  <si>
    <t>Prime 3</t>
  </si>
  <si>
    <t>Prime 4</t>
  </si>
  <si>
    <t>Prime 5</t>
  </si>
  <si>
    <t>Prime 6</t>
  </si>
  <si>
    <t>Salaire annuelle</t>
  </si>
  <si>
    <t>Horaire rég.</t>
  </si>
  <si>
    <t>Horaire sup.</t>
  </si>
  <si>
    <t>Auto</t>
  </si>
  <si>
    <t>Habitation</t>
  </si>
  <si>
    <t>Cadieux, Megan</t>
  </si>
  <si>
    <t>F</t>
  </si>
  <si>
    <t>Deraspe, Roxanne</t>
  </si>
  <si>
    <t>Legros, Billie</t>
  </si>
  <si>
    <t>H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</si>
  <si>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</si>
  <si>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</si>
  <si>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</si>
  <si>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</si>
  <si>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</si>
  <si>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</si>
  <si>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</si>
  <si>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</si>
  <si>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</si>
  <si>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</si>
  <si>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</si>
  <si>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</si>
  <si>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</si>
  <si>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</si>
  <si>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Zone de saisie manuelle</t>
  </si>
  <si>
    <t>Zone calculées auto.</t>
  </si>
  <si>
    <t>Zone de valeurs calculées automatiquement</t>
  </si>
  <si>
    <t>Éligibilité</t>
  </si>
  <si>
    <t>Montant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</si>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</sst>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.0"/>
    <numFmt numFmtId="167" formatCode="0.00&quot;$&quot;"/>
    <numFmt numFmtId="169" formatCode="00,000.00&quot;$&quot;"/>
    <numFmt numFmtId="171" formatCode="#,000.00&quot;$&quot;"/>
    <numFmt numFmtId="172" formatCode="0,000.00&quot;$&quot;"/>
    <numFmt numFmtId="174" formatCode="#,##0.00&quot;$&quot;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499984740745262"/>
      <name val="Arial Black"/>
      <family val="2"/>
    </font>
    <font>
      <b/>
      <i/>
      <sz val="8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1F56"/>
        <bgColor indexed="64"/>
      </patternFill>
    </fill>
    <fill>
      <patternFill patternType="solid">
        <fgColor rgb="FFD99FD2"/>
        <bgColor indexed="64"/>
      </patternFill>
    </fill>
    <fill>
      <patternFill patternType="solid">
        <fgColor rgb="FFEDC1EC"/>
        <bgColor indexed="64"/>
      </patternFill>
    </fill>
    <fill>
      <patternFill patternType="solid">
        <fgColor rgb="FFF4D8EE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/>
      <bottom/>
      <diagonal/>
    </border>
    <border>
      <left style="thick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ck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/>
      <bottom style="medium">
        <color theme="4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ck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rgb="FF551F56"/>
      </left>
      <right style="thick">
        <color rgb="FF551F56"/>
      </right>
      <top/>
      <bottom style="thick">
        <color rgb="FF551F56"/>
      </bottom>
      <diagonal/>
    </border>
    <border>
      <left style="thick">
        <color rgb="FF551F56"/>
      </left>
      <right style="thick">
        <color rgb="FF551F56"/>
      </right>
      <top/>
      <bottom/>
      <diagonal/>
    </border>
    <border>
      <left style="thick">
        <color rgb="FF551F56"/>
      </left>
      <right style="thin">
        <color rgb="FF551F56"/>
      </right>
      <top/>
      <bottom/>
      <diagonal/>
    </border>
    <border>
      <left style="thin">
        <color rgb="FF551F56"/>
      </left>
      <right style="thick">
        <color rgb="FF551F56"/>
      </right>
      <top/>
      <bottom/>
      <diagonal/>
    </border>
    <border>
      <left style="thick">
        <color rgb="FF551F56"/>
      </left>
      <right style="thin">
        <color rgb="FF551F56"/>
      </right>
      <top/>
      <bottom style="thick">
        <color rgb="FF551F56"/>
      </bottom>
      <diagonal/>
    </border>
    <border>
      <left style="thin">
        <color rgb="FF551F56"/>
      </left>
      <right style="thick">
        <color rgb="FF551F56"/>
      </right>
      <top/>
      <bottom style="thick">
        <color rgb="FF551F56"/>
      </bottom>
      <diagonal/>
    </border>
    <border>
      <left style="thin">
        <color rgb="FF551F56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0" fillId="0" borderId="0" xfId="0" applyNumberFormat="1"/>
    <xf numFmtId="169" fontId="10" fillId="0" borderId="0" xfId="0" applyNumberFormat="1" applyFont="1"/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9" fontId="10" fillId="4" borderId="3" xfId="0" applyNumberFormat="1" applyFont="1" applyFill="1" applyBorder="1"/>
    <xf numFmtId="169" fontId="10" fillId="4" borderId="4" xfId="0" applyNumberFormat="1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9" fontId="12" fillId="4" borderId="3" xfId="0" applyNumberFormat="1" applyFont="1" applyFill="1" applyBorder="1"/>
    <xf numFmtId="169" fontId="12" fillId="4" borderId="4" xfId="0" applyNumberFormat="1" applyFont="1" applyFill="1" applyBorder="1"/>
    <xf numFmtId="167" fontId="10" fillId="4" borderId="3" xfId="0" applyNumberFormat="1" applyFont="1" applyFill="1" applyBorder="1" applyAlignment="1">
      <alignment horizontal="right" vertical="center"/>
    </xf>
    <xf numFmtId="167" fontId="10" fillId="4" borderId="4" xfId="0" applyNumberFormat="1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/>
    </xf>
    <xf numFmtId="166" fontId="11" fillId="4" borderId="8" xfId="0" applyNumberFormat="1" applyFont="1" applyFill="1" applyBorder="1" applyAlignment="1">
      <alignment horizontal="center" vertical="center"/>
    </xf>
    <xf numFmtId="1" fontId="11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" fillId="5" borderId="0" xfId="0" applyFont="1" applyFill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/>
    </xf>
    <xf numFmtId="169" fontId="10" fillId="7" borderId="11" xfId="0" applyNumberFormat="1" applyFont="1" applyFill="1" applyBorder="1"/>
    <xf numFmtId="169" fontId="10" fillId="7" borderId="12" xfId="0" applyNumberFormat="1" applyFont="1" applyFill="1" applyBorder="1"/>
    <xf numFmtId="169" fontId="12" fillId="8" borderId="11" xfId="0" applyNumberFormat="1" applyFont="1" applyFill="1" applyBorder="1"/>
    <xf numFmtId="169" fontId="12" fillId="8" borderId="12" xfId="0" applyNumberFormat="1" applyFont="1" applyFill="1" applyBorder="1"/>
    <xf numFmtId="0" fontId="13" fillId="10" borderId="0" xfId="0" applyFont="1" applyFill="1" applyAlignment="1">
      <alignment horizontal="right"/>
    </xf>
    <xf numFmtId="169" fontId="14" fillId="0" borderId="0" xfId="0" applyNumberFormat="1" applyFont="1"/>
    <xf numFmtId="171" fontId="14" fillId="0" borderId="0" xfId="0" applyNumberFormat="1" applyFont="1"/>
    <xf numFmtId="0" fontId="14" fillId="0" borderId="0" xfId="0" applyFont="1"/>
    <xf numFmtId="174" fontId="14" fillId="0" borderId="0" xfId="0" applyNumberFormat="1" applyFont="1"/>
    <xf numFmtId="0" fontId="14" fillId="9" borderId="0" xfId="0" applyFont="1" applyFill="1"/>
    <xf numFmtId="0" fontId="0" fillId="9" borderId="0" xfId="0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169" fontId="14" fillId="12" borderId="17" xfId="0" applyNumberFormat="1" applyFont="1" applyFill="1" applyBorder="1"/>
    <xf numFmtId="171" fontId="14" fillId="12" borderId="18" xfId="0" applyNumberFormat="1" applyFont="1" applyFill="1" applyBorder="1"/>
    <xf numFmtId="167" fontId="14" fillId="12" borderId="18" xfId="0" applyNumberFormat="1" applyFont="1" applyFill="1" applyBorder="1"/>
    <xf numFmtId="0" fontId="6" fillId="9" borderId="0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72" fontId="14" fillId="12" borderId="18" xfId="0" applyNumberFormat="1" applyFont="1" applyFill="1" applyBorder="1"/>
    <xf numFmtId="174" fontId="14" fillId="12" borderId="18" xfId="0" applyNumberFormat="1" applyFont="1" applyFill="1" applyBorder="1"/>
    <xf numFmtId="0" fontId="6" fillId="11" borderId="16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174" fontId="14" fillId="12" borderId="16" xfId="0" applyNumberFormat="1" applyFont="1" applyFill="1" applyBorder="1"/>
    <xf numFmtId="0" fontId="8" fillId="9" borderId="16" xfId="0" applyFont="1" applyFill="1" applyBorder="1" applyAlignment="1">
      <alignment horizontal="center" vertical="center"/>
    </xf>
    <xf numFmtId="169" fontId="12" fillId="13" borderId="17" xfId="0" applyNumberFormat="1" applyFont="1" applyFill="1" applyBorder="1"/>
    <xf numFmtId="171" fontId="12" fillId="13" borderId="21" xfId="0" applyNumberFormat="1" applyFont="1" applyFill="1" applyBorder="1"/>
    <xf numFmtId="172" fontId="12" fillId="13" borderId="18" xfId="0" applyNumberFormat="1" applyFont="1" applyFill="1" applyBorder="1"/>
    <xf numFmtId="174" fontId="12" fillId="13" borderId="18" xfId="0" applyNumberFormat="1" applyFont="1" applyFill="1" applyBorder="1"/>
    <xf numFmtId="174" fontId="12" fillId="13" borderId="16" xfId="0" applyNumberFormat="1" applyFont="1" applyFill="1" applyBorder="1"/>
  </cellXfs>
  <cellStyles count="1">
    <cellStyle name="Normal" xfId="0" builtinId="0"/>
  </cellStyles>
  <dxfs count="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4D8EE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551F56"/>
      <color rgb="FFF4D8EE"/>
      <color rgb="FFEDC1EC"/>
      <color rgb="FFD99FD2"/>
      <color rgb="FFCB67BD"/>
      <color rgb="FF9250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E07E-B8DB-4EEE-9FDC-355BCEE0AE0A}">
  <dimension ref="B1:AH31"/>
  <sheetViews>
    <sheetView tabSelected="1" zoomScale="40" zoomScaleNormal="40" workbookViewId="0">
      <selection activeCell="AA30" sqref="AA30"/>
    </sheetView>
  </sheetViews>
  <sheetFormatPr baseColWidth="10" defaultRowHeight="14.4" x14ac:dyDescent="0.3"/>
  <cols>
    <col min="1" max="1" width="1.21875" customWidth="1"/>
    <col min="2" max="2" width="16.109375" customWidth="1"/>
    <col min="3" max="3" width="5.5546875" customWidth="1"/>
    <col min="4" max="4" width="18.21875" customWidth="1"/>
    <col min="9" max="10" width="12.44140625" bestFit="1" customWidth="1"/>
    <col min="11" max="11" width="1.21875" customWidth="1"/>
    <col min="14" max="15" width="12.44140625" bestFit="1" customWidth="1"/>
    <col min="16" max="16" width="8.5546875" customWidth="1"/>
    <col min="17" max="17" width="1.5546875" customWidth="1"/>
    <col min="20" max="20" width="0.88671875" customWidth="1"/>
    <col min="33" max="33" width="0.88671875" customWidth="1"/>
  </cols>
  <sheetData>
    <row r="1" spans="2:34" ht="6.6" customHeight="1" x14ac:dyDescent="0.3"/>
    <row r="2" spans="2:34" ht="21.6" thickBot="1" x14ac:dyDescent="0.35">
      <c r="B2" s="3" t="str">
        <f>Données!B2</f>
        <v>AssureTout Inc.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 ht="15" thickTop="1" x14ac:dyDescent="0.3">
      <c r="B3" s="4" t="str">
        <f>Données!B3</f>
        <v>Payes annuelles de l'année 2012</v>
      </c>
    </row>
    <row r="4" spans="2:34" ht="31.2" customHeight="1" x14ac:dyDescent="0.3"/>
    <row r="5" spans="2:34" x14ac:dyDescent="0.3">
      <c r="B5" s="5" t="str">
        <f>Données!B5</f>
        <v>Informations employé</v>
      </c>
      <c r="C5" s="5"/>
      <c r="D5" s="5"/>
      <c r="E5" s="5"/>
      <c r="F5" s="5"/>
      <c r="G5" s="5"/>
      <c r="H5" s="5"/>
      <c r="I5" s="5"/>
      <c r="J5" s="5"/>
      <c r="L5" s="33" t="str">
        <f>Données!L5</f>
        <v>Activités annuelle</v>
      </c>
      <c r="M5" s="33"/>
      <c r="N5" s="33"/>
      <c r="O5" s="33"/>
      <c r="P5" s="33"/>
      <c r="R5" s="49" t="str">
        <f>Données!R5</f>
        <v>Bénifices directs de la semaine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2:34" ht="3.6" customHeight="1" x14ac:dyDescent="0.3"/>
    <row r="7" spans="2:34" ht="11.4" customHeight="1" x14ac:dyDescent="0.3">
      <c r="B7" s="30" t="str">
        <f>Données!B7</f>
        <v>Employé</v>
      </c>
      <c r="C7" s="13" t="str">
        <f>Données!C7</f>
        <v>Sexe</v>
      </c>
      <c r="D7" s="21" t="str">
        <f>Données!D7</f>
        <v>Date d'embauche</v>
      </c>
      <c r="E7" s="22" t="str">
        <f>Données!E7</f>
        <v>Année d'expérience</v>
      </c>
      <c r="F7" s="23" t="str">
        <f>Données!F7</f>
        <v>Nbr semaines vacance</v>
      </c>
      <c r="G7" s="9" t="str">
        <f>Données!G7</f>
        <v>Salaire horaire</v>
      </c>
      <c r="H7" s="10"/>
      <c r="I7" s="9" t="str">
        <f>Données!I7</f>
        <v>Attente au niveau des ventes</v>
      </c>
      <c r="J7" s="10"/>
      <c r="L7" s="34" t="str">
        <f>Données!L7</f>
        <v>Heures travaillées</v>
      </c>
      <c r="M7" s="37"/>
      <c r="N7" s="42" t="str">
        <f>Données!N7</f>
        <v>Ventes réalisées</v>
      </c>
      <c r="O7" s="43"/>
      <c r="P7" s="40" t="str">
        <f>Données!P7</f>
        <v>Appréciation client</v>
      </c>
      <c r="R7" s="56" t="str">
        <f>Données!R7</f>
        <v>Salaire</v>
      </c>
      <c r="S7" s="57"/>
      <c r="T7" s="63"/>
      <c r="U7" s="56" t="str">
        <f>Données!U7</f>
        <v>Prime 1</v>
      </c>
      <c r="V7" s="57"/>
      <c r="W7" s="56" t="str">
        <f>Données!W7</f>
        <v>Prime 2</v>
      </c>
      <c r="X7" s="57"/>
      <c r="Y7" s="56" t="str">
        <f>Données!Y7</f>
        <v>Prime 3</v>
      </c>
      <c r="Z7" s="57"/>
      <c r="AA7" s="56" t="str">
        <f>Données!AA7</f>
        <v>Prime 4</v>
      </c>
      <c r="AB7" s="57"/>
      <c r="AC7" s="56" t="str">
        <f>Données!AC7</f>
        <v>Prime 5</v>
      </c>
      <c r="AD7" s="57"/>
      <c r="AE7" s="56" t="str">
        <f>Données!AE7</f>
        <v>Prime 6</v>
      </c>
      <c r="AF7" s="57"/>
      <c r="AG7" s="55"/>
      <c r="AH7" s="67" t="str">
        <f>Données!AH7</f>
        <v>Salaire annuelle</v>
      </c>
    </row>
    <row r="8" spans="2:34" ht="10.8" customHeight="1" thickBot="1" x14ac:dyDescent="0.35">
      <c r="B8" s="31"/>
      <c r="C8" s="14"/>
      <c r="D8" s="24"/>
      <c r="E8" s="25"/>
      <c r="F8" s="26"/>
      <c r="G8" s="15" t="str">
        <f>Données!G8</f>
        <v>Horaire rég.</v>
      </c>
      <c r="H8" s="16" t="str">
        <f>Données!H8</f>
        <v>Horaire sup.</v>
      </c>
      <c r="I8" s="15" t="str">
        <f>Données!I8</f>
        <v>Auto</v>
      </c>
      <c r="J8" s="16" t="str">
        <f>Données!J8</f>
        <v>Habitation</v>
      </c>
      <c r="L8" s="35" t="str">
        <f>Données!L8</f>
        <v>Horaire rég.</v>
      </c>
      <c r="M8" s="38" t="str">
        <f>Données!M8</f>
        <v>Horaire sup.</v>
      </c>
      <c r="N8" s="35" t="str">
        <f>Données!N8</f>
        <v>Auto</v>
      </c>
      <c r="O8" s="44" t="str">
        <f>Données!O8</f>
        <v>Habitation</v>
      </c>
      <c r="P8" s="40"/>
      <c r="R8" s="58" t="str">
        <f>Données!L8</f>
        <v>Horaire rég.</v>
      </c>
      <c r="S8" s="59" t="str">
        <f>Données!H8</f>
        <v>Horaire sup.</v>
      </c>
      <c r="T8" s="71"/>
      <c r="U8" s="58" t="str">
        <f>Données!$U$8</f>
        <v>Éligibilité</v>
      </c>
      <c r="V8" s="59" t="str">
        <f>Données!$V$8</f>
        <v>Montant</v>
      </c>
      <c r="W8" s="58" t="str">
        <f>Données!$U$8</f>
        <v>Éligibilité</v>
      </c>
      <c r="X8" s="59" t="str">
        <f>Données!$V$8</f>
        <v>Montant</v>
      </c>
      <c r="Y8" s="58" t="str">
        <f>Données!$U$8</f>
        <v>Éligibilité</v>
      </c>
      <c r="Z8" s="59" t="str">
        <f>Données!$V$8</f>
        <v>Montant</v>
      </c>
      <c r="AA8" s="58" t="str">
        <f>Données!$U$8</f>
        <v>Éligibilité</v>
      </c>
      <c r="AB8" s="59" t="str">
        <f>Données!$V$8</f>
        <v>Montant</v>
      </c>
      <c r="AC8" s="58" t="str">
        <f>Données!$U$8</f>
        <v>Éligibilité</v>
      </c>
      <c r="AD8" s="59" t="str">
        <f>Données!$V$8</f>
        <v>Montant</v>
      </c>
      <c r="AE8" s="58" t="str">
        <f>Données!$U$8</f>
        <v>Éligibilité</v>
      </c>
      <c r="AF8" s="59" t="str">
        <f>Données!$V$8</f>
        <v>Montant</v>
      </c>
      <c r="AG8" s="69"/>
      <c r="AH8" s="68"/>
    </row>
    <row r="9" spans="2:34" x14ac:dyDescent="0.3">
      <c r="B9" s="32" t="str">
        <f>Données!B9</f>
        <v>Cadieux, Megan</v>
      </c>
      <c r="C9" s="6" t="str">
        <f>Données!C9</f>
        <v>F</v>
      </c>
      <c r="D9" s="27">
        <f>Données!D9</f>
        <v>38226</v>
      </c>
      <c r="E9" s="28">
        <f>ROUND(YEARFRAC(D9,$D$31,0),1)</f>
        <v>8.4</v>
      </c>
      <c r="F9" s="29">
        <f>ROUNDDOWN(E9/5,0)+2</f>
        <v>3</v>
      </c>
      <c r="G9" s="19">
        <f>Données!G9</f>
        <v>21.68</v>
      </c>
      <c r="H9" s="20">
        <f>Données!H9</f>
        <v>32.520000000000003</v>
      </c>
      <c r="I9" s="11">
        <f>Données!I9</f>
        <v>86639.77</v>
      </c>
      <c r="J9" s="12">
        <f>Données!J9</f>
        <v>138605.66</v>
      </c>
      <c r="L9" s="36">
        <f>ROUND(Données!L9,0)</f>
        <v>1838</v>
      </c>
      <c r="M9" s="39">
        <f>ROUND(Données!M9,0)</f>
        <v>13</v>
      </c>
      <c r="N9" s="45">
        <f>Données!N9</f>
        <v>87225.33</v>
      </c>
      <c r="O9" s="46">
        <f>Données!O9</f>
        <v>113521.61</v>
      </c>
      <c r="P9" s="41">
        <f>Données!P9</f>
        <v>6</v>
      </c>
      <c r="R9" s="60">
        <f>G9*L9</f>
        <v>39847.839999999997</v>
      </c>
      <c r="S9" s="61">
        <f>H9*M9</f>
        <v>422.76000000000005</v>
      </c>
      <c r="T9" s="54"/>
      <c r="U9" s="64" t="s">
        <v>51</v>
      </c>
      <c r="V9" s="65">
        <f>N9/100+1.5*O9/100</f>
        <v>2575.0774500000002</v>
      </c>
      <c r="W9" s="64" t="str">
        <f>IF(N9&gt;I9, "OUI", "NON")</f>
        <v>OUI</v>
      </c>
      <c r="X9" s="66">
        <f>IF(N9&gt;I9, (10*(N9-I9))/100, 0)</f>
        <v>58.55599999999977</v>
      </c>
      <c r="Y9" s="64" t="str">
        <f>IF(O9&gt;J9,"OUI","NON")</f>
        <v>NON</v>
      </c>
      <c r="Z9" s="66">
        <f>IF(O9&gt;J9, 15*(O9-J9)/100, 0)</f>
        <v>0</v>
      </c>
      <c r="AA9" s="64" t="str">
        <f>IF(P9&gt;=6,"OUI","NON")</f>
        <v>OUI</v>
      </c>
      <c r="AB9" s="66">
        <f>IF(P9&gt;=6, 0.25*(O9+N9)/100,0)</f>
        <v>501.86734999999999</v>
      </c>
      <c r="AC9" s="64" t="str">
        <f>IF(AND(N9&gt;I9,O9&gt;J9), "OUI", "NON")</f>
        <v>NON</v>
      </c>
      <c r="AD9" s="66">
        <f>IF(AND(N9&gt;I9,O9&gt;J9),(N9+O9-I9-J9)*P9/100,0)</f>
        <v>0</v>
      </c>
      <c r="AE9" s="64" t="str">
        <f>IF(AND(P9&gt;=6,OR(N9&gt;I9,O9&gt;J9)),"OUI","NON")</f>
        <v>OUI</v>
      </c>
      <c r="AF9" s="66">
        <f>IF(AND(P9&gt;=6,OR(N9&gt;I9,O9&gt;J9)),((O9+N9)/($O$27+$N$27))*15000,0)</f>
        <v>737.56375982265286</v>
      </c>
      <c r="AG9" s="54"/>
      <c r="AH9" s="70">
        <f>SUM(AF9,AD9,AB9,Z9,X9,V9,S9,R9)</f>
        <v>44143.664559822646</v>
      </c>
    </row>
    <row r="10" spans="2:34" x14ac:dyDescent="0.3">
      <c r="B10" s="32" t="str">
        <f>Données!B10</f>
        <v>Deraspe, Roxanne</v>
      </c>
      <c r="C10" s="6" t="str">
        <f>Données!C10</f>
        <v>F</v>
      </c>
      <c r="D10" s="27">
        <f>Données!D10</f>
        <v>37601</v>
      </c>
      <c r="E10" s="28">
        <f t="shared" ref="E10:E25" si="0">ROUNDUP(YEARFRAC(D10,$D$31,0),1)</f>
        <v>10.1</v>
      </c>
      <c r="F10" s="29">
        <f t="shared" ref="F10:F25" si="1">ROUNDDOWN(E10/5,0)+2</f>
        <v>4</v>
      </c>
      <c r="G10" s="19">
        <f>Données!G10</f>
        <v>23.05</v>
      </c>
      <c r="H10" s="20">
        <f>Données!H10</f>
        <v>34.58</v>
      </c>
      <c r="I10" s="11">
        <f>Données!I10</f>
        <v>86104.49</v>
      </c>
      <c r="J10" s="12">
        <f>Données!J10</f>
        <v>141119.44</v>
      </c>
      <c r="L10" s="36">
        <f>ROUND(Données!L10,0)</f>
        <v>1800</v>
      </c>
      <c r="M10" s="39">
        <f>ROUND(Données!M10,0)</f>
        <v>25</v>
      </c>
      <c r="N10" s="45">
        <f>Données!N10</f>
        <v>100494.47</v>
      </c>
      <c r="O10" s="46">
        <f>Données!O10</f>
        <v>133202.71</v>
      </c>
      <c r="P10" s="41">
        <f>Données!P10</f>
        <v>2</v>
      </c>
      <c r="R10" s="60">
        <f t="shared" ref="R10:R25" si="2">G10*L10</f>
        <v>41490</v>
      </c>
      <c r="S10" s="61">
        <f t="shared" ref="S10:S25" si="3">H10*M10</f>
        <v>864.5</v>
      </c>
      <c r="T10" s="54"/>
      <c r="U10" s="64" t="s">
        <v>51</v>
      </c>
      <c r="V10" s="65">
        <f t="shared" ref="V10:V25" si="4">N10/100+1.5*O10/100</f>
        <v>3002.9853499999999</v>
      </c>
      <c r="W10" s="64" t="str">
        <f t="shared" ref="W10:W25" si="5">IF(N10&gt;I10, "OUI", "NON")</f>
        <v>OUI</v>
      </c>
      <c r="X10" s="66">
        <f t="shared" ref="X10:X25" si="6">IF(N10&gt;I10, (10*(N10-I10))/100, 0)</f>
        <v>1438.9979999999996</v>
      </c>
      <c r="Y10" s="64" t="str">
        <f t="shared" ref="Y10:Y25" si="7">IF(O10&gt;J10,"OUI","NON")</f>
        <v>NON</v>
      </c>
      <c r="Z10" s="66">
        <f t="shared" ref="Z10:Z25" si="8">IF(O10&gt;J10, 15*(O10-J10)/100, 0)</f>
        <v>0</v>
      </c>
      <c r="AA10" s="64" t="str">
        <f t="shared" ref="AA10:AA25" si="9">IF(P10&gt;=6,"OUI","NON")</f>
        <v>NON</v>
      </c>
      <c r="AB10" s="66">
        <f t="shared" ref="AB10:AB25" si="10">IF(P10&gt;=6, 0.25*(O10+N10)/100,0)</f>
        <v>0</v>
      </c>
      <c r="AC10" s="64" t="str">
        <f t="shared" ref="AC10:AC25" si="11">IF(AND(N10&gt;I10,O10&gt;J10), "OUI", "NON")</f>
        <v>NON</v>
      </c>
      <c r="AD10" s="66">
        <f t="shared" ref="AD10:AD25" si="12">IF(AND(N10&gt;I10,O10&gt;J10),(N10+O10-I10-J10)*P10/100,0)</f>
        <v>0</v>
      </c>
      <c r="AE10" s="64" t="str">
        <f t="shared" ref="AE10:AE25" si="13">IF(AND(P10&gt;=6,OR(N10&gt;I10,O10&gt;J10)),"OUI","NON")</f>
        <v>NON</v>
      </c>
      <c r="AF10" s="66">
        <f t="shared" ref="AF10:AF25" si="14">IF(AND(P10&gt;=6,OR(N10&gt;I10,O10&gt;J10)),((O10+N10)/($O$27+$N$27))*15000,0)</f>
        <v>0</v>
      </c>
      <c r="AG10" s="54"/>
      <c r="AH10" s="70">
        <f t="shared" ref="AH10:AH25" si="15">SUM(AF10,AD10,AB10,Z10,X10,V10,S10,R10)</f>
        <v>46796.483350000002</v>
      </c>
    </row>
    <row r="11" spans="2:34" x14ac:dyDescent="0.3">
      <c r="B11" s="32" t="str">
        <f>Données!B11</f>
        <v>Legros, Billie</v>
      </c>
      <c r="C11" s="6" t="str">
        <f>Données!C11</f>
        <v>H</v>
      </c>
      <c r="D11" s="27">
        <f>Données!D11</f>
        <v>35826</v>
      </c>
      <c r="E11" s="28">
        <f t="shared" si="0"/>
        <v>15</v>
      </c>
      <c r="F11" s="29">
        <f t="shared" si="1"/>
        <v>5</v>
      </c>
      <c r="G11" s="19">
        <f>Données!G11</f>
        <v>26.94</v>
      </c>
      <c r="H11" s="20">
        <f>Données!H11</f>
        <v>40.409999999999997</v>
      </c>
      <c r="I11" s="11">
        <f>Données!I11</f>
        <v>89605.86</v>
      </c>
      <c r="J11" s="12">
        <f>Données!J11</f>
        <v>156292.04</v>
      </c>
      <c r="L11" s="36">
        <f>ROUND(Données!L11,0)</f>
        <v>1800</v>
      </c>
      <c r="M11" s="39">
        <f>ROUND(Données!M11,0)</f>
        <v>0</v>
      </c>
      <c r="N11" s="45">
        <f>Données!N11</f>
        <v>76821.77</v>
      </c>
      <c r="O11" s="46">
        <f>Données!O11</f>
        <v>158727.13</v>
      </c>
      <c r="P11" s="41">
        <f>Données!P11</f>
        <v>6</v>
      </c>
      <c r="R11" s="60">
        <f t="shared" si="2"/>
        <v>48492</v>
      </c>
      <c r="S11" s="62">
        <f t="shared" si="3"/>
        <v>0</v>
      </c>
      <c r="T11" s="54"/>
      <c r="U11" s="64" t="s">
        <v>51</v>
      </c>
      <c r="V11" s="65">
        <f t="shared" si="4"/>
        <v>3149.1246500000002</v>
      </c>
      <c r="W11" s="64" t="str">
        <f t="shared" si="5"/>
        <v>NON</v>
      </c>
      <c r="X11" s="66">
        <f t="shared" si="6"/>
        <v>0</v>
      </c>
      <c r="Y11" s="64" t="str">
        <f t="shared" si="7"/>
        <v>OUI</v>
      </c>
      <c r="Z11" s="66">
        <f t="shared" si="8"/>
        <v>365.26349999999945</v>
      </c>
      <c r="AA11" s="64" t="str">
        <f t="shared" si="9"/>
        <v>OUI</v>
      </c>
      <c r="AB11" s="66">
        <f t="shared" si="10"/>
        <v>588.87225000000001</v>
      </c>
      <c r="AC11" s="64" t="str">
        <f t="shared" si="11"/>
        <v>NON</v>
      </c>
      <c r="AD11" s="66">
        <f t="shared" si="12"/>
        <v>0</v>
      </c>
      <c r="AE11" s="64" t="str">
        <f t="shared" si="13"/>
        <v>OUI</v>
      </c>
      <c r="AF11" s="66">
        <f t="shared" si="14"/>
        <v>865.42954182061294</v>
      </c>
      <c r="AG11" s="54"/>
      <c r="AH11" s="70">
        <f t="shared" si="15"/>
        <v>53460.689941820616</v>
      </c>
    </row>
    <row r="12" spans="2:34" x14ac:dyDescent="0.3">
      <c r="B12" s="32" t="str">
        <f>Données!B12</f>
        <v>Roberts, Alexander</v>
      </c>
      <c r="C12" s="6" t="str">
        <f>Données!C12</f>
        <v>H</v>
      </c>
      <c r="D12" s="27">
        <f>Données!D12</f>
        <v>35403</v>
      </c>
      <c r="E12" s="28">
        <f t="shared" si="0"/>
        <v>16.100000000000001</v>
      </c>
      <c r="F12" s="29">
        <f t="shared" si="1"/>
        <v>5</v>
      </c>
      <c r="G12" s="19">
        <f>Données!G12</f>
        <v>27.87</v>
      </c>
      <c r="H12" s="20">
        <f>Données!H12</f>
        <v>41.81</v>
      </c>
      <c r="I12" s="11">
        <f>Données!I12</f>
        <v>88556.09</v>
      </c>
      <c r="J12" s="12">
        <f>Données!J12</f>
        <v>156576.41</v>
      </c>
      <c r="L12" s="36">
        <f>ROUND(Données!L12,0)</f>
        <v>1763</v>
      </c>
      <c r="M12" s="39">
        <f>ROUND(Données!M12,0)</f>
        <v>0</v>
      </c>
      <c r="N12" s="45">
        <f>Données!N12</f>
        <v>77813.539999999994</v>
      </c>
      <c r="O12" s="46">
        <f>Données!O12</f>
        <v>170576.59</v>
      </c>
      <c r="P12" s="41">
        <f>Données!P12</f>
        <v>9</v>
      </c>
      <c r="R12" s="60">
        <f t="shared" si="2"/>
        <v>49134.810000000005</v>
      </c>
      <c r="S12" s="62">
        <f t="shared" si="3"/>
        <v>0</v>
      </c>
      <c r="T12" s="54"/>
      <c r="U12" s="64" t="s">
        <v>51</v>
      </c>
      <c r="V12" s="65">
        <f t="shared" si="4"/>
        <v>3336.7842499999997</v>
      </c>
      <c r="W12" s="64" t="str">
        <f t="shared" si="5"/>
        <v>NON</v>
      </c>
      <c r="X12" s="66">
        <f t="shared" si="6"/>
        <v>0</v>
      </c>
      <c r="Y12" s="64" t="str">
        <f t="shared" si="7"/>
        <v>OUI</v>
      </c>
      <c r="Z12" s="66">
        <f t="shared" si="8"/>
        <v>2100.0269999999991</v>
      </c>
      <c r="AA12" s="64" t="str">
        <f t="shared" si="9"/>
        <v>OUI</v>
      </c>
      <c r="AB12" s="66">
        <f t="shared" si="10"/>
        <v>620.975325</v>
      </c>
      <c r="AC12" s="64" t="str">
        <f t="shared" si="11"/>
        <v>NON</v>
      </c>
      <c r="AD12" s="66">
        <f t="shared" si="12"/>
        <v>0</v>
      </c>
      <c r="AE12" s="64" t="str">
        <f t="shared" si="13"/>
        <v>OUI</v>
      </c>
      <c r="AF12" s="66">
        <f t="shared" si="14"/>
        <v>912.60946834675292</v>
      </c>
      <c r="AG12" s="54"/>
      <c r="AH12" s="70">
        <f t="shared" si="15"/>
        <v>56105.206043346756</v>
      </c>
    </row>
    <row r="13" spans="2:34" x14ac:dyDescent="0.3">
      <c r="B13" s="32" t="str">
        <f>Données!B13</f>
        <v>Sabourin, Georges</v>
      </c>
      <c r="C13" s="6" t="str">
        <f>Données!C13</f>
        <v>H</v>
      </c>
      <c r="D13" s="27">
        <f>Données!D13</f>
        <v>33093</v>
      </c>
      <c r="E13" s="28">
        <f t="shared" si="0"/>
        <v>22.5</v>
      </c>
      <c r="F13" s="29">
        <f t="shared" si="1"/>
        <v>6</v>
      </c>
      <c r="G13" s="19">
        <f>Données!G13</f>
        <v>32.93</v>
      </c>
      <c r="H13" s="20">
        <f>Données!H13</f>
        <v>49.4</v>
      </c>
      <c r="I13" s="11">
        <f>Données!I13</f>
        <v>91038.77</v>
      </c>
      <c r="J13" s="12">
        <f>Données!J13</f>
        <v>172168.01</v>
      </c>
      <c r="L13" s="36">
        <f>ROUND(Données!L13,0)</f>
        <v>1725</v>
      </c>
      <c r="M13" s="39">
        <f>ROUND(Données!M13,0)</f>
        <v>40</v>
      </c>
      <c r="N13" s="45">
        <f>Données!N13</f>
        <v>96236.12</v>
      </c>
      <c r="O13" s="46">
        <f>Données!O13</f>
        <v>177509.88</v>
      </c>
      <c r="P13" s="41">
        <f>Données!P13</f>
        <v>7</v>
      </c>
      <c r="R13" s="60">
        <f t="shared" si="2"/>
        <v>56804.25</v>
      </c>
      <c r="S13" s="61">
        <f t="shared" si="3"/>
        <v>1976</v>
      </c>
      <c r="T13" s="54"/>
      <c r="U13" s="64" t="s">
        <v>51</v>
      </c>
      <c r="V13" s="65">
        <f t="shared" si="4"/>
        <v>3625.0093999999999</v>
      </c>
      <c r="W13" s="64" t="str">
        <f t="shared" si="5"/>
        <v>OUI</v>
      </c>
      <c r="X13" s="66">
        <f t="shared" si="6"/>
        <v>519.7349999999991</v>
      </c>
      <c r="Y13" s="64" t="str">
        <f t="shared" si="7"/>
        <v>OUI</v>
      </c>
      <c r="Z13" s="66">
        <f t="shared" si="8"/>
        <v>801.28049999999928</v>
      </c>
      <c r="AA13" s="64" t="str">
        <f t="shared" si="9"/>
        <v>OUI</v>
      </c>
      <c r="AB13" s="66">
        <f t="shared" si="10"/>
        <v>684.36500000000001</v>
      </c>
      <c r="AC13" s="64" t="str">
        <f t="shared" si="11"/>
        <v>OUI</v>
      </c>
      <c r="AD13" s="66">
        <f t="shared" si="12"/>
        <v>737.74539999999809</v>
      </c>
      <c r="AE13" s="64" t="str">
        <f t="shared" si="13"/>
        <v>OUI</v>
      </c>
      <c r="AF13" s="66">
        <f t="shared" si="14"/>
        <v>1005.7693980113067</v>
      </c>
      <c r="AG13" s="54"/>
      <c r="AH13" s="70">
        <f t="shared" si="15"/>
        <v>66154.154698011305</v>
      </c>
    </row>
    <row r="14" spans="2:34" x14ac:dyDescent="0.3">
      <c r="B14" s="32" t="str">
        <f>Données!B14</f>
        <v>Fecteau, Maria</v>
      </c>
      <c r="C14" s="6" t="str">
        <f>Données!C14</f>
        <v>F</v>
      </c>
      <c r="D14" s="27">
        <f>Données!D14</f>
        <v>37900</v>
      </c>
      <c r="E14" s="28">
        <f t="shared" si="0"/>
        <v>9.2999999999999989</v>
      </c>
      <c r="F14" s="29">
        <f t="shared" si="1"/>
        <v>3</v>
      </c>
      <c r="G14" s="19">
        <f>Données!G14</f>
        <v>22.4</v>
      </c>
      <c r="H14" s="20">
        <f>Données!H14</f>
        <v>33.6</v>
      </c>
      <c r="I14" s="11">
        <f>Données!I14</f>
        <v>87296.23</v>
      </c>
      <c r="J14" s="12">
        <f>Données!J14</f>
        <v>141450.34</v>
      </c>
      <c r="L14" s="36">
        <f>ROUND(Données!L14,0)</f>
        <v>1838</v>
      </c>
      <c r="M14" s="39">
        <f>ROUND(Données!M14,0)</f>
        <v>98</v>
      </c>
      <c r="N14" s="45">
        <f>Données!N14</f>
        <v>86363.33</v>
      </c>
      <c r="O14" s="46">
        <f>Données!O14</f>
        <v>120584.13</v>
      </c>
      <c r="P14" s="41">
        <f>Données!P14</f>
        <v>6</v>
      </c>
      <c r="R14" s="60">
        <f t="shared" si="2"/>
        <v>41171.199999999997</v>
      </c>
      <c r="S14" s="61">
        <f t="shared" si="3"/>
        <v>3292.8</v>
      </c>
      <c r="T14" s="54"/>
      <c r="U14" s="64" t="s">
        <v>51</v>
      </c>
      <c r="V14" s="65">
        <f t="shared" si="4"/>
        <v>2672.39525</v>
      </c>
      <c r="W14" s="64" t="str">
        <f t="shared" si="5"/>
        <v>NON</v>
      </c>
      <c r="X14" s="66">
        <f t="shared" si="6"/>
        <v>0</v>
      </c>
      <c r="Y14" s="64" t="str">
        <f t="shared" si="7"/>
        <v>NON</v>
      </c>
      <c r="Z14" s="66">
        <f t="shared" si="8"/>
        <v>0</v>
      </c>
      <c r="AA14" s="64" t="str">
        <f t="shared" si="9"/>
        <v>OUI</v>
      </c>
      <c r="AB14" s="66">
        <f t="shared" si="10"/>
        <v>517.36865</v>
      </c>
      <c r="AC14" s="64" t="str">
        <f t="shared" si="11"/>
        <v>NON</v>
      </c>
      <c r="AD14" s="66">
        <f t="shared" si="12"/>
        <v>0</v>
      </c>
      <c r="AE14" s="64" t="str">
        <f t="shared" si="13"/>
        <v>NON</v>
      </c>
      <c r="AF14" s="66">
        <f t="shared" si="14"/>
        <v>0</v>
      </c>
      <c r="AG14" s="54"/>
      <c r="AH14" s="70">
        <f t="shared" si="15"/>
        <v>47653.763899999998</v>
      </c>
    </row>
    <row r="15" spans="2:34" x14ac:dyDescent="0.3">
      <c r="B15" s="32" t="str">
        <f>Données!B15</f>
        <v>Leblond, Mia-Rose</v>
      </c>
      <c r="C15" s="6" t="str">
        <f>Données!C15</f>
        <v>F</v>
      </c>
      <c r="D15" s="27">
        <f>Données!D15</f>
        <v>35590</v>
      </c>
      <c r="E15" s="28">
        <f t="shared" si="0"/>
        <v>15.6</v>
      </c>
      <c r="F15" s="29">
        <f t="shared" si="1"/>
        <v>5</v>
      </c>
      <c r="G15" s="19">
        <f>Données!G15</f>
        <v>27.46</v>
      </c>
      <c r="H15" s="20">
        <f>Données!H15</f>
        <v>41.19</v>
      </c>
      <c r="I15" s="11">
        <f>Données!I15</f>
        <v>88194.9</v>
      </c>
      <c r="J15" s="12">
        <f>Données!J15</f>
        <v>155011.24</v>
      </c>
      <c r="L15" s="36">
        <f>ROUND(Données!L15,0)</f>
        <v>1763</v>
      </c>
      <c r="M15" s="39">
        <f>ROUND(Données!M15,0)</f>
        <v>244</v>
      </c>
      <c r="N15" s="45">
        <f>Données!N15</f>
        <v>98812.43</v>
      </c>
      <c r="O15" s="46">
        <f>Données!O15</f>
        <v>119521.7</v>
      </c>
      <c r="P15" s="41">
        <f>Données!P15</f>
        <v>6</v>
      </c>
      <c r="R15" s="60">
        <f t="shared" si="2"/>
        <v>48411.98</v>
      </c>
      <c r="S15" s="61">
        <f t="shared" si="3"/>
        <v>10050.359999999999</v>
      </c>
      <c r="T15" s="54"/>
      <c r="U15" s="64" t="s">
        <v>51</v>
      </c>
      <c r="V15" s="65">
        <f t="shared" si="4"/>
        <v>2780.9497999999999</v>
      </c>
      <c r="W15" s="64" t="str">
        <f t="shared" si="5"/>
        <v>OUI</v>
      </c>
      <c r="X15" s="66">
        <f t="shared" si="6"/>
        <v>1061.7529999999999</v>
      </c>
      <c r="Y15" s="64" t="str">
        <f t="shared" si="7"/>
        <v>NON</v>
      </c>
      <c r="Z15" s="66">
        <f t="shared" si="8"/>
        <v>0</v>
      </c>
      <c r="AA15" s="64" t="str">
        <f t="shared" si="9"/>
        <v>OUI</v>
      </c>
      <c r="AB15" s="66">
        <f t="shared" si="10"/>
        <v>545.83532500000001</v>
      </c>
      <c r="AC15" s="64" t="str">
        <f t="shared" si="11"/>
        <v>NON</v>
      </c>
      <c r="AD15" s="66">
        <f t="shared" si="12"/>
        <v>0</v>
      </c>
      <c r="AE15" s="64" t="str">
        <f t="shared" si="13"/>
        <v>OUI</v>
      </c>
      <c r="AF15" s="66">
        <f t="shared" si="14"/>
        <v>802.18080445165378</v>
      </c>
      <c r="AG15" s="54"/>
      <c r="AH15" s="70">
        <f t="shared" si="15"/>
        <v>63653.058929451654</v>
      </c>
    </row>
    <row r="16" spans="2:34" x14ac:dyDescent="0.3">
      <c r="B16" s="32" t="str">
        <f>Données!B16</f>
        <v>Chan, Molly</v>
      </c>
      <c r="C16" s="6" t="str">
        <f>Données!C16</f>
        <v>F</v>
      </c>
      <c r="D16" s="27">
        <f>Données!D16</f>
        <v>35192</v>
      </c>
      <c r="E16" s="28">
        <f t="shared" si="0"/>
        <v>16.700000000000003</v>
      </c>
      <c r="F16" s="29">
        <f t="shared" si="1"/>
        <v>5</v>
      </c>
      <c r="G16" s="19">
        <f>Données!G16</f>
        <v>28.33</v>
      </c>
      <c r="H16" s="20">
        <f>Données!H16</f>
        <v>42.5</v>
      </c>
      <c r="I16" s="11">
        <f>Données!I16</f>
        <v>88963.64</v>
      </c>
      <c r="J16" s="12">
        <f>Données!J16</f>
        <v>158342.45000000001</v>
      </c>
      <c r="L16" s="36">
        <f>ROUND(Données!L16,0)</f>
        <v>1763</v>
      </c>
      <c r="M16" s="39">
        <f>ROUND(Données!M16,0)</f>
        <v>109</v>
      </c>
      <c r="N16" s="45">
        <f>Données!N16</f>
        <v>89879.18</v>
      </c>
      <c r="O16" s="46">
        <f>Données!O16</f>
        <v>164850.17000000001</v>
      </c>
      <c r="P16" s="41">
        <f>Données!P16</f>
        <v>4</v>
      </c>
      <c r="R16" s="60">
        <f t="shared" si="2"/>
        <v>49945.789999999994</v>
      </c>
      <c r="S16" s="61">
        <f t="shared" si="3"/>
        <v>4632.5</v>
      </c>
      <c r="T16" s="54"/>
      <c r="U16" s="64" t="s">
        <v>51</v>
      </c>
      <c r="V16" s="65">
        <f t="shared" si="4"/>
        <v>3371.5443500000001</v>
      </c>
      <c r="W16" s="64" t="str">
        <f t="shared" si="5"/>
        <v>OUI</v>
      </c>
      <c r="X16" s="66">
        <f t="shared" si="6"/>
        <v>91.553999999999363</v>
      </c>
      <c r="Y16" s="64" t="str">
        <f t="shared" si="7"/>
        <v>OUI</v>
      </c>
      <c r="Z16" s="66">
        <f t="shared" si="8"/>
        <v>976.15800000000013</v>
      </c>
      <c r="AA16" s="64" t="str">
        <f t="shared" si="9"/>
        <v>NON</v>
      </c>
      <c r="AB16" s="66">
        <f t="shared" si="10"/>
        <v>0</v>
      </c>
      <c r="AC16" s="64" t="str">
        <f t="shared" si="11"/>
        <v>OUI</v>
      </c>
      <c r="AD16" s="66">
        <f t="shared" si="12"/>
        <v>296.93040000000036</v>
      </c>
      <c r="AE16" s="64" t="str">
        <f t="shared" si="13"/>
        <v>NON</v>
      </c>
      <c r="AF16" s="66">
        <f t="shared" si="14"/>
        <v>0</v>
      </c>
      <c r="AG16" s="54"/>
      <c r="AH16" s="70">
        <f t="shared" si="15"/>
        <v>59314.476749999994</v>
      </c>
    </row>
    <row r="17" spans="2:34" x14ac:dyDescent="0.3">
      <c r="B17" s="32" t="str">
        <f>Données!B17</f>
        <v>Ly, Koraly</v>
      </c>
      <c r="C17" s="6" t="str">
        <f>Données!C17</f>
        <v>F</v>
      </c>
      <c r="D17" s="27">
        <f>Données!D17</f>
        <v>36628</v>
      </c>
      <c r="E17" s="28">
        <f t="shared" si="0"/>
        <v>12.799999999999999</v>
      </c>
      <c r="F17" s="29">
        <f t="shared" si="1"/>
        <v>4</v>
      </c>
      <c r="G17" s="19">
        <f>Données!G17</f>
        <v>25.19</v>
      </c>
      <c r="H17" s="20">
        <f>Données!H17</f>
        <v>37.78</v>
      </c>
      <c r="I17" s="11">
        <f>Données!I17</f>
        <v>88023.83</v>
      </c>
      <c r="J17" s="12">
        <f>Données!J17</f>
        <v>149436.59</v>
      </c>
      <c r="L17" s="36">
        <f>ROUND(Données!L17,0)</f>
        <v>1800</v>
      </c>
      <c r="M17" s="39">
        <f>ROUND(Données!M17,0)</f>
        <v>0</v>
      </c>
      <c r="N17" s="45">
        <f>Données!N17</f>
        <v>92616.29</v>
      </c>
      <c r="O17" s="46">
        <f>Données!O17</f>
        <v>149766.94</v>
      </c>
      <c r="P17" s="41">
        <f>Données!P17</f>
        <v>9</v>
      </c>
      <c r="R17" s="60">
        <f t="shared" si="2"/>
        <v>45342</v>
      </c>
      <c r="S17" s="62">
        <f t="shared" si="3"/>
        <v>0</v>
      </c>
      <c r="T17" s="54"/>
      <c r="U17" s="64" t="s">
        <v>51</v>
      </c>
      <c r="V17" s="65">
        <f t="shared" si="4"/>
        <v>3172.6669999999999</v>
      </c>
      <c r="W17" s="64" t="str">
        <f t="shared" si="5"/>
        <v>OUI</v>
      </c>
      <c r="X17" s="66">
        <f t="shared" si="6"/>
        <v>459.24599999999919</v>
      </c>
      <c r="Y17" s="64" t="str">
        <f t="shared" si="7"/>
        <v>OUI</v>
      </c>
      <c r="Z17" s="66">
        <f t="shared" si="8"/>
        <v>49.552500000000876</v>
      </c>
      <c r="AA17" s="64" t="str">
        <f t="shared" si="9"/>
        <v>OUI</v>
      </c>
      <c r="AB17" s="66">
        <f t="shared" si="10"/>
        <v>605.95807500000001</v>
      </c>
      <c r="AC17" s="64" t="str">
        <f t="shared" si="11"/>
        <v>OUI</v>
      </c>
      <c r="AD17" s="66">
        <f t="shared" si="12"/>
        <v>443.05289999999718</v>
      </c>
      <c r="AE17" s="64" t="str">
        <f t="shared" si="13"/>
        <v>OUI</v>
      </c>
      <c r="AF17" s="66">
        <f t="shared" si="14"/>
        <v>890.53953418547155</v>
      </c>
      <c r="AG17" s="54"/>
      <c r="AH17" s="70">
        <f t="shared" si="15"/>
        <v>50963.01600918547</v>
      </c>
    </row>
    <row r="18" spans="2:34" x14ac:dyDescent="0.3">
      <c r="B18" s="32" t="str">
        <f>Données!B18</f>
        <v>Carpentier, Heloise</v>
      </c>
      <c r="C18" s="6" t="str">
        <f>Données!C18</f>
        <v>F</v>
      </c>
      <c r="D18" s="27">
        <f>Données!D18</f>
        <v>30115</v>
      </c>
      <c r="E18" s="28">
        <f t="shared" si="0"/>
        <v>30.6</v>
      </c>
      <c r="F18" s="29">
        <f t="shared" si="1"/>
        <v>8</v>
      </c>
      <c r="G18" s="19">
        <f>Données!G18</f>
        <v>39.46</v>
      </c>
      <c r="H18" s="20">
        <f>Données!H18</f>
        <v>59.19</v>
      </c>
      <c r="I18" s="11">
        <f>Données!I18</f>
        <v>92465.44</v>
      </c>
      <c r="J18" s="12">
        <f>Données!J18</f>
        <v>188016.91</v>
      </c>
      <c r="L18" s="36">
        <f>ROUND(Données!L18,0)</f>
        <v>1650</v>
      </c>
      <c r="M18" s="39">
        <f>ROUND(Données!M18,0)</f>
        <v>143</v>
      </c>
      <c r="N18" s="45">
        <f>Données!N18</f>
        <v>86538.68</v>
      </c>
      <c r="O18" s="46">
        <f>Données!O18</f>
        <v>168507.1</v>
      </c>
      <c r="P18" s="41">
        <f>Données!P18</f>
        <v>5</v>
      </c>
      <c r="R18" s="60">
        <f t="shared" si="2"/>
        <v>65109</v>
      </c>
      <c r="S18" s="61">
        <f t="shared" si="3"/>
        <v>8464.17</v>
      </c>
      <c r="T18" s="54"/>
      <c r="U18" s="64" t="s">
        <v>51</v>
      </c>
      <c r="V18" s="65">
        <f t="shared" si="4"/>
        <v>3392.9933000000001</v>
      </c>
      <c r="W18" s="64" t="str">
        <f t="shared" si="5"/>
        <v>NON</v>
      </c>
      <c r="X18" s="66">
        <f t="shared" si="6"/>
        <v>0</v>
      </c>
      <c r="Y18" s="64" t="str">
        <f t="shared" si="7"/>
        <v>NON</v>
      </c>
      <c r="Z18" s="66">
        <f t="shared" si="8"/>
        <v>0</v>
      </c>
      <c r="AA18" s="64" t="str">
        <f t="shared" si="9"/>
        <v>NON</v>
      </c>
      <c r="AB18" s="66">
        <f t="shared" si="10"/>
        <v>0</v>
      </c>
      <c r="AC18" s="64" t="str">
        <f t="shared" si="11"/>
        <v>NON</v>
      </c>
      <c r="AD18" s="66">
        <f t="shared" si="12"/>
        <v>0</v>
      </c>
      <c r="AE18" s="64" t="str">
        <f t="shared" si="13"/>
        <v>NON</v>
      </c>
      <c r="AF18" s="66">
        <f t="shared" si="14"/>
        <v>0</v>
      </c>
      <c r="AG18" s="54"/>
      <c r="AH18" s="70">
        <f t="shared" si="15"/>
        <v>76966.1633</v>
      </c>
    </row>
    <row r="19" spans="2:34" x14ac:dyDescent="0.3">
      <c r="B19" s="32" t="str">
        <f>Données!B19</f>
        <v>Guillemette, Lorianne</v>
      </c>
      <c r="C19" s="6" t="str">
        <f>Données!C19</f>
        <v>F</v>
      </c>
      <c r="D19" s="27">
        <f>Données!D19</f>
        <v>41231</v>
      </c>
      <c r="E19" s="28">
        <f t="shared" si="0"/>
        <v>0.2</v>
      </c>
      <c r="F19" s="29">
        <f t="shared" si="1"/>
        <v>2</v>
      </c>
      <c r="G19" s="19">
        <f>Données!G19</f>
        <v>15.1</v>
      </c>
      <c r="H19" s="20">
        <f>Données!H19</f>
        <v>22.64</v>
      </c>
      <c r="I19" s="11">
        <f>Données!I19</f>
        <v>82233.27</v>
      </c>
      <c r="J19" s="12">
        <f>Données!J19</f>
        <v>114677.5</v>
      </c>
      <c r="L19" s="36">
        <f>ROUND(Données!L19,0)</f>
        <v>1875</v>
      </c>
      <c r="M19" s="39">
        <f>ROUND(Données!M19,0)</f>
        <v>0</v>
      </c>
      <c r="N19" s="45">
        <f>Données!N19</f>
        <v>74240.86</v>
      </c>
      <c r="O19" s="46">
        <f>Données!O19</f>
        <v>112740.09</v>
      </c>
      <c r="P19" s="41">
        <f>Données!P19</f>
        <v>5</v>
      </c>
      <c r="R19" s="60">
        <f t="shared" si="2"/>
        <v>28312.5</v>
      </c>
      <c r="S19" s="62">
        <f t="shared" si="3"/>
        <v>0</v>
      </c>
      <c r="T19" s="54"/>
      <c r="U19" s="64" t="s">
        <v>51</v>
      </c>
      <c r="V19" s="65">
        <f t="shared" si="4"/>
        <v>2433.5099500000001</v>
      </c>
      <c r="W19" s="64" t="str">
        <f t="shared" si="5"/>
        <v>NON</v>
      </c>
      <c r="X19" s="66">
        <f t="shared" si="6"/>
        <v>0</v>
      </c>
      <c r="Y19" s="64" t="str">
        <f t="shared" si="7"/>
        <v>NON</v>
      </c>
      <c r="Z19" s="66">
        <f t="shared" si="8"/>
        <v>0</v>
      </c>
      <c r="AA19" s="64" t="str">
        <f t="shared" si="9"/>
        <v>NON</v>
      </c>
      <c r="AB19" s="66">
        <f t="shared" si="10"/>
        <v>0</v>
      </c>
      <c r="AC19" s="64" t="str">
        <f t="shared" si="11"/>
        <v>NON</v>
      </c>
      <c r="AD19" s="66">
        <f t="shared" si="12"/>
        <v>0</v>
      </c>
      <c r="AE19" s="64" t="str">
        <f t="shared" si="13"/>
        <v>NON</v>
      </c>
      <c r="AF19" s="66">
        <f t="shared" si="14"/>
        <v>0</v>
      </c>
      <c r="AG19" s="54"/>
      <c r="AH19" s="70">
        <f t="shared" si="15"/>
        <v>30746.00995</v>
      </c>
    </row>
    <row r="20" spans="2:34" x14ac:dyDescent="0.3">
      <c r="B20" s="32" t="str">
        <f>Données!B20</f>
        <v>Tardif, Maverick</v>
      </c>
      <c r="C20" s="6" t="str">
        <f>Données!C20</f>
        <v>H</v>
      </c>
      <c r="D20" s="27">
        <f>Données!D20</f>
        <v>31824</v>
      </c>
      <c r="E20" s="28">
        <f t="shared" si="0"/>
        <v>25.9</v>
      </c>
      <c r="F20" s="29">
        <f t="shared" si="1"/>
        <v>7</v>
      </c>
      <c r="G20" s="19">
        <f>Données!G20</f>
        <v>35.71</v>
      </c>
      <c r="H20" s="20">
        <f>Données!H20</f>
        <v>53.57</v>
      </c>
      <c r="I20" s="11">
        <f>Données!I20</f>
        <v>91406.45</v>
      </c>
      <c r="J20" s="12">
        <f>Données!J20</f>
        <v>178594.61</v>
      </c>
      <c r="L20" s="36">
        <f>ROUND(Données!L20,0)</f>
        <v>1688</v>
      </c>
      <c r="M20" s="39">
        <f>ROUND(Données!M20,0)</f>
        <v>145</v>
      </c>
      <c r="N20" s="45">
        <f>Données!N20</f>
        <v>90744.11</v>
      </c>
      <c r="O20" s="46">
        <f>Données!O20</f>
        <v>180217.79</v>
      </c>
      <c r="P20" s="41">
        <f>Données!P20</f>
        <v>9</v>
      </c>
      <c r="R20" s="60">
        <f t="shared" si="2"/>
        <v>60278.48</v>
      </c>
      <c r="S20" s="61">
        <f t="shared" si="3"/>
        <v>7767.65</v>
      </c>
      <c r="T20" s="54"/>
      <c r="U20" s="64" t="s">
        <v>51</v>
      </c>
      <c r="V20" s="65">
        <f t="shared" si="4"/>
        <v>3610.70795</v>
      </c>
      <c r="W20" s="64" t="str">
        <f t="shared" si="5"/>
        <v>NON</v>
      </c>
      <c r="X20" s="66">
        <f t="shared" si="6"/>
        <v>0</v>
      </c>
      <c r="Y20" s="64" t="str">
        <f t="shared" si="7"/>
        <v>OUI</v>
      </c>
      <c r="Z20" s="66">
        <f t="shared" si="8"/>
        <v>243.47700000000333</v>
      </c>
      <c r="AA20" s="64" t="str">
        <f t="shared" si="9"/>
        <v>OUI</v>
      </c>
      <c r="AB20" s="66">
        <f t="shared" si="10"/>
        <v>677.40475000000004</v>
      </c>
      <c r="AC20" s="64" t="str">
        <f t="shared" si="11"/>
        <v>NON</v>
      </c>
      <c r="AD20" s="66">
        <f t="shared" si="12"/>
        <v>0</v>
      </c>
      <c r="AE20" s="64" t="str">
        <f t="shared" si="13"/>
        <v>OUI</v>
      </c>
      <c r="AF20" s="66">
        <f t="shared" si="14"/>
        <v>995.54034414018804</v>
      </c>
      <c r="AG20" s="54"/>
      <c r="AH20" s="70">
        <f t="shared" si="15"/>
        <v>73573.260044140188</v>
      </c>
    </row>
    <row r="21" spans="2:34" x14ac:dyDescent="0.3">
      <c r="B21" s="32" t="str">
        <f>Données!B21</f>
        <v>Claveau, Sam</v>
      </c>
      <c r="C21" s="6" t="str">
        <f>Données!C21</f>
        <v>H</v>
      </c>
      <c r="D21" s="27">
        <f>Données!D21</f>
        <v>38150</v>
      </c>
      <c r="E21" s="28">
        <f t="shared" si="0"/>
        <v>8.6</v>
      </c>
      <c r="F21" s="29">
        <f t="shared" si="1"/>
        <v>3</v>
      </c>
      <c r="G21" s="19">
        <f>Données!G21</f>
        <v>21.85</v>
      </c>
      <c r="H21" s="20">
        <f>Données!H21</f>
        <v>32.770000000000003</v>
      </c>
      <c r="I21" s="11">
        <f>Données!I21</f>
        <v>86792.81</v>
      </c>
      <c r="J21" s="12">
        <f>Données!J21</f>
        <v>139268.84</v>
      </c>
      <c r="L21" s="36">
        <f>ROUND(Données!L21,0)</f>
        <v>1838</v>
      </c>
      <c r="M21" s="39">
        <f>ROUND(Données!M21,0)</f>
        <v>192</v>
      </c>
      <c r="N21" s="45">
        <f>Données!N21</f>
        <v>92277.83</v>
      </c>
      <c r="O21" s="46">
        <f>Données!O21</f>
        <v>139124.15</v>
      </c>
      <c r="P21" s="41">
        <f>Données!P21</f>
        <v>3</v>
      </c>
      <c r="R21" s="60">
        <f t="shared" si="2"/>
        <v>40160.300000000003</v>
      </c>
      <c r="S21" s="61">
        <f t="shared" si="3"/>
        <v>6291.84</v>
      </c>
      <c r="T21" s="54"/>
      <c r="U21" s="64" t="s">
        <v>51</v>
      </c>
      <c r="V21" s="65">
        <f t="shared" si="4"/>
        <v>3009.6405499999996</v>
      </c>
      <c r="W21" s="64" t="str">
        <f t="shared" si="5"/>
        <v>OUI</v>
      </c>
      <c r="X21" s="66">
        <f t="shared" si="6"/>
        <v>548.50200000000041</v>
      </c>
      <c r="Y21" s="64" t="str">
        <f t="shared" si="7"/>
        <v>NON</v>
      </c>
      <c r="Z21" s="66">
        <f t="shared" si="8"/>
        <v>0</v>
      </c>
      <c r="AA21" s="64" t="str">
        <f t="shared" si="9"/>
        <v>NON</v>
      </c>
      <c r="AB21" s="66">
        <f t="shared" si="10"/>
        <v>0</v>
      </c>
      <c r="AC21" s="64" t="str">
        <f t="shared" si="11"/>
        <v>NON</v>
      </c>
      <c r="AD21" s="66">
        <f t="shared" si="12"/>
        <v>0</v>
      </c>
      <c r="AE21" s="64" t="str">
        <f t="shared" si="13"/>
        <v>NON</v>
      </c>
      <c r="AF21" s="66">
        <f t="shared" si="14"/>
        <v>0</v>
      </c>
      <c r="AG21" s="54"/>
      <c r="AH21" s="70">
        <f t="shared" si="15"/>
        <v>50010.282550000004</v>
      </c>
    </row>
    <row r="22" spans="2:34" x14ac:dyDescent="0.3">
      <c r="B22" s="32" t="str">
        <f>Données!B22</f>
        <v>Lacombe, Lydia</v>
      </c>
      <c r="C22" s="6" t="str">
        <f>Données!C22</f>
        <v>F</v>
      </c>
      <c r="D22" s="27">
        <f>Données!D22</f>
        <v>32891</v>
      </c>
      <c r="E22" s="28">
        <f t="shared" si="0"/>
        <v>23</v>
      </c>
      <c r="F22" s="29">
        <f t="shared" si="1"/>
        <v>6</v>
      </c>
      <c r="G22" s="19">
        <f>Données!G22</f>
        <v>33.380000000000003</v>
      </c>
      <c r="H22" s="20">
        <f>Données!H22</f>
        <v>50.06</v>
      </c>
      <c r="I22" s="11">
        <f>Données!I22</f>
        <v>91420.63</v>
      </c>
      <c r="J22" s="12">
        <f>Données!J22</f>
        <v>173822.75</v>
      </c>
      <c r="L22" s="36">
        <f>ROUND(Données!L22,0)</f>
        <v>1725</v>
      </c>
      <c r="M22" s="39">
        <f>ROUND(Données!M22,0)</f>
        <v>151</v>
      </c>
      <c r="N22" s="45">
        <f>Données!N22</f>
        <v>80527.14</v>
      </c>
      <c r="O22" s="46">
        <f>Données!O22</f>
        <v>181545.58</v>
      </c>
      <c r="P22" s="41">
        <f>Données!P22</f>
        <v>5</v>
      </c>
      <c r="R22" s="60">
        <f t="shared" si="2"/>
        <v>57580.500000000007</v>
      </c>
      <c r="S22" s="61">
        <f t="shared" si="3"/>
        <v>7559.06</v>
      </c>
      <c r="T22" s="54"/>
      <c r="U22" s="64" t="s">
        <v>51</v>
      </c>
      <c r="V22" s="65">
        <f t="shared" si="4"/>
        <v>3528.4551000000001</v>
      </c>
      <c r="W22" s="64" t="str">
        <f t="shared" si="5"/>
        <v>NON</v>
      </c>
      <c r="X22" s="66">
        <f t="shared" si="6"/>
        <v>0</v>
      </c>
      <c r="Y22" s="64" t="str">
        <f t="shared" si="7"/>
        <v>OUI</v>
      </c>
      <c r="Z22" s="66">
        <f t="shared" si="8"/>
        <v>1158.424499999998</v>
      </c>
      <c r="AA22" s="64" t="str">
        <f t="shared" si="9"/>
        <v>NON</v>
      </c>
      <c r="AB22" s="66">
        <f t="shared" si="10"/>
        <v>0</v>
      </c>
      <c r="AC22" s="64" t="str">
        <f t="shared" si="11"/>
        <v>NON</v>
      </c>
      <c r="AD22" s="66">
        <f t="shared" si="12"/>
        <v>0</v>
      </c>
      <c r="AE22" s="64" t="str">
        <f t="shared" si="13"/>
        <v>NON</v>
      </c>
      <c r="AF22" s="66">
        <f t="shared" si="14"/>
        <v>0</v>
      </c>
      <c r="AG22" s="54"/>
      <c r="AH22" s="70">
        <f t="shared" si="15"/>
        <v>69826.439600000012</v>
      </c>
    </row>
    <row r="23" spans="2:34" x14ac:dyDescent="0.3">
      <c r="B23" s="32" t="str">
        <f>Données!B23</f>
        <v>Murphy, Simon</v>
      </c>
      <c r="C23" s="6" t="str">
        <f>Données!C23</f>
        <v>H</v>
      </c>
      <c r="D23" s="27">
        <f>Données!D23</f>
        <v>41102</v>
      </c>
      <c r="E23" s="28">
        <f t="shared" si="0"/>
        <v>0.5</v>
      </c>
      <c r="F23" s="29">
        <f t="shared" si="1"/>
        <v>2</v>
      </c>
      <c r="G23" s="19">
        <f>Données!G23</f>
        <v>15.38</v>
      </c>
      <c r="H23" s="20">
        <f>Données!H23</f>
        <v>23.07</v>
      </c>
      <c r="I23" s="11">
        <f>Données!I23</f>
        <v>82498.34</v>
      </c>
      <c r="J23" s="12">
        <f>Données!J23</f>
        <v>115826.13</v>
      </c>
      <c r="L23" s="36">
        <f>ROUND(Données!L23,0)</f>
        <v>1875</v>
      </c>
      <c r="M23" s="39">
        <f>ROUND(Données!M23,0)</f>
        <v>159</v>
      </c>
      <c r="N23" s="45">
        <f>Données!N23</f>
        <v>73878.58</v>
      </c>
      <c r="O23" s="46">
        <f>Données!O23</f>
        <v>125469.62</v>
      </c>
      <c r="P23" s="41">
        <f>Données!P23</f>
        <v>9</v>
      </c>
      <c r="R23" s="60">
        <f t="shared" si="2"/>
        <v>28837.5</v>
      </c>
      <c r="S23" s="61">
        <f t="shared" si="3"/>
        <v>3668.13</v>
      </c>
      <c r="T23" s="54"/>
      <c r="U23" s="64" t="s">
        <v>51</v>
      </c>
      <c r="V23" s="65">
        <f t="shared" si="4"/>
        <v>2620.8301000000001</v>
      </c>
      <c r="W23" s="64" t="str">
        <f t="shared" si="5"/>
        <v>NON</v>
      </c>
      <c r="X23" s="66">
        <f t="shared" si="6"/>
        <v>0</v>
      </c>
      <c r="Y23" s="64" t="str">
        <f t="shared" si="7"/>
        <v>OUI</v>
      </c>
      <c r="Z23" s="66">
        <f t="shared" si="8"/>
        <v>1446.5234999999986</v>
      </c>
      <c r="AA23" s="64" t="str">
        <f t="shared" si="9"/>
        <v>OUI</v>
      </c>
      <c r="AB23" s="66">
        <f t="shared" si="10"/>
        <v>498.37050000000005</v>
      </c>
      <c r="AC23" s="64" t="str">
        <f t="shared" si="11"/>
        <v>NON</v>
      </c>
      <c r="AD23" s="66">
        <f t="shared" si="12"/>
        <v>0</v>
      </c>
      <c r="AE23" s="64" t="str">
        <f t="shared" si="13"/>
        <v>OUI</v>
      </c>
      <c r="AF23" s="66">
        <f t="shared" si="14"/>
        <v>732.42465317717006</v>
      </c>
      <c r="AG23" s="54"/>
      <c r="AH23" s="70">
        <f t="shared" si="15"/>
        <v>37803.778753177168</v>
      </c>
    </row>
    <row r="24" spans="2:34" x14ac:dyDescent="0.3">
      <c r="B24" s="32" t="str">
        <f>Données!B24</f>
        <v>Papineau, Jonah</v>
      </c>
      <c r="C24" s="6" t="str">
        <f>Données!C24</f>
        <v>H</v>
      </c>
      <c r="D24" s="27">
        <f>Données!D24</f>
        <v>29465</v>
      </c>
      <c r="E24" s="28">
        <f t="shared" si="0"/>
        <v>32.4</v>
      </c>
      <c r="F24" s="29">
        <f t="shared" si="1"/>
        <v>8</v>
      </c>
      <c r="G24" s="19">
        <f>Données!G24</f>
        <v>40.880000000000003</v>
      </c>
      <c r="H24" s="20">
        <f>Données!H24</f>
        <v>61.33</v>
      </c>
      <c r="I24" s="11">
        <f>Données!I24</f>
        <v>93640.78</v>
      </c>
      <c r="J24" s="12">
        <f>Données!J24</f>
        <v>193110.06</v>
      </c>
      <c r="L24" s="36">
        <f>ROUND(Données!L24,0)</f>
        <v>1650</v>
      </c>
      <c r="M24" s="39">
        <f>ROUND(Données!M24,0)</f>
        <v>0</v>
      </c>
      <c r="N24" s="45">
        <f>Données!N24</f>
        <v>83732.44</v>
      </c>
      <c r="O24" s="46">
        <f>Données!O24</f>
        <v>208951.82</v>
      </c>
      <c r="P24" s="41">
        <f>Données!P24</f>
        <v>2</v>
      </c>
      <c r="R24" s="60">
        <f t="shared" si="2"/>
        <v>67452</v>
      </c>
      <c r="S24" s="62">
        <f>H24*M24</f>
        <v>0</v>
      </c>
      <c r="T24" s="54"/>
      <c r="U24" s="64" t="s">
        <v>51</v>
      </c>
      <c r="V24" s="65">
        <f t="shared" si="4"/>
        <v>3971.6016999999997</v>
      </c>
      <c r="W24" s="64" t="str">
        <f t="shared" si="5"/>
        <v>NON</v>
      </c>
      <c r="X24" s="66">
        <f t="shared" si="6"/>
        <v>0</v>
      </c>
      <c r="Y24" s="64" t="str">
        <f t="shared" si="7"/>
        <v>OUI</v>
      </c>
      <c r="Z24" s="66">
        <f t="shared" si="8"/>
        <v>2376.2640000000015</v>
      </c>
      <c r="AA24" s="64" t="str">
        <f t="shared" si="9"/>
        <v>NON</v>
      </c>
      <c r="AB24" s="66">
        <f t="shared" si="10"/>
        <v>0</v>
      </c>
      <c r="AC24" s="64" t="str">
        <f t="shared" si="11"/>
        <v>NON</v>
      </c>
      <c r="AD24" s="66">
        <f t="shared" si="12"/>
        <v>0</v>
      </c>
      <c r="AE24" s="64" t="str">
        <f t="shared" si="13"/>
        <v>NON</v>
      </c>
      <c r="AF24" s="66">
        <f t="shared" si="14"/>
        <v>0</v>
      </c>
      <c r="AG24" s="54"/>
      <c r="AH24" s="70">
        <f t="shared" si="15"/>
        <v>73799.865699999995</v>
      </c>
    </row>
    <row r="25" spans="2:34" x14ac:dyDescent="0.3">
      <c r="B25" s="32" t="str">
        <f>Données!B25</f>
        <v>Alain, Maxime</v>
      </c>
      <c r="C25" s="6" t="str">
        <f>Données!C25</f>
        <v>H</v>
      </c>
      <c r="D25" s="27">
        <f>Données!D25</f>
        <v>30711</v>
      </c>
      <c r="E25" s="28">
        <f t="shared" si="0"/>
        <v>29</v>
      </c>
      <c r="F25" s="29">
        <f t="shared" si="1"/>
        <v>7</v>
      </c>
      <c r="G25" s="19">
        <f>Données!G25</f>
        <v>38.15</v>
      </c>
      <c r="H25" s="20">
        <f>Données!H25</f>
        <v>57.23</v>
      </c>
      <c r="I25" s="11">
        <f>Données!I25</f>
        <v>93464.74</v>
      </c>
      <c r="J25" s="12">
        <f>Données!J25</f>
        <v>187513.86</v>
      </c>
      <c r="L25" s="36">
        <f>ROUND(Données!L25,0)</f>
        <v>1688</v>
      </c>
      <c r="M25" s="39">
        <f>ROUND(Données!M25,0)</f>
        <v>226</v>
      </c>
      <c r="N25" s="45">
        <f>Données!N25</f>
        <v>98278.63</v>
      </c>
      <c r="O25" s="46">
        <f>Données!O25</f>
        <v>171337.91</v>
      </c>
      <c r="P25" s="41">
        <f>Données!P25</f>
        <v>5</v>
      </c>
      <c r="R25" s="60">
        <f t="shared" si="2"/>
        <v>64397.2</v>
      </c>
      <c r="S25" s="61">
        <f t="shared" si="3"/>
        <v>12933.98</v>
      </c>
      <c r="T25" s="54"/>
      <c r="U25" s="64" t="s">
        <v>51</v>
      </c>
      <c r="V25" s="65">
        <f t="shared" si="4"/>
        <v>3552.8549499999999</v>
      </c>
      <c r="W25" s="64" t="str">
        <f t="shared" si="5"/>
        <v>OUI</v>
      </c>
      <c r="X25" s="66">
        <f t="shared" si="6"/>
        <v>481.38899999999995</v>
      </c>
      <c r="Y25" s="64" t="str">
        <f t="shared" si="7"/>
        <v>NON</v>
      </c>
      <c r="Z25" s="66">
        <f t="shared" si="8"/>
        <v>0</v>
      </c>
      <c r="AA25" s="64" t="str">
        <f t="shared" si="9"/>
        <v>NON</v>
      </c>
      <c r="AB25" s="66">
        <f t="shared" si="10"/>
        <v>0</v>
      </c>
      <c r="AC25" s="64" t="str">
        <f t="shared" si="11"/>
        <v>NON</v>
      </c>
      <c r="AD25" s="66">
        <f t="shared" si="12"/>
        <v>0</v>
      </c>
      <c r="AE25" s="64" t="str">
        <f t="shared" si="13"/>
        <v>NON</v>
      </c>
      <c r="AF25" s="66">
        <f t="shared" si="14"/>
        <v>0</v>
      </c>
      <c r="AG25" s="54"/>
      <c r="AH25" s="70">
        <f t="shared" si="15"/>
        <v>81365.423949999997</v>
      </c>
    </row>
    <row r="26" spans="2:34" ht="3.6" customHeight="1" x14ac:dyDescent="0.3">
      <c r="I26" s="8"/>
      <c r="J26" s="8"/>
      <c r="N26" s="8"/>
      <c r="O26" s="8"/>
      <c r="R26" s="50"/>
      <c r="S26" s="51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3"/>
      <c r="AE26" s="52"/>
      <c r="AF26" s="53"/>
      <c r="AG26" s="52"/>
      <c r="AH26" s="52"/>
    </row>
    <row r="27" spans="2:34" x14ac:dyDescent="0.3">
      <c r="I27" s="17">
        <f>SUM(I9:I25)</f>
        <v>1508346.0400000003</v>
      </c>
      <c r="J27" s="18">
        <f>SUM(J9:J25)</f>
        <v>2659832.84</v>
      </c>
      <c r="N27" s="47">
        <f>SUM(N9:N25)</f>
        <v>1486480.73</v>
      </c>
      <c r="O27" s="48">
        <f>SUM(O9:O25)</f>
        <v>2596154.92</v>
      </c>
      <c r="R27" s="72">
        <f>SUM(R9:R25)</f>
        <v>832767.35</v>
      </c>
      <c r="S27" s="73">
        <f>SUM(S9:S25)</f>
        <v>67923.75</v>
      </c>
      <c r="T27" s="52"/>
      <c r="U27" s="52"/>
      <c r="V27" s="74">
        <f>SUM(V9:V25)</f>
        <v>53807.131099999991</v>
      </c>
      <c r="W27" s="52"/>
      <c r="X27" s="75">
        <f>SUM(X9:X25)</f>
        <v>4659.7329999999974</v>
      </c>
      <c r="Y27" s="52"/>
      <c r="Z27" s="75">
        <f>SUM(Z9:Z25)</f>
        <v>9516.9705000000013</v>
      </c>
      <c r="AA27" s="52"/>
      <c r="AB27" s="75">
        <f>SUM(AB9:AB25)</f>
        <v>5241.0172249999996</v>
      </c>
      <c r="AC27" s="52"/>
      <c r="AD27" s="75">
        <f>SUM(AD9:AD25)</f>
        <v>1477.7286999999956</v>
      </c>
      <c r="AE27" s="52"/>
      <c r="AF27" s="75">
        <f>SUM(AF9:AF25)</f>
        <v>6942.057503955808</v>
      </c>
      <c r="AG27" s="52"/>
      <c r="AH27" s="76">
        <f>SUM(AH9:AH25)</f>
        <v>982335.73802895565</v>
      </c>
    </row>
    <row r="31" spans="2:34" hidden="1" x14ac:dyDescent="0.3">
      <c r="D31" s="7">
        <v>41284</v>
      </c>
    </row>
  </sheetData>
  <mergeCells count="22">
    <mergeCell ref="AC7:AD7"/>
    <mergeCell ref="AE7:AF7"/>
    <mergeCell ref="AH7:AH8"/>
    <mergeCell ref="R5:AH5"/>
    <mergeCell ref="L7:M7"/>
    <mergeCell ref="N7:O7"/>
    <mergeCell ref="P7:P8"/>
    <mergeCell ref="R7:S7"/>
    <mergeCell ref="U7:V7"/>
    <mergeCell ref="W7:X7"/>
    <mergeCell ref="Y7:Z7"/>
    <mergeCell ref="AA7:AB7"/>
    <mergeCell ref="B2:AH2"/>
    <mergeCell ref="B5:J5"/>
    <mergeCell ref="B7:B8"/>
    <mergeCell ref="C7:C8"/>
    <mergeCell ref="D7:D8"/>
    <mergeCell ref="E7:E8"/>
    <mergeCell ref="F7:F8"/>
    <mergeCell ref="G7:H7"/>
    <mergeCell ref="I7:J7"/>
    <mergeCell ref="L5:P5"/>
  </mergeCells>
  <conditionalFormatting sqref="B9:J25">
    <cfRule type="expression" dxfId="5" priority="5">
      <formula>MOD(ROW(),2)=0</formula>
    </cfRule>
    <cfRule type="expression" dxfId="4" priority="9">
      <formula>"MOD(LIGNE();2)=0"</formula>
    </cfRule>
  </conditionalFormatting>
  <conditionalFormatting sqref="L9:P25">
    <cfRule type="expression" dxfId="3" priority="4">
      <formula>MOD(ROW(),2)=0</formula>
    </cfRule>
  </conditionalFormatting>
  <conditionalFormatting sqref="R9:AH25">
    <cfRule type="expression" dxfId="2" priority="3">
      <formula>MOD(ROW(),2)=0</formula>
    </cfRule>
  </conditionalFormatting>
  <conditionalFormatting sqref="AG10:AG25">
    <cfRule type="expression" dxfId="1" priority="2">
      <formula>MOD(ROW(),2)=0</formula>
    </cfRule>
  </conditionalFormatting>
  <conditionalFormatting sqref="T7:T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43A0-AEC9-4D82-9D7C-922593DD0E7E}">
  <dimension ref="B2:AH35"/>
  <sheetViews>
    <sheetView topLeftCell="K4" workbookViewId="0">
      <selection activeCell="U8" sqref="U8"/>
    </sheetView>
  </sheetViews>
  <sheetFormatPr baseColWidth="10" defaultRowHeight="14.4" x14ac:dyDescent="0.3"/>
  <sheetData>
    <row r="2" spans="2:3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2:34" x14ac:dyDescent="0.3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2:3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x14ac:dyDescent="0.3"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 t="s">
        <v>3</v>
      </c>
      <c r="M5" s="1"/>
      <c r="N5" s="1"/>
      <c r="O5" s="1"/>
      <c r="P5" s="1"/>
      <c r="Q5" s="1"/>
      <c r="R5" s="1" t="s">
        <v>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ht="20.399999999999999" x14ac:dyDescent="0.3">
      <c r="B7" s="1" t="s">
        <v>5</v>
      </c>
      <c r="C7" s="1" t="s">
        <v>6</v>
      </c>
      <c r="D7" s="1" t="s">
        <v>7</v>
      </c>
      <c r="E7" s="2" t="s">
        <v>8</v>
      </c>
      <c r="F7" s="2" t="s">
        <v>9</v>
      </c>
      <c r="G7" s="1" t="s">
        <v>10</v>
      </c>
      <c r="H7" s="1"/>
      <c r="I7" s="1" t="s">
        <v>11</v>
      </c>
      <c r="J7" s="1"/>
      <c r="K7" s="1"/>
      <c r="L7" s="1" t="s">
        <v>12</v>
      </c>
      <c r="M7" s="1"/>
      <c r="N7" s="1" t="s">
        <v>13</v>
      </c>
      <c r="O7" s="1"/>
      <c r="P7" s="2" t="s">
        <v>14</v>
      </c>
      <c r="Q7" s="1"/>
      <c r="R7" s="1" t="s">
        <v>15</v>
      </c>
      <c r="S7" s="1"/>
      <c r="T7" s="1"/>
      <c r="U7" s="1" t="s">
        <v>16</v>
      </c>
      <c r="V7" s="1"/>
      <c r="W7" s="1" t="s">
        <v>17</v>
      </c>
      <c r="X7" s="1"/>
      <c r="Y7" s="1" t="s">
        <v>18</v>
      </c>
      <c r="Z7" s="1"/>
      <c r="AA7" s="1" t="s">
        <v>19</v>
      </c>
      <c r="AB7" s="1"/>
      <c r="AC7" s="1" t="s">
        <v>20</v>
      </c>
      <c r="AD7" s="1"/>
      <c r="AE7" s="1" t="s">
        <v>21</v>
      </c>
      <c r="AF7" s="1"/>
      <c r="AG7" s="1"/>
      <c r="AH7" s="2" t="s">
        <v>22</v>
      </c>
    </row>
    <row r="8" spans="2:34" x14ac:dyDescent="0.3">
      <c r="B8" s="1"/>
      <c r="C8" s="1"/>
      <c r="D8" s="1"/>
      <c r="E8" s="2"/>
      <c r="F8" s="2"/>
      <c r="G8" s="1" t="s">
        <v>23</v>
      </c>
      <c r="H8" s="1" t="s">
        <v>24</v>
      </c>
      <c r="I8" s="1" t="s">
        <v>25</v>
      </c>
      <c r="J8" s="1" t="s">
        <v>26</v>
      </c>
      <c r="K8" s="1"/>
      <c r="L8" s="1" t="s">
        <v>23</v>
      </c>
      <c r="M8" s="1" t="s">
        <v>24</v>
      </c>
      <c r="N8" s="1" t="s">
        <v>25</v>
      </c>
      <c r="O8" s="1" t="s">
        <v>26</v>
      </c>
      <c r="P8" s="2"/>
      <c r="Q8" s="1"/>
      <c r="R8" s="1"/>
      <c r="S8" s="1"/>
      <c r="T8" s="1"/>
      <c r="U8" s="1" t="s">
        <v>49</v>
      </c>
      <c r="V8" s="1" t="s">
        <v>50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2"/>
    </row>
    <row r="9" spans="2:34" x14ac:dyDescent="0.3">
      <c r="B9" s="2" t="s">
        <v>27</v>
      </c>
      <c r="C9" s="2" t="s">
        <v>28</v>
      </c>
      <c r="D9" s="2">
        <v>38226</v>
      </c>
      <c r="E9" s="1"/>
      <c r="F9" s="1"/>
      <c r="G9" s="1">
        <v>21.68</v>
      </c>
      <c r="H9" s="1">
        <v>32.520000000000003</v>
      </c>
      <c r="I9" s="1">
        <v>86639.77</v>
      </c>
      <c r="J9" s="1">
        <v>138605.66</v>
      </c>
      <c r="K9" s="1">
        <v>0</v>
      </c>
      <c r="L9" s="1">
        <v>1837.5</v>
      </c>
      <c r="M9" s="1">
        <v>12.7</v>
      </c>
      <c r="N9" s="1">
        <v>87225.33</v>
      </c>
      <c r="O9" s="1">
        <v>113521.61</v>
      </c>
      <c r="P9" s="1">
        <v>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2:34" ht="20.399999999999999" x14ac:dyDescent="0.3">
      <c r="B10" s="2" t="s">
        <v>29</v>
      </c>
      <c r="C10" s="2" t="s">
        <v>28</v>
      </c>
      <c r="D10" s="2">
        <v>37601</v>
      </c>
      <c r="E10" s="1"/>
      <c r="F10" s="1"/>
      <c r="G10" s="1">
        <v>23.05</v>
      </c>
      <c r="H10" s="1">
        <v>34.58</v>
      </c>
      <c r="I10" s="1">
        <v>86104.49</v>
      </c>
      <c r="J10" s="1">
        <v>141119.44</v>
      </c>
      <c r="K10" s="1">
        <v>0</v>
      </c>
      <c r="L10" s="1">
        <v>1800</v>
      </c>
      <c r="M10" s="1">
        <v>25.2</v>
      </c>
      <c r="N10" s="1">
        <v>100494.47</v>
      </c>
      <c r="O10" s="1">
        <v>133202.71</v>
      </c>
      <c r="P10" s="1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x14ac:dyDescent="0.3">
      <c r="B11" s="2" t="s">
        <v>30</v>
      </c>
      <c r="C11" s="2" t="s">
        <v>31</v>
      </c>
      <c r="D11" s="2">
        <v>35826</v>
      </c>
      <c r="E11" s="1"/>
      <c r="F11" s="1"/>
      <c r="G11" s="1">
        <v>26.94</v>
      </c>
      <c r="H11" s="1">
        <v>40.409999999999997</v>
      </c>
      <c r="I11" s="1">
        <v>89605.86</v>
      </c>
      <c r="J11" s="1">
        <v>156292.04</v>
      </c>
      <c r="K11" s="1">
        <v>0</v>
      </c>
      <c r="L11" s="1">
        <v>1800</v>
      </c>
      <c r="M11" s="1">
        <v>0</v>
      </c>
      <c r="N11" s="1">
        <v>76821.77</v>
      </c>
      <c r="O11" s="1">
        <v>158727.13</v>
      </c>
      <c r="P11" s="1">
        <v>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ht="20.399999999999999" x14ac:dyDescent="0.3">
      <c r="B12" s="2" t="s">
        <v>32</v>
      </c>
      <c r="C12" s="2" t="s">
        <v>31</v>
      </c>
      <c r="D12" s="2">
        <v>35403</v>
      </c>
      <c r="E12" s="1"/>
      <c r="F12" s="1"/>
      <c r="G12" s="1">
        <v>27.87</v>
      </c>
      <c r="H12" s="1">
        <v>41.81</v>
      </c>
      <c r="I12" s="1">
        <v>88556.09</v>
      </c>
      <c r="J12" s="1">
        <v>156576.41</v>
      </c>
      <c r="K12" s="1">
        <v>0</v>
      </c>
      <c r="L12" s="1">
        <v>1762.5</v>
      </c>
      <c r="M12" s="1">
        <v>0</v>
      </c>
      <c r="N12" s="1">
        <v>77813.539999999994</v>
      </c>
      <c r="O12" s="1">
        <v>170576.59</v>
      </c>
      <c r="P12" s="1">
        <v>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20.399999999999999" x14ac:dyDescent="0.3">
      <c r="B13" s="2" t="s">
        <v>33</v>
      </c>
      <c r="C13" s="2" t="s">
        <v>31</v>
      </c>
      <c r="D13" s="2">
        <v>33093</v>
      </c>
      <c r="E13" s="1"/>
      <c r="F13" s="1"/>
      <c r="G13" s="1">
        <v>32.93</v>
      </c>
      <c r="H13" s="1">
        <v>49.4</v>
      </c>
      <c r="I13" s="1">
        <v>91038.77</v>
      </c>
      <c r="J13" s="1">
        <v>172168.01</v>
      </c>
      <c r="K13" s="1">
        <v>0</v>
      </c>
      <c r="L13" s="1">
        <v>1725</v>
      </c>
      <c r="M13" s="1">
        <v>39.57</v>
      </c>
      <c r="N13" s="1">
        <v>96236.12</v>
      </c>
      <c r="O13" s="1">
        <v>177509.88</v>
      </c>
      <c r="P13" s="1">
        <v>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x14ac:dyDescent="0.3">
      <c r="B14" s="2" t="s">
        <v>34</v>
      </c>
      <c r="C14" s="2" t="s">
        <v>28</v>
      </c>
      <c r="D14" s="2">
        <v>37900</v>
      </c>
      <c r="E14" s="1"/>
      <c r="F14" s="1"/>
      <c r="G14" s="1">
        <v>22.4</v>
      </c>
      <c r="H14" s="1">
        <v>33.6</v>
      </c>
      <c r="I14" s="1">
        <v>87296.23</v>
      </c>
      <c r="J14" s="1">
        <v>141450.34</v>
      </c>
      <c r="K14" s="1">
        <v>0</v>
      </c>
      <c r="L14" s="1">
        <v>1837.5</v>
      </c>
      <c r="M14" s="1">
        <v>98.2</v>
      </c>
      <c r="N14" s="1">
        <v>86363.33</v>
      </c>
      <c r="O14" s="1">
        <v>120584.13</v>
      </c>
      <c r="P14" s="1">
        <v>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20.399999999999999" x14ac:dyDescent="0.3">
      <c r="B15" s="2" t="s">
        <v>35</v>
      </c>
      <c r="C15" s="2" t="s">
        <v>28</v>
      </c>
      <c r="D15" s="2">
        <v>35590</v>
      </c>
      <c r="E15" s="1"/>
      <c r="F15" s="1"/>
      <c r="G15" s="1">
        <v>27.46</v>
      </c>
      <c r="H15" s="1">
        <v>41.19</v>
      </c>
      <c r="I15" s="1">
        <v>88194.9</v>
      </c>
      <c r="J15" s="1">
        <v>155011.24</v>
      </c>
      <c r="K15" s="1">
        <v>0</v>
      </c>
      <c r="L15" s="1">
        <v>1762.5</v>
      </c>
      <c r="M15" s="1">
        <v>244.14</v>
      </c>
      <c r="N15" s="1">
        <v>98812.43</v>
      </c>
      <c r="O15" s="1">
        <v>119521.7</v>
      </c>
      <c r="P15" s="1">
        <v>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x14ac:dyDescent="0.3">
      <c r="B16" s="2" t="s">
        <v>36</v>
      </c>
      <c r="C16" s="2" t="s">
        <v>28</v>
      </c>
      <c r="D16" s="2">
        <v>35192</v>
      </c>
      <c r="E16" s="1"/>
      <c r="F16" s="1"/>
      <c r="G16" s="1">
        <v>28.33</v>
      </c>
      <c r="H16" s="1">
        <v>42.5</v>
      </c>
      <c r="I16" s="1">
        <v>88963.64</v>
      </c>
      <c r="J16" s="1">
        <v>158342.45000000001</v>
      </c>
      <c r="K16" s="1">
        <v>0</v>
      </c>
      <c r="L16" s="1">
        <v>1762.5</v>
      </c>
      <c r="M16" s="1">
        <v>109.39</v>
      </c>
      <c r="N16" s="1">
        <v>89879.18</v>
      </c>
      <c r="O16" s="1">
        <v>164850.17000000001</v>
      </c>
      <c r="P16" s="1">
        <v>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x14ac:dyDescent="0.3">
      <c r="B17" s="2" t="s">
        <v>37</v>
      </c>
      <c r="C17" s="2" t="s">
        <v>28</v>
      </c>
      <c r="D17" s="2">
        <v>36628</v>
      </c>
      <c r="E17" s="1"/>
      <c r="F17" s="1"/>
      <c r="G17" s="1">
        <v>25.19</v>
      </c>
      <c r="H17" s="1">
        <v>37.78</v>
      </c>
      <c r="I17" s="1">
        <v>88023.83</v>
      </c>
      <c r="J17" s="1">
        <v>149436.59</v>
      </c>
      <c r="K17" s="1">
        <v>0</v>
      </c>
      <c r="L17" s="1">
        <v>1800</v>
      </c>
      <c r="M17" s="1">
        <v>0</v>
      </c>
      <c r="N17" s="1">
        <v>92616.29</v>
      </c>
      <c r="O17" s="1">
        <v>149766.94</v>
      </c>
      <c r="P17" s="1">
        <v>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20.399999999999999" x14ac:dyDescent="0.3">
      <c r="B18" s="2" t="s">
        <v>38</v>
      </c>
      <c r="C18" s="2" t="s">
        <v>28</v>
      </c>
      <c r="D18" s="2">
        <v>30115</v>
      </c>
      <c r="E18" s="1"/>
      <c r="F18" s="1"/>
      <c r="G18" s="1">
        <v>39.46</v>
      </c>
      <c r="H18" s="1">
        <v>59.19</v>
      </c>
      <c r="I18" s="1">
        <v>92465.44</v>
      </c>
      <c r="J18" s="1">
        <v>188016.91</v>
      </c>
      <c r="K18" s="1">
        <v>0</v>
      </c>
      <c r="L18" s="1">
        <v>1650</v>
      </c>
      <c r="M18" s="1">
        <v>143.27000000000001</v>
      </c>
      <c r="N18" s="1">
        <v>86538.68</v>
      </c>
      <c r="O18" s="1">
        <v>168507.1</v>
      </c>
      <c r="P18" s="1">
        <v>5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20.399999999999999" x14ac:dyDescent="0.3">
      <c r="B19" s="2" t="s">
        <v>39</v>
      </c>
      <c r="C19" s="2" t="s">
        <v>28</v>
      </c>
      <c r="D19" s="2">
        <v>41231</v>
      </c>
      <c r="E19" s="1"/>
      <c r="F19" s="1"/>
      <c r="G19" s="1">
        <v>15.1</v>
      </c>
      <c r="H19" s="1">
        <v>22.64</v>
      </c>
      <c r="I19" s="1">
        <v>82233.27</v>
      </c>
      <c r="J19" s="1">
        <v>114677.5</v>
      </c>
      <c r="K19" s="1">
        <v>0</v>
      </c>
      <c r="L19" s="1">
        <v>1875</v>
      </c>
      <c r="M19" s="1">
        <v>0</v>
      </c>
      <c r="N19" s="1">
        <v>74240.86</v>
      </c>
      <c r="O19" s="1">
        <v>112740.09</v>
      </c>
      <c r="P19" s="1">
        <v>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3">
      <c r="B20" s="2" t="s">
        <v>40</v>
      </c>
      <c r="C20" s="2" t="s">
        <v>31</v>
      </c>
      <c r="D20" s="2">
        <v>31824</v>
      </c>
      <c r="E20" s="1"/>
      <c r="F20" s="1"/>
      <c r="G20" s="1">
        <v>35.71</v>
      </c>
      <c r="H20" s="1">
        <v>53.57</v>
      </c>
      <c r="I20" s="1">
        <v>91406.45</v>
      </c>
      <c r="J20" s="1">
        <v>178594.61</v>
      </c>
      <c r="K20" s="1">
        <v>0</v>
      </c>
      <c r="L20" s="1">
        <v>1687.5</v>
      </c>
      <c r="M20" s="1">
        <v>145.13</v>
      </c>
      <c r="N20" s="1">
        <v>90744.11</v>
      </c>
      <c r="O20" s="1">
        <v>180217.79</v>
      </c>
      <c r="P20" s="1">
        <v>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x14ac:dyDescent="0.3">
      <c r="B21" s="2" t="s">
        <v>41</v>
      </c>
      <c r="C21" s="2" t="s">
        <v>31</v>
      </c>
      <c r="D21" s="2">
        <v>38150</v>
      </c>
      <c r="E21" s="1"/>
      <c r="F21" s="1"/>
      <c r="G21" s="1">
        <v>21.85</v>
      </c>
      <c r="H21" s="1">
        <v>32.770000000000003</v>
      </c>
      <c r="I21" s="1">
        <v>86792.81</v>
      </c>
      <c r="J21" s="1">
        <v>139268.84</v>
      </c>
      <c r="K21" s="1">
        <v>0</v>
      </c>
      <c r="L21" s="1">
        <v>1837.5</v>
      </c>
      <c r="M21" s="1">
        <v>191.85</v>
      </c>
      <c r="N21" s="1">
        <v>92277.83</v>
      </c>
      <c r="O21" s="1">
        <v>139124.15</v>
      </c>
      <c r="P21" s="1">
        <v>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x14ac:dyDescent="0.3">
      <c r="B22" s="2" t="s">
        <v>42</v>
      </c>
      <c r="C22" s="2" t="s">
        <v>28</v>
      </c>
      <c r="D22" s="2">
        <v>32891</v>
      </c>
      <c r="E22" s="1"/>
      <c r="F22" s="1"/>
      <c r="G22" s="1">
        <v>33.380000000000003</v>
      </c>
      <c r="H22" s="1">
        <v>50.06</v>
      </c>
      <c r="I22" s="1">
        <v>91420.63</v>
      </c>
      <c r="J22" s="1">
        <v>173822.75</v>
      </c>
      <c r="K22" s="1">
        <v>0</v>
      </c>
      <c r="L22" s="1">
        <v>1725</v>
      </c>
      <c r="M22" s="1">
        <v>150.72</v>
      </c>
      <c r="N22" s="1">
        <v>80527.14</v>
      </c>
      <c r="O22" s="1">
        <v>181545.58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x14ac:dyDescent="0.3">
      <c r="B23" s="2" t="s">
        <v>43</v>
      </c>
      <c r="C23" s="2" t="s">
        <v>31</v>
      </c>
      <c r="D23" s="2">
        <v>41102</v>
      </c>
      <c r="E23" s="1"/>
      <c r="F23" s="1"/>
      <c r="G23" s="1">
        <v>15.38</v>
      </c>
      <c r="H23" s="1">
        <v>23.07</v>
      </c>
      <c r="I23" s="1">
        <v>82498.34</v>
      </c>
      <c r="J23" s="1">
        <v>115826.13</v>
      </c>
      <c r="K23" s="1">
        <v>0</v>
      </c>
      <c r="L23" s="1">
        <v>1875</v>
      </c>
      <c r="M23" s="1">
        <v>159.16999999999999</v>
      </c>
      <c r="N23" s="1">
        <v>73878.58</v>
      </c>
      <c r="O23" s="1">
        <v>125469.62</v>
      </c>
      <c r="P23" s="1">
        <v>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x14ac:dyDescent="0.3">
      <c r="B24" s="1" t="s">
        <v>44</v>
      </c>
      <c r="C24" s="1" t="s">
        <v>31</v>
      </c>
      <c r="D24" s="2">
        <v>29465</v>
      </c>
      <c r="E24" s="1"/>
      <c r="F24" s="1"/>
      <c r="G24" s="1">
        <v>40.880000000000003</v>
      </c>
      <c r="H24" s="1">
        <v>61.33</v>
      </c>
      <c r="I24" s="1">
        <v>93640.78</v>
      </c>
      <c r="J24" s="1">
        <v>193110.06</v>
      </c>
      <c r="K24" s="1">
        <v>0</v>
      </c>
      <c r="L24" s="1">
        <v>1650</v>
      </c>
      <c r="M24" s="1">
        <v>0</v>
      </c>
      <c r="N24" s="1">
        <v>83732.44</v>
      </c>
      <c r="O24" s="1">
        <v>208951.82</v>
      </c>
      <c r="P24" s="1">
        <v>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x14ac:dyDescent="0.3">
      <c r="B25" s="1" t="s">
        <v>45</v>
      </c>
      <c r="C25" s="1" t="s">
        <v>31</v>
      </c>
      <c r="D25" s="2">
        <v>30711</v>
      </c>
      <c r="E25" s="1"/>
      <c r="F25" s="1"/>
      <c r="G25" s="1">
        <v>38.15</v>
      </c>
      <c r="H25" s="1">
        <v>57.23</v>
      </c>
      <c r="I25" s="1">
        <v>93464.74</v>
      </c>
      <c r="J25" s="1">
        <v>187513.86</v>
      </c>
      <c r="K25" s="1">
        <v>0</v>
      </c>
      <c r="L25" s="1">
        <v>1687.5</v>
      </c>
      <c r="M25" s="1">
        <v>226.41</v>
      </c>
      <c r="N25" s="1">
        <v>98278.63</v>
      </c>
      <c r="O25" s="1">
        <v>171337.91</v>
      </c>
      <c r="P25" s="1">
        <v>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2:3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2:3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2:3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3">
      <c r="B29" s="1" t="s">
        <v>46</v>
      </c>
      <c r="C29" s="1"/>
      <c r="D29" s="1"/>
      <c r="E29" s="1" t="s">
        <v>47</v>
      </c>
      <c r="F29" s="1"/>
      <c r="G29" s="1" t="s">
        <v>46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48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2:3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2:3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2:3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Résultats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2022-11-11T17:42:15Z</dcterms:modified>
</cp:coreProperties>
</file>