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D:\pythonProject\DCF\Data\Core\"/>
    </mc:Choice>
  </mc:AlternateContent>
  <xr:revisionPtr revIDLastSave="0" documentId="13_ncr:1_{5923A728-3A13-4E93-AE1D-59117B9AFB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rt here Ratings sheet" sheetId="1" r:id="rId1"/>
    <sheet name="Operating Leases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191029" iterate="1" iterateCount="200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37" i="2"/>
  <c r="D38" i="2"/>
  <c r="B23" i="2"/>
  <c r="D10" i="1"/>
  <c r="D12" i="1"/>
  <c r="D13" i="1"/>
  <c r="C12" i="2"/>
  <c r="A23" i="2"/>
  <c r="C23" i="2"/>
  <c r="B24" i="2"/>
  <c r="A24" i="2"/>
  <c r="C24" i="2"/>
  <c r="B25" i="2"/>
  <c r="A25" i="2"/>
  <c r="C25" i="2"/>
  <c r="B26" i="2"/>
  <c r="A26" i="2"/>
  <c r="C26" i="2"/>
  <c r="B27" i="2"/>
  <c r="A27" i="2"/>
  <c r="C27" i="2"/>
  <c r="D19" i="2"/>
  <c r="B28" i="2"/>
  <c r="C28" i="2"/>
  <c r="C29" i="2"/>
  <c r="D39" i="2"/>
  <c r="D40" i="2"/>
  <c r="F33" i="2"/>
  <c r="F32" i="2"/>
  <c r="A28" i="2"/>
  <c r="D17" i="2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F5" authorId="0" shapeId="0" xr:uid="{00000000-0006-0000-0000-000001000000}">
      <text>
        <r>
          <rPr>
            <sz val="10"/>
            <color rgb="FF000000"/>
            <rFont val="Geneva"/>
          </rPr>
          <t>Aswath Damodaran:
If yes, fill in the attached worksheet on operating leases</t>
        </r>
      </text>
    </comment>
    <comment ref="F6" authorId="0" shapeId="0" xr:uid="{00000000-0006-0000-0000-000002000000}">
      <text>
        <r>
          <rPr>
            <sz val="10"/>
            <color rgb="FF000000"/>
            <rFont val="Geneva"/>
          </rPr>
          <t xml:space="preserve">Aswath Damodaran:
If your most recent year's operating income is unusually low or high, you can use the average operating income from the last few years. </t>
        </r>
      </text>
    </comment>
    <comment ref="F7" authorId="0" shapeId="0" xr:uid="{00000000-0006-0000-0000-000003000000}">
      <text>
        <r>
          <rPr>
            <sz val="10"/>
            <color rgb="FF000000"/>
            <rFont val="Geneva"/>
          </rPr>
          <t>Aswath Damodaran:
Enter the interest expense from the most recent income statement.</t>
        </r>
      </text>
    </comment>
    <comment ref="F8" authorId="0" shapeId="0" xr:uid="{00000000-0006-0000-0000-000004000000}">
      <text>
        <r>
          <rPr>
            <sz val="10"/>
            <color rgb="FF000000"/>
            <rFont val="Geneva"/>
          </rPr>
          <t>Aswath Damodaran:
I use a 10 year government bond rate.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F32" authorId="0" shapeId="0" xr:uid="{00000000-0006-0000-0100-000001000000}">
      <text>
        <r>
          <rPr>
            <sz val="10"/>
            <color rgb="FF000000"/>
            <rFont val="Geneva"/>
          </rPr>
          <t>Aswath Damodaran:
I have used an approximation here. If you want to see the more complete adjustment, see below.</t>
        </r>
      </text>
    </comment>
  </commentList>
</comments>
</file>

<file path=xl/sharedStrings.xml><?xml version="1.0" encoding="utf-8"?>
<sst xmlns="http://schemas.openxmlformats.org/spreadsheetml/2006/main" count="120" uniqueCount="78">
  <si>
    <t>Inputs for synthetic rating estimation</t>
  </si>
  <si>
    <t>Yes</t>
  </si>
  <si>
    <t>Please read the special cases worksheet (see below) before you use this spreadsheet.</t>
  </si>
  <si>
    <t>No</t>
  </si>
  <si>
    <t>Before you use this spreadsheet, make sure that the iteration box (under calculation options in excel) is checked.</t>
  </si>
  <si>
    <t>Enter the type of firm =</t>
  </si>
  <si>
    <t>(Enter 1 if large manufacturing firm, 2 if smaller or riskier firm, 3 if financial service firm)</t>
  </si>
  <si>
    <t>Small: &lt;$5 billion</t>
  </si>
  <si>
    <t>Do you have any operating lease or rental commitments?</t>
  </si>
  <si>
    <t>Yes or No</t>
  </si>
  <si>
    <t>Enter current Earnings before interest and taxes (EBIT) =</t>
  </si>
  <si>
    <t>(Add back only long term interest expense for financial firms)</t>
  </si>
  <si>
    <t>Enter current interest expenses =</t>
  </si>
  <si>
    <t>(Use only long term interest expense for financial firms)</t>
  </si>
  <si>
    <t>Enter current long term government bond rate =</t>
  </si>
  <si>
    <t>Output</t>
  </si>
  <si>
    <t>Interest  coverage ratio =</t>
  </si>
  <si>
    <t>Estimated Bond Rating =</t>
  </si>
  <si>
    <t>Note: If you get REF! All over the place, set the operating lease commitment question in cell F5</t>
  </si>
  <si>
    <t>Estimated Default Spread =</t>
  </si>
  <si>
    <t>to No, and then reset it to Yes. It should work.</t>
  </si>
  <si>
    <t>Estimated Cost of Debt =</t>
  </si>
  <si>
    <t xml:space="preserve"> If you want to update the spreads listed below, please visit http://www.bondsonline.com</t>
  </si>
  <si>
    <t>For large non-financial service firms</t>
  </si>
  <si>
    <t>For financial service firms (default spreads are slighty different)</t>
  </si>
  <si>
    <t>If interest coverage ratio is</t>
  </si>
  <si>
    <t>If long term interest coverage ratio is</t>
  </si>
  <si>
    <t>&gt;</t>
  </si>
  <si>
    <t>≤ to</t>
  </si>
  <si>
    <t>Rating is</t>
  </si>
  <si>
    <t>Spread is</t>
  </si>
  <si>
    <t>greater than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</si>
  <si>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</si>
  <si>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</si>
  <si>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</si>
  <si>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</si>
  <si>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</si>
  <si>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</si>
  <si>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</si>
  <si>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</si>
  <si>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</si>
  <si>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</si>
  <si>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</si>
  <si>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</si>
  <si>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</si>
  <si>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</si>
  <si>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</si>
  <si>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For smaller and riskier firms</t>
  </si>
  <si>
    <t>Operating lease inputs</t>
  </si>
  <si>
    <t>Operating lease expense in current year =</t>
  </si>
  <si>
    <t>Operating Lease Commitments (From footnote to financials)</t>
  </si>
  <si>
    <t>Year</t>
  </si>
  <si>
    <t>Commitment</t>
  </si>
  <si>
    <t>! Year 1 is next year, ….</t>
  </si>
  <si>
    <t>6 and beyond</t>
  </si>
  <si>
    <t>Pre-tax Cost of Debt =</t>
  </si>
  <si>
    <t>! If you do not have a cost of debt, use the attached ratings estimator</t>
  </si>
  <si>
    <t>From the current financial statements, enter the following</t>
  </si>
  <si>
    <t>Reported Operating Income (EBIT) =</t>
  </si>
  <si>
    <t>! This is the EBIT reported in the current income statement</t>
  </si>
  <si>
    <t>Reported Debt =</t>
  </si>
  <si>
    <t>! This is the interest-bearing debt reported on the balance sheet</t>
  </si>
  <si>
    <t>Reported Interest Expenses =</t>
  </si>
  <si>
    <t>Number of years embedded in yr 6 estimate =</t>
  </si>
  <si>
    <t>! I use the average lease expense over the first five years</t>
  </si>
  <si>
    <t>to estimate the number of years of expenses in yr 6</t>
  </si>
  <si>
    <t>Converting Operating Leases into debt</t>
  </si>
  <si>
    <t>Present Value</t>
  </si>
  <si>
    <t>! Commitment beyond year 6 converted into an annuity for ten years</t>
  </si>
  <si>
    <t>Debt Value of leases =</t>
  </si>
  <si>
    <t>Restated Financials</t>
  </si>
  <si>
    <t>Operating Income with Operating leases reclassified as debt =</t>
  </si>
  <si>
    <t>Debt with Operating leases reclassified as debt =</t>
  </si>
  <si>
    <t>Full Operating lease adjustment</t>
  </si>
  <si>
    <t>Reported Operating income =</t>
  </si>
  <si>
    <t xml:space="preserve"> + Current year's operating lease expense =</t>
  </si>
  <si>
    <t xml:space="preserve"> - Depreciation on leased asset =</t>
  </si>
  <si>
    <t>Adjusted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</si>
</sst>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4">
    <font>
      <sz val="10"/>
      <color rgb="FF000000"/>
      <name val="Geneva"/>
    </font>
    <font>
      <b/>
      <sz val="14"/>
      <color rgb="FF000000"/>
      <name val="Times"/>
    </font>
    <font>
      <sz val="10"/>
      <color rgb="FF000000"/>
      <name val="Times"/>
    </font>
    <font>
      <b/>
      <sz val="10"/>
      <color rgb="FF000000"/>
      <name val="Times"/>
    </font>
    <font>
      <b/>
      <sz val="10"/>
      <color rgb="FF000000"/>
      <name val="Geneva"/>
    </font>
    <font>
      <i/>
      <sz val="10"/>
      <color rgb="FF000000"/>
      <name val="Times"/>
    </font>
    <font>
      <b/>
      <i/>
      <sz val="10"/>
      <color rgb="FF000000"/>
      <name val="Times"/>
    </font>
    <font>
      <i/>
      <sz val="10"/>
      <color rgb="FF000000"/>
      <name val="Geneva"/>
    </font>
    <font>
      <b/>
      <i/>
      <sz val="12"/>
      <color rgb="FF000000"/>
      <name val="Times"/>
    </font>
    <font>
      <i/>
      <sz val="12"/>
      <color rgb="FF000000"/>
      <name val="Geneva"/>
    </font>
    <font>
      <sz val="10"/>
      <color rgb="FF000000"/>
      <name val="Calibri"/>
      <family val="2"/>
      <charset val="204"/>
    </font>
    <font>
      <i/>
      <sz val="10"/>
      <color rgb="FF000000"/>
      <name val="Times Roman"/>
    </font>
    <font>
      <sz val="10"/>
      <color rgb="FF000000"/>
      <name val="Times Roman"/>
    </font>
    <font>
      <sz val="12"/>
      <color rgb="FF000000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FCF305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0" borderId="4" xfId="0" applyFont="1" applyBorder="1"/>
    <xf numFmtId="0" fontId="2" fillId="0" borderId="3" xfId="0" applyFont="1" applyBorder="1"/>
    <xf numFmtId="0" fontId="2" fillId="2" borderId="3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4" fontId="2" fillId="4" borderId="3" xfId="0" applyNumberFormat="1" applyFont="1" applyFill="1" applyBorder="1"/>
    <xf numFmtId="44" fontId="2" fillId="4" borderId="4" xfId="0" applyNumberFormat="1" applyFont="1" applyFill="1" applyBorder="1"/>
    <xf numFmtId="0" fontId="2" fillId="0" borderId="1" xfId="0" applyFont="1" applyBorder="1"/>
    <xf numFmtId="44" fontId="2" fillId="4" borderId="1" xfId="0" applyNumberFormat="1" applyFont="1" applyFill="1" applyBorder="1"/>
    <xf numFmtId="44" fontId="2" fillId="3" borderId="3" xfId="0" applyNumberFormat="1" applyFont="1" applyFill="1" applyBorder="1"/>
    <xf numFmtId="44" fontId="3" fillId="0" borderId="0" xfId="0" applyNumberFormat="1" applyFont="1"/>
    <xf numFmtId="10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44" fontId="2" fillId="4" borderId="2" xfId="0" applyNumberFormat="1" applyFont="1" applyFill="1" applyBorder="1"/>
    <xf numFmtId="0" fontId="10" fillId="0" borderId="3" xfId="0" applyFont="1" applyBorder="1" applyAlignment="1">
      <alignment horizontal="center"/>
    </xf>
    <xf numFmtId="164" fontId="0" fillId="5" borderId="3" xfId="0" applyNumberForma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0" fontId="11" fillId="0" borderId="3" xfId="0" applyFont="1" applyBorder="1" applyAlignment="1">
      <alignment horizontal="centerContinuous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13" fillId="0" borderId="5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zoomScale="87" zoomScaleNormal="92" workbookViewId="0">
      <selection activeCell="C21" sqref="C21"/>
    </sheetView>
  </sheetViews>
  <sheetFormatPr defaultColWidth="10" defaultRowHeight="13.95" customHeight="1"/>
  <sheetData>
    <row r="1" spans="1:16" ht="18" customHeight="1">
      <c r="A1" s="1" t="s">
        <v>0</v>
      </c>
      <c r="O1" t="s">
        <v>1</v>
      </c>
      <c r="P1">
        <v>1</v>
      </c>
    </row>
    <row r="2" spans="1:16" ht="18" customHeight="1">
      <c r="A2" s="1" t="s">
        <v>2</v>
      </c>
      <c r="O2" t="s">
        <v>3</v>
      </c>
      <c r="P2">
        <v>2</v>
      </c>
    </row>
    <row r="3" spans="1:16" s="27" customFormat="1" ht="16.95" customHeight="1">
      <c r="A3" s="26" t="s">
        <v>4</v>
      </c>
      <c r="P3" s="27">
        <v>3</v>
      </c>
    </row>
    <row r="4" spans="1:16" ht="15" customHeight="1">
      <c r="A4" s="2" t="s">
        <v>5</v>
      </c>
      <c r="B4" s="2"/>
      <c r="C4" s="11">
        <v>1</v>
      </c>
      <c r="D4" s="2" t="s">
        <v>6</v>
      </c>
      <c r="E4" s="2"/>
      <c r="F4" s="2"/>
      <c r="G4" s="2"/>
      <c r="H4" s="2"/>
      <c r="I4" s="2" t="s">
        <v>7</v>
      </c>
      <c r="J4" s="2"/>
    </row>
    <row r="5" spans="1:16" ht="13.95" customHeight="1">
      <c r="A5" s="2" t="s">
        <v>8</v>
      </c>
      <c r="B5" s="2"/>
      <c r="C5" s="2"/>
      <c r="D5" s="2"/>
      <c r="E5" s="2"/>
      <c r="F5" s="15" t="s">
        <v>3</v>
      </c>
      <c r="G5" s="2" t="s">
        <v>9</v>
      </c>
      <c r="H5" s="2"/>
      <c r="I5" s="2"/>
      <c r="J5" s="2"/>
    </row>
    <row r="6" spans="1:16" ht="15" customHeight="1">
      <c r="A6" s="2" t="s">
        <v>10</v>
      </c>
      <c r="B6" s="2"/>
      <c r="C6" s="2"/>
      <c r="D6" s="2"/>
      <c r="E6" s="2"/>
      <c r="F6" s="31">
        <v>109433</v>
      </c>
      <c r="G6" s="2" t="s">
        <v>11</v>
      </c>
      <c r="H6" s="2"/>
      <c r="I6" s="2"/>
      <c r="J6" s="2"/>
    </row>
    <row r="7" spans="1:16" ht="15" customHeight="1">
      <c r="A7" s="2" t="s">
        <v>12</v>
      </c>
      <c r="B7" s="2"/>
      <c r="C7" s="2"/>
      <c r="D7" s="2"/>
      <c r="E7" s="2"/>
      <c r="F7" s="32">
        <v>2935</v>
      </c>
      <c r="G7" s="2" t="s">
        <v>13</v>
      </c>
      <c r="H7" s="2"/>
      <c r="I7" s="2"/>
      <c r="J7" s="2"/>
    </row>
    <row r="8" spans="1:16" ht="15" customHeight="1">
      <c r="A8" s="2" t="s">
        <v>14</v>
      </c>
      <c r="B8" s="2"/>
      <c r="C8" s="2"/>
      <c r="D8" s="2"/>
      <c r="E8" s="2"/>
      <c r="F8" s="12">
        <v>3.8399999999999997E-2</v>
      </c>
      <c r="G8" s="2"/>
      <c r="H8" s="2"/>
      <c r="I8" s="2"/>
      <c r="J8" s="2"/>
    </row>
    <row r="9" spans="1:16" ht="15" customHeight="1">
      <c r="A9" s="3" t="s">
        <v>15</v>
      </c>
      <c r="B9" s="2"/>
      <c r="C9" s="2"/>
      <c r="D9" s="2"/>
      <c r="E9" s="2"/>
      <c r="F9" s="2"/>
      <c r="G9" s="2"/>
      <c r="H9" s="2"/>
      <c r="I9" s="2"/>
      <c r="J9" s="2"/>
    </row>
    <row r="10" spans="1:16" ht="15" customHeight="1">
      <c r="A10" s="2" t="s">
        <v>16</v>
      </c>
      <c r="B10" s="2"/>
      <c r="C10" s="2"/>
      <c r="D10" s="4">
        <f>IF(F5="Yes",'Operating Leases'!F32/('Start here Ratings sheet'!F7+'Operating Leases'!C29*'Start here Ratings sheet'!D13),IF('Start here Ratings sheet'!F7&gt;0,'Start here Ratings sheet'!F6/'Start here Ratings sheet'!F7,100000))</f>
        <v>37.285519591141394</v>
      </c>
      <c r="E10" s="2"/>
      <c r="F10" s="2"/>
      <c r="G10" s="2"/>
      <c r="H10" s="2"/>
      <c r="I10" s="2"/>
      <c r="J10" s="2"/>
    </row>
    <row r="11" spans="1:16" ht="15" customHeight="1">
      <c r="A11" s="2" t="s">
        <v>17</v>
      </c>
      <c r="D11" s="5" t="str">
        <f>IF(C4=1,VLOOKUP(D10,A19:D33,3),(IF(C4=2,VLOOKUP(D10,A57:D71,3),VLOOKUP(D10,A38:D52,3))))</f>
        <v>Aaa/AAA</v>
      </c>
      <c r="F11" s="25" t="s">
        <v>18</v>
      </c>
    </row>
    <row r="12" spans="1:16" ht="15" customHeight="1">
      <c r="A12" s="2" t="s">
        <v>19</v>
      </c>
      <c r="D12" s="6">
        <f>IF(C4=1,VLOOKUP(D10,A19:D33,4),(IF(C4=2,VLOOKUP(D10,A57:D71,4),VLOOKUP(D10,A38:D52,4))))</f>
        <v>5.8999999999999999E-3</v>
      </c>
      <c r="F12" s="25" t="s">
        <v>20</v>
      </c>
    </row>
    <row r="13" spans="1:16" s="2" customFormat="1" ht="13.95" customHeight="1">
      <c r="A13" s="2" t="s">
        <v>21</v>
      </c>
      <c r="D13" s="6">
        <f>F8+D12</f>
        <v>4.4299999999999999E-2</v>
      </c>
    </row>
    <row r="14" spans="1:16" s="2" customFormat="1" ht="13.05" customHeight="1">
      <c r="D14" s="7"/>
    </row>
    <row r="15" spans="1:16" s="8" customFormat="1" ht="13.05" customHeight="1">
      <c r="A15" s="8" t="s">
        <v>22</v>
      </c>
      <c r="D15" s="24"/>
    </row>
    <row r="16" spans="1:16" ht="13.95" customHeight="1">
      <c r="A16" s="3" t="s">
        <v>23</v>
      </c>
    </row>
    <row r="17" spans="1:10" ht="13.95" customHeight="1">
      <c r="A17" s="33" t="s">
        <v>25</v>
      </c>
      <c r="B17" s="33"/>
      <c r="C17" s="34"/>
      <c r="D17" s="34"/>
      <c r="J17" s="2"/>
    </row>
    <row r="18" spans="1:10" ht="13.95" customHeight="1">
      <c r="A18" s="35" t="s">
        <v>27</v>
      </c>
      <c r="B18" s="35" t="s">
        <v>28</v>
      </c>
      <c r="C18" s="35" t="s">
        <v>29</v>
      </c>
      <c r="D18" s="35" t="s">
        <v>30</v>
      </c>
    </row>
    <row r="19" spans="1:10" ht="16.05" customHeight="1">
      <c r="A19" s="36">
        <v>-100000</v>
      </c>
      <c r="B19" s="36">
        <v>0.19999900000000001</v>
      </c>
      <c r="C19" s="36" t="s">
        <v>32</v>
      </c>
      <c r="D19" s="40">
        <v>0.2</v>
      </c>
    </row>
    <row r="20" spans="1:10" ht="16.05" customHeight="1">
      <c r="A20" s="36">
        <v>0.2</v>
      </c>
      <c r="B20" s="36">
        <v>0.64999899999999999</v>
      </c>
      <c r="C20" s="36" t="s">
        <v>33</v>
      </c>
      <c r="D20" s="40">
        <v>0.17</v>
      </c>
    </row>
    <row r="21" spans="1:10" ht="16.05" customHeight="1">
      <c r="A21" s="36">
        <v>0.65</v>
      </c>
      <c r="B21" s="36">
        <v>0.79999900000000002</v>
      </c>
      <c r="C21" s="36" t="s">
        <v>34</v>
      </c>
      <c r="D21" s="40">
        <v>0.1178</v>
      </c>
    </row>
    <row r="22" spans="1:10" ht="16.05" customHeight="1">
      <c r="A22" s="36">
        <v>0.8</v>
      </c>
      <c r="B22" s="36">
        <v>1.2499990000000001</v>
      </c>
      <c r="C22" s="36" t="s">
        <v>35</v>
      </c>
      <c r="D22" s="40">
        <v>8.5099999999999995E-2</v>
      </c>
    </row>
    <row r="23" spans="1:10" ht="16.05" customHeight="1">
      <c r="A23" s="36">
        <v>1.25</v>
      </c>
      <c r="B23" s="36">
        <v>1.4999990000000001</v>
      </c>
      <c r="C23" s="36" t="s">
        <v>36</v>
      </c>
      <c r="D23" s="40">
        <v>5.2400000000000002E-2</v>
      </c>
    </row>
    <row r="24" spans="1:10" ht="16.05" customHeight="1">
      <c r="A24" s="36">
        <v>1.5</v>
      </c>
      <c r="B24" s="36">
        <v>1.7499990000000001</v>
      </c>
      <c r="C24" s="36" t="s">
        <v>37</v>
      </c>
      <c r="D24" s="40">
        <v>3.61E-2</v>
      </c>
    </row>
    <row r="25" spans="1:10" ht="16.05" customHeight="1">
      <c r="A25" s="36">
        <v>1.75</v>
      </c>
      <c r="B25" s="36">
        <v>1.9999990000000001</v>
      </c>
      <c r="C25" s="36" t="s">
        <v>38</v>
      </c>
      <c r="D25" s="40">
        <v>3.1399999999999997E-2</v>
      </c>
    </row>
    <row r="26" spans="1:10" ht="16.05" customHeight="1">
      <c r="A26" s="36">
        <v>2</v>
      </c>
      <c r="B26" s="36">
        <v>2.2499999000000002</v>
      </c>
      <c r="C26" s="36" t="s">
        <v>39</v>
      </c>
      <c r="D26" s="40">
        <v>2.2100000000000002E-2</v>
      </c>
    </row>
    <row r="27" spans="1:10" ht="16.05" customHeight="1">
      <c r="A27" s="36">
        <v>2.25</v>
      </c>
      <c r="B27" s="36">
        <v>2.4999899999999999</v>
      </c>
      <c r="C27" s="36" t="s">
        <v>40</v>
      </c>
      <c r="D27" s="40">
        <v>1.7399999999999999E-2</v>
      </c>
    </row>
    <row r="28" spans="1:10" ht="16.05" customHeight="1">
      <c r="A28" s="36">
        <v>2.5</v>
      </c>
      <c r="B28" s="36">
        <v>2.9999989999999999</v>
      </c>
      <c r="C28" s="36" t="s">
        <v>41</v>
      </c>
      <c r="D28" s="40">
        <v>1.47E-2</v>
      </c>
    </row>
    <row r="29" spans="1:10" ht="16.05" customHeight="1">
      <c r="A29" s="36">
        <v>3</v>
      </c>
      <c r="B29" s="36">
        <v>4.2499989999999999</v>
      </c>
      <c r="C29" s="36" t="s">
        <v>42</v>
      </c>
      <c r="D29" s="40">
        <v>1.21E-2</v>
      </c>
    </row>
    <row r="30" spans="1:10" ht="16.05" customHeight="1">
      <c r="A30" s="36">
        <v>4.25</v>
      </c>
      <c r="B30" s="36">
        <v>5.4999989999999999</v>
      </c>
      <c r="C30" s="36" t="s">
        <v>43</v>
      </c>
      <c r="D30" s="40">
        <v>1.0699999999999999E-2</v>
      </c>
    </row>
    <row r="31" spans="1:10" ht="16.05" customHeight="1">
      <c r="A31" s="36">
        <v>5.5</v>
      </c>
      <c r="B31" s="36">
        <v>6.4999989999999999</v>
      </c>
      <c r="C31" s="36" t="s">
        <v>44</v>
      </c>
      <c r="D31" s="40">
        <v>9.1999999999999998E-3</v>
      </c>
    </row>
    <row r="32" spans="1:10" ht="16.05" customHeight="1">
      <c r="A32" s="36">
        <v>6.5</v>
      </c>
      <c r="B32" s="36">
        <v>8.4999990000000007</v>
      </c>
      <c r="C32" s="36" t="s">
        <v>45</v>
      </c>
      <c r="D32" s="40">
        <v>7.0000000000000001E-3</v>
      </c>
    </row>
    <row r="33" spans="1:4" ht="16.05" customHeight="1">
      <c r="A33" s="37">
        <v>8.5</v>
      </c>
      <c r="B33" s="36">
        <v>100000</v>
      </c>
      <c r="C33" s="36" t="s">
        <v>46</v>
      </c>
      <c r="D33" s="40">
        <v>5.8999999999999999E-3</v>
      </c>
    </row>
    <row r="34" spans="1:4" ht="13.95" customHeight="1">
      <c r="A34" s="38"/>
      <c r="B34" s="38"/>
      <c r="C34" s="38"/>
      <c r="D34" s="38"/>
    </row>
    <row r="35" spans="1:4" ht="13.95" customHeight="1">
      <c r="A35" s="3" t="s">
        <v>24</v>
      </c>
    </row>
    <row r="36" spans="1:4" ht="13.95" customHeight="1">
      <c r="A36" s="8" t="s">
        <v>26</v>
      </c>
      <c r="B36" s="9"/>
      <c r="C36" s="2"/>
      <c r="D36" s="2"/>
    </row>
    <row r="37" spans="1:4" ht="13.95" customHeight="1">
      <c r="A37" s="10" t="s">
        <v>31</v>
      </c>
      <c r="B37" s="10" t="s">
        <v>28</v>
      </c>
      <c r="C37" s="10" t="s">
        <v>29</v>
      </c>
      <c r="D37" s="10" t="s">
        <v>30</v>
      </c>
    </row>
    <row r="38" spans="1:4" ht="16.05" customHeight="1">
      <c r="A38" s="10">
        <v>-100000</v>
      </c>
      <c r="B38" s="10">
        <v>4.9999000000000002E-2</v>
      </c>
      <c r="C38" s="29" t="s">
        <v>32</v>
      </c>
      <c r="D38" s="40">
        <v>0.2</v>
      </c>
    </row>
    <row r="39" spans="1:4" ht="16.05" customHeight="1">
      <c r="A39" s="10">
        <v>0.05</v>
      </c>
      <c r="B39" s="10">
        <v>9.9999000000000005E-2</v>
      </c>
      <c r="C39" s="29" t="s">
        <v>33</v>
      </c>
      <c r="D39" s="40">
        <v>0.17</v>
      </c>
    </row>
    <row r="40" spans="1:4" ht="16.05" customHeight="1">
      <c r="A40" s="10">
        <v>0.1</v>
      </c>
      <c r="B40" s="10">
        <v>0.19999900000000001</v>
      </c>
      <c r="C40" s="29" t="s">
        <v>34</v>
      </c>
      <c r="D40" s="40">
        <v>0.1178</v>
      </c>
    </row>
    <row r="41" spans="1:4" ht="16.05" customHeight="1">
      <c r="A41" s="10">
        <v>0.2</v>
      </c>
      <c r="B41" s="10">
        <v>0.29999900000000002</v>
      </c>
      <c r="C41" s="29" t="s">
        <v>35</v>
      </c>
      <c r="D41" s="40">
        <v>8.5099999999999995E-2</v>
      </c>
    </row>
    <row r="42" spans="1:4" ht="16.05" customHeight="1">
      <c r="A42" s="10">
        <v>0.3</v>
      </c>
      <c r="B42" s="10">
        <v>0.39999899999999999</v>
      </c>
      <c r="C42" s="29" t="s">
        <v>36</v>
      </c>
      <c r="D42" s="40">
        <v>5.2400000000000002E-2</v>
      </c>
    </row>
    <row r="43" spans="1:4" ht="16.05" customHeight="1">
      <c r="A43" s="10">
        <v>0.4</v>
      </c>
      <c r="B43" s="10">
        <v>0.49999900000000003</v>
      </c>
      <c r="C43" s="29" t="s">
        <v>37</v>
      </c>
      <c r="D43" s="40">
        <v>3.61E-2</v>
      </c>
    </row>
    <row r="44" spans="1:4" ht="16.05" customHeight="1">
      <c r="A44" s="10">
        <v>0.5</v>
      </c>
      <c r="B44" s="10">
        <v>0.59999899999999995</v>
      </c>
      <c r="C44" s="29" t="s">
        <v>38</v>
      </c>
      <c r="D44" s="40">
        <v>3.1399999999999997E-2</v>
      </c>
    </row>
    <row r="45" spans="1:4" ht="16.05" customHeight="1">
      <c r="A45" s="10">
        <v>0.6</v>
      </c>
      <c r="B45" s="10">
        <v>0.74999899999999997</v>
      </c>
      <c r="C45" s="29" t="s">
        <v>39</v>
      </c>
      <c r="D45" s="40">
        <v>2.2100000000000002E-2</v>
      </c>
    </row>
    <row r="46" spans="1:4" ht="16.05" customHeight="1">
      <c r="A46" s="10">
        <v>0.75</v>
      </c>
      <c r="B46" s="10">
        <v>0.89999899999999999</v>
      </c>
      <c r="C46" s="29" t="s">
        <v>40</v>
      </c>
      <c r="D46" s="40">
        <v>1.7399999999999999E-2</v>
      </c>
    </row>
    <row r="47" spans="1:4" ht="16.05" customHeight="1">
      <c r="A47" s="10">
        <v>0.9</v>
      </c>
      <c r="B47" s="10">
        <v>1.199999</v>
      </c>
      <c r="C47" s="29" t="s">
        <v>41</v>
      </c>
      <c r="D47" s="40">
        <v>1.47E-2</v>
      </c>
    </row>
    <row r="48" spans="1:4" ht="16.05" customHeight="1">
      <c r="A48" s="10">
        <v>1.2</v>
      </c>
      <c r="B48" s="10">
        <v>1.4999899999999999</v>
      </c>
      <c r="C48" s="29" t="s">
        <v>42</v>
      </c>
      <c r="D48" s="40">
        <v>1.21E-2</v>
      </c>
    </row>
    <row r="49" spans="1:7" ht="16.05" customHeight="1">
      <c r="A49" s="10">
        <v>1.5</v>
      </c>
      <c r="B49" s="10">
        <v>1.9999899999999999</v>
      </c>
      <c r="C49" s="29" t="s">
        <v>43</v>
      </c>
      <c r="D49" s="40">
        <v>1.0699999999999999E-2</v>
      </c>
    </row>
    <row r="50" spans="1:7" ht="16.05" customHeight="1">
      <c r="A50" s="10">
        <v>2</v>
      </c>
      <c r="B50" s="10">
        <v>2.4999899999999999</v>
      </c>
      <c r="C50" s="29" t="s">
        <v>44</v>
      </c>
      <c r="D50" s="40">
        <v>9.1999999999999998E-3</v>
      </c>
    </row>
    <row r="51" spans="1:7" ht="16.05" customHeight="1">
      <c r="A51" s="10">
        <v>2.5</v>
      </c>
      <c r="B51" s="10">
        <v>2.9999899999999999</v>
      </c>
      <c r="C51" s="29" t="s">
        <v>45</v>
      </c>
      <c r="D51" s="40">
        <v>7.0000000000000001E-3</v>
      </c>
    </row>
    <row r="52" spans="1:7" ht="16.05" customHeight="1">
      <c r="A52" s="10">
        <v>3</v>
      </c>
      <c r="B52" s="10">
        <v>100000</v>
      </c>
      <c r="C52" s="29" t="s">
        <v>46</v>
      </c>
      <c r="D52" s="40">
        <v>5.8999999999999999E-3</v>
      </c>
      <c r="F52" s="2"/>
      <c r="G52" s="2"/>
    </row>
    <row r="54" spans="1:7" ht="13.95" customHeight="1">
      <c r="A54" s="39" t="s">
        <v>47</v>
      </c>
      <c r="B54" s="38"/>
      <c r="C54" s="38"/>
      <c r="D54" s="38"/>
    </row>
    <row r="55" spans="1:7" ht="13.95" customHeight="1">
      <c r="A55" s="41" t="s">
        <v>25</v>
      </c>
      <c r="B55" s="42"/>
      <c r="C55" s="36"/>
      <c r="D55" s="36"/>
    </row>
    <row r="56" spans="1:7" ht="13.95" customHeight="1">
      <c r="A56" s="36" t="s">
        <v>31</v>
      </c>
      <c r="B56" s="36" t="s">
        <v>28</v>
      </c>
      <c r="C56" s="36" t="s">
        <v>29</v>
      </c>
      <c r="D56" s="36" t="s">
        <v>30</v>
      </c>
    </row>
    <row r="57" spans="1:7" ht="13.95" customHeight="1">
      <c r="A57" s="36">
        <v>-100000</v>
      </c>
      <c r="B57" s="36">
        <v>0.49999900000000003</v>
      </c>
      <c r="C57" s="36" t="s">
        <v>32</v>
      </c>
      <c r="D57" s="40">
        <v>0.2</v>
      </c>
    </row>
    <row r="58" spans="1:7" ht="13.95" customHeight="1">
      <c r="A58" s="36">
        <v>0.5</v>
      </c>
      <c r="B58" s="36">
        <v>0.79999900000000002</v>
      </c>
      <c r="C58" s="36" t="s">
        <v>33</v>
      </c>
      <c r="D58" s="40">
        <v>0.17</v>
      </c>
    </row>
    <row r="59" spans="1:7" ht="13.95" customHeight="1">
      <c r="A59" s="36">
        <v>0.8</v>
      </c>
      <c r="B59" s="36">
        <v>1.2499990000000001</v>
      </c>
      <c r="C59" s="36" t="s">
        <v>34</v>
      </c>
      <c r="D59" s="40">
        <v>0.1178</v>
      </c>
    </row>
    <row r="60" spans="1:7" ht="13.95" customHeight="1">
      <c r="A60" s="36">
        <v>1.25</v>
      </c>
      <c r="B60" s="36">
        <v>1.4999990000000001</v>
      </c>
      <c r="C60" s="36" t="s">
        <v>35</v>
      </c>
      <c r="D60" s="40">
        <v>8.5099999999999995E-2</v>
      </c>
    </row>
    <row r="61" spans="1:7" ht="13.95" customHeight="1">
      <c r="A61" s="36">
        <v>1.5</v>
      </c>
      <c r="B61" s="36">
        <v>1.9999990000000001</v>
      </c>
      <c r="C61" s="36" t="s">
        <v>36</v>
      </c>
      <c r="D61" s="40">
        <v>5.2400000000000002E-2</v>
      </c>
    </row>
    <row r="62" spans="1:7" ht="13.95" customHeight="1">
      <c r="A62" s="36">
        <v>2</v>
      </c>
      <c r="B62" s="36">
        <v>2.4999989999999999</v>
      </c>
      <c r="C62" s="36" t="s">
        <v>37</v>
      </c>
      <c r="D62" s="40">
        <v>3.61E-2</v>
      </c>
    </row>
    <row r="63" spans="1:7" ht="13.95" customHeight="1">
      <c r="A63" s="36">
        <v>2.5</v>
      </c>
      <c r="B63" s="36">
        <v>2.9999989999999999</v>
      </c>
      <c r="C63" s="36" t="s">
        <v>38</v>
      </c>
      <c r="D63" s="40">
        <v>3.1399999999999997E-2</v>
      </c>
    </row>
    <row r="64" spans="1:7" ht="13.95" customHeight="1">
      <c r="A64" s="36">
        <v>3</v>
      </c>
      <c r="B64" s="36">
        <v>3.4999989999999999</v>
      </c>
      <c r="C64" s="36" t="s">
        <v>39</v>
      </c>
      <c r="D64" s="40">
        <v>2.2100000000000002E-2</v>
      </c>
    </row>
    <row r="65" spans="1:4" ht="13.95" customHeight="1">
      <c r="A65" s="36">
        <v>3.5</v>
      </c>
      <c r="B65" s="36">
        <v>3.9999999000000002</v>
      </c>
      <c r="C65" s="36" t="s">
        <v>40</v>
      </c>
      <c r="D65" s="40">
        <v>1.7399999999999999E-2</v>
      </c>
    </row>
    <row r="66" spans="1:4" ht="13.95" customHeight="1">
      <c r="A66" s="36">
        <v>4</v>
      </c>
      <c r="B66" s="36">
        <v>4.4999989999999999</v>
      </c>
      <c r="C66" s="36" t="s">
        <v>41</v>
      </c>
      <c r="D66" s="40">
        <v>1.47E-2</v>
      </c>
    </row>
    <row r="67" spans="1:4" ht="13.95" customHeight="1">
      <c r="A67" s="36">
        <v>4.5</v>
      </c>
      <c r="B67" s="36">
        <v>5.9999989999999999</v>
      </c>
      <c r="C67" s="36" t="s">
        <v>42</v>
      </c>
      <c r="D67" s="40">
        <v>1.21E-2</v>
      </c>
    </row>
    <row r="68" spans="1:4" ht="13.95" customHeight="1">
      <c r="A68" s="36">
        <v>6</v>
      </c>
      <c r="B68" s="36">
        <v>7.4999989999999999</v>
      </c>
      <c r="C68" s="36" t="s">
        <v>43</v>
      </c>
      <c r="D68" s="40">
        <v>1.0699999999999999E-2</v>
      </c>
    </row>
    <row r="69" spans="1:4" ht="13.95" customHeight="1">
      <c r="A69" s="36">
        <v>7.5</v>
      </c>
      <c r="B69" s="36">
        <v>9.4999990000000007</v>
      </c>
      <c r="C69" s="36" t="s">
        <v>44</v>
      </c>
      <c r="D69" s="40">
        <v>9.1999999999999998E-3</v>
      </c>
    </row>
    <row r="70" spans="1:4" ht="13.95" customHeight="1">
      <c r="A70" s="36">
        <v>9.5</v>
      </c>
      <c r="B70" s="36">
        <v>12.499999000000001</v>
      </c>
      <c r="C70" s="36" t="s">
        <v>45</v>
      </c>
      <c r="D70" s="40">
        <v>7.0000000000000001E-3</v>
      </c>
    </row>
    <row r="71" spans="1:4" ht="13.95" customHeight="1">
      <c r="A71" s="36">
        <v>12.5</v>
      </c>
      <c r="B71" s="36">
        <v>100000</v>
      </c>
      <c r="C71" s="36" t="s">
        <v>46</v>
      </c>
      <c r="D71" s="40">
        <v>5.8999999999999999E-3</v>
      </c>
    </row>
  </sheetData>
  <mergeCells count="1">
    <mergeCell ref="A55:B55"/>
  </mergeCells>
  <dataValidations count="2">
    <dataValidation type="list" allowBlank="1" showInputMessage="1" showErrorMessage="1" sqref="C4" xr:uid="{00000000-0002-0000-0000-000000000000}">
      <formula1>$P$1:$P$3</formula1>
    </dataValidation>
    <dataValidation type="list" allowBlank="1" showInputMessage="1" showErrorMessage="1" sqref="F5" xr:uid="{00000000-0002-0000-0000-000001000000}">
      <formula1>$O$1:$O$2</formula1>
    </dataValidation>
  </dataValidations>
  <printOptions gridLines="1"/>
  <pageMargins left="0.75" right="0.75" top="1" bottom="1" header="0.5" footer="0.5"/>
  <pageSetup orientation="portrait"/>
  <headerFooter>
    <oddHeader>&amp;A</oddHeader>
    <oddFooter>Page &amp;P</oddFooter>
    <evenHeader>&amp;A</evenHeader>
    <evenFooter>Page &amp;P</even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E2" sqref="E2"/>
    </sheetView>
  </sheetViews>
  <sheetFormatPr defaultColWidth="10" defaultRowHeight="13.95" customHeight="1"/>
  <sheetData>
    <row r="1" spans="1:5" s="3" customFormat="1" ht="13.05" customHeight="1">
      <c r="A1" s="3" t="s">
        <v>48</v>
      </c>
    </row>
    <row r="2" spans="1:5" s="2" customFormat="1" ht="13.05" customHeight="1">
      <c r="A2" s="2" t="s">
        <v>49</v>
      </c>
      <c r="E2" s="22">
        <v>25</v>
      </c>
    </row>
    <row r="3" spans="1:5" s="8" customFormat="1" ht="13.05" customHeight="1">
      <c r="A3" s="8" t="s">
        <v>50</v>
      </c>
    </row>
    <row r="4" spans="1:5" s="2" customFormat="1" ht="13.05" customHeight="1">
      <c r="A4" s="10" t="s">
        <v>51</v>
      </c>
      <c r="B4" s="10" t="s">
        <v>52</v>
      </c>
      <c r="C4" s="2" t="s">
        <v>53</v>
      </c>
    </row>
    <row r="5" spans="1:5" s="2" customFormat="1" ht="13.05" customHeight="1">
      <c r="A5" s="10">
        <v>1</v>
      </c>
      <c r="B5" s="22">
        <v>24</v>
      </c>
    </row>
    <row r="6" spans="1:5" s="2" customFormat="1" ht="13.05" customHeight="1">
      <c r="A6" s="10">
        <v>2</v>
      </c>
      <c r="B6" s="22">
        <v>22</v>
      </c>
    </row>
    <row r="7" spans="1:5" s="2" customFormat="1" ht="13.05" customHeight="1">
      <c r="A7" s="10">
        <v>3</v>
      </c>
      <c r="B7" s="22">
        <v>22</v>
      </c>
    </row>
    <row r="8" spans="1:5" s="2" customFormat="1" ht="13.05" customHeight="1">
      <c r="A8" s="10">
        <v>4</v>
      </c>
      <c r="B8" s="22">
        <v>21</v>
      </c>
    </row>
    <row r="9" spans="1:5" s="2" customFormat="1" ht="13.05" customHeight="1">
      <c r="A9" s="10">
        <v>5</v>
      </c>
      <c r="B9" s="22">
        <v>20</v>
      </c>
    </row>
    <row r="10" spans="1:5" s="2" customFormat="1" ht="13.05" customHeight="1">
      <c r="A10" s="10" t="s">
        <v>54</v>
      </c>
      <c r="B10" s="22">
        <v>111</v>
      </c>
    </row>
    <row r="11" spans="1:5" s="2" customFormat="1" ht="13.95" customHeight="1"/>
    <row r="12" spans="1:5" s="2" customFormat="1" ht="13.95" customHeight="1">
      <c r="A12" s="2" t="s">
        <v>55</v>
      </c>
      <c r="C12" s="16">
        <f>'Start here Ratings sheet'!D13</f>
        <v>4.4299999999999999E-2</v>
      </c>
      <c r="D12" s="2" t="s">
        <v>56</v>
      </c>
    </row>
    <row r="13" spans="1:5" s="2" customFormat="1" ht="13.05" customHeight="1"/>
    <row r="14" spans="1:5" s="8" customFormat="1" ht="13.05" customHeight="1">
      <c r="A14" s="8" t="s">
        <v>57</v>
      </c>
    </row>
    <row r="15" spans="1:5" s="2" customFormat="1" ht="13.05" customHeight="1">
      <c r="A15" s="2" t="s">
        <v>58</v>
      </c>
      <c r="D15" s="18">
        <f>'Start here Ratings sheet'!F6</f>
        <v>109433</v>
      </c>
      <c r="E15" s="2" t="s">
        <v>59</v>
      </c>
    </row>
    <row r="16" spans="1:5" s="2" customFormat="1" ht="13.05" customHeight="1">
      <c r="A16" s="2" t="s">
        <v>60</v>
      </c>
      <c r="D16" s="22">
        <v>92.97</v>
      </c>
      <c r="E16" s="2" t="s">
        <v>61</v>
      </c>
    </row>
    <row r="17" spans="1:6" s="2" customFormat="1" ht="13.05" customHeight="1">
      <c r="A17" s="2" t="s">
        <v>62</v>
      </c>
      <c r="D17" s="18">
        <f>'Start here Ratings sheet'!F7</f>
        <v>2935</v>
      </c>
    </row>
    <row r="18" spans="1:6" s="3" customFormat="1" ht="13.05" customHeight="1">
      <c r="A18" s="3" t="s">
        <v>15</v>
      </c>
      <c r="D18" s="23"/>
    </row>
    <row r="19" spans="1:6" s="2" customFormat="1" ht="13.05" customHeight="1">
      <c r="A19" s="2" t="s">
        <v>63</v>
      </c>
      <c r="D19" s="17">
        <f>ROUND(B10/AVERAGE(B5:B9),0)</f>
        <v>5</v>
      </c>
      <c r="E19" s="2" t="s">
        <v>64</v>
      </c>
    </row>
    <row r="20" spans="1:6" s="3" customFormat="1" ht="13.05" customHeight="1">
      <c r="E20" s="2" t="s">
        <v>65</v>
      </c>
    </row>
    <row r="21" spans="1:6" s="8" customFormat="1" ht="13.05" customHeight="1">
      <c r="A21" s="8" t="s">
        <v>66</v>
      </c>
    </row>
    <row r="22" spans="1:6" s="2" customFormat="1" ht="13.05" customHeight="1">
      <c r="A22" s="10" t="s">
        <v>51</v>
      </c>
      <c r="B22" s="10" t="s">
        <v>52</v>
      </c>
      <c r="C22" s="10" t="s">
        <v>67</v>
      </c>
    </row>
    <row r="23" spans="1:6" s="2" customFormat="1" ht="13.05" customHeight="1">
      <c r="A23" s="14">
        <f t="shared" ref="A23:B27" si="0">A5</f>
        <v>1</v>
      </c>
      <c r="B23" s="18">
        <f t="shared" si="0"/>
        <v>24</v>
      </c>
      <c r="C23" s="18">
        <f>B23/(1+$C$12)^A23</f>
        <v>22.981901752370007</v>
      </c>
    </row>
    <row r="24" spans="1:6" s="2" customFormat="1" ht="13.05" customHeight="1">
      <c r="A24" s="14">
        <f t="shared" si="0"/>
        <v>2</v>
      </c>
      <c r="B24" s="18">
        <f t="shared" si="0"/>
        <v>22</v>
      </c>
      <c r="C24" s="18">
        <f>B24/(1+$C$12)^A24</f>
        <v>20.173076005942587</v>
      </c>
    </row>
    <row r="25" spans="1:6" s="2" customFormat="1" ht="13.05" customHeight="1">
      <c r="A25" s="14">
        <f t="shared" si="0"/>
        <v>3</v>
      </c>
      <c r="B25" s="18">
        <f t="shared" si="0"/>
        <v>22</v>
      </c>
      <c r="C25" s="18">
        <f>B25/(1+$C$12)^A25</f>
        <v>19.317318783819388</v>
      </c>
    </row>
    <row r="26" spans="1:6" s="2" customFormat="1" ht="13.05" customHeight="1">
      <c r="A26" s="14">
        <f t="shared" si="0"/>
        <v>4</v>
      </c>
      <c r="B26" s="18">
        <f t="shared" si="0"/>
        <v>21</v>
      </c>
      <c r="C26" s="18">
        <f>B26/(1+$C$12)^A26</f>
        <v>17.657051459446834</v>
      </c>
    </row>
    <row r="27" spans="1:6" s="2" customFormat="1" ht="13.05" customHeight="1">
      <c r="A27" s="14">
        <f t="shared" si="0"/>
        <v>5</v>
      </c>
      <c r="B27" s="18">
        <f t="shared" si="0"/>
        <v>20</v>
      </c>
      <c r="C27" s="18">
        <f>B27/(1+$C$12)^A27</f>
        <v>16.10288182053764</v>
      </c>
    </row>
    <row r="28" spans="1:6" s="2" customFormat="1" ht="13.95" customHeight="1">
      <c r="A28" s="13" t="str">
        <f>A10</f>
        <v>6 and beyond</v>
      </c>
      <c r="B28" s="19">
        <f>IF(B10&gt;0,IF(D19&gt;1,B10/D19,B10),0)</f>
        <v>22.2</v>
      </c>
      <c r="C28" s="19">
        <f>IF(D19&gt;0,(B28*(1-(1+C12)^(-D19))/C12)/(1+$C$12)^5,B28/(1+C12)^6)</f>
        <v>78.620615313602499</v>
      </c>
      <c r="D28" s="2" t="s">
        <v>68</v>
      </c>
    </row>
    <row r="29" spans="1:6" s="2" customFormat="1" ht="13.95" customHeight="1">
      <c r="A29" s="20" t="s">
        <v>69</v>
      </c>
      <c r="B29" s="20"/>
      <c r="C29" s="21">
        <f>SUM(C23:C28)</f>
        <v>174.85284513571895</v>
      </c>
    </row>
    <row r="31" spans="1:6" s="2" customFormat="1" ht="13.95" customHeight="1">
      <c r="A31" s="8" t="s">
        <v>70</v>
      </c>
    </row>
    <row r="32" spans="1:6" s="2" customFormat="1" ht="13.95" customHeight="1">
      <c r="A32" s="2" t="s">
        <v>71</v>
      </c>
      <c r="F32" s="21">
        <f>D15+E2-C29/(5+D19)</f>
        <v>109440.51471548642</v>
      </c>
    </row>
    <row r="33" spans="1:6" s="2" customFormat="1" ht="13.95" customHeight="1">
      <c r="A33" s="2" t="s">
        <v>72</v>
      </c>
      <c r="F33" s="28">
        <f>D16+C29</f>
        <v>267.82284513571892</v>
      </c>
    </row>
    <row r="36" spans="1:6" ht="13.95" customHeight="1">
      <c r="A36" t="s">
        <v>73</v>
      </c>
    </row>
    <row r="37" spans="1:6" ht="13.95" customHeight="1">
      <c r="A37" t="s">
        <v>74</v>
      </c>
      <c r="D37" s="30">
        <f>D15</f>
        <v>109433</v>
      </c>
    </row>
    <row r="38" spans="1:6" ht="13.95" customHeight="1">
      <c r="A38" t="s">
        <v>75</v>
      </c>
      <c r="D38" s="30">
        <f>E2</f>
        <v>25</v>
      </c>
    </row>
    <row r="39" spans="1:6" ht="13.95" customHeight="1">
      <c r="A39" t="s">
        <v>76</v>
      </c>
      <c r="D39" s="30">
        <f>C29/(5+D19)</f>
        <v>17.485284513571894</v>
      </c>
    </row>
    <row r="40" spans="1:6" ht="13.95" customHeight="1">
      <c r="A40" t="s">
        <v>77</v>
      </c>
      <c r="D40" s="30">
        <f>D37+D38-D39</f>
        <v>109440.51471548642</v>
      </c>
    </row>
  </sheetData>
  <printOptions gridLines="1"/>
  <pageMargins left="0.75" right="0.75" top="1" bottom="1" header="0.5" footer="0.5"/>
  <pageSetup paperSize="0" orientation="portrait"/>
  <headerFooter>
    <oddHeader>&amp;A</oddHeader>
    <oddFooter>Page &amp;P</oddFooter>
    <evenHeader>&amp;A</evenHeader>
    <evenFooter>Page &amp;P</even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0" defaultRowHeight="13.95" customHeight="1"/>
  <sheetData/>
  <printOptions gridLines="1"/>
  <pageMargins left="0.75" right="0.75" top="1" bottom="1" header="0.5" footer="0.5"/>
  <headerFooter>
    <oddHeader>&amp;A</oddHeader>
    <oddFooter>Page &amp;P</oddFooter>
    <evenHeader>&amp;A</evenHeader>
    <evenFooter>Page 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Start here Ratings sheet</vt:lpstr>
      <vt:lpstr>Operating Leases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AKRAMOV, Ilyas [Student]</cp:lastModifiedBy>
  <dcterms:created xsi:type="dcterms:W3CDTF">2007-02-27T16:35:18Z</dcterms:created>
  <dcterms:modified xsi:type="dcterms:W3CDTF">2024-08-15T20:34:05Z</dcterms:modified>
  <cp:category/>
</cp:coreProperties>
</file>