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porabnik\Desktop\"/>
    </mc:Choice>
  </mc:AlternateContent>
  <bookViews>
    <workbookView xWindow="0" yWindow="0" windowWidth="23040" windowHeight="9192"/>
  </bookViews>
  <sheets>
    <sheet name="Request" sheetId="14" r:id="rId1"/>
    <sheet name="Calculation tool" sheetId="18" r:id="rId2"/>
    <sheet name="Market-Application" sheetId="22" r:id="rId3"/>
    <sheet name="Life" sheetId="20" r:id="rId4"/>
    <sheet name="Function" sheetId="16" r:id="rId5"/>
    <sheet name="Cell Tabbing" sheetId="19" r:id="rId6"/>
    <sheet name="DB" sheetId="12" state="hidden" r:id="rId7"/>
    <sheet name="CRM" sheetId="21" state="hidden" r:id="rId8"/>
  </sheets>
  <definedNames>
    <definedName name="_xlnm._FilterDatabase" localSheetId="2" hidden="1">'Market-Application'!$A$4:$B$112</definedName>
    <definedName name="_xlnm.Print_Area" localSheetId="1">'Calculation tool'!$A$1:$P$31</definedName>
    <definedName name="_xlnm.Print_Area" localSheetId="2">'Market-Application'!$A$1:$B$112</definedName>
    <definedName name="_xlnm.Print_Area" localSheetId="0">Request!$A$1:$P$178</definedName>
    <definedName name="_xlnm.Print_Titles" localSheetId="0">Request!$1:$3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3" i="14" l="1"/>
  <c r="O73" i="14"/>
  <c r="O92" i="14" l="1"/>
  <c r="O90" i="14"/>
  <c r="O88" i="14"/>
  <c r="O86" i="14"/>
  <c r="E92" i="14"/>
  <c r="E90" i="14"/>
  <c r="E88" i="14"/>
  <c r="E86" i="14"/>
  <c r="E84" i="14"/>
  <c r="E82" i="14"/>
  <c r="P22" i="14"/>
  <c r="K22" i="14"/>
  <c r="G22" i="14"/>
  <c r="N2" i="21" l="1"/>
  <c r="M2" i="21"/>
  <c r="L2" i="21" l="1"/>
  <c r="K2" i="21" l="1"/>
  <c r="J2" i="21"/>
  <c r="I2" i="21"/>
  <c r="H2" i="21"/>
  <c r="G2" i="21"/>
  <c r="L115" i="14" l="1"/>
  <c r="F121" i="14" l="1"/>
  <c r="D115" i="14" l="1"/>
  <c r="D117" i="14"/>
  <c r="A2" i="12"/>
  <c r="B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2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49" i="12"/>
  <c r="D50" i="12"/>
  <c r="D51" i="12"/>
  <c r="D52" i="12"/>
  <c r="D53" i="12"/>
  <c r="D54" i="12"/>
  <c r="D55" i="12"/>
  <c r="D56" i="12"/>
  <c r="D57" i="12"/>
  <c r="D58" i="12"/>
  <c r="D3" i="12"/>
  <c r="G3" i="12"/>
  <c r="D4" i="12"/>
  <c r="G4" i="12"/>
  <c r="D5" i="12"/>
  <c r="G5" i="12"/>
  <c r="D6" i="12"/>
  <c r="G6" i="12"/>
  <c r="D7" i="12"/>
  <c r="G7" i="12"/>
  <c r="D8" i="12"/>
  <c r="G8" i="12"/>
  <c r="D9" i="12"/>
  <c r="G9" i="12"/>
  <c r="D10" i="12"/>
  <c r="G10" i="12"/>
  <c r="D11" i="12"/>
  <c r="G11" i="12"/>
  <c r="D12" i="12"/>
  <c r="G12" i="12"/>
  <c r="D13" i="12"/>
  <c r="G13" i="12"/>
  <c r="D14" i="12"/>
  <c r="G14" i="12"/>
  <c r="D15" i="12"/>
  <c r="G15" i="12"/>
  <c r="D16" i="12"/>
  <c r="G16" i="12"/>
  <c r="D17" i="12"/>
  <c r="G17" i="12"/>
  <c r="D18" i="12"/>
  <c r="G18" i="12"/>
  <c r="D19" i="12"/>
  <c r="G19" i="12"/>
  <c r="D20" i="12"/>
  <c r="G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G2" i="12"/>
  <c r="D2" i="12"/>
  <c r="A84" i="12" l="1"/>
  <c r="A69" i="12"/>
  <c r="A100" i="12"/>
  <c r="A53" i="12"/>
  <c r="A92" i="12"/>
  <c r="A37" i="12"/>
  <c r="A105" i="12"/>
  <c r="A97" i="12"/>
  <c r="A89" i="12"/>
  <c r="A81" i="12"/>
  <c r="A65" i="12"/>
  <c r="A49" i="12"/>
  <c r="A33" i="12"/>
  <c r="A5" i="12"/>
  <c r="A104" i="12"/>
  <c r="A96" i="12"/>
  <c r="A88" i="12"/>
  <c r="A77" i="12"/>
  <c r="A61" i="12"/>
  <c r="A45" i="12"/>
  <c r="A29" i="12"/>
  <c r="A101" i="12"/>
  <c r="A93" i="12"/>
  <c r="A85" i="12"/>
  <c r="A73" i="12"/>
  <c r="A57" i="12"/>
  <c r="A41" i="12"/>
  <c r="A25" i="12"/>
  <c r="A103" i="12"/>
  <c r="A99" i="12"/>
  <c r="A95" i="12"/>
  <c r="A91" i="12"/>
  <c r="A87" i="12"/>
  <c r="A83" i="12"/>
  <c r="A79" i="12"/>
  <c r="A75" i="12"/>
  <c r="A71" i="12"/>
  <c r="A67" i="12"/>
  <c r="A63" i="12"/>
  <c r="A59" i="12"/>
  <c r="A55" i="12"/>
  <c r="A51" i="12"/>
  <c r="A47" i="12"/>
  <c r="A43" i="12"/>
  <c r="A39" i="12"/>
  <c r="A35" i="12"/>
  <c r="A31" i="12"/>
  <c r="A27" i="12"/>
  <c r="A23" i="12"/>
  <c r="A80" i="12"/>
  <c r="A76" i="12"/>
  <c r="A72" i="12"/>
  <c r="A68" i="12"/>
  <c r="A64" i="12"/>
  <c r="A60" i="12"/>
  <c r="A56" i="12"/>
  <c r="A52" i="12"/>
  <c r="A48" i="12"/>
  <c r="A44" i="12"/>
  <c r="A40" i="12"/>
  <c r="A36" i="12"/>
  <c r="A32" i="12"/>
  <c r="A28" i="12"/>
  <c r="A24" i="12"/>
  <c r="A4" i="12"/>
  <c r="A3" i="12"/>
  <c r="A102" i="12"/>
  <c r="A98" i="12"/>
  <c r="A94" i="12"/>
  <c r="A90" i="12"/>
  <c r="A86" i="12"/>
  <c r="A82" i="12"/>
  <c r="A78" i="12"/>
  <c r="A74" i="12"/>
  <c r="A70" i="12"/>
  <c r="A66" i="12"/>
  <c r="A62" i="12"/>
  <c r="A58" i="12"/>
  <c r="A54" i="12"/>
  <c r="A50" i="12"/>
  <c r="A46" i="12"/>
  <c r="A42" i="12"/>
  <c r="A38" i="12"/>
  <c r="A34" i="12"/>
  <c r="A30" i="12"/>
  <c r="A26" i="12"/>
  <c r="A22" i="12"/>
  <c r="C141" i="14" l="1"/>
  <c r="G4" i="18" l="1"/>
  <c r="W14" i="18"/>
  <c r="X14" i="18" s="1"/>
  <c r="W13" i="18"/>
  <c r="X13" i="18" s="1"/>
  <c r="W12" i="18"/>
  <c r="X12" i="18" s="1"/>
  <c r="W11" i="18"/>
  <c r="X11" i="18" s="1"/>
  <c r="U15" i="18"/>
  <c r="V15" i="18" s="1"/>
  <c r="U16" i="18"/>
  <c r="V16" i="18" s="1"/>
  <c r="U17" i="18"/>
  <c r="V17" i="18" s="1"/>
  <c r="U18" i="18"/>
  <c r="V18" i="18" s="1"/>
  <c r="U19" i="18"/>
  <c r="V19" i="18" s="1"/>
  <c r="U20" i="18"/>
  <c r="V20" i="18" s="1"/>
  <c r="T15" i="18"/>
  <c r="T16" i="18"/>
  <c r="T17" i="18"/>
  <c r="T18" i="18"/>
  <c r="T19" i="18"/>
  <c r="T20" i="18"/>
  <c r="J137" i="14" l="1"/>
  <c r="A137" i="14" l="1"/>
  <c r="F111" i="14"/>
  <c r="N153" i="14"/>
  <c r="J153" i="14"/>
  <c r="J151" i="14"/>
  <c r="A151" i="14"/>
  <c r="A149" i="14"/>
  <c r="C129" i="14"/>
  <c r="C139" i="14"/>
  <c r="C137" i="14"/>
  <c r="S38" i="14" l="1"/>
  <c r="R38" i="14" l="1"/>
  <c r="F55" i="14"/>
  <c r="J157" i="14" l="1"/>
  <c r="A51" i="14"/>
  <c r="A49" i="14"/>
  <c r="G59" i="14"/>
  <c r="I24" i="18"/>
  <c r="I25" i="18"/>
  <c r="R15" i="18"/>
  <c r="R16" i="18"/>
  <c r="R17" i="18"/>
  <c r="R18" i="18"/>
  <c r="R19" i="18"/>
  <c r="R20" i="18"/>
  <c r="Q15" i="18"/>
  <c r="S15" i="18" s="1"/>
  <c r="Q16" i="18"/>
  <c r="S16" i="18" s="1"/>
  <c r="Q17" i="18"/>
  <c r="S17" i="18" s="1"/>
  <c r="Q18" i="18"/>
  <c r="S18" i="18" s="1"/>
  <c r="Q19" i="18"/>
  <c r="S19" i="18" s="1"/>
  <c r="Q20" i="18"/>
  <c r="S20" i="18" s="1"/>
  <c r="CA10" i="12"/>
  <c r="CA9" i="12"/>
  <c r="CA8" i="12"/>
  <c r="CA5" i="12"/>
  <c r="CA4" i="12"/>
  <c r="J30" i="18"/>
  <c r="J25" i="18"/>
  <c r="J28" i="18"/>
  <c r="I28" i="18"/>
  <c r="I14" i="18"/>
  <c r="H14" i="18"/>
  <c r="G14" i="18"/>
  <c r="F14" i="18"/>
  <c r="E14" i="18"/>
  <c r="T14" i="18" s="1"/>
  <c r="D14" i="18"/>
  <c r="U14" i="18" s="1"/>
  <c r="V14" i="18" s="1"/>
  <c r="I13" i="18"/>
  <c r="H13" i="18"/>
  <c r="G13" i="18"/>
  <c r="F13" i="18"/>
  <c r="E13" i="18"/>
  <c r="T13" i="18" s="1"/>
  <c r="U13" i="18"/>
  <c r="V13" i="18" s="1"/>
  <c r="E12" i="18"/>
  <c r="T12" i="18" s="1"/>
  <c r="U12" i="18"/>
  <c r="V12" i="18" s="1"/>
  <c r="G11" i="18"/>
  <c r="E11" i="18"/>
  <c r="T11" i="18" s="1"/>
  <c r="E10" i="18"/>
  <c r="T10" i="18" s="1"/>
  <c r="J27" i="18" s="1"/>
  <c r="G6" i="18"/>
  <c r="G5" i="18"/>
  <c r="I26" i="18" l="1"/>
  <c r="F2" i="21"/>
  <c r="E2" i="21"/>
  <c r="R11" i="18"/>
  <c r="U11" i="18"/>
  <c r="V11" i="18" s="1"/>
  <c r="Q11" i="18"/>
  <c r="S11" i="18" s="1"/>
  <c r="U10" i="18"/>
  <c r="Q14" i="18"/>
  <c r="S14" i="18" s="1"/>
  <c r="R14" i="18"/>
  <c r="Q10" i="18"/>
  <c r="R12" i="18"/>
  <c r="Q13" i="18"/>
  <c r="S13" i="18" s="1"/>
  <c r="R13" i="18"/>
  <c r="Q12" i="18"/>
  <c r="S12" i="18" s="1"/>
  <c r="L49" i="14"/>
  <c r="N49" i="14" s="1"/>
  <c r="F49" i="14"/>
  <c r="H49" i="14" s="1"/>
  <c r="I27" i="18" l="1"/>
  <c r="T21" i="18"/>
  <c r="U21" i="18"/>
  <c r="V10" i="18"/>
  <c r="AV2" i="12"/>
  <c r="AU3" i="12"/>
  <c r="B75" i="14"/>
  <c r="D119" i="14"/>
  <c r="B2" i="21" l="1"/>
  <c r="A2" i="21"/>
  <c r="I29" i="18"/>
  <c r="I30" i="18" s="1"/>
  <c r="B104" i="14" s="1"/>
  <c r="V21" i="18"/>
  <c r="D21" i="18" s="1"/>
  <c r="G57" i="14"/>
  <c r="A53" i="14"/>
  <c r="C2" i="21" l="1"/>
  <c r="E21" i="18"/>
  <c r="D2" i="21" s="1"/>
  <c r="K121" i="14"/>
  <c r="O121" i="14" s="1"/>
  <c r="M121" i="14" l="1"/>
  <c r="L61" i="14" l="1"/>
  <c r="N34" i="14" l="1"/>
  <c r="AU4" i="12" l="1"/>
  <c r="AE106" i="12" l="1"/>
  <c r="AD106" i="12"/>
  <c r="AC106" i="12"/>
  <c r="AB106" i="12"/>
  <c r="AA106" i="12"/>
  <c r="Z106" i="12"/>
  <c r="Y106" i="12"/>
  <c r="X106" i="12"/>
  <c r="W106" i="12"/>
  <c r="V106" i="12"/>
  <c r="U106" i="12"/>
  <c r="T106" i="12"/>
  <c r="S106" i="12"/>
  <c r="R106" i="12"/>
  <c r="Q106" i="12"/>
  <c r="P106" i="12"/>
  <c r="O106" i="12"/>
  <c r="N106" i="12"/>
  <c r="M106" i="12"/>
  <c r="L106" i="12"/>
  <c r="W103" i="12"/>
  <c r="W102" i="12"/>
  <c r="W101" i="12"/>
  <c r="W100" i="12"/>
  <c r="W99" i="12"/>
  <c r="W98" i="12"/>
  <c r="W97" i="12"/>
  <c r="W96" i="12"/>
  <c r="W95" i="12"/>
  <c r="W94" i="12"/>
  <c r="W93" i="12"/>
  <c r="W92" i="12"/>
  <c r="W91" i="12"/>
  <c r="W90" i="12"/>
  <c r="W89" i="12"/>
  <c r="W88" i="12"/>
  <c r="W87" i="12"/>
  <c r="W86" i="12"/>
  <c r="W85" i="12"/>
  <c r="W84" i="12"/>
  <c r="W83" i="12"/>
  <c r="W82" i="12"/>
  <c r="W81" i="12"/>
  <c r="W80" i="12"/>
  <c r="W79" i="12"/>
  <c r="W78" i="12"/>
  <c r="W77" i="12"/>
  <c r="W76" i="12"/>
  <c r="W75" i="12"/>
  <c r="W74" i="12"/>
  <c r="W73" i="12"/>
  <c r="W72" i="12"/>
  <c r="W71" i="12"/>
  <c r="W70" i="12"/>
  <c r="W69" i="12"/>
  <c r="W68" i="12"/>
  <c r="W67" i="12"/>
  <c r="W66" i="12"/>
  <c r="W65" i="12"/>
  <c r="W64" i="12"/>
  <c r="W63" i="12"/>
  <c r="W62" i="12"/>
  <c r="W61" i="12"/>
  <c r="W60" i="12"/>
  <c r="W59" i="12"/>
  <c r="W58" i="12"/>
  <c r="W57" i="12"/>
  <c r="W56" i="12"/>
  <c r="W55" i="12"/>
  <c r="W54" i="12"/>
  <c r="W53" i="12"/>
  <c r="W52" i="12"/>
  <c r="W51" i="12"/>
  <c r="W50" i="12"/>
  <c r="W49" i="12"/>
  <c r="W48" i="12"/>
  <c r="W47" i="12"/>
  <c r="W46" i="12"/>
  <c r="W45" i="12"/>
  <c r="W44" i="12"/>
  <c r="W43" i="12"/>
  <c r="W42" i="12"/>
  <c r="W41" i="12"/>
  <c r="W40" i="12"/>
  <c r="W39" i="12"/>
  <c r="W38" i="12"/>
  <c r="W37" i="12"/>
  <c r="W36" i="12"/>
  <c r="W35" i="12"/>
  <c r="W34" i="12"/>
  <c r="W33" i="12"/>
  <c r="W32" i="12"/>
  <c r="W31" i="12"/>
  <c r="W30" i="12"/>
  <c r="W29" i="12"/>
  <c r="W28" i="12"/>
  <c r="W27" i="12"/>
  <c r="W26" i="12"/>
  <c r="W25" i="12"/>
  <c r="W24" i="12"/>
  <c r="W23" i="12"/>
  <c r="W22" i="12"/>
  <c r="W21" i="12"/>
  <c r="W20" i="12"/>
  <c r="W19" i="12"/>
  <c r="W18" i="12"/>
  <c r="W17" i="12"/>
  <c r="W16" i="12"/>
  <c r="W15" i="12"/>
  <c r="W14" i="12"/>
  <c r="W13" i="12"/>
  <c r="W12" i="12"/>
  <c r="W11" i="12"/>
  <c r="W10" i="12"/>
  <c r="W9" i="12"/>
  <c r="W8" i="12"/>
  <c r="W7" i="12"/>
  <c r="W6" i="12"/>
  <c r="W5" i="12"/>
  <c r="J4" i="12"/>
  <c r="J3" i="12"/>
  <c r="J2" i="12"/>
  <c r="I2" i="12" s="1"/>
  <c r="P49" i="14"/>
  <c r="O49" i="14"/>
  <c r="M49" i="14"/>
  <c r="K49" i="14"/>
  <c r="J49" i="14"/>
  <c r="I49" i="14"/>
  <c r="G49" i="14"/>
  <c r="E49" i="14"/>
  <c r="O47" i="14"/>
  <c r="M47" i="14"/>
  <c r="J12" i="12" l="1"/>
  <c r="A13" i="12"/>
  <c r="J9" i="12"/>
  <c r="A10" i="12"/>
  <c r="J13" i="12"/>
  <c r="A14" i="12"/>
  <c r="J17" i="12"/>
  <c r="A18" i="12"/>
  <c r="J20" i="12"/>
  <c r="A21" i="12"/>
  <c r="J6" i="12"/>
  <c r="A7" i="12"/>
  <c r="J10" i="12"/>
  <c r="A11" i="12"/>
  <c r="J14" i="12"/>
  <c r="A15" i="12"/>
  <c r="J18" i="12"/>
  <c r="A19" i="12"/>
  <c r="J8" i="12"/>
  <c r="A9" i="12"/>
  <c r="J16" i="12"/>
  <c r="A17" i="12"/>
  <c r="J5" i="12"/>
  <c r="A6" i="12"/>
  <c r="J7" i="12"/>
  <c r="A8" i="12"/>
  <c r="J11" i="12"/>
  <c r="A12" i="12"/>
  <c r="J15" i="12"/>
  <c r="A16" i="12"/>
  <c r="J19" i="12"/>
  <c r="A20" i="12"/>
  <c r="I3" i="12"/>
  <c r="I4" i="12" l="1"/>
  <c r="I5" i="12" l="1"/>
  <c r="B3" i="12"/>
  <c r="I6" i="12" l="1"/>
  <c r="I7" i="12" l="1"/>
  <c r="I8" i="12" l="1"/>
  <c r="I9" i="12" l="1"/>
  <c r="I10" i="12" l="1"/>
  <c r="I11" i="12" l="1"/>
  <c r="I12" i="12" s="1"/>
  <c r="I13" i="12" s="1"/>
  <c r="I14" i="12" s="1"/>
  <c r="I15" i="12" s="1"/>
  <c r="I16" i="12" s="1"/>
  <c r="I17" i="12" s="1"/>
  <c r="I18" i="12" s="1"/>
  <c r="I19" i="12" s="1"/>
  <c r="I20" i="12" s="1"/>
  <c r="B15" i="12"/>
  <c r="B13" i="12" l="1"/>
  <c r="B4" i="12"/>
  <c r="B21" i="12"/>
  <c r="B6" i="12"/>
  <c r="B11" i="12"/>
  <c r="B10" i="12"/>
  <c r="B18" i="12"/>
  <c r="B14" i="12"/>
  <c r="B9" i="12"/>
  <c r="B12" i="12"/>
  <c r="B17" i="12"/>
  <c r="B8" i="12"/>
  <c r="B20" i="12"/>
  <c r="B16" i="12"/>
  <c r="B7" i="12"/>
  <c r="B19" i="12"/>
  <c r="B5" i="12"/>
</calcChain>
</file>

<file path=xl/comments1.xml><?xml version="1.0" encoding="utf-8"?>
<comments xmlns="http://schemas.openxmlformats.org/spreadsheetml/2006/main">
  <authors>
    <author>SOURMEY Isabelle</author>
  </authors>
  <commentList>
    <comment ref="H47" authorId="0" shapeId="0">
      <text>
        <r>
          <rPr>
            <b/>
            <sz val="9"/>
            <color indexed="81"/>
            <rFont val="Tahoma"/>
            <family val="2"/>
          </rPr>
          <t>Average temperature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7" authorId="0" shapeId="0">
      <text>
        <r>
          <rPr>
            <b/>
            <sz val="9"/>
            <color indexed="81"/>
            <rFont val="Tahoma"/>
            <family val="2"/>
          </rPr>
          <t>Minimum temperature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47" authorId="0" shapeId="0">
      <text>
        <r>
          <rPr>
            <b/>
            <sz val="9"/>
            <color indexed="81"/>
            <rFont val="Tahoma"/>
            <family val="2"/>
          </rPr>
          <t>Maximum temperature</t>
        </r>
      </text>
    </comment>
    <comment ref="G69" authorId="0" shapeId="0">
      <text>
        <r>
          <rPr>
            <b/>
            <sz val="9"/>
            <color indexed="81"/>
            <rFont val="Tahoma"/>
            <family val="2"/>
          </rPr>
          <t>How long is the device life before power supply replacement need including storage time before use?</t>
        </r>
      </text>
    </comment>
    <comment ref="G71" authorId="0" shapeId="0">
      <text>
        <r>
          <rPr>
            <b/>
            <sz val="9"/>
            <color indexed="81"/>
            <rFont val="Tahoma"/>
            <family val="2"/>
          </rPr>
          <t>How long is the minimum permanent usage of the device?
What is the expected discharge duration?</t>
        </r>
      </text>
    </comment>
    <comment ref="B82" authorId="0" shapeId="0">
      <text>
        <r>
          <rPr>
            <b/>
            <sz val="9"/>
            <color indexed="81"/>
            <rFont val="Tahoma"/>
            <family val="2"/>
          </rPr>
          <t>Consumption during storage inside the device</t>
        </r>
      </text>
    </comment>
    <comment ref="B84" authorId="0" shapeId="0">
      <text>
        <r>
          <rPr>
            <b/>
            <sz val="9"/>
            <color indexed="81"/>
            <rFont val="Tahoma"/>
            <family val="2"/>
          </rPr>
          <t>Standby or background consumption</t>
        </r>
      </text>
    </comment>
    <comment ref="B121" authorId="0" shapeId="0">
      <text>
        <r>
          <rPr>
            <b/>
            <sz val="9"/>
            <color indexed="81"/>
            <rFont val="Tahoma"/>
            <family val="2"/>
          </rPr>
          <t>Before installation in the device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37" authorId="0" shapeId="0">
      <text>
        <r>
          <rPr>
            <b/>
            <sz val="9"/>
            <color indexed="81"/>
            <rFont val="Tahoma"/>
            <family val="2"/>
          </rPr>
          <t>Refer to "Cell Tabbing Sheet" if needed</t>
        </r>
      </text>
    </comment>
  </commentList>
</comments>
</file>

<file path=xl/sharedStrings.xml><?xml version="1.0" encoding="utf-8"?>
<sst xmlns="http://schemas.openxmlformats.org/spreadsheetml/2006/main" count="1238" uniqueCount="742">
  <si>
    <t>µA</t>
  </si>
  <si>
    <t>years</t>
  </si>
  <si>
    <t>Duration
corrected</t>
  </si>
  <si>
    <t>Background</t>
  </si>
  <si>
    <t>mAh</t>
  </si>
  <si>
    <t>Pulse 1</t>
  </si>
  <si>
    <t>Pulse 2</t>
  </si>
  <si>
    <t>Pulse 3</t>
  </si>
  <si>
    <t>Pulse 4</t>
  </si>
  <si>
    <t>Pulse 5</t>
  </si>
  <si>
    <t>Pulse 6</t>
  </si>
  <si>
    <t>Pulse 7</t>
  </si>
  <si>
    <t>Pulse 8</t>
  </si>
  <si>
    <t>Pulse 9</t>
  </si>
  <si>
    <t>Pulse 10</t>
  </si>
  <si>
    <t>mA</t>
  </si>
  <si>
    <t>A</t>
  </si>
  <si>
    <t>ms</t>
  </si>
  <si>
    <t>s</t>
  </si>
  <si>
    <t>mn</t>
  </si>
  <si>
    <t>h</t>
  </si>
  <si>
    <t>µs</t>
  </si>
  <si>
    <t>day</t>
  </si>
  <si>
    <t>month</t>
  </si>
  <si>
    <t>year</t>
  </si>
  <si>
    <t>week</t>
  </si>
  <si>
    <t>period</t>
  </si>
  <si>
    <t>correction</t>
  </si>
  <si>
    <t>Unit</t>
  </si>
  <si>
    <t>Comments</t>
  </si>
  <si>
    <t>Minimum</t>
  </si>
  <si>
    <t>Nominal</t>
  </si>
  <si>
    <t>Maximum</t>
  </si>
  <si>
    <t>V</t>
  </si>
  <si>
    <t>W</t>
  </si>
  <si>
    <t>mW</t>
  </si>
  <si>
    <t>µW</t>
  </si>
  <si>
    <t>Power</t>
  </si>
  <si>
    <t>Time</t>
  </si>
  <si>
    <t>Ampere</t>
  </si>
  <si>
    <t>Primary</t>
  </si>
  <si>
    <t>Rechargeable</t>
  </si>
  <si>
    <t>hours</t>
  </si>
  <si>
    <t>minutes</t>
  </si>
  <si>
    <t>days</t>
  </si>
  <si>
    <t>weeks</t>
  </si>
  <si>
    <t>months</t>
  </si>
  <si>
    <t>seconds</t>
  </si>
  <si>
    <t>Market</t>
  </si>
  <si>
    <t>Automotive</t>
  </si>
  <si>
    <t>Aviation</t>
  </si>
  <si>
    <t>Environment Monitoring</t>
  </si>
  <si>
    <t>Automation &amp; Instrumentation</t>
  </si>
  <si>
    <t>Internet Of Things</t>
  </si>
  <si>
    <t>Lighting &amp; Signaling</t>
  </si>
  <si>
    <t>Medical</t>
  </si>
  <si>
    <t>Utility Metering</t>
  </si>
  <si>
    <t>Military / Soldier System</t>
  </si>
  <si>
    <t>Mining</t>
  </si>
  <si>
    <t>Mobility</t>
  </si>
  <si>
    <t>Oil &amp; Gas</t>
  </si>
  <si>
    <t>Other</t>
  </si>
  <si>
    <t>Professional Power Tools</t>
  </si>
  <si>
    <t>Search &amp; Rescue</t>
  </si>
  <si>
    <t>Security</t>
  </si>
  <si>
    <t>Space</t>
  </si>
  <si>
    <t>Telecom</t>
  </si>
  <si>
    <t>Tracking</t>
  </si>
  <si>
    <t>Urban Infrastructures</t>
  </si>
  <si>
    <t>Controllers</t>
  </si>
  <si>
    <t>E-Call</t>
  </si>
  <si>
    <t>Avionics Equipment</t>
  </si>
  <si>
    <t>Meteorology</t>
  </si>
  <si>
    <t>Environment Monitoring Application</t>
  </si>
  <si>
    <t>Emergency Lighting Unit</t>
  </si>
  <si>
    <t>Automated External Defibrillators</t>
  </si>
  <si>
    <t>Chemical Agent Detectors</t>
  </si>
  <si>
    <t>Miner Portable Devices</t>
  </si>
  <si>
    <t>Caddy</t>
  </si>
  <si>
    <t>Digital Oilfield Applications</t>
  </si>
  <si>
    <t>Consumer Electronics</t>
  </si>
  <si>
    <t>Payment Terminals</t>
  </si>
  <si>
    <t>Buoys</t>
  </si>
  <si>
    <t>Alarms</t>
  </si>
  <si>
    <t>Cargos</t>
  </si>
  <si>
    <t>Animal Tracking</t>
  </si>
  <si>
    <t>Communication Modules</t>
  </si>
  <si>
    <t>Industrial Dataloggers</t>
  </si>
  <si>
    <t>Telematics</t>
  </si>
  <si>
    <t>Unmanned Aircraft Systems</t>
  </si>
  <si>
    <t>Oceanography Equipment</t>
  </si>
  <si>
    <t>Health &amp; Medical Application</t>
  </si>
  <si>
    <t>Street Lighting</t>
  </si>
  <si>
    <t>E Health Devices</t>
  </si>
  <si>
    <t>Future Soldier Combat Systems</t>
  </si>
  <si>
    <t>Mining Lamps</t>
  </si>
  <si>
    <t>E-Bike</t>
  </si>
  <si>
    <t>Downhole / Well Instrumentation</t>
  </si>
  <si>
    <t>Research Labs Universities</t>
  </si>
  <si>
    <t>Power Tools &amp; Professional Portable Devices</t>
  </si>
  <si>
    <t>ELTs</t>
  </si>
  <si>
    <t>Cash Protection Systems</t>
  </si>
  <si>
    <t>Asset Tracking</t>
  </si>
  <si>
    <t>Data Concentrators / Gateways</t>
  </si>
  <si>
    <t>Industrial Robots</t>
  </si>
  <si>
    <t>Tire Pressure Monitoring</t>
  </si>
  <si>
    <t>Pollution Monitoring</t>
  </si>
  <si>
    <t>Industrial Application</t>
  </si>
  <si>
    <t>Traffic Lighting</t>
  </si>
  <si>
    <t>Infusion Pumps</t>
  </si>
  <si>
    <t>GPS</t>
  </si>
  <si>
    <t>Underground Mining Machinery</t>
  </si>
  <si>
    <t>Forklifts</t>
  </si>
  <si>
    <t>Land Seismic Survey System</t>
  </si>
  <si>
    <t>Professional Computers</t>
  </si>
  <si>
    <t>EPIRBS</t>
  </si>
  <si>
    <t>CCTV Surveillance</t>
  </si>
  <si>
    <t>Launchers</t>
  </si>
  <si>
    <t>ETC (Electronic Tollgate Collector)</t>
  </si>
  <si>
    <t>Electricity Meters</t>
  </si>
  <si>
    <t>Measurement Devices</t>
  </si>
  <si>
    <t>Seismic Sensors</t>
  </si>
  <si>
    <t>Life Analysis Service</t>
  </si>
  <si>
    <t>Medical Carts</t>
  </si>
  <si>
    <t>Ground Radars</t>
  </si>
  <si>
    <t>Railway</t>
  </si>
  <si>
    <t>Ocean Seismic Survey Equipment</t>
  </si>
  <si>
    <t>Professional Displays</t>
  </si>
  <si>
    <t>Firemen Equipment</t>
  </si>
  <si>
    <t>Electronic Safes</t>
  </si>
  <si>
    <t>Gas Meters</t>
  </si>
  <si>
    <t>Power Grid Transmission &amp; Distribution Devices</t>
  </si>
  <si>
    <t>Woodfire Monitoring</t>
  </si>
  <si>
    <t>Smart Building</t>
  </si>
  <si>
    <t>Neuro-Stimulation</t>
  </si>
  <si>
    <t>Lamps</t>
  </si>
  <si>
    <t>Scooters</t>
  </si>
  <si>
    <t>Oil Drilling Monitoring Sensors (MWD / LWD)</t>
  </si>
  <si>
    <t>Professional Video</t>
  </si>
  <si>
    <t>Parachutes</t>
  </si>
  <si>
    <t>Safe Locks</t>
  </si>
  <si>
    <t>Probes</t>
  </si>
  <si>
    <t>RFID</t>
  </si>
  <si>
    <t>Heat Cost Allocators</t>
  </si>
  <si>
    <t>Tank Monitoring</t>
  </si>
  <si>
    <t>Smart Parking</t>
  </si>
  <si>
    <t>Respiration &amp; Ventilation</t>
  </si>
  <si>
    <t>Laser</t>
  </si>
  <si>
    <t>Wheelchairs</t>
  </si>
  <si>
    <t>Pipeline Inspection</t>
  </si>
  <si>
    <t>Safety Jackets</t>
  </si>
  <si>
    <t>Sensors / Detectors</t>
  </si>
  <si>
    <t>Rovers</t>
  </si>
  <si>
    <t>Road Sensors</t>
  </si>
  <si>
    <t>Meters' Life Analysis Service</t>
  </si>
  <si>
    <t>Smart Transportation</t>
  </si>
  <si>
    <t>Surgery Tools</t>
  </si>
  <si>
    <t>Military Robots &amp; Remotely Operated Vehicles</t>
  </si>
  <si>
    <t>Well Completion Tool</t>
  </si>
  <si>
    <t>Safety Pyrotechnics Devices</t>
  </si>
  <si>
    <t>Smoke Detectors</t>
  </si>
  <si>
    <t>Satellites</t>
  </si>
  <si>
    <t>Water Meters</t>
  </si>
  <si>
    <t>Night Vision Googles</t>
  </si>
  <si>
    <t>Shuttles</t>
  </si>
  <si>
    <t>Radiocommunications</t>
  </si>
  <si>
    <t>Simulators</t>
  </si>
  <si>
    <t>UPS Backup</t>
  </si>
  <si>
    <t>Communication</t>
  </si>
  <si>
    <t>Measurement</t>
  </si>
  <si>
    <t>Memory</t>
  </si>
  <si>
    <t>Application</t>
  </si>
  <si>
    <t>Picklist market</t>
  </si>
  <si>
    <t>Picklist Application</t>
  </si>
  <si>
    <t>Country</t>
  </si>
  <si>
    <t>dd/mm/yyyy</t>
  </si>
  <si>
    <t>Confidentiality</t>
  </si>
  <si>
    <t>Text</t>
  </si>
  <si>
    <t>Quantity</t>
  </si>
  <si>
    <t>Price</t>
  </si>
  <si>
    <t>Prototypes</t>
  </si>
  <si>
    <t>Phone</t>
  </si>
  <si>
    <t>City</t>
  </si>
  <si>
    <t>Duration</t>
  </si>
  <si>
    <t>Length</t>
  </si>
  <si>
    <t>Width</t>
  </si>
  <si>
    <t>Height</t>
  </si>
  <si>
    <t>Diameter</t>
  </si>
  <si>
    <t>Weight</t>
  </si>
  <si>
    <t>Autonomy</t>
  </si>
  <si>
    <t>Lifetime</t>
  </si>
  <si>
    <t>&lt;100Wh or &lt;2g of Li</t>
  </si>
  <si>
    <t>Volume</t>
  </si>
  <si>
    <t>Notes</t>
  </si>
  <si>
    <t>Afghanistan</t>
  </si>
  <si>
    <t>Akrotiri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</si>
  <si>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</si>
  <si>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</si>
  <si>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</si>
  <si>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</si>
  <si>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</si>
  <si>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</si>
  <si>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</si>
  <si>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</si>
  <si>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</si>
  <si>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</si>
  <si>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</si>
  <si>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Ashmore and Cartier Islands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</si>
  <si>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</si>
  <si>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</si>
  <si>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</si>
  <si>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</si>
  <si>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</si>
  <si>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</si>
  <si>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</si>
  <si>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Bassas da India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</si>
  <si>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</si>
  <si>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</si>
  <si>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</si>
  <si>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</si>
  <si>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</si>
  <si>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</si>
  <si>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</si>
  <si>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</si>
  <si>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</si>
  <si>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Bouvet Island</t>
  </si>
  <si>
    <t>Brazil</t>
  </si>
  <si>
    <t>British Indian Ocean Territory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</si>
  <si>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</si>
  <si>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</si>
  <si>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</si>
  <si>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</si>
  <si>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</si>
  <si>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</si>
  <si>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</si>
  <si>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</si>
  <si>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</si>
  <si>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</si>
  <si>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</si>
  <si>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</si>
  <si>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</si>
  <si>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</si>
  <si>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</si>
  <si>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Clipperton Island</t>
  </si>
  <si>
    <t>Cocos (Keeling) Islands</t>
  </si>
  <si>
    <t>Colombia</t>
  </si>
  <si>
    <t>Comoros</t>
  </si>
  <si>
    <t>Congo, Democratic Republic of the</t>
  </si>
  <si>
    <t>Congo, Republic of the</t>
  </si>
  <si>
    <t>Cook Islands</t>
  </si>
  <si>
    <t>Coral Sea Islands</t>
  </si>
  <si>
    <t>Costa Rica</t>
  </si>
  <si>
    <t>Cote d'Ivoire</t>
  </si>
  <si>
    <t>Croatia</t>
  </si>
  <si>
    <t>Cuba</t>
  </si>
  <si>
    <t>Cyprus</t>
  </si>
  <si>
    <t>Czech Republic</t>
  </si>
  <si>
    <t>Denmark</t>
  </si>
  <si>
    <t>Dhekelia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</si>
  <si>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</si>
  <si>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</si>
  <si>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</si>
  <si>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</si>
  <si>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</si>
  <si>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</si>
  <si>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</si>
  <si>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</si>
  <si>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</si>
  <si>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</si>
  <si>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Europa Island</t>
  </si>
  <si>
    <t>Falkland Islands (Islas Malvinas)</t>
  </si>
  <si>
    <t>Faroe Islands</t>
  </si>
  <si>
    <t>Fiji</t>
  </si>
  <si>
    <t>Finland</t>
  </si>
  <si>
    <t>France</t>
  </si>
  <si>
    <t>French Guiana</t>
  </si>
  <si>
    <t>French Polynesia</t>
  </si>
  <si>
    <t>French Southern and Antarctic Lands</t>
  </si>
  <si>
    <t>Gabon</t>
  </si>
  <si>
    <t>Gambia, The</t>
  </si>
  <si>
    <t>Gaza Strip</t>
  </si>
  <si>
    <t>Georgia</t>
  </si>
  <si>
    <t>Germany</t>
  </si>
  <si>
    <t>Ghana</t>
  </si>
  <si>
    <t>Gibraltar</t>
  </si>
  <si>
    <t>Glorioso Islands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</si>
  <si>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</si>
  <si>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</si>
  <si>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</si>
  <si>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</si>
  <si>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</si>
  <si>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</si>
  <si>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</si>
  <si>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</si>
  <si>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</si>
  <si>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</si>
  <si>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</si>
  <si>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</si>
  <si>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</si>
  <si>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</si>
  <si>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</si>
  <si>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</si>
  <si>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</si>
  <si>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</si>
  <si>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</si>
  <si>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</si>
  <si>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</si>
  <si>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</si>
  <si>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</si>
  <si>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</si>
  <si>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</si>
  <si>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Jan Mayen</t>
  </si>
  <si>
    <t>Japan</t>
  </si>
  <si>
    <t>Jersey</t>
  </si>
  <si>
    <t>Jordan</t>
  </si>
  <si>
    <t>Juan de Nova Island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</si>
  <si>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</si>
  <si>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</si>
  <si>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</si>
  <si>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</si>
  <si>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</si>
  <si>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</si>
  <si>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</si>
  <si>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</si>
  <si>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</si>
  <si>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</si>
  <si>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</si>
  <si>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</si>
  <si>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</si>
  <si>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</si>
  <si>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</si>
  <si>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</si>
  <si>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</si>
  <si>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</si>
  <si>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</si>
  <si>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</si>
  <si>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</si>
  <si>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</si>
  <si>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</si>
  <si>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</si>
  <si>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</si>
  <si>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</si>
  <si>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</si>
  <si>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</si>
  <si>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</si>
  <si>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</si>
  <si>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Moldova</t>
  </si>
  <si>
    <t>Monaco</t>
  </si>
  <si>
    <t>Mongolia</t>
  </si>
  <si>
    <t>Montserrat</t>
  </si>
  <si>
    <t>Morocco</t>
  </si>
  <si>
    <t>Mozambique</t>
  </si>
  <si>
    <t>Myanmar</t>
  </si>
  <si>
    <t>Namibia</t>
  </si>
  <si>
    <t>Nauru</t>
  </si>
  <si>
    <t>Navassa Island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</si>
  <si>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</si>
  <si>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</si>
  <si>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</si>
  <si>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</si>
  <si>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</si>
  <si>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</si>
  <si>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</si>
  <si>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</si>
  <si>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</si>
  <si>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</si>
  <si>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Korea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</si>
  <si>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</si>
  <si>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</si>
  <si>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</si>
  <si>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</si>
  <si>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</si>
  <si>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</si>
  <si>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</si>
  <si>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</si>
  <si>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Paracel Islands</t>
  </si>
  <si>
    <t>Paraguay</t>
  </si>
  <si>
    <t>Peru</t>
  </si>
  <si>
    <t>Philippines</t>
  </si>
  <si>
    <t>Pitcairn Islands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</si>
  <si>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</si>
  <si>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</si>
  <si>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</si>
  <si>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</si>
  <si>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</si>
  <si>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</si>
  <si>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</si>
  <si>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</si>
  <si>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</si>
  <si>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</si>
  <si>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</si>
  <si>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</si>
  <si>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</si>
  <si>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</si>
  <si>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</si>
  <si>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</si>
  <si>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</si>
  <si>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</si>
  <si>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 and Montenegro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</si>
  <si>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</si>
  <si>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</si>
  <si>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</si>
  <si>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</si>
  <si>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</si>
  <si>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</si>
  <si>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</si>
  <si>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</si>
  <si>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</si>
  <si>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South Korea</t>
  </si>
  <si>
    <t>Spain</t>
  </si>
  <si>
    <t>Spratly Islands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</si>
  <si>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</si>
  <si>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</si>
  <si>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</si>
  <si>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</si>
  <si>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</si>
  <si>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</si>
  <si>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</si>
  <si>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</si>
  <si>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</si>
  <si>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</si>
  <si>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</si>
  <si>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</si>
  <si>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</si>
  <si>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</si>
  <si>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</si>
  <si>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</si>
  <si>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Trinidad and Tobago</t>
  </si>
  <si>
    <t>Tromelin Island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</si>
  <si>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</si>
  <si>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</si>
  <si>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</si>
  <si>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</si>
  <si>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</si>
  <si>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</si>
  <si>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</si>
  <si>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</si>
  <si>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</si>
  <si>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 of America</t>
  </si>
  <si>
    <t>Uruguay</t>
  </si>
  <si>
    <t>Uzbekistan</t>
  </si>
  <si>
    <t>Vanuatu</t>
  </si>
  <si>
    <t>Vatican City</t>
  </si>
  <si>
    <t>Venezuela</t>
  </si>
  <si>
    <t>Vietnam</t>
  </si>
  <si>
    <t>Virgin Islands</t>
  </si>
  <si>
    <t>Wake Island</t>
  </si>
  <si>
    <t>Wallis and Futuna</t>
  </si>
  <si>
    <t>West Bank</t>
  </si>
  <si>
    <t>Western Sahara</t>
  </si>
  <si>
    <t>Yemen</t>
  </si>
  <si>
    <t>Zambia</t>
  </si>
  <si>
    <t>Zimbabwe</t>
  </si>
  <si>
    <t>ITAR</t>
  </si>
  <si>
    <t>NDA</t>
  </si>
  <si>
    <t>Not Confidential</t>
  </si>
  <si>
    <t>Australian Dollar</t>
  </si>
  <si>
    <t>AUD</t>
  </si>
  <si>
    <t>Brazil Real</t>
  </si>
  <si>
    <t>BRL</t>
  </si>
  <si>
    <t>Canadian Dollar</t>
  </si>
  <si>
    <t>CAD</t>
  </si>
  <si>
    <t>Chinese Yuan Renminbi</t>
  </si>
  <si>
    <t>CNY</t>
  </si>
  <si>
    <t>Czech Republic Koruna</t>
  </si>
  <si>
    <t>CZK</t>
  </si>
  <si>
    <t>Denmark Krone</t>
  </si>
  <si>
    <t>DKK</t>
  </si>
  <si>
    <t>EUR</t>
  </si>
  <si>
    <t>CHF</t>
  </si>
  <si>
    <t>Hong Kong Dollar</t>
  </si>
  <si>
    <t>HKD</t>
  </si>
  <si>
    <t>India Rupee</t>
  </si>
  <si>
    <t>INR</t>
  </si>
  <si>
    <t>Israel Shekel</t>
  </si>
  <si>
    <t>ILS</t>
  </si>
  <si>
    <t>Japan Yen</t>
  </si>
  <si>
    <t>JPY</t>
  </si>
  <si>
    <t>Norway Krone</t>
  </si>
  <si>
    <t>NOK</t>
  </si>
  <si>
    <t>Poland Zloty</t>
  </si>
  <si>
    <t>PLN</t>
  </si>
  <si>
    <t>Pound Sterling</t>
  </si>
  <si>
    <t>GBP</t>
  </si>
  <si>
    <t>Rand</t>
  </si>
  <si>
    <t>ZAR</t>
  </si>
  <si>
    <t>Russia Ruble</t>
  </si>
  <si>
    <t>RUB</t>
  </si>
  <si>
    <t>Singapore Dollar</t>
  </si>
  <si>
    <t>SGD</t>
  </si>
  <si>
    <t>Sweden Krona</t>
  </si>
  <si>
    <t>SEK</t>
  </si>
  <si>
    <t>US Dollar</t>
  </si>
  <si>
    <t>USD</t>
  </si>
  <si>
    <t>.step</t>
  </si>
  <si>
    <t>.iges</t>
  </si>
  <si>
    <t>Yes</t>
  </si>
  <si>
    <t>No</t>
  </si>
  <si>
    <t>mV</t>
  </si>
  <si>
    <t>Unknown</t>
  </si>
  <si>
    <t>Li-SOCl2</t>
  </si>
  <si>
    <t>Li-MnO2</t>
  </si>
  <si>
    <t>Li-SO2</t>
  </si>
  <si>
    <t>Li-ion</t>
  </si>
  <si>
    <t>Welded on PCB</t>
  </si>
  <si>
    <t>Indoor</t>
  </si>
  <si>
    <t>Outdoor</t>
  </si>
  <si>
    <t>Both</t>
  </si>
  <si>
    <t xml:space="preserve">Temperature </t>
  </si>
  <si>
    <t>°C</t>
  </si>
  <si>
    <t>°F</t>
  </si>
  <si>
    <t>Temperature</t>
  </si>
  <si>
    <t>Percentage</t>
  </si>
  <si>
    <t>%</t>
  </si>
  <si>
    <t>Helsinki</t>
  </si>
  <si>
    <t>Melbourne</t>
  </si>
  <si>
    <t>Moscow</t>
  </si>
  <si>
    <t>Dubaï</t>
  </si>
  <si>
    <t>Paris</t>
  </si>
  <si>
    <t>Phoenix</t>
  </si>
  <si>
    <t>Chicago</t>
  </si>
  <si>
    <t>New Delhi</t>
  </si>
  <si>
    <t>Bangalore</t>
  </si>
  <si>
    <t>Kolkata</t>
  </si>
  <si>
    <t>Mumbai</t>
  </si>
  <si>
    <t>Athens</t>
  </si>
  <si>
    <t>Brasilia</t>
  </si>
  <si>
    <t>Seoul</t>
  </si>
  <si>
    <t>Tokyo</t>
  </si>
  <si>
    <t>Shanghaï</t>
  </si>
  <si>
    <t>Beïjing</t>
  </si>
  <si>
    <t>Vancouver</t>
  </si>
  <si>
    <t>Quebec</t>
  </si>
  <si>
    <t>Standby mode</t>
  </si>
  <si>
    <t>Sleep mode</t>
  </si>
  <si>
    <t>Ah</t>
  </si>
  <si>
    <t>Wh</t>
  </si>
  <si>
    <t>Activation</t>
  </si>
  <si>
    <t>Every</t>
  </si>
  <si>
    <t>Operation</t>
  </si>
  <si>
    <t>mm</t>
  </si>
  <si>
    <t>cm</t>
  </si>
  <si>
    <t>m</t>
  </si>
  <si>
    <t>inch</t>
  </si>
  <si>
    <t>dm</t>
  </si>
  <si>
    <t>lb</t>
  </si>
  <si>
    <t>g</t>
  </si>
  <si>
    <t>kg</t>
  </si>
  <si>
    <t>Harbin</t>
  </si>
  <si>
    <t>Guangzhou</t>
  </si>
  <si>
    <t>CN</t>
  </si>
  <si>
    <t>CNR</t>
  </si>
  <si>
    <t>CNR+</t>
  </si>
  <si>
    <t>CN+</t>
  </si>
  <si>
    <t>CNR-</t>
  </si>
  <si>
    <t>2 PF</t>
  </si>
  <si>
    <t>3 PF</t>
  </si>
  <si>
    <t>3 PF RP</t>
  </si>
  <si>
    <t>4 PF</t>
  </si>
  <si>
    <t>CNA</t>
  </si>
  <si>
    <t>CN-</t>
  </si>
  <si>
    <t>STD</t>
  </si>
  <si>
    <t>BA</t>
  </si>
  <si>
    <t>AX</t>
  </si>
  <si>
    <t>Project Designation / Reference</t>
  </si>
  <si>
    <t>Date of Issue</t>
  </si>
  <si>
    <t>Customer Account</t>
  </si>
  <si>
    <t>Customer Contact</t>
  </si>
  <si>
    <t>Current Status of the Project</t>
  </si>
  <si>
    <t>1. Project Information</t>
  </si>
  <si>
    <t>2. Commercial Information</t>
  </si>
  <si>
    <t>Expected Quantity Required</t>
  </si>
  <si>
    <t>Expected Battery Price</t>
  </si>
  <si>
    <t>First Year</t>
  </si>
  <si>
    <t>Per Batch</t>
  </si>
  <si>
    <t>Ramp Up</t>
  </si>
  <si>
    <t>Delivery Schedule</t>
  </si>
  <si>
    <t>Full Production</t>
  </si>
  <si>
    <t>Proposal Deliverables</t>
  </si>
  <si>
    <t>Preliminary Cost</t>
  </si>
  <si>
    <t>Technical Proposal</t>
  </si>
  <si>
    <t>Solution Identification</t>
  </si>
  <si>
    <t>Interface Drawing</t>
  </si>
  <si>
    <t>3D File</t>
  </si>
  <si>
    <t>File Format</t>
  </si>
  <si>
    <t>Prototypes Delivery Date</t>
  </si>
  <si>
    <t>3. Application Information</t>
  </si>
  <si>
    <t>Describe your Application</t>
  </si>
  <si>
    <t>Application Environmental Conditions</t>
  </si>
  <si>
    <t>Device General Location</t>
  </si>
  <si>
    <t>Particular Environmental Conditions</t>
  </si>
  <si>
    <t>Explosive Atmosphere</t>
  </si>
  <si>
    <t>Temperature Classification</t>
  </si>
  <si>
    <t>Military Standards</t>
  </si>
  <si>
    <t>CE Marking</t>
  </si>
  <si>
    <t>Safety Standards Certification</t>
  </si>
  <si>
    <t>Applicable Standards</t>
  </si>
  <si>
    <t>Device Operational Profile</t>
  </si>
  <si>
    <t>Average Consumption</t>
  </si>
  <si>
    <t>Max Peak
Level</t>
  </si>
  <si>
    <t>Additional Details</t>
  </si>
  <si>
    <t>Total Consumption</t>
  </si>
  <si>
    <t>4. Battery Requirements</t>
  </si>
  <si>
    <t>Battery Technology</t>
  </si>
  <si>
    <t>Type of Use</t>
  </si>
  <si>
    <t>Battery Storage</t>
  </si>
  <si>
    <t>Battery Expected Nominal Voltage</t>
  </si>
  <si>
    <t>Electronics Operating Voltage Range</t>
  </si>
  <si>
    <t>Available Space for Battery in the Device</t>
  </si>
  <si>
    <t>Interface Drawing Provided</t>
  </si>
  <si>
    <t>3D File Provided</t>
  </si>
  <si>
    <t>Maximum Available Dimensions</t>
  </si>
  <si>
    <t>Battery Finishing Requirements</t>
  </si>
  <si>
    <t>Battery Electrical Connection to the Device</t>
  </si>
  <si>
    <t>Maximum Acceptable Weight</t>
  </si>
  <si>
    <t>Battery Pack Final Casing</t>
  </si>
  <si>
    <t>Packaging &amp; Labelling</t>
  </si>
  <si>
    <t>State of Charge Indicator with Button and LED</t>
  </si>
  <si>
    <t>Smart State of Charge/State of Health Indicator</t>
  </si>
  <si>
    <t>Charger to be Recommended</t>
  </si>
  <si>
    <t>5. Additional Information</t>
  </si>
  <si>
    <t>Top Priority Requirements</t>
  </si>
  <si>
    <t>Priority Number 1</t>
  </si>
  <si>
    <t>Priority Number 2</t>
  </si>
  <si>
    <t>Priority Number 3</t>
  </si>
  <si>
    <t>Voltage Range of the Application</t>
  </si>
  <si>
    <t>Current from the Application</t>
  </si>
  <si>
    <t>Pulse Duration</t>
  </si>
  <si>
    <t>Pulse Period</t>
  </si>
  <si>
    <t>Pulse Drains</t>
  </si>
  <si>
    <t>Please Enclose Details if Needed</t>
  </si>
  <si>
    <t>Replaceable Battery</t>
  </si>
  <si>
    <t>Non-Replaceable Battery</t>
  </si>
  <si>
    <t>Wire and/or Connector</t>
  </si>
  <si>
    <t>Battery Holder</t>
  </si>
  <si>
    <t>Backup (Battery Permanently Connected to the Main and Discharge Only in Case of Main Shutdown)</t>
  </si>
  <si>
    <t>Solar Panel</t>
  </si>
  <si>
    <t>Several Times a Day</t>
  </si>
  <si>
    <t>Once a Day</t>
  </si>
  <si>
    <t>Once a Week</t>
  </si>
  <si>
    <t>Once a Month</t>
  </si>
  <si>
    <t>Discharged (Battery Permanently Discharge Without Charge Possibility)</t>
  </si>
  <si>
    <t>External Charger</t>
  </si>
  <si>
    <t>Soft Pack with Shrink Sleeve</t>
  </si>
  <si>
    <t>Hard Pack Inside Casing</t>
  </si>
  <si>
    <t>Charge Time</t>
  </si>
  <si>
    <t>Compliance to Standards</t>
  </si>
  <si>
    <t>Lead Time</t>
  </si>
  <si>
    <t>Power Capability</t>
  </si>
  <si>
    <t>Temperature Range</t>
  </si>
  <si>
    <t>Beginning of Life</t>
  </si>
  <si>
    <t>End of Life</t>
  </si>
  <si>
    <t>Feasability Stage</t>
  </si>
  <si>
    <t>Develoment Stage</t>
  </si>
  <si>
    <t>Already in Production</t>
  </si>
  <si>
    <t>End of Charge</t>
  </si>
  <si>
    <t>End of Discharge</t>
  </si>
  <si>
    <t>Other Standards or Complementary Informations</t>
  </si>
  <si>
    <t>Power Budget Calculation Tool</t>
  </si>
  <si>
    <t>Minimum Autonomy during Usage</t>
  </si>
  <si>
    <t>Minimum Expected Life Duration</t>
  </si>
  <si>
    <t>Description of Device's Life</t>
  </si>
  <si>
    <t>Expected Autonomy</t>
  </si>
  <si>
    <t>Device Consumption</t>
  </si>
  <si>
    <t>Device OFF (under storage)</t>
  </si>
  <si>
    <t>Device ON</t>
  </si>
  <si>
    <t>Maximum Peak</t>
  </si>
  <si>
    <t>Max peak</t>
  </si>
  <si>
    <t>Equivalent Average Current Consumption during Usage</t>
  </si>
  <si>
    <t>Equivalent Average Current Consumption during Storage</t>
  </si>
  <si>
    <t>Storage Duration</t>
  </si>
  <si>
    <t>Storage Power Budget</t>
  </si>
  <si>
    <t>Usage Power Budget</t>
  </si>
  <si>
    <t>Total Power Budget</t>
  </si>
  <si>
    <t>Pulse</t>
  </si>
  <si>
    <r>
      <t xml:space="preserve">Function #1 </t>
    </r>
    <r>
      <rPr>
        <sz val="12"/>
        <color theme="1" tint="0.24994659260841701"/>
        <rFont val="Calibri"/>
        <family val="2"/>
        <scheme val="minor"/>
      </rPr>
      <t>("Funtion Example" table if needed)</t>
    </r>
  </si>
  <si>
    <r>
      <t xml:space="preserve">Function #2 </t>
    </r>
    <r>
      <rPr>
        <sz val="12"/>
        <color theme="1" tint="0.24994659260841701"/>
        <rFont val="Calibri"/>
        <family val="2"/>
        <scheme val="minor"/>
      </rPr>
      <t>("Funtion Example" table if needed)</t>
    </r>
  </si>
  <si>
    <r>
      <t xml:space="preserve">Function #3 </t>
    </r>
    <r>
      <rPr>
        <sz val="12"/>
        <color theme="1" tint="0.24994659260841701"/>
        <rFont val="Calibri"/>
        <family val="2"/>
        <scheme val="minor"/>
      </rPr>
      <t>("Funtion Example" table if needed)</t>
    </r>
  </si>
  <si>
    <r>
      <t xml:space="preserve">Function #4 </t>
    </r>
    <r>
      <rPr>
        <sz val="12"/>
        <color theme="1" tint="0.24994659260841701"/>
        <rFont val="Calibri"/>
        <family val="2"/>
        <scheme val="minor"/>
      </rPr>
      <t>("Funtion Example" table if needed)</t>
    </r>
  </si>
  <si>
    <t>Life description</t>
  </si>
  <si>
    <t>Primary Example</t>
  </si>
  <si>
    <t>Rechargeable Example</t>
  </si>
  <si>
    <t>Cells Balancing Inside Battery Pack</t>
  </si>
  <si>
    <t>Competitor</t>
  </si>
  <si>
    <t>Medical Standards</t>
  </si>
  <si>
    <t>T1 (450°C)</t>
  </si>
  <si>
    <t>T2 (300°C)</t>
  </si>
  <si>
    <t>T3 (200°C)</t>
  </si>
  <si>
    <t>T4 (135°C)</t>
  </si>
  <si>
    <t>T5 (100°C)</t>
  </si>
  <si>
    <t>T6 (85°C)</t>
  </si>
  <si>
    <t>Police Equipment</t>
  </si>
  <si>
    <t>International Space Station</t>
  </si>
  <si>
    <t>Outer Space Experiments</t>
  </si>
  <si>
    <t>pcs</t>
  </si>
  <si>
    <t>kpcs</t>
  </si>
  <si>
    <t>Euro</t>
  </si>
  <si>
    <t>Franc Suisse</t>
  </si>
  <si>
    <t>Total</t>
  </si>
  <si>
    <t>Complementary Information / Additional details on function and/or profile</t>
  </si>
  <si>
    <t>Battery Type</t>
  </si>
  <si>
    <t>Buenos Aires</t>
  </si>
  <si>
    <t>Johannesburg</t>
  </si>
  <si>
    <t>Civil Electronics Division
Product Specification Request</t>
  </si>
  <si>
    <t>Sheets "Life" &amp; "Function" could help to fulfill this section</t>
  </si>
  <si>
    <t>Total Consumption is calculated via "Calculation tool" Sheet which can be modified if needed</t>
  </si>
  <si>
    <t>COV Unit</t>
  </si>
  <si>
    <t>Target Price</t>
  </si>
  <si>
    <t>Expected Quantity per year</t>
  </si>
  <si>
    <t>Date of issue</t>
  </si>
  <si>
    <t>Avg discharge</t>
  </si>
  <si>
    <t>Avg Unit</t>
  </si>
  <si>
    <t>Pulse Level</t>
  </si>
  <si>
    <t>Pulse Unit</t>
  </si>
  <si>
    <t>Cut off Voltage</t>
  </si>
  <si>
    <t>Autonomy Unit</t>
  </si>
  <si>
    <t>T° range mini</t>
  </si>
  <si>
    <t>T° range maxi</t>
  </si>
  <si>
    <t>T° range Unit</t>
  </si>
  <si>
    <t>Connecteur</t>
  </si>
  <si>
    <t>Molex</t>
  </si>
  <si>
    <t>JST</t>
  </si>
  <si>
    <t>3901-20-20 (10A)</t>
  </si>
  <si>
    <t>43030-0200 (5A)</t>
  </si>
  <si>
    <t>VHR-2N (10A)</t>
  </si>
  <si>
    <t>All units can be modified with picklists</t>
  </si>
  <si>
    <t>Kind of Consumption of the Device</t>
  </si>
  <si>
    <t>Current Consumption</t>
  </si>
  <si>
    <t>Power Consumption</t>
  </si>
  <si>
    <t>Type / Reference</t>
  </si>
  <si>
    <t>Distributors &amp; EMS</t>
  </si>
  <si>
    <t>Pack Makers</t>
  </si>
  <si>
    <t>Retailers</t>
  </si>
  <si>
    <t>Engineering &amp; Manufacturing Services</t>
  </si>
  <si>
    <t>List of Market Segment and
relative Applications</t>
  </si>
  <si>
    <t>Rhino tracker</t>
  </si>
  <si>
    <t>IRNAS</t>
  </si>
  <si>
    <t>Luka</t>
  </si>
  <si>
    <t>Mustafa</t>
  </si>
  <si>
    <t>musti@irnas.eu</t>
  </si>
  <si>
    <t>Valvasorjeva ulica 42</t>
  </si>
  <si>
    <t>Maribor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</si>
</sst>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#,##0.0"/>
    <numFmt numFmtId="166" formatCode="0.000"/>
    <numFmt numFmtId="167" formatCode="#,##0.00\ _€"/>
  </numFmts>
  <fonts count="44">
    <font>
      <sz val="12"/>
      <name val="Arial MT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 MT"/>
    </font>
    <font>
      <sz val="10"/>
      <name val="Arial"/>
      <family val="2"/>
    </font>
    <font>
      <b/>
      <sz val="12"/>
      <name val="Arial MT"/>
    </font>
    <font>
      <sz val="24"/>
      <name val="Arial MT"/>
    </font>
    <font>
      <b/>
      <sz val="12"/>
      <color rgb="FF0070C0"/>
      <name val="Arial MT"/>
    </font>
    <font>
      <sz val="11"/>
      <name val="Calibri"/>
      <family val="2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2"/>
      <color theme="1" tint="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8"/>
      <color rgb="FF0082C0"/>
      <name val="Calibri"/>
      <family val="2"/>
      <scheme val="minor"/>
    </font>
    <font>
      <sz val="18"/>
      <color theme="1" tint="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  <font>
      <sz val="14"/>
      <color rgb="FF0082C0"/>
      <name val="Calibri"/>
      <family val="2"/>
      <scheme val="minor"/>
    </font>
    <font>
      <sz val="14"/>
      <color theme="1" tint="0.249977111117893"/>
      <name val="Calibri"/>
      <family val="2"/>
      <scheme val="minor"/>
    </font>
    <font>
      <b/>
      <sz val="12"/>
      <color rgb="FF1F497D"/>
      <name val="Calibri"/>
      <family val="2"/>
      <scheme val="minor"/>
    </font>
    <font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theme="0" tint="-0.249977111117893"/>
      <name val="Arial MT"/>
    </font>
    <font>
      <b/>
      <sz val="12"/>
      <color theme="1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Arial MT"/>
    </font>
    <font>
      <sz val="12"/>
      <color rgb="FF1F497D"/>
      <name val="Calibri"/>
      <family val="2"/>
    </font>
    <font>
      <b/>
      <sz val="16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0082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rgb="FF0082C0"/>
      </left>
      <right/>
      <top style="medium">
        <color rgb="FF0082C0"/>
      </top>
      <bottom style="medium">
        <color rgb="FF0082C0"/>
      </bottom>
      <diagonal/>
    </border>
    <border>
      <left/>
      <right/>
      <top style="medium">
        <color rgb="FF0082C0"/>
      </top>
      <bottom style="medium">
        <color rgb="FF0082C0"/>
      </bottom>
      <diagonal/>
    </border>
    <border>
      <left/>
      <right style="medium">
        <color rgb="FF0082C0"/>
      </right>
      <top style="medium">
        <color rgb="FF0082C0"/>
      </top>
      <bottom style="medium">
        <color rgb="FF0082C0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6">
    <xf numFmtId="0" fontId="0" fillId="2" borderId="0"/>
    <xf numFmtId="0" fontId="9" fillId="0" borderId="0"/>
    <xf numFmtId="9" fontId="9" fillId="0" borderId="0" applyFont="0" applyFill="0" applyBorder="0" applyAlignment="0" applyProtection="0"/>
    <xf numFmtId="0" fontId="7" fillId="0" borderId="0"/>
    <xf numFmtId="0" fontId="7" fillId="0" borderId="0"/>
    <xf numFmtId="0" fontId="8" fillId="2" borderId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9" fillId="0" borderId="0"/>
    <xf numFmtId="0" fontId="6" fillId="0" borderId="0"/>
    <xf numFmtId="0" fontId="13" fillId="0" borderId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5" fillId="0" borderId="0"/>
    <xf numFmtId="9" fontId="8" fillId="0" borderId="0" applyFont="0" applyFill="0" applyBorder="0" applyAlignment="0" applyProtection="0"/>
  </cellStyleXfs>
  <cellXfs count="190">
    <xf numFmtId="0" fontId="0" fillId="2" borderId="0" xfId="0" applyNumberFormat="1"/>
    <xf numFmtId="0" fontId="0" fillId="2" borderId="0" xfId="0" applyNumberFormat="1" applyProtection="1"/>
    <xf numFmtId="0" fontId="0" fillId="2" borderId="0" xfId="0" applyNumberFormat="1" applyBorder="1" applyProtection="1"/>
    <xf numFmtId="0" fontId="0" fillId="2" borderId="0" xfId="0" applyNumberFormat="1" applyFont="1" applyProtection="1"/>
    <xf numFmtId="166" fontId="0" fillId="2" borderId="0" xfId="0" applyNumberFormat="1" applyProtection="1"/>
    <xf numFmtId="1" fontId="0" fillId="2" borderId="0" xfId="0" applyNumberFormat="1" applyProtection="1"/>
    <xf numFmtId="0" fontId="5" fillId="0" borderId="0" xfId="14" applyProtection="1"/>
    <xf numFmtId="0" fontId="5" fillId="3" borderId="0" xfId="14" applyFill="1" applyProtection="1"/>
    <xf numFmtId="0" fontId="17" fillId="3" borderId="0" xfId="14" applyFont="1" applyFill="1" applyAlignment="1" applyProtection="1">
      <alignment horizontal="left" vertical="center" indent="10"/>
    </xf>
    <xf numFmtId="0" fontId="21" fillId="0" borderId="0" xfId="13" applyFont="1" applyFill="1" applyAlignment="1" applyProtection="1">
      <alignment vertical="center"/>
    </xf>
    <xf numFmtId="0" fontId="23" fillId="0" borderId="0" xfId="14" applyFont="1" applyFill="1" applyAlignment="1" applyProtection="1">
      <alignment horizontal="center" vertical="center"/>
    </xf>
    <xf numFmtId="0" fontId="23" fillId="0" borderId="0" xfId="14" applyFont="1" applyFill="1" applyBorder="1" applyAlignment="1" applyProtection="1">
      <alignment horizontal="center" vertical="center"/>
    </xf>
    <xf numFmtId="0" fontId="23" fillId="0" borderId="0" xfId="14" applyFont="1" applyFill="1" applyAlignment="1" applyProtection="1">
      <alignment vertical="center"/>
    </xf>
    <xf numFmtId="0" fontId="24" fillId="0" borderId="0" xfId="14" applyFont="1" applyFill="1" applyProtection="1"/>
    <xf numFmtId="0" fontId="5" fillId="0" borderId="0" xfId="14" applyFill="1" applyProtection="1"/>
    <xf numFmtId="0" fontId="25" fillId="0" borderId="4" xfId="11" applyFont="1" applyProtection="1"/>
    <xf numFmtId="0" fontId="14" fillId="0" borderId="4" xfId="11" applyProtection="1"/>
    <xf numFmtId="0" fontId="18" fillId="0" borderId="0" xfId="13" applyFont="1" applyFill="1" applyAlignment="1" applyProtection="1">
      <alignment vertical="center"/>
    </xf>
    <xf numFmtId="0" fontId="19" fillId="0" borderId="0" xfId="14" applyFont="1" applyFill="1" applyAlignment="1" applyProtection="1">
      <alignment vertical="center"/>
    </xf>
    <xf numFmtId="0" fontId="20" fillId="0" borderId="0" xfId="14" applyFont="1" applyFill="1" applyProtection="1"/>
    <xf numFmtId="0" fontId="21" fillId="0" borderId="0" xfId="13" applyFont="1" applyAlignment="1" applyProtection="1">
      <alignment vertical="center"/>
    </xf>
    <xf numFmtId="0" fontId="20" fillId="0" borderId="0" xfId="14" applyFont="1" applyProtection="1"/>
    <xf numFmtId="0" fontId="26" fillId="0" borderId="0" xfId="14" applyFont="1" applyProtection="1"/>
    <xf numFmtId="0" fontId="20" fillId="0" borderId="0" xfId="14" applyFont="1" applyAlignment="1" applyProtection="1">
      <alignment horizontal="left"/>
    </xf>
    <xf numFmtId="0" fontId="21" fillId="0" borderId="0" xfId="13" applyFont="1" applyBorder="1" applyAlignment="1" applyProtection="1">
      <alignment vertical="center"/>
    </xf>
    <xf numFmtId="0" fontId="19" fillId="0" borderId="0" xfId="14" applyFont="1" applyFill="1" applyAlignment="1" applyProtection="1">
      <alignment horizontal="center" vertical="center"/>
    </xf>
    <xf numFmtId="0" fontId="19" fillId="0" borderId="0" xfId="14" applyFont="1" applyFill="1" applyBorder="1" applyAlignment="1" applyProtection="1">
      <alignment horizontal="center" vertical="center"/>
    </xf>
    <xf numFmtId="0" fontId="3" fillId="0" borderId="0" xfId="14" applyFont="1" applyFill="1" applyProtection="1"/>
    <xf numFmtId="0" fontId="19" fillId="4" borderId="20" xfId="14" applyFont="1" applyFill="1" applyBorder="1" applyAlignment="1" applyProtection="1">
      <alignment horizontal="center" vertical="center"/>
    </xf>
    <xf numFmtId="0" fontId="27" fillId="0" borderId="5" xfId="12" applyFont="1" applyProtection="1"/>
    <xf numFmtId="0" fontId="15" fillId="0" borderId="5" xfId="12" applyProtection="1"/>
    <xf numFmtId="0" fontId="31" fillId="0" borderId="0" xfId="13" applyFont="1" applyAlignment="1" applyProtection="1">
      <alignment vertical="center"/>
    </xf>
    <xf numFmtId="0" fontId="26" fillId="0" borderId="0" xfId="14" applyFont="1" applyAlignment="1" applyProtection="1"/>
    <xf numFmtId="0" fontId="3" fillId="0" borderId="0" xfId="14" applyFont="1" applyProtection="1"/>
    <xf numFmtId="0" fontId="18" fillId="0" borderId="0" xfId="13" applyFont="1" applyAlignment="1" applyProtection="1">
      <alignment horizontal="right" vertical="center"/>
    </xf>
    <xf numFmtId="0" fontId="18" fillId="0" borderId="0" xfId="13" applyFont="1" applyBorder="1" applyAlignment="1" applyProtection="1">
      <alignment vertical="center"/>
    </xf>
    <xf numFmtId="0" fontId="5" fillId="0" borderId="16" xfId="14" applyBorder="1" applyProtection="1"/>
    <xf numFmtId="0" fontId="18" fillId="0" borderId="15" xfId="13" applyFont="1" applyBorder="1" applyAlignment="1" applyProtection="1">
      <alignment vertical="center"/>
    </xf>
    <xf numFmtId="0" fontId="5" fillId="0" borderId="0" xfId="14" applyNumberFormat="1" applyProtection="1"/>
    <xf numFmtId="0" fontId="3" fillId="0" borderId="0" xfId="14" quotePrefix="1" applyFont="1" applyFill="1" applyProtection="1"/>
    <xf numFmtId="0" fontId="30" fillId="0" borderId="0" xfId="13" applyFont="1" applyAlignment="1" applyProtection="1">
      <alignment vertical="center"/>
    </xf>
    <xf numFmtId="0" fontId="30" fillId="0" borderId="0" xfId="14" applyFont="1" applyFill="1" applyAlignment="1" applyProtection="1">
      <alignment vertical="center"/>
    </xf>
    <xf numFmtId="0" fontId="20" fillId="0" borderId="0" xfId="14" applyFont="1" applyAlignment="1" applyProtection="1">
      <alignment horizontal="left" indent="2"/>
    </xf>
    <xf numFmtId="0" fontId="26" fillId="0" borderId="0" xfId="14" applyFont="1" applyAlignment="1" applyProtection="1">
      <alignment wrapText="1"/>
    </xf>
    <xf numFmtId="0" fontId="18" fillId="0" borderId="0" xfId="14" applyFont="1" applyBorder="1" applyAlignment="1" applyProtection="1"/>
    <xf numFmtId="0" fontId="20" fillId="0" borderId="0" xfId="14" applyFont="1" applyAlignment="1" applyProtection="1">
      <alignment horizontal="left" indent="3"/>
    </xf>
    <xf numFmtId="0" fontId="20" fillId="0" borderId="0" xfId="14" applyFont="1" applyBorder="1" applyProtection="1"/>
    <xf numFmtId="0" fontId="19" fillId="4" borderId="20" xfId="14" applyFont="1" applyFill="1" applyBorder="1" applyAlignment="1" applyProtection="1">
      <alignment horizontal="center" vertical="center"/>
      <protection locked="0"/>
    </xf>
    <xf numFmtId="0" fontId="19" fillId="4" borderId="20" xfId="14" applyFont="1" applyFill="1" applyBorder="1" applyAlignment="1" applyProtection="1">
      <alignment vertical="center"/>
      <protection locked="0"/>
    </xf>
    <xf numFmtId="0" fontId="19" fillId="4" borderId="20" xfId="14" applyNumberFormat="1" applyFont="1" applyFill="1" applyBorder="1" applyAlignment="1" applyProtection="1">
      <alignment horizontal="center" vertical="center"/>
      <protection locked="0"/>
    </xf>
    <xf numFmtId="0" fontId="19" fillId="4" borderId="20" xfId="15" applyNumberFormat="1" applyFont="1" applyFill="1" applyBorder="1" applyAlignment="1" applyProtection="1">
      <alignment horizontal="center" vertical="center"/>
      <protection locked="0"/>
    </xf>
    <xf numFmtId="0" fontId="18" fillId="0" borderId="0" xfId="13" applyFont="1" applyAlignment="1" applyProtection="1">
      <alignment horizontal="left" vertical="center"/>
    </xf>
    <xf numFmtId="0" fontId="18" fillId="0" borderId="0" xfId="13" applyFont="1" applyAlignment="1" applyProtection="1">
      <alignment vertical="center"/>
    </xf>
    <xf numFmtId="0" fontId="2" fillId="0" borderId="0" xfId="14" applyFont="1" applyProtection="1"/>
    <xf numFmtId="0" fontId="0" fillId="2" borderId="0" xfId="0" applyNumberFormat="1" applyFont="1" applyAlignment="1" applyProtection="1"/>
    <xf numFmtId="0" fontId="36" fillId="2" borderId="0" xfId="0" applyNumberFormat="1" applyFont="1" applyProtection="1"/>
    <xf numFmtId="0" fontId="36" fillId="2" borderId="0" xfId="0" applyNumberFormat="1" applyFont="1" applyAlignment="1" applyProtection="1">
      <alignment vertical="center"/>
    </xf>
    <xf numFmtId="0" fontId="36" fillId="2" borderId="0" xfId="0" applyNumberFormat="1" applyFont="1" applyAlignment="1" applyProtection="1">
      <alignment horizontal="center" vertical="center"/>
    </xf>
    <xf numFmtId="0" fontId="20" fillId="0" borderId="0" xfId="14" applyFont="1" applyProtection="1">
      <protection locked="0"/>
    </xf>
    <xf numFmtId="0" fontId="5" fillId="0" borderId="0" xfId="14" applyProtection="1">
      <protection locked="0"/>
    </xf>
    <xf numFmtId="0" fontId="35" fillId="0" borderId="0" xfId="13" applyFont="1" applyAlignment="1" applyProtection="1">
      <alignment horizontal="center" vertical="center"/>
    </xf>
    <xf numFmtId="0" fontId="18" fillId="0" borderId="13" xfId="13" applyFont="1" applyBorder="1" applyAlignment="1" applyProtection="1">
      <alignment vertical="center" wrapText="1"/>
    </xf>
    <xf numFmtId="0" fontId="18" fillId="0" borderId="0" xfId="13" applyFont="1" applyBorder="1" applyAlignment="1" applyProtection="1">
      <alignment vertical="center" wrapText="1"/>
    </xf>
    <xf numFmtId="0" fontId="40" fillId="0" borderId="0" xfId="14" applyFont="1" applyFill="1" applyBorder="1" applyProtection="1"/>
    <xf numFmtId="0" fontId="19" fillId="4" borderId="9" xfId="14" applyFont="1" applyFill="1" applyBorder="1" applyAlignment="1" applyProtection="1">
      <alignment horizontal="center" vertical="center"/>
      <protection locked="0"/>
    </xf>
    <xf numFmtId="0" fontId="18" fillId="0" borderId="0" xfId="13" applyFont="1" applyAlignment="1" applyProtection="1">
      <alignment vertical="center"/>
    </xf>
    <xf numFmtId="0" fontId="39" fillId="0" borderId="0" xfId="14" applyFont="1" applyAlignment="1" applyProtection="1">
      <alignment vertical="top" wrapText="1"/>
    </xf>
    <xf numFmtId="0" fontId="41" fillId="2" borderId="0" xfId="0" applyNumberFormat="1" applyFont="1" applyProtection="1"/>
    <xf numFmtId="0" fontId="41" fillId="2" borderId="0" xfId="0" applyFont="1" applyProtection="1"/>
    <xf numFmtId="0" fontId="41" fillId="2" borderId="0" xfId="0" applyFont="1" applyAlignment="1" applyProtection="1">
      <alignment horizontal="center" vertical="center" wrapText="1"/>
    </xf>
    <xf numFmtId="0" fontId="41" fillId="2" borderId="0" xfId="0" applyNumberFormat="1" applyFont="1" applyAlignment="1" applyProtection="1">
      <alignment vertical="center"/>
    </xf>
    <xf numFmtId="0" fontId="41" fillId="2" borderId="0" xfId="0" quotePrefix="1" applyNumberFormat="1" applyFont="1" applyProtection="1"/>
    <xf numFmtId="166" fontId="41" fillId="2" borderId="0" xfId="0" applyNumberFormat="1" applyFont="1" applyProtection="1"/>
    <xf numFmtId="1" fontId="41" fillId="2" borderId="0" xfId="0" applyNumberFormat="1" applyFont="1" applyProtection="1"/>
    <xf numFmtId="0" fontId="20" fillId="0" borderId="0" xfId="14" applyFont="1" applyAlignment="1" applyProtection="1">
      <alignment horizontal="left" indent="1"/>
    </xf>
    <xf numFmtId="0" fontId="0" fillId="5" borderId="0" xfId="0" applyNumberFormat="1" applyFill="1"/>
    <xf numFmtId="0" fontId="0" fillId="2" borderId="15" xfId="0" applyNumberFormat="1" applyBorder="1" applyProtection="1"/>
    <xf numFmtId="0" fontId="0" fillId="2" borderId="16" xfId="0" applyNumberFormat="1" applyBorder="1" applyProtection="1"/>
    <xf numFmtId="0" fontId="0" fillId="2" borderId="17" xfId="0" applyNumberFormat="1" applyBorder="1" applyProtection="1"/>
    <xf numFmtId="0" fontId="0" fillId="2" borderId="18" xfId="0" applyNumberFormat="1" applyBorder="1" applyProtection="1"/>
    <xf numFmtId="0" fontId="0" fillId="2" borderId="19" xfId="0" applyNumberFormat="1" applyBorder="1" applyProtection="1"/>
    <xf numFmtId="0" fontId="0" fillId="2" borderId="20" xfId="0" applyNumberFormat="1" applyBorder="1" applyAlignment="1" applyProtection="1">
      <alignment horizontal="center"/>
    </xf>
    <xf numFmtId="2" fontId="10" fillId="0" borderId="20" xfId="0" applyNumberFormat="1" applyFont="1" applyFill="1" applyBorder="1" applyAlignment="1" applyProtection="1">
      <alignment horizontal="center"/>
    </xf>
    <xf numFmtId="0" fontId="0" fillId="2" borderId="20" xfId="0" applyNumberFormat="1" applyBorder="1" applyProtection="1"/>
    <xf numFmtId="0" fontId="10" fillId="4" borderId="20" xfId="0" applyNumberFormat="1" applyFont="1" applyFill="1" applyBorder="1" applyAlignment="1" applyProtection="1">
      <alignment horizontal="center"/>
      <protection locked="0"/>
    </xf>
    <xf numFmtId="164" fontId="12" fillId="4" borderId="20" xfId="0" applyNumberFormat="1" applyFont="1" applyFill="1" applyBorder="1" applyAlignment="1" applyProtection="1">
      <alignment horizontal="center"/>
      <protection locked="0"/>
    </xf>
    <xf numFmtId="3" fontId="12" fillId="4" borderId="20" xfId="0" applyNumberFormat="1" applyFont="1" applyFill="1" applyBorder="1" applyAlignment="1" applyProtection="1">
      <alignment horizontal="center"/>
      <protection locked="0"/>
    </xf>
    <xf numFmtId="0" fontId="10" fillId="0" borderId="20" xfId="0" applyNumberFormat="1" applyFont="1" applyFill="1" applyBorder="1" applyAlignment="1" applyProtection="1">
      <alignment horizontal="center" vertical="center"/>
    </xf>
    <xf numFmtId="2" fontId="0" fillId="2" borderId="20" xfId="0" applyNumberFormat="1" applyFont="1" applyBorder="1" applyAlignment="1" applyProtection="1">
      <alignment horizontal="left" vertical="center"/>
    </xf>
    <xf numFmtId="0" fontId="0" fillId="2" borderId="0" xfId="0" applyNumberFormat="1" applyFont="1"/>
    <xf numFmtId="0" fontId="0" fillId="2" borderId="0" xfId="0" applyNumberFormat="1" applyFont="1" applyProtection="1">
      <protection locked="0"/>
    </xf>
    <xf numFmtId="0" fontId="42" fillId="6" borderId="26" xfId="0" applyFont="1" applyFill="1" applyBorder="1"/>
    <xf numFmtId="0" fontId="42" fillId="6" borderId="27" xfId="0" applyFont="1" applyFill="1" applyBorder="1"/>
    <xf numFmtId="0" fontId="42" fillId="2" borderId="26" xfId="0" applyFont="1" applyBorder="1"/>
    <xf numFmtId="0" fontId="42" fillId="2" borderId="27" xfId="0" applyFont="1" applyBorder="1"/>
    <xf numFmtId="0" fontId="43" fillId="3" borderId="0" xfId="14" applyFont="1" applyFill="1" applyAlignment="1" applyProtection="1">
      <alignment horizontal="center" vertical="center" wrapText="1"/>
    </xf>
    <xf numFmtId="0" fontId="0" fillId="5" borderId="0" xfId="0" applyNumberFormat="1" applyFont="1" applyFill="1"/>
    <xf numFmtId="0" fontId="5" fillId="5" borderId="0" xfId="14" applyFill="1" applyProtection="1"/>
    <xf numFmtId="0" fontId="25" fillId="5" borderId="4" xfId="11" applyFont="1" applyFill="1" applyAlignment="1" applyProtection="1">
      <alignment horizontal="center"/>
    </xf>
    <xf numFmtId="2" fontId="19" fillId="4" borderId="20" xfId="14" applyNumberFormat="1" applyFont="1" applyFill="1" applyBorder="1" applyAlignment="1" applyProtection="1">
      <alignment vertical="center"/>
      <protection locked="0"/>
    </xf>
    <xf numFmtId="0" fontId="21" fillId="0" borderId="0" xfId="13" applyFont="1" applyAlignment="1" applyProtection="1"/>
    <xf numFmtId="0" fontId="19" fillId="4" borderId="12" xfId="14" applyFont="1" applyFill="1" applyBorder="1" applyAlignment="1" applyProtection="1">
      <alignment vertical="top" wrapText="1"/>
      <protection locked="0"/>
    </xf>
    <xf numFmtId="0" fontId="19" fillId="4" borderId="13" xfId="14" applyFont="1" applyFill="1" applyBorder="1" applyAlignment="1" applyProtection="1">
      <alignment vertical="top" wrapText="1"/>
      <protection locked="0"/>
    </xf>
    <xf numFmtId="0" fontId="19" fillId="4" borderId="14" xfId="14" applyFont="1" applyFill="1" applyBorder="1" applyAlignment="1" applyProtection="1">
      <alignment vertical="top" wrapText="1"/>
      <protection locked="0"/>
    </xf>
    <xf numFmtId="0" fontId="19" fillId="4" borderId="15" xfId="14" applyFont="1" applyFill="1" applyBorder="1" applyAlignment="1" applyProtection="1">
      <alignment vertical="top" wrapText="1"/>
      <protection locked="0"/>
    </xf>
    <xf numFmtId="0" fontId="19" fillId="4" borderId="0" xfId="14" applyFont="1" applyFill="1" applyBorder="1" applyAlignment="1" applyProtection="1">
      <alignment vertical="top" wrapText="1"/>
      <protection locked="0"/>
    </xf>
    <xf numFmtId="0" fontId="19" fillId="4" borderId="16" xfId="14" applyFont="1" applyFill="1" applyBorder="1" applyAlignment="1" applyProtection="1">
      <alignment vertical="top" wrapText="1"/>
      <protection locked="0"/>
    </xf>
    <xf numFmtId="0" fontId="19" fillId="4" borderId="17" xfId="14" applyFont="1" applyFill="1" applyBorder="1" applyAlignment="1" applyProtection="1">
      <alignment vertical="top" wrapText="1"/>
      <protection locked="0"/>
    </xf>
    <xf numFmtId="0" fontId="19" fillId="4" borderId="18" xfId="14" applyFont="1" applyFill="1" applyBorder="1" applyAlignment="1" applyProtection="1">
      <alignment vertical="top" wrapText="1"/>
      <protection locked="0"/>
    </xf>
    <xf numFmtId="0" fontId="19" fillId="4" borderId="19" xfId="14" applyFont="1" applyFill="1" applyBorder="1" applyAlignment="1" applyProtection="1">
      <alignment vertical="top" wrapText="1"/>
      <protection locked="0"/>
    </xf>
    <xf numFmtId="0" fontId="19" fillId="4" borderId="9" xfId="14" applyFont="1" applyFill="1" applyBorder="1" applyAlignment="1" applyProtection="1">
      <alignment horizontal="center" vertical="center"/>
      <protection locked="0"/>
    </xf>
    <xf numFmtId="0" fontId="19" fillId="4" borderId="11" xfId="14" applyFont="1" applyFill="1" applyBorder="1" applyAlignment="1" applyProtection="1">
      <alignment horizontal="center" vertical="center"/>
      <protection locked="0"/>
    </xf>
    <xf numFmtId="0" fontId="19" fillId="4" borderId="9" xfId="14" applyFont="1" applyFill="1" applyBorder="1" applyAlignment="1" applyProtection="1">
      <alignment vertical="center"/>
      <protection locked="0"/>
    </xf>
    <xf numFmtId="0" fontId="19" fillId="4" borderId="10" xfId="14" applyFont="1" applyFill="1" applyBorder="1" applyAlignment="1" applyProtection="1">
      <alignment vertical="center"/>
      <protection locked="0"/>
    </xf>
    <xf numFmtId="0" fontId="19" fillId="4" borderId="11" xfId="14" applyFont="1" applyFill="1" applyBorder="1" applyAlignment="1" applyProtection="1">
      <alignment vertical="center"/>
      <protection locked="0"/>
    </xf>
    <xf numFmtId="0" fontId="19" fillId="4" borderId="10" xfId="14" applyFont="1" applyFill="1" applyBorder="1" applyAlignment="1" applyProtection="1">
      <alignment horizontal="center" vertical="center"/>
      <protection locked="0"/>
    </xf>
    <xf numFmtId="0" fontId="26" fillId="0" borderId="0" xfId="14" applyFont="1" applyAlignment="1" applyProtection="1">
      <alignment horizontal="center"/>
    </xf>
    <xf numFmtId="14" fontId="19" fillId="4" borderId="9" xfId="14" applyNumberFormat="1" applyFont="1" applyFill="1" applyBorder="1" applyAlignment="1" applyProtection="1">
      <alignment horizontal="center" vertical="center"/>
      <protection locked="0"/>
    </xf>
    <xf numFmtId="14" fontId="19" fillId="4" borderId="10" xfId="14" applyNumberFormat="1" applyFont="1" applyFill="1" applyBorder="1" applyAlignment="1" applyProtection="1">
      <alignment horizontal="center" vertical="center"/>
      <protection locked="0"/>
    </xf>
    <xf numFmtId="14" fontId="19" fillId="4" borderId="11" xfId="14" applyNumberFormat="1" applyFont="1" applyFill="1" applyBorder="1" applyAlignment="1" applyProtection="1">
      <alignment horizontal="center" vertical="center"/>
      <protection locked="0"/>
    </xf>
    <xf numFmtId="0" fontId="5" fillId="4" borderId="9" xfId="14" applyFill="1" applyBorder="1" applyAlignment="1" applyProtection="1">
      <alignment horizontal="center"/>
      <protection locked="0"/>
    </xf>
    <xf numFmtId="0" fontId="5" fillId="4" borderId="10" xfId="14" applyFill="1" applyBorder="1" applyAlignment="1" applyProtection="1">
      <alignment horizontal="center"/>
      <protection locked="0"/>
    </xf>
    <xf numFmtId="0" fontId="5" fillId="4" borderId="11" xfId="14" applyFill="1" applyBorder="1" applyAlignment="1" applyProtection="1">
      <alignment horizontal="center"/>
      <protection locked="0"/>
    </xf>
    <xf numFmtId="0" fontId="18" fillId="0" borderId="0" xfId="13" applyFont="1" applyAlignment="1" applyProtection="1">
      <alignment horizontal="left" vertical="center"/>
    </xf>
    <xf numFmtId="0" fontId="34" fillId="0" borderId="0" xfId="14" applyFont="1" applyFill="1" applyAlignment="1" applyProtection="1">
      <alignment horizontal="center"/>
    </xf>
    <xf numFmtId="0" fontId="18" fillId="0" borderId="15" xfId="13" applyFont="1" applyBorder="1" applyAlignment="1" applyProtection="1">
      <alignment horizontal="center" vertical="center"/>
    </xf>
    <xf numFmtId="0" fontId="18" fillId="0" borderId="16" xfId="13" applyFont="1" applyBorder="1" applyAlignment="1" applyProtection="1">
      <alignment horizontal="center" vertical="center"/>
    </xf>
    <xf numFmtId="0" fontId="18" fillId="0" borderId="0" xfId="13" applyFont="1" applyAlignment="1" applyProtection="1">
      <alignment vertical="center"/>
    </xf>
    <xf numFmtId="0" fontId="18" fillId="0" borderId="0" xfId="13" applyFont="1" applyAlignment="1" applyProtection="1">
      <alignment horizontal="center" vertical="center"/>
    </xf>
    <xf numFmtId="0" fontId="19" fillId="4" borderId="9" xfId="15" applyNumberFormat="1" applyFont="1" applyFill="1" applyBorder="1" applyAlignment="1" applyProtection="1">
      <alignment horizontal="center" vertical="center"/>
      <protection locked="0"/>
    </xf>
    <xf numFmtId="0" fontId="19" fillId="4" borderId="10" xfId="15" applyNumberFormat="1" applyFont="1" applyFill="1" applyBorder="1" applyAlignment="1" applyProtection="1">
      <alignment horizontal="center" vertical="center"/>
      <protection locked="0"/>
    </xf>
    <xf numFmtId="0" fontId="19" fillId="4" borderId="11" xfId="15" applyNumberFormat="1" applyFont="1" applyFill="1" applyBorder="1" applyAlignment="1" applyProtection="1">
      <alignment horizontal="center" vertical="center"/>
      <protection locked="0"/>
    </xf>
    <xf numFmtId="0" fontId="16" fillId="3" borderId="0" xfId="14" applyFont="1" applyFill="1" applyAlignment="1" applyProtection="1">
      <alignment horizontal="center" vertical="center" wrapText="1"/>
    </xf>
    <xf numFmtId="0" fontId="16" fillId="3" borderId="0" xfId="14" applyFont="1" applyFill="1" applyAlignment="1" applyProtection="1">
      <alignment horizontal="center" vertical="center"/>
    </xf>
    <xf numFmtId="0" fontId="22" fillId="4" borderId="6" xfId="14" applyFont="1" applyFill="1" applyBorder="1" applyAlignment="1" applyProtection="1">
      <alignment horizontal="center" vertical="center"/>
      <protection locked="0"/>
    </xf>
    <xf numFmtId="0" fontId="22" fillId="4" borderId="7" xfId="14" applyFont="1" applyFill="1" applyBorder="1" applyAlignment="1" applyProtection="1">
      <alignment horizontal="center" vertical="center"/>
      <protection locked="0"/>
    </xf>
    <xf numFmtId="0" fontId="22" fillId="4" borderId="8" xfId="14" applyFont="1" applyFill="1" applyBorder="1" applyAlignment="1" applyProtection="1">
      <alignment horizontal="center" vertical="center"/>
      <protection locked="0"/>
    </xf>
    <xf numFmtId="0" fontId="29" fillId="4" borderId="2" xfId="14" applyFont="1" applyFill="1" applyBorder="1" applyAlignment="1" applyProtection="1">
      <alignment horizontal="center" vertical="center"/>
      <protection locked="0"/>
    </xf>
    <xf numFmtId="0" fontId="29" fillId="4" borderId="3" xfId="14" applyFont="1" applyFill="1" applyBorder="1" applyAlignment="1" applyProtection="1">
      <alignment horizontal="center" vertical="center"/>
      <protection locked="0"/>
    </xf>
    <xf numFmtId="0" fontId="29" fillId="4" borderId="1" xfId="14" applyFont="1" applyFill="1" applyBorder="1" applyAlignment="1" applyProtection="1">
      <alignment horizontal="center" vertical="center"/>
      <protection locked="0"/>
    </xf>
    <xf numFmtId="0" fontId="28" fillId="4" borderId="6" xfId="14" applyFont="1" applyFill="1" applyBorder="1" applyAlignment="1" applyProtection="1">
      <alignment horizontal="center" vertical="center"/>
      <protection locked="0"/>
    </xf>
    <xf numFmtId="0" fontId="28" fillId="4" borderId="7" xfId="14" applyFont="1" applyFill="1" applyBorder="1" applyAlignment="1" applyProtection="1">
      <alignment horizontal="center" vertical="center"/>
      <protection locked="0"/>
    </xf>
    <xf numFmtId="0" fontId="28" fillId="4" borderId="8" xfId="14" applyFont="1" applyFill="1" applyBorder="1" applyAlignment="1" applyProtection="1">
      <alignment horizontal="center" vertical="center"/>
      <protection locked="0"/>
    </xf>
    <xf numFmtId="167" fontId="19" fillId="4" borderId="9" xfId="14" applyNumberFormat="1" applyFont="1" applyFill="1" applyBorder="1" applyAlignment="1" applyProtection="1">
      <alignment horizontal="center" vertical="center"/>
      <protection locked="0"/>
    </xf>
    <xf numFmtId="167" fontId="19" fillId="4" borderId="10" xfId="14" applyNumberFormat="1" applyFont="1" applyFill="1" applyBorder="1" applyAlignment="1" applyProtection="1">
      <alignment horizontal="center" vertical="center"/>
      <protection locked="0"/>
    </xf>
    <xf numFmtId="167" fontId="19" fillId="4" borderId="11" xfId="14" applyNumberFormat="1" applyFont="1" applyFill="1" applyBorder="1" applyAlignment="1" applyProtection="1">
      <alignment horizontal="center" vertical="center"/>
      <protection locked="0"/>
    </xf>
    <xf numFmtId="0" fontId="18" fillId="0" borderId="16" xfId="13" applyFont="1" applyBorder="1" applyAlignment="1" applyProtection="1">
      <alignment vertical="center"/>
    </xf>
    <xf numFmtId="0" fontId="19" fillId="4" borderId="9" xfId="14" applyNumberFormat="1" applyFont="1" applyFill="1" applyBorder="1" applyAlignment="1" applyProtection="1">
      <alignment horizontal="center" vertical="center"/>
      <protection locked="0"/>
    </xf>
    <xf numFmtId="0" fontId="19" fillId="4" borderId="11" xfId="14" applyNumberFormat="1" applyFont="1" applyFill="1" applyBorder="1" applyAlignment="1" applyProtection="1">
      <alignment horizontal="center" vertical="center"/>
      <protection locked="0"/>
    </xf>
    <xf numFmtId="0" fontId="39" fillId="4" borderId="9" xfId="14" applyFont="1" applyFill="1" applyBorder="1" applyAlignment="1" applyProtection="1">
      <alignment horizontal="center" vertical="center"/>
      <protection locked="0"/>
    </xf>
    <xf numFmtId="0" fontId="39" fillId="4" borderId="11" xfId="14" applyFont="1" applyFill="1" applyBorder="1" applyAlignment="1" applyProtection="1">
      <alignment horizontal="center" vertical="center"/>
      <protection locked="0"/>
    </xf>
    <xf numFmtId="0" fontId="39" fillId="0" borderId="0" xfId="14" applyFont="1" applyAlignment="1" applyProtection="1">
      <alignment horizontal="center" vertical="center" wrapText="1"/>
    </xf>
    <xf numFmtId="0" fontId="18" fillId="0" borderId="0" xfId="13" applyFont="1" applyBorder="1" applyAlignment="1" applyProtection="1">
      <alignment horizontal="center" vertical="center" wrapText="1"/>
    </xf>
    <xf numFmtId="0" fontId="18" fillId="0" borderId="18" xfId="13" applyFont="1" applyBorder="1" applyAlignment="1" applyProtection="1">
      <alignment horizontal="center" vertical="center" wrapText="1"/>
    </xf>
    <xf numFmtId="0" fontId="18" fillId="0" borderId="0" xfId="13" applyFont="1" applyBorder="1" applyAlignment="1" applyProtection="1">
      <alignment horizontal="center" vertical="center"/>
    </xf>
    <xf numFmtId="0" fontId="18" fillId="0" borderId="18" xfId="13" applyFont="1" applyBorder="1" applyAlignment="1" applyProtection="1">
      <alignment horizontal="center" vertical="center"/>
    </xf>
    <xf numFmtId="0" fontId="18" fillId="0" borderId="21" xfId="13" applyFont="1" applyBorder="1" applyAlignment="1" applyProtection="1">
      <alignment horizontal="center" vertical="center"/>
    </xf>
    <xf numFmtId="0" fontId="18" fillId="0" borderId="21" xfId="13" applyFont="1" applyBorder="1" applyAlignment="1" applyProtection="1">
      <alignment horizontal="center" vertical="center" wrapText="1"/>
    </xf>
    <xf numFmtId="0" fontId="35" fillId="0" borderId="0" xfId="14" applyFont="1" applyAlignment="1" applyProtection="1">
      <alignment horizontal="center"/>
    </xf>
    <xf numFmtId="0" fontId="1" fillId="0" borderId="0" xfId="14" applyFont="1" applyAlignment="1" applyProtection="1">
      <alignment horizontal="center"/>
    </xf>
    <xf numFmtId="0" fontId="1" fillId="0" borderId="16" xfId="14" applyFont="1" applyBorder="1" applyAlignment="1" applyProtection="1">
      <alignment horizontal="center"/>
    </xf>
    <xf numFmtId="0" fontId="4" fillId="0" borderId="0" xfId="14" applyFont="1" applyAlignment="1" applyProtection="1">
      <alignment horizontal="center"/>
    </xf>
    <xf numFmtId="0" fontId="4" fillId="0" borderId="16" xfId="14" applyFont="1" applyBorder="1" applyAlignment="1" applyProtection="1">
      <alignment horizontal="center"/>
    </xf>
    <xf numFmtId="0" fontId="18" fillId="0" borderId="0" xfId="13" applyFont="1" applyBorder="1" applyAlignment="1" applyProtection="1">
      <alignment horizontal="right" vertical="center" indent="1"/>
    </xf>
    <xf numFmtId="0" fontId="18" fillId="0" borderId="25" xfId="13" applyFont="1" applyBorder="1" applyAlignment="1" applyProtection="1">
      <alignment horizontal="right" vertical="center" indent="1"/>
    </xf>
    <xf numFmtId="0" fontId="19" fillId="4" borderId="22" xfId="14" applyFont="1" applyFill="1" applyBorder="1" applyAlignment="1" applyProtection="1">
      <alignment horizontal="center" vertical="center"/>
      <protection locked="0"/>
    </xf>
    <xf numFmtId="0" fontId="19" fillId="4" borderId="23" xfId="14" applyFont="1" applyFill="1" applyBorder="1" applyAlignment="1" applyProtection="1">
      <alignment horizontal="center" vertical="center"/>
      <protection locked="0"/>
    </xf>
    <xf numFmtId="0" fontId="19" fillId="4" borderId="24" xfId="14" applyFont="1" applyFill="1" applyBorder="1" applyAlignment="1" applyProtection="1">
      <alignment horizontal="center" vertical="center"/>
      <protection locked="0"/>
    </xf>
    <xf numFmtId="165" fontId="19" fillId="4" borderId="9" xfId="14" applyNumberFormat="1" applyFont="1" applyFill="1" applyBorder="1" applyAlignment="1" applyProtection="1">
      <alignment horizontal="center" vertical="center"/>
      <protection locked="0"/>
    </xf>
    <xf numFmtId="165" fontId="19" fillId="4" borderId="11" xfId="14" applyNumberFormat="1" applyFont="1" applyFill="1" applyBorder="1" applyAlignment="1" applyProtection="1">
      <alignment horizontal="center" vertical="center"/>
      <protection locked="0"/>
    </xf>
    <xf numFmtId="0" fontId="35" fillId="0" borderId="0" xfId="13" applyFont="1" applyAlignment="1" applyProtection="1">
      <alignment horizontal="center" vertical="center" wrapText="1"/>
    </xf>
    <xf numFmtId="0" fontId="35" fillId="0" borderId="0" xfId="14" applyFont="1" applyBorder="1" applyAlignment="1" applyProtection="1">
      <alignment horizontal="center" vertical="center" wrapText="1"/>
    </xf>
    <xf numFmtId="0" fontId="19" fillId="4" borderId="9" xfId="14" applyFont="1" applyFill="1" applyBorder="1" applyAlignment="1" applyProtection="1">
      <alignment horizontal="left" vertical="center"/>
      <protection locked="0"/>
    </xf>
    <xf numFmtId="0" fontId="19" fillId="4" borderId="11" xfId="14" applyFont="1" applyFill="1" applyBorder="1" applyAlignment="1" applyProtection="1">
      <alignment horizontal="left" vertical="center"/>
      <protection locked="0"/>
    </xf>
    <xf numFmtId="0" fontId="36" fillId="2" borderId="0" xfId="0" applyNumberFormat="1" applyFont="1" applyAlignment="1" applyProtection="1">
      <alignment horizontal="center" vertical="center" wrapText="1"/>
    </xf>
    <xf numFmtId="0" fontId="36" fillId="2" borderId="0" xfId="0" applyNumberFormat="1" applyFont="1" applyAlignment="1" applyProtection="1">
      <alignment horizontal="center" vertical="center"/>
    </xf>
    <xf numFmtId="0" fontId="11" fillId="2" borderId="12" xfId="0" applyNumberFormat="1" applyFont="1" applyBorder="1" applyAlignment="1" applyProtection="1">
      <alignment horizontal="center"/>
    </xf>
    <xf numFmtId="0" fontId="11" fillId="2" borderId="13" xfId="0" applyNumberFormat="1" applyFont="1" applyBorder="1" applyAlignment="1" applyProtection="1">
      <alignment horizontal="center"/>
    </xf>
    <xf numFmtId="0" fontId="11" fillId="2" borderId="14" xfId="0" applyNumberFormat="1" applyFont="1" applyBorder="1" applyAlignment="1" applyProtection="1">
      <alignment horizontal="center"/>
    </xf>
    <xf numFmtId="0" fontId="0" fillId="2" borderId="0" xfId="0" applyNumberFormat="1" applyAlignment="1" applyProtection="1">
      <alignment horizontal="center"/>
    </xf>
    <xf numFmtId="0" fontId="0" fillId="2" borderId="20" xfId="0" applyNumberFormat="1" applyBorder="1" applyAlignment="1" applyProtection="1">
      <alignment horizontal="center"/>
    </xf>
    <xf numFmtId="0" fontId="0" fillId="2" borderId="20" xfId="0" applyNumberFormat="1" applyBorder="1" applyAlignment="1" applyProtection="1">
      <alignment horizontal="center" vertical="center" textRotation="90"/>
    </xf>
    <xf numFmtId="3" fontId="0" fillId="4" borderId="20" xfId="0" applyNumberFormat="1" applyFont="1" applyFill="1" applyBorder="1" applyAlignment="1" applyProtection="1">
      <alignment horizontal="left"/>
      <protection locked="0"/>
    </xf>
    <xf numFmtId="0" fontId="0" fillId="2" borderId="20" xfId="0" applyNumberFormat="1" applyBorder="1" applyAlignment="1" applyProtection="1">
      <alignment horizontal="center" vertical="center" wrapText="1"/>
    </xf>
    <xf numFmtId="0" fontId="0" fillId="2" borderId="20" xfId="0" applyNumberFormat="1" applyBorder="1" applyAlignment="1" applyProtection="1">
      <alignment vertical="center"/>
    </xf>
    <xf numFmtId="0" fontId="36" fillId="2" borderId="0" xfId="0" applyNumberFormat="1" applyFont="1" applyAlignment="1" applyProtection="1">
      <alignment horizontal="center" wrapText="1"/>
    </xf>
    <xf numFmtId="0" fontId="0" fillId="2" borderId="20" xfId="0" applyNumberFormat="1" applyBorder="1" applyAlignment="1" applyProtection="1">
      <alignment horizontal="center" wrapText="1"/>
    </xf>
    <xf numFmtId="0" fontId="0" fillId="2" borderId="20" xfId="0" applyNumberFormat="1" applyBorder="1" applyAlignment="1" applyProtection="1">
      <alignment horizontal="center" vertical="center"/>
    </xf>
    <xf numFmtId="0" fontId="37" fillId="0" borderId="0" xfId="14" applyFont="1" applyAlignment="1" applyProtection="1">
      <alignment horizontal="center"/>
    </xf>
    <xf numFmtId="0" fontId="41" fillId="2" borderId="0" xfId="0" applyNumberFormat="1" applyFont="1" applyAlignment="1" applyProtection="1">
      <alignment horizontal="center"/>
    </xf>
  </cellXfs>
  <cellStyles count="16">
    <cellStyle name="Naslov 1" xfId="11" builtinId="16"/>
    <cellStyle name="Naslov 3" xfId="12" builtinId="18"/>
    <cellStyle name="Naslov 4" xfId="13" builtinId="19"/>
    <cellStyle name="Navadno" xfId="0" builtinId="0"/>
    <cellStyle name="Normal 2" xfId="1"/>
    <cellStyle name="Normal 2 2" xfId="8"/>
    <cellStyle name="Normal 3" xfId="3"/>
    <cellStyle name="Normal 4" xfId="4"/>
    <cellStyle name="Normal 5" xfId="5"/>
    <cellStyle name="Normal 6" xfId="9"/>
    <cellStyle name="Normal 7" xfId="10"/>
    <cellStyle name="Normal 8" xfId="14"/>
    <cellStyle name="Odstotek" xfId="15" builtinId="5"/>
    <cellStyle name="Pourcentage 2" xfId="2"/>
    <cellStyle name="Pourcentage 3" xfId="6"/>
    <cellStyle name="Pourcentage 4" xfId="7"/>
  </cellStyles>
  <dxfs count="34">
    <dxf>
      <font>
        <color theme="0"/>
      </font>
      <fill>
        <patternFill patternType="solid"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  <color theme="1" tint="0.24994659260841701"/>
      </font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solid"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solid"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solid"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rgb="FFFF0000"/>
      </font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solid"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1F497D"/>
      <color rgb="FFFFFF99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2.xml"/><Relationship Id="rId10" Type="http://schemas.openxmlformats.org/officeDocument/2006/relationships/styles" Target="styles.xml"/><Relationship Id="rId4" Type="http://schemas.openxmlformats.org/officeDocument/2006/relationships/chartsheet" Target="chartsheets/sheet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fr-FR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Device's Life Description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fr-FR" sz="18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31936460623201"/>
          <c:y val="0.1767408830432565"/>
          <c:w val="0.81134323670684805"/>
          <c:h val="0.65242761925598713"/>
        </c:manualLayout>
      </c:layout>
      <c:scatterChart>
        <c:scatterStyle val="lineMarker"/>
        <c:varyColors val="0"/>
        <c:ser>
          <c:idx val="0"/>
          <c:order val="0"/>
          <c:tx>
            <c:strRef>
              <c:f>DB!$CC$2</c:f>
              <c:strCache>
                <c:ptCount val="1"/>
                <c:pt idx="0">
                  <c:v>Primary Example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DB!$CC$3:$CC$11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7</c:v>
                </c:pt>
                <c:pt idx="6">
                  <c:v>7</c:v>
                </c:pt>
                <c:pt idx="7">
                  <c:v>17</c:v>
                </c:pt>
                <c:pt idx="8">
                  <c:v>17</c:v>
                </c:pt>
              </c:numCache>
            </c:numRef>
          </c:xVal>
          <c:yVal>
            <c:numRef>
              <c:f>DB!$CD$3:$CD$110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5</c:v>
                </c:pt>
                <c:pt idx="6">
                  <c:v>20</c:v>
                </c:pt>
                <c:pt idx="7">
                  <c:v>20</c:v>
                </c:pt>
                <c:pt idx="8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5</c:v>
                </c:pt>
                <c:pt idx="17">
                  <c:v>5</c:v>
                </c:pt>
                <c:pt idx="19">
                  <c:v>20</c:v>
                </c:pt>
                <c:pt idx="20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62-444E-9AE5-E0B844A0A8E9}"/>
            </c:ext>
          </c:extLst>
        </c:ser>
        <c:ser>
          <c:idx val="1"/>
          <c:order val="1"/>
          <c:tx>
            <c:strRef>
              <c:f>DB!$CE$2</c:f>
              <c:strCache>
                <c:ptCount val="1"/>
                <c:pt idx="0">
                  <c:v>Rechargeable Example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DB!$CE$3:$CE$12</c:f>
              <c:numCache>
                <c:formatCode>General</c:formatCode>
                <c:ptCount val="10"/>
                <c:pt idx="0">
                  <c:v>7</c:v>
                </c:pt>
                <c:pt idx="1">
                  <c:v>9</c:v>
                </c:pt>
                <c:pt idx="2">
                  <c:v>9</c:v>
                </c:pt>
                <c:pt idx="3">
                  <c:v>11</c:v>
                </c:pt>
                <c:pt idx="4">
                  <c:v>11</c:v>
                </c:pt>
                <c:pt idx="5">
                  <c:v>13</c:v>
                </c:pt>
                <c:pt idx="6">
                  <c:v>13</c:v>
                </c:pt>
                <c:pt idx="7">
                  <c:v>15</c:v>
                </c:pt>
                <c:pt idx="8">
                  <c:v>15</c:v>
                </c:pt>
                <c:pt idx="9">
                  <c:v>17</c:v>
                </c:pt>
              </c:numCache>
            </c:numRef>
          </c:xVal>
          <c:yVal>
            <c:numRef>
              <c:f>DB!$CF$3:$CF$12</c:f>
              <c:numCache>
                <c:formatCode>General</c:formatCode>
                <c:ptCount val="10"/>
                <c:pt idx="0">
                  <c:v>19.7</c:v>
                </c:pt>
                <c:pt idx="1">
                  <c:v>19.7</c:v>
                </c:pt>
                <c:pt idx="2">
                  <c:v>0</c:v>
                </c:pt>
                <c:pt idx="3">
                  <c:v>0</c:v>
                </c:pt>
                <c:pt idx="4">
                  <c:v>19.7</c:v>
                </c:pt>
                <c:pt idx="5">
                  <c:v>19.7</c:v>
                </c:pt>
                <c:pt idx="6">
                  <c:v>0</c:v>
                </c:pt>
                <c:pt idx="7">
                  <c:v>0</c:v>
                </c:pt>
                <c:pt idx="8">
                  <c:v>19.7</c:v>
                </c:pt>
                <c:pt idx="9">
                  <c:v>19.7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62-444E-9AE5-E0B844A0A8E9}"/>
            </c:ext>
          </c:extLst>
        </c:ser>
        <c:ser>
          <c:idx val="2"/>
          <c:order val="2"/>
          <c:spPr>
            <a:ln w="19050" cap="rnd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DB!$CE$22:$CE$23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DB!$CF$22:$CF$23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162-444E-9AE5-E0B844A0A8E9}"/>
            </c:ext>
          </c:extLst>
        </c:ser>
        <c:ser>
          <c:idx val="3"/>
          <c:order val="3"/>
          <c:spPr>
            <a:ln w="19050" cap="rnd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DB!$CC$19:$CC$20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xVal>
          <c:yVal>
            <c:numRef>
              <c:f>DB!$CD$19:$CD$20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162-444E-9AE5-E0B844A0A8E9}"/>
            </c:ext>
          </c:extLst>
        </c:ser>
        <c:ser>
          <c:idx val="4"/>
          <c:order val="4"/>
          <c:spPr>
            <a:ln w="19050" cap="rnd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DB!$CC$22:$CC$23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DB!$CD$22:$CD$23</c:f>
              <c:numCache>
                <c:formatCode>General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162-444E-9AE5-E0B844A0A8E9}"/>
            </c:ext>
          </c:extLst>
        </c:ser>
        <c:ser>
          <c:idx val="5"/>
          <c:order val="5"/>
          <c:spPr>
            <a:ln w="19050" cap="rnd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DB!$CE$16:$CE$17</c:f>
              <c:numCache>
                <c:formatCode>General</c:formatCode>
                <c:ptCount val="2"/>
                <c:pt idx="0">
                  <c:v>17</c:v>
                </c:pt>
                <c:pt idx="1">
                  <c:v>17</c:v>
                </c:pt>
              </c:numCache>
            </c:numRef>
          </c:xVal>
          <c:yVal>
            <c:numRef>
              <c:f>DB!$CF$16:$CF$17</c:f>
              <c:numCache>
                <c:formatCode>General</c:formatCode>
                <c:ptCount val="2"/>
                <c:pt idx="0">
                  <c:v>20</c:v>
                </c:pt>
                <c:pt idx="1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162-444E-9AE5-E0B844A0A8E9}"/>
            </c:ext>
          </c:extLst>
        </c:ser>
        <c:ser>
          <c:idx val="6"/>
          <c:order val="6"/>
          <c:spPr>
            <a:ln w="19050" cap="rnd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DB!$CE$19:$CE$20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xVal>
          <c:yVal>
            <c:numRef>
              <c:f>DB!$CF$19:$CF$20</c:f>
              <c:numCache>
                <c:formatCode>General</c:formatCode>
                <c:ptCount val="2"/>
                <c:pt idx="0">
                  <c:v>5</c:v>
                </c:pt>
                <c:pt idx="1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162-444E-9AE5-E0B844A0A8E9}"/>
            </c:ext>
          </c:extLst>
        </c:ser>
        <c:ser>
          <c:idx val="7"/>
          <c:order val="7"/>
          <c:spPr>
            <a:ln w="19050" cap="rnd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DB!$CE$25:$CE$26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DB!$CF$25:$CF$26</c:f>
              <c:numCache>
                <c:formatCode>General</c:formatCode>
                <c:ptCount val="2"/>
                <c:pt idx="0">
                  <c:v>0</c:v>
                </c:pt>
                <c:pt idx="1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33-424D-8D60-9017C88F8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854200"/>
        <c:axId val="571855840"/>
      </c:scatterChart>
      <c:valAx>
        <c:axId val="571854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fr-FR"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Time</a:t>
                </a:r>
              </a:p>
            </c:rich>
          </c:tx>
          <c:layout>
            <c:manualLayout>
              <c:xMode val="edge"/>
              <c:yMode val="edge"/>
              <c:x val="0.5078705542401929"/>
              <c:y val="0.831687028810632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fr-FR"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855840"/>
        <c:crosses val="autoZero"/>
        <c:crossBetween val="midCat"/>
      </c:valAx>
      <c:valAx>
        <c:axId val="571855840"/>
        <c:scaling>
          <c:orientation val="minMax"/>
          <c:max val="24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fr-FR"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Consumption</a:t>
                </a:r>
              </a:p>
            </c:rich>
          </c:tx>
          <c:layout>
            <c:manualLayout>
              <c:xMode val="edge"/>
              <c:yMode val="edge"/>
              <c:x val="0.11608609575643454"/>
              <c:y val="0.423212082836981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fr-FR"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854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fr-FR" sz="11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1"/>
              <a:t>Communication Function Consumption Example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535171613337553E-2"/>
          <c:y val="9.0325204032422765E-2"/>
          <c:w val="0.94741244458255336"/>
          <c:h val="0.8541240582005030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DB!$BG$1:$BG$30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6.5</c:v>
                </c:pt>
                <c:pt idx="10">
                  <c:v>6.5</c:v>
                </c:pt>
                <c:pt idx="11">
                  <c:v>7</c:v>
                </c:pt>
                <c:pt idx="12">
                  <c:v>7</c:v>
                </c:pt>
                <c:pt idx="13">
                  <c:v>7.5</c:v>
                </c:pt>
                <c:pt idx="14">
                  <c:v>7.5</c:v>
                </c:pt>
                <c:pt idx="15">
                  <c:v>8</c:v>
                </c:pt>
                <c:pt idx="16">
                  <c:v>8</c:v>
                </c:pt>
                <c:pt idx="17">
                  <c:v>8.5</c:v>
                </c:pt>
                <c:pt idx="18">
                  <c:v>8.5</c:v>
                </c:pt>
                <c:pt idx="19">
                  <c:v>15</c:v>
                </c:pt>
                <c:pt idx="20">
                  <c:v>15</c:v>
                </c:pt>
                <c:pt idx="21">
                  <c:v>15.5</c:v>
                </c:pt>
                <c:pt idx="22">
                  <c:v>15.5</c:v>
                </c:pt>
                <c:pt idx="23">
                  <c:v>16</c:v>
                </c:pt>
                <c:pt idx="24">
                  <c:v>16</c:v>
                </c:pt>
                <c:pt idx="25">
                  <c:v>16.5</c:v>
                </c:pt>
                <c:pt idx="26">
                  <c:v>16.5</c:v>
                </c:pt>
                <c:pt idx="27">
                  <c:v>17</c:v>
                </c:pt>
                <c:pt idx="28">
                  <c:v>17</c:v>
                </c:pt>
                <c:pt idx="29">
                  <c:v>20</c:v>
                </c:pt>
              </c:numCache>
            </c:numRef>
          </c:xVal>
          <c:yVal>
            <c:numRef>
              <c:f>DB!$BH$1:$BH$30</c:f>
              <c:numCache>
                <c:formatCode>General</c:formatCode>
                <c:ptCount val="30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2</c:v>
                </c:pt>
                <c:pt idx="9">
                  <c:v>2</c:v>
                </c:pt>
                <c:pt idx="10">
                  <c:v>0.06</c:v>
                </c:pt>
                <c:pt idx="11">
                  <c:v>0.06</c:v>
                </c:pt>
                <c:pt idx="12">
                  <c:v>2</c:v>
                </c:pt>
                <c:pt idx="13">
                  <c:v>2</c:v>
                </c:pt>
                <c:pt idx="14">
                  <c:v>0.06</c:v>
                </c:pt>
                <c:pt idx="15">
                  <c:v>0.06</c:v>
                </c:pt>
                <c:pt idx="16">
                  <c:v>2</c:v>
                </c:pt>
                <c:pt idx="17">
                  <c:v>2</c:v>
                </c:pt>
                <c:pt idx="18">
                  <c:v>0.06</c:v>
                </c:pt>
                <c:pt idx="19">
                  <c:v>0.06</c:v>
                </c:pt>
                <c:pt idx="20">
                  <c:v>2</c:v>
                </c:pt>
                <c:pt idx="21">
                  <c:v>2</c:v>
                </c:pt>
                <c:pt idx="22">
                  <c:v>0.06</c:v>
                </c:pt>
                <c:pt idx="23">
                  <c:v>0.06</c:v>
                </c:pt>
                <c:pt idx="24">
                  <c:v>2</c:v>
                </c:pt>
                <c:pt idx="25">
                  <c:v>2</c:v>
                </c:pt>
                <c:pt idx="26">
                  <c:v>0.06</c:v>
                </c:pt>
                <c:pt idx="27">
                  <c:v>0.06</c:v>
                </c:pt>
                <c:pt idx="28">
                  <c:v>1E-3</c:v>
                </c:pt>
                <c:pt idx="29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88-4B8C-AD54-4955214B733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DB!$BE$7:$BE$8</c:f>
              <c:numCache>
                <c:formatCode>General</c:formatCode>
                <c:ptCount val="2"/>
                <c:pt idx="0">
                  <c:v>2</c:v>
                </c:pt>
                <c:pt idx="1">
                  <c:v>17</c:v>
                </c:pt>
              </c:numCache>
            </c:numRef>
          </c:xVal>
          <c:yVal>
            <c:numRef>
              <c:f>DB!$BF$7:$BF$8</c:f>
              <c:numCache>
                <c:formatCode>General</c:formatCode>
                <c:ptCount val="2"/>
                <c:pt idx="0">
                  <c:v>0.15</c:v>
                </c:pt>
                <c:pt idx="1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88-4B8C-AD54-4955214B7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907832"/>
        <c:axId val="569909144"/>
      </c:scatterChart>
      <c:valAx>
        <c:axId val="569907832"/>
        <c:scaling>
          <c:orientation val="minMax"/>
          <c:max val="20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69909144"/>
        <c:crossesAt val="1.0000000000000002E-3"/>
        <c:crossBetween val="midCat"/>
      </c:valAx>
      <c:valAx>
        <c:axId val="569909144"/>
        <c:scaling>
          <c:logBase val="10"/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/>
                  <a:t>Current /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69907832"/>
        <c:crosses val="autoZero"/>
        <c:crossBetween val="midCat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/>
  </sheetViews>
  <sheetProtection algorithmName="SHA-512" hashValue="8UtQ20Y5DXv4CLW3OT5PWLUTWLWlxk2FzdSeSO9Fo3mFs2pI/kgugkB50tqUIAh+n7tWmhIj5I9xgqcQM4FP3w==" saltValue="U9cbwwRGJfw6X/nq1sMizw==" spinCount="100000" content="1" objects="1"/>
  <pageMargins left="0.7" right="0.7" top="0.75" bottom="0.75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Graphique3"/>
  <sheetViews>
    <sheetView zoomScale="90" workbookViewId="0"/>
  </sheetViews>
  <sheetProtection algorithmName="SHA-512" hashValue="AQVe3lI6e/S2noWkHdJOYlSQv8t/Q48VhpNY5zof2M83M8eJBS/1ep0RS8jGkCHOKAC5hTmOSbY/QbcMR388JQ==" saltValue="uDv1SNrlD6tTdtWn+eMg0Q==" spinCount="100000" content="1" objects="1"/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506017</xdr:colOff>
      <xdr:row>0</xdr:row>
      <xdr:rowOff>208360</xdr:rowOff>
    </xdr:from>
    <xdr:to>
      <xdr:col>15</xdr:col>
      <xdr:colOff>583408</xdr:colOff>
      <xdr:row>0</xdr:row>
      <xdr:rowOff>816300</xdr:rowOff>
    </xdr:to>
    <xdr:sp macro="" textlink="">
      <xdr:nvSpPr>
        <xdr:cNvPr id="2" name="Ellipse 1">
          <a:extLst>
            <a:ext uri="{FF2B5EF4-FFF2-40B4-BE49-F238E27FC236}">
              <a16:creationId xmlns:a16="http://schemas.microsoft.com/office/drawing/2014/main" id="{514A8ADD-2F21-4F87-A407-7736F3346EE3}"/>
            </a:ext>
          </a:extLst>
        </xdr:cNvPr>
        <xdr:cNvSpPr>
          <a:spLocks/>
        </xdr:cNvSpPr>
      </xdr:nvSpPr>
      <xdr:spPr>
        <a:xfrm>
          <a:off x="10215565" y="208360"/>
          <a:ext cx="1119187" cy="607940"/>
        </a:xfrm>
        <a:prstGeom prst="ellipse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fr-FR" sz="2800" b="1">
              <a:solidFill>
                <a:schemeClr val="l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PSR</a:t>
          </a:r>
        </a:p>
      </xdr:txBody>
    </xdr:sp>
    <xdr:clientData/>
  </xdr:twoCellAnchor>
  <xdr:twoCellAnchor>
    <xdr:from>
      <xdr:col>0</xdr:col>
      <xdr:colOff>607219</xdr:colOff>
      <xdr:row>0</xdr:row>
      <xdr:rowOff>190500</xdr:rowOff>
    </xdr:from>
    <xdr:to>
      <xdr:col>0</xdr:col>
      <xdr:colOff>2833687</xdr:colOff>
      <xdr:row>0</xdr:row>
      <xdr:rowOff>758249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ED51D41B-0D9B-42A3-B9A2-7D5D917F00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7219" y="190500"/>
          <a:ext cx="2226468" cy="5677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232377</xdr:colOff>
      <xdr:row>29</xdr:row>
      <xdr:rowOff>80211</xdr:rowOff>
    </xdr:from>
    <xdr:to>
      <xdr:col>15</xdr:col>
      <xdr:colOff>85596</xdr:colOff>
      <xdr:row>30</xdr:row>
      <xdr:rowOff>96260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FD7A9DB-1931-4596-BB76-4E1486C69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5785" y="5865395"/>
          <a:ext cx="810985" cy="2068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416718</xdr:colOff>
      <xdr:row>0</xdr:row>
      <xdr:rowOff>60496</xdr:rowOff>
    </xdr:from>
    <xdr:to>
      <xdr:col>0</xdr:col>
      <xdr:colOff>2019300</xdr:colOff>
      <xdr:row>0</xdr:row>
      <xdr:rowOff>473918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E9D7ACD-AF9A-42EF-9C4F-31EFF1B4D3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6718" y="60496"/>
          <a:ext cx="1602582" cy="4086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FE5062C-AEAA-4A0F-B6ED-FFACC9DCA08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0.00128</cdr:x>
      <cdr:y>0.17143</cdr:y>
    </cdr:from>
    <cdr:to>
      <cdr:x>0.13483</cdr:x>
      <cdr:y>0.35271</cdr:y>
    </cdr:to>
    <cdr:sp macro="" textlink="">
      <cdr:nvSpPr>
        <cdr:cNvPr id="12" name="Légende : encadrée sans bordure 11">
          <a:extLst xmlns:a="http://schemas.openxmlformats.org/drawingml/2006/main">
            <a:ext uri="{FF2B5EF4-FFF2-40B4-BE49-F238E27FC236}">
              <a16:creationId xmlns:a16="http://schemas.microsoft.com/office/drawing/2014/main" id="{6B9ACDBE-81D4-4A63-BC39-39C66DBE7599}"/>
            </a:ext>
          </a:extLst>
        </cdr:cNvPr>
        <cdr:cNvSpPr/>
      </cdr:nvSpPr>
      <cdr:spPr bwMode="auto">
        <a:xfrm xmlns:a="http://schemas.openxmlformats.org/drawingml/2006/main">
          <a:off x="11907" y="1035846"/>
          <a:ext cx="1238250" cy="1095375"/>
        </a:xfrm>
        <a:prstGeom xmlns:a="http://schemas.openxmlformats.org/drawingml/2006/main" prst="callout1">
          <a:avLst>
            <a:gd name="adj1" fmla="val 27446"/>
            <a:gd name="adj2" fmla="val 90706"/>
            <a:gd name="adj3" fmla="val 27717"/>
            <a:gd name="adj4" fmla="val 106860"/>
          </a:avLst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 cap="flat" cmpd="sng" algn="ctr">
          <a:solidFill>
            <a:schemeClr val="bg1">
              <a:lumMod val="65000"/>
            </a:schemeClr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  <a:extLst xmlns:a="http://schemas.openxmlformats.org/drawingml/2006/main"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pPr algn="ctr"/>
          <a:r>
            <a:rPr lang="fr-FR" sz="11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Average Consumption</a:t>
          </a:r>
        </a:p>
        <a:p xmlns:a="http://schemas.openxmlformats.org/drawingml/2006/main">
          <a:pPr algn="ctr"/>
          <a:r>
            <a:rPr lang="fr-FR" sz="11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Field "I27" of "Calculation Tool" Sheet</a:t>
          </a:r>
        </a:p>
      </cdr:txBody>
    </cdr:sp>
  </cdr:relSizeAnchor>
  <cdr:relSizeAnchor xmlns:cdr="http://schemas.openxmlformats.org/drawingml/2006/chartDrawing">
    <cdr:from>
      <cdr:x>0.54639</cdr:x>
      <cdr:y>0.75961</cdr:y>
    </cdr:from>
    <cdr:to>
      <cdr:x>0.63756</cdr:x>
      <cdr:y>0.76158</cdr:y>
    </cdr:to>
    <cdr:cxnSp macro="">
      <cdr:nvCxnSpPr>
        <cdr:cNvPr id="19" name="Connecteur droit avec flèche 18">
          <a:extLst xmlns:a="http://schemas.openxmlformats.org/drawingml/2006/main">
            <a:ext uri="{FF2B5EF4-FFF2-40B4-BE49-F238E27FC236}">
              <a16:creationId xmlns:a16="http://schemas.microsoft.com/office/drawing/2014/main" id="{71A70835-F18A-4DAA-957C-5B6D94C1FD2F}"/>
            </a:ext>
          </a:extLst>
        </cdr:cNvPr>
        <cdr:cNvCxnSpPr/>
      </cdr:nvCxnSpPr>
      <cdr:spPr bwMode="auto">
        <a:xfrm xmlns:a="http://schemas.openxmlformats.org/drawingml/2006/main">
          <a:off x="5071016" y="4589868"/>
          <a:ext cx="846142" cy="11903"/>
        </a:xfrm>
        <a:prstGeom xmlns:a="http://schemas.openxmlformats.org/drawingml/2006/main" prst="straightConnector1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 cap="flat" cmpd="sng" algn="ctr">
          <a:solidFill>
            <a:srgbClr val="FF0000"/>
          </a:solidFill>
          <a:prstDash val="dash"/>
          <a:round/>
          <a:headEnd type="triangle"/>
          <a:tailEnd type="triangle"/>
        </a:ln>
        <a:effectLst xmlns:a="http://schemas.openxmlformats.org/drawingml/2006/main"/>
        <a:extLst xmlns:a="http://schemas.openxmlformats.org/drawingml/2006/main"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cxnSp>
  </cdr:relSizeAnchor>
  <cdr:relSizeAnchor xmlns:cdr="http://schemas.openxmlformats.org/drawingml/2006/chartDrawing">
    <cdr:from>
      <cdr:x>0.72779</cdr:x>
      <cdr:y>0.76211</cdr:y>
    </cdr:from>
    <cdr:to>
      <cdr:x>0.81896</cdr:x>
      <cdr:y>0.76408</cdr:y>
    </cdr:to>
    <cdr:cxnSp macro="">
      <cdr:nvCxnSpPr>
        <cdr:cNvPr id="24" name="Connecteur droit avec flèche 23">
          <a:extLst xmlns:a="http://schemas.openxmlformats.org/drawingml/2006/main">
            <a:ext uri="{FF2B5EF4-FFF2-40B4-BE49-F238E27FC236}">
              <a16:creationId xmlns:a16="http://schemas.microsoft.com/office/drawing/2014/main" id="{65A66B76-275B-46DA-B833-180CC97D1BB8}"/>
            </a:ext>
          </a:extLst>
        </cdr:cNvPr>
        <cdr:cNvCxnSpPr/>
      </cdr:nvCxnSpPr>
      <cdr:spPr bwMode="auto">
        <a:xfrm xmlns:a="http://schemas.openxmlformats.org/drawingml/2006/main">
          <a:off x="6754535" y="4604973"/>
          <a:ext cx="846142" cy="11903"/>
        </a:xfrm>
        <a:prstGeom xmlns:a="http://schemas.openxmlformats.org/drawingml/2006/main" prst="straightConnector1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 cap="flat" cmpd="sng" algn="ctr">
          <a:solidFill>
            <a:srgbClr val="FF0000"/>
          </a:solidFill>
          <a:prstDash val="dash"/>
          <a:round/>
          <a:headEnd type="triangle"/>
          <a:tailEnd type="triangle"/>
        </a:ln>
        <a:effectLst xmlns:a="http://schemas.openxmlformats.org/drawingml/2006/main"/>
        <a:extLst xmlns:a="http://schemas.openxmlformats.org/drawingml/2006/main"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cxnSp>
  </cdr:relSizeAnchor>
  <cdr:relSizeAnchor xmlns:cdr="http://schemas.openxmlformats.org/drawingml/2006/chartDrawing">
    <cdr:from>
      <cdr:x>0.31974</cdr:x>
      <cdr:y>0.19113</cdr:y>
    </cdr:from>
    <cdr:to>
      <cdr:x>0.90658</cdr:x>
      <cdr:y>0.1931</cdr:y>
    </cdr:to>
    <cdr:cxnSp macro="">
      <cdr:nvCxnSpPr>
        <cdr:cNvPr id="25" name="Connecteur droit avec flèche 24">
          <a:extLst xmlns:a="http://schemas.openxmlformats.org/drawingml/2006/main">
            <a:ext uri="{FF2B5EF4-FFF2-40B4-BE49-F238E27FC236}">
              <a16:creationId xmlns:a16="http://schemas.microsoft.com/office/drawing/2014/main" id="{214B6EAA-8064-468F-9199-DF97FC11358C}"/>
            </a:ext>
          </a:extLst>
        </cdr:cNvPr>
        <cdr:cNvCxnSpPr/>
      </cdr:nvCxnSpPr>
      <cdr:spPr bwMode="auto">
        <a:xfrm xmlns:a="http://schemas.openxmlformats.org/drawingml/2006/main">
          <a:off x="2967482" y="1154909"/>
          <a:ext cx="5446416" cy="11903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1F497D"/>
          </a:solidFill>
          <a:headEnd type="triangle"/>
          <a:tailEnd type="triangle"/>
        </a:ln>
        <a:ex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0.44045</cdr:x>
      <cdr:y>0.14975</cdr:y>
    </cdr:from>
    <cdr:to>
      <cdr:x>0.80642</cdr:x>
      <cdr:y>0.19113</cdr:y>
    </cdr:to>
    <cdr:sp macro="" textlink="">
      <cdr:nvSpPr>
        <cdr:cNvPr id="30" name="ZoneTexte 29">
          <a:extLst xmlns:a="http://schemas.openxmlformats.org/drawingml/2006/main">
            <a:ext uri="{FF2B5EF4-FFF2-40B4-BE49-F238E27FC236}">
              <a16:creationId xmlns:a16="http://schemas.microsoft.com/office/drawing/2014/main" id="{0E868A8E-29A5-442A-8FA6-CFDAD0BBAB74}"/>
            </a:ext>
          </a:extLst>
        </cdr:cNvPr>
        <cdr:cNvSpPr txBox="1"/>
      </cdr:nvSpPr>
      <cdr:spPr>
        <a:xfrm xmlns:a="http://schemas.openxmlformats.org/drawingml/2006/main">
          <a:off x="4087782" y="904873"/>
          <a:ext cx="3396539" cy="2500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fr-FR" sz="1100" b="1">
              <a:solidFill>
                <a:srgbClr val="1F497D"/>
              </a:solidFill>
            </a:rPr>
            <a:t>Life duration - Field "G69" of "Request" Sheet</a:t>
          </a:r>
        </a:p>
      </cdr:txBody>
    </cdr:sp>
  </cdr:relSizeAnchor>
  <cdr:relSizeAnchor xmlns:cdr="http://schemas.openxmlformats.org/drawingml/2006/chartDrawing">
    <cdr:from>
      <cdr:x>0</cdr:x>
      <cdr:y>0.61281</cdr:y>
    </cdr:from>
    <cdr:to>
      <cdr:x>0.13406</cdr:x>
      <cdr:y>0.72709</cdr:y>
    </cdr:to>
    <cdr:sp macro="" textlink="">
      <cdr:nvSpPr>
        <cdr:cNvPr id="2" name="Légende : encadrée sans bordure 1">
          <a:extLst xmlns:a="http://schemas.openxmlformats.org/drawingml/2006/main">
            <a:ext uri="{FF2B5EF4-FFF2-40B4-BE49-F238E27FC236}">
              <a16:creationId xmlns:a16="http://schemas.microsoft.com/office/drawing/2014/main" id="{F0194B6F-64DC-4A7B-9828-CF9BB013B4EC}"/>
            </a:ext>
          </a:extLst>
        </cdr:cNvPr>
        <cdr:cNvSpPr/>
      </cdr:nvSpPr>
      <cdr:spPr bwMode="auto">
        <a:xfrm xmlns:a="http://schemas.openxmlformats.org/drawingml/2006/main">
          <a:off x="0" y="3702846"/>
          <a:ext cx="1244203" cy="690562"/>
        </a:xfrm>
        <a:prstGeom xmlns:a="http://schemas.openxmlformats.org/drawingml/2006/main" prst="callout1">
          <a:avLst>
            <a:gd name="adj1" fmla="val 55893"/>
            <a:gd name="adj2" fmla="val 97917"/>
            <a:gd name="adj3" fmla="val 55357"/>
            <a:gd name="adj4" fmla="val 106494"/>
          </a:avLst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 cap="flat" cmpd="sng" algn="ctr">
          <a:solidFill>
            <a:schemeClr val="bg1">
              <a:lumMod val="65000"/>
            </a:schemeClr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  <a:extLst xmlns:a="http://schemas.openxmlformats.org/drawingml/2006/main"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pPr algn="ctr"/>
          <a:r>
            <a:rPr lang="fr-FR" sz="11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Consumption during Storage</a:t>
          </a:r>
        </a:p>
        <a:p xmlns:a="http://schemas.openxmlformats.org/drawingml/2006/main">
          <a:pPr algn="ctr"/>
          <a:r>
            <a:rPr lang="fr-FR" sz="11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Field "D82" of "Request" Sheet</a:t>
          </a:r>
        </a:p>
      </cdr:txBody>
    </cdr:sp>
  </cdr:relSizeAnchor>
  <cdr:relSizeAnchor xmlns:cdr="http://schemas.openxmlformats.org/drawingml/2006/chartDrawing">
    <cdr:from>
      <cdr:x>0.14881</cdr:x>
      <cdr:y>0.87094</cdr:y>
    </cdr:from>
    <cdr:to>
      <cdr:x>0.22579</cdr:x>
      <cdr:y>0.94581</cdr:y>
    </cdr:to>
    <cdr:sp macro="" textlink="">
      <cdr:nvSpPr>
        <cdr:cNvPr id="3" name="Légende : encadrée sans bordure 2">
          <a:extLst xmlns:a="http://schemas.openxmlformats.org/drawingml/2006/main">
            <a:ext uri="{FF2B5EF4-FFF2-40B4-BE49-F238E27FC236}">
              <a16:creationId xmlns:a16="http://schemas.microsoft.com/office/drawing/2014/main" id="{CF222E4F-A6F7-48AA-B79F-053780F6FA52}"/>
            </a:ext>
          </a:extLst>
        </cdr:cNvPr>
        <cdr:cNvSpPr/>
      </cdr:nvSpPr>
      <cdr:spPr bwMode="auto">
        <a:xfrm xmlns:a="http://schemas.openxmlformats.org/drawingml/2006/main">
          <a:off x="1381125" y="5262562"/>
          <a:ext cx="714375" cy="452437"/>
        </a:xfrm>
        <a:prstGeom xmlns:a="http://schemas.openxmlformats.org/drawingml/2006/main" prst="callout1">
          <a:avLst>
            <a:gd name="adj1" fmla="val -7566"/>
            <a:gd name="adj2" fmla="val 50000"/>
            <a:gd name="adj3" fmla="val -53289"/>
            <a:gd name="adj4" fmla="val 50000"/>
          </a:avLst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 cap="flat" cmpd="sng" algn="ctr">
          <a:solidFill>
            <a:schemeClr val="bg1">
              <a:lumMod val="65000"/>
            </a:schemeClr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  <a:extLst xmlns:a="http://schemas.openxmlformats.org/drawingml/2006/main"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pPr marL="0" indent="0" algn="ctr"/>
          <a:r>
            <a:rPr lang="fr-FR" sz="11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Battery</a:t>
          </a:r>
        </a:p>
        <a:p xmlns:a="http://schemas.openxmlformats.org/drawingml/2006/main">
          <a:pPr marL="0" indent="0" algn="ctr"/>
          <a:r>
            <a:rPr lang="fr-FR" sz="11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Incoming</a:t>
          </a:r>
        </a:p>
      </cdr:txBody>
    </cdr:sp>
  </cdr:relSizeAnchor>
  <cdr:relSizeAnchor xmlns:cdr="http://schemas.openxmlformats.org/drawingml/2006/chartDrawing">
    <cdr:from>
      <cdr:x>0.27873</cdr:x>
      <cdr:y>0.87146</cdr:y>
    </cdr:from>
    <cdr:to>
      <cdr:x>0.36434</cdr:x>
      <cdr:y>0.94634</cdr:y>
    </cdr:to>
    <cdr:sp macro="" textlink="">
      <cdr:nvSpPr>
        <cdr:cNvPr id="9" name="Légende : encadrée sans bordure 8">
          <a:extLst xmlns:a="http://schemas.openxmlformats.org/drawingml/2006/main">
            <a:ext uri="{FF2B5EF4-FFF2-40B4-BE49-F238E27FC236}">
              <a16:creationId xmlns:a16="http://schemas.microsoft.com/office/drawing/2014/main" id="{4E4E13CF-F6F6-4307-BF31-BAB179AAB586}"/>
            </a:ext>
          </a:extLst>
        </cdr:cNvPr>
        <cdr:cNvSpPr/>
      </cdr:nvSpPr>
      <cdr:spPr bwMode="auto">
        <a:xfrm xmlns:a="http://schemas.openxmlformats.org/drawingml/2006/main">
          <a:off x="2586831" y="5265737"/>
          <a:ext cx="794544" cy="452437"/>
        </a:xfrm>
        <a:prstGeom xmlns:a="http://schemas.openxmlformats.org/drawingml/2006/main" prst="callout1">
          <a:avLst>
            <a:gd name="adj1" fmla="val -7566"/>
            <a:gd name="adj2" fmla="val 50000"/>
            <a:gd name="adj3" fmla="val -53289"/>
            <a:gd name="adj4" fmla="val 50000"/>
          </a:avLst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 cap="flat" cmpd="sng" algn="ctr">
          <a:solidFill>
            <a:schemeClr val="bg1">
              <a:lumMod val="65000"/>
            </a:schemeClr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  <a:extLst xmlns:a="http://schemas.openxmlformats.org/drawingml/2006/main"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r>
            <a:rPr lang="fr-FR" sz="11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Installation in the Device</a:t>
          </a:r>
        </a:p>
      </cdr:txBody>
    </cdr:sp>
  </cdr:relSizeAnchor>
  <cdr:relSizeAnchor xmlns:cdr="http://schemas.openxmlformats.org/drawingml/2006/chartDrawing">
    <cdr:from>
      <cdr:x>0.41471</cdr:x>
      <cdr:y>0.87146</cdr:y>
    </cdr:from>
    <cdr:to>
      <cdr:x>0.50032</cdr:x>
      <cdr:y>0.94634</cdr:y>
    </cdr:to>
    <cdr:sp macro="" textlink="">
      <cdr:nvSpPr>
        <cdr:cNvPr id="10" name="Légende : encadrée sans bordure 9">
          <a:extLst xmlns:a="http://schemas.openxmlformats.org/drawingml/2006/main">
            <a:ext uri="{FF2B5EF4-FFF2-40B4-BE49-F238E27FC236}">
              <a16:creationId xmlns:a16="http://schemas.microsoft.com/office/drawing/2014/main" id="{BE549C35-9A28-4A5B-95B6-0924C7DD7FE3}"/>
            </a:ext>
          </a:extLst>
        </cdr:cNvPr>
        <cdr:cNvSpPr/>
      </cdr:nvSpPr>
      <cdr:spPr bwMode="auto">
        <a:xfrm xmlns:a="http://schemas.openxmlformats.org/drawingml/2006/main">
          <a:off x="3848894" y="5265737"/>
          <a:ext cx="794544" cy="452437"/>
        </a:xfrm>
        <a:prstGeom xmlns:a="http://schemas.openxmlformats.org/drawingml/2006/main" prst="callout1">
          <a:avLst>
            <a:gd name="adj1" fmla="val -7566"/>
            <a:gd name="adj2" fmla="val 50000"/>
            <a:gd name="adj3" fmla="val -53289"/>
            <a:gd name="adj4" fmla="val 50000"/>
          </a:avLst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 cap="flat" cmpd="sng" algn="ctr">
          <a:solidFill>
            <a:schemeClr val="bg1">
              <a:lumMod val="65000"/>
            </a:schemeClr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  <a:extLst xmlns:a="http://schemas.openxmlformats.org/drawingml/2006/main"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r>
            <a:rPr lang="fr-FR" sz="11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Device</a:t>
          </a:r>
        </a:p>
        <a:p xmlns:a="http://schemas.openxmlformats.org/drawingml/2006/main">
          <a:pPr marL="0" indent="0" algn="ctr"/>
          <a:r>
            <a:rPr lang="fr-FR" sz="11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ON</a:t>
          </a:r>
        </a:p>
      </cdr:txBody>
    </cdr:sp>
  </cdr:relSizeAnchor>
  <cdr:relSizeAnchor xmlns:cdr="http://schemas.openxmlformats.org/drawingml/2006/chartDrawing">
    <cdr:from>
      <cdr:x>0.86372</cdr:x>
      <cdr:y>0.86752</cdr:y>
    </cdr:from>
    <cdr:to>
      <cdr:x>0.94933</cdr:x>
      <cdr:y>0.9424</cdr:y>
    </cdr:to>
    <cdr:sp macro="" textlink="">
      <cdr:nvSpPr>
        <cdr:cNvPr id="11" name="Légende : encadrée sans bordure 10">
          <a:extLst xmlns:a="http://schemas.openxmlformats.org/drawingml/2006/main">
            <a:ext uri="{FF2B5EF4-FFF2-40B4-BE49-F238E27FC236}">
              <a16:creationId xmlns:a16="http://schemas.microsoft.com/office/drawing/2014/main" id="{BE549C35-9A28-4A5B-95B6-0924C7DD7FE3}"/>
            </a:ext>
          </a:extLst>
        </cdr:cNvPr>
        <cdr:cNvSpPr/>
      </cdr:nvSpPr>
      <cdr:spPr bwMode="auto">
        <a:xfrm xmlns:a="http://schemas.openxmlformats.org/drawingml/2006/main">
          <a:off x="8016081" y="5241926"/>
          <a:ext cx="794544" cy="452437"/>
        </a:xfrm>
        <a:prstGeom xmlns:a="http://schemas.openxmlformats.org/drawingml/2006/main" prst="callout1">
          <a:avLst>
            <a:gd name="adj1" fmla="val -7566"/>
            <a:gd name="adj2" fmla="val 50000"/>
            <a:gd name="adj3" fmla="val -53289"/>
            <a:gd name="adj4" fmla="val 50000"/>
          </a:avLst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 cap="flat" cmpd="sng" algn="ctr">
          <a:solidFill>
            <a:schemeClr val="bg1">
              <a:lumMod val="65000"/>
            </a:schemeClr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  <a:extLst xmlns:a="http://schemas.openxmlformats.org/drawingml/2006/main"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r>
            <a:rPr lang="fr-FR" sz="11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Battery</a:t>
          </a:r>
        </a:p>
        <a:p xmlns:a="http://schemas.openxmlformats.org/drawingml/2006/main">
          <a:pPr marL="0" indent="0" algn="ctr"/>
          <a:r>
            <a:rPr lang="fr-FR" sz="11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Replacement</a:t>
          </a:r>
        </a:p>
      </cdr:txBody>
    </cdr:sp>
  </cdr:relSizeAnchor>
  <cdr:relSizeAnchor xmlns:cdr="http://schemas.openxmlformats.org/drawingml/2006/chartDrawing">
    <cdr:from>
      <cdr:x>0.5539</cdr:x>
      <cdr:y>0.69905</cdr:y>
    </cdr:from>
    <cdr:to>
      <cdr:x>0.63088</cdr:x>
      <cdr:y>0.77392</cdr:y>
    </cdr:to>
    <cdr:sp macro="" textlink="">
      <cdr:nvSpPr>
        <cdr:cNvPr id="13" name="Légende : encadrée sans bordure 12">
          <a:extLst xmlns:a="http://schemas.openxmlformats.org/drawingml/2006/main">
            <a:ext uri="{FF2B5EF4-FFF2-40B4-BE49-F238E27FC236}">
              <a16:creationId xmlns:a16="http://schemas.microsoft.com/office/drawing/2014/main" id="{B8E644D2-0DB3-49DC-AB06-6CBC5C17331F}"/>
            </a:ext>
          </a:extLst>
        </cdr:cNvPr>
        <cdr:cNvSpPr/>
      </cdr:nvSpPr>
      <cdr:spPr bwMode="auto">
        <a:xfrm xmlns:a="http://schemas.openxmlformats.org/drawingml/2006/main">
          <a:off x="5140722" y="4223939"/>
          <a:ext cx="714445" cy="452396"/>
        </a:xfrm>
        <a:prstGeom xmlns:a="http://schemas.openxmlformats.org/drawingml/2006/main" prst="callout1">
          <a:avLst>
            <a:gd name="adj1" fmla="val -7566"/>
            <a:gd name="adj2" fmla="val 50000"/>
            <a:gd name="adj3" fmla="val -53289"/>
            <a:gd name="adj4" fmla="val 50000"/>
          </a:avLst>
        </a:prstGeom>
        <a:noFill xmlns:a="http://schemas.openxmlformats.org/drawingml/2006/main"/>
        <a:ln xmlns:a="http://schemas.openxmlformats.org/drawingml/2006/main" w="9525" cap="flat" cmpd="sng" algn="ctr">
          <a:noFill/>
          <a:prstDash val="solid"/>
          <a:round/>
          <a:headEnd type="none" w="med" len="med"/>
          <a:tailEnd type="none" w="med" len="med"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r>
            <a:rPr lang="fr-FR" sz="11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Battery</a:t>
          </a:r>
        </a:p>
        <a:p xmlns:a="http://schemas.openxmlformats.org/drawingml/2006/main">
          <a:pPr marL="0" indent="0" algn="ctr"/>
          <a:r>
            <a:rPr lang="fr-FR" sz="11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Charge</a:t>
          </a:r>
        </a:p>
      </cdr:txBody>
    </cdr:sp>
  </cdr:relSizeAnchor>
  <cdr:relSizeAnchor xmlns:cdr="http://schemas.openxmlformats.org/drawingml/2006/chartDrawing">
    <cdr:from>
      <cdr:x>0.4567</cdr:x>
      <cdr:y>0.32808</cdr:y>
    </cdr:from>
    <cdr:to>
      <cdr:x>0.54586</cdr:x>
      <cdr:y>0.32906</cdr:y>
    </cdr:to>
    <cdr:cxnSp macro="">
      <cdr:nvCxnSpPr>
        <cdr:cNvPr id="5" name="Connecteur droit avec flèche 4">
          <a:extLst xmlns:a="http://schemas.openxmlformats.org/drawingml/2006/main">
            <a:ext uri="{FF2B5EF4-FFF2-40B4-BE49-F238E27FC236}">
              <a16:creationId xmlns:a16="http://schemas.microsoft.com/office/drawing/2014/main" id="{A4B99F07-73BD-4E32-AEC7-698FB43E938B}"/>
            </a:ext>
          </a:extLst>
        </cdr:cNvPr>
        <cdr:cNvCxnSpPr/>
      </cdr:nvCxnSpPr>
      <cdr:spPr bwMode="auto">
        <a:xfrm xmlns:a="http://schemas.openxmlformats.org/drawingml/2006/main" flipV="1">
          <a:off x="4238625" y="1982391"/>
          <a:ext cx="827484" cy="5953"/>
        </a:xfrm>
        <a:prstGeom xmlns:a="http://schemas.openxmlformats.org/drawingml/2006/main" prst="straightConnector1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 cap="flat" cmpd="sng" algn="ctr">
          <a:solidFill>
            <a:schemeClr val="accent1"/>
          </a:solidFill>
          <a:prstDash val="dash"/>
          <a:round/>
          <a:headEnd type="triangle"/>
          <a:tailEnd type="triangle"/>
        </a:ln>
        <a:effectLst xmlns:a="http://schemas.openxmlformats.org/drawingml/2006/main"/>
        <a:extLst xmlns:a="http://schemas.openxmlformats.org/drawingml/2006/main"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cxnSp>
  </cdr:relSizeAnchor>
  <cdr:relSizeAnchor xmlns:cdr="http://schemas.openxmlformats.org/drawingml/2006/chartDrawing">
    <cdr:from>
      <cdr:x>0.63536</cdr:x>
      <cdr:y>0.32762</cdr:y>
    </cdr:from>
    <cdr:to>
      <cdr:x>0.72452</cdr:x>
      <cdr:y>0.3286</cdr:y>
    </cdr:to>
    <cdr:cxnSp macro="">
      <cdr:nvCxnSpPr>
        <cdr:cNvPr id="20" name="Connecteur droit avec flèche 19">
          <a:extLst xmlns:a="http://schemas.openxmlformats.org/drawingml/2006/main">
            <a:ext uri="{FF2B5EF4-FFF2-40B4-BE49-F238E27FC236}">
              <a16:creationId xmlns:a16="http://schemas.microsoft.com/office/drawing/2014/main" id="{27DF21CF-F468-476B-8843-6C8F4C2D5ABE}"/>
            </a:ext>
          </a:extLst>
        </cdr:cNvPr>
        <cdr:cNvCxnSpPr/>
      </cdr:nvCxnSpPr>
      <cdr:spPr bwMode="auto">
        <a:xfrm xmlns:a="http://schemas.openxmlformats.org/drawingml/2006/main" flipV="1">
          <a:off x="5896768" y="1979613"/>
          <a:ext cx="827484" cy="5953"/>
        </a:xfrm>
        <a:prstGeom xmlns:a="http://schemas.openxmlformats.org/drawingml/2006/main" prst="straightConnector1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 cap="flat" cmpd="sng" algn="ctr">
          <a:solidFill>
            <a:schemeClr val="accent1"/>
          </a:solidFill>
          <a:prstDash val="dash"/>
          <a:round/>
          <a:headEnd type="triangle"/>
          <a:tailEnd type="triangle"/>
        </a:ln>
        <a:effectLst xmlns:a="http://schemas.openxmlformats.org/drawingml/2006/main"/>
        <a:extLst xmlns:a="http://schemas.openxmlformats.org/drawingml/2006/main"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cxnSp>
  </cdr:relSizeAnchor>
  <cdr:relSizeAnchor xmlns:cdr="http://schemas.openxmlformats.org/drawingml/2006/chartDrawing">
    <cdr:from>
      <cdr:x>0.81753</cdr:x>
      <cdr:y>0.3286</cdr:y>
    </cdr:from>
    <cdr:to>
      <cdr:x>0.90669</cdr:x>
      <cdr:y>0.32959</cdr:y>
    </cdr:to>
    <cdr:cxnSp macro="">
      <cdr:nvCxnSpPr>
        <cdr:cNvPr id="21" name="Connecteur droit avec flèche 20">
          <a:extLst xmlns:a="http://schemas.openxmlformats.org/drawingml/2006/main">
            <a:ext uri="{FF2B5EF4-FFF2-40B4-BE49-F238E27FC236}">
              <a16:creationId xmlns:a16="http://schemas.microsoft.com/office/drawing/2014/main" id="{27DF21CF-F468-476B-8843-6C8F4C2D5ABE}"/>
            </a:ext>
          </a:extLst>
        </cdr:cNvPr>
        <cdr:cNvCxnSpPr/>
      </cdr:nvCxnSpPr>
      <cdr:spPr bwMode="auto">
        <a:xfrm xmlns:a="http://schemas.openxmlformats.org/drawingml/2006/main" flipV="1">
          <a:off x="7587456" y="1985565"/>
          <a:ext cx="827484" cy="5953"/>
        </a:xfrm>
        <a:prstGeom xmlns:a="http://schemas.openxmlformats.org/drawingml/2006/main" prst="straightConnector1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 cap="flat" cmpd="sng" algn="ctr">
          <a:solidFill>
            <a:schemeClr val="accent1"/>
          </a:solidFill>
          <a:prstDash val="dash"/>
          <a:round/>
          <a:headEnd type="triangle"/>
          <a:tailEnd type="triangle"/>
        </a:ln>
        <a:effectLst xmlns:a="http://schemas.openxmlformats.org/drawingml/2006/main"/>
        <a:extLst xmlns:a="http://schemas.openxmlformats.org/drawingml/2006/main"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cxnSp>
  </cdr:relSizeAnchor>
  <cdr:relSizeAnchor xmlns:cdr="http://schemas.openxmlformats.org/drawingml/2006/chartDrawing">
    <cdr:from>
      <cdr:x>0.45897</cdr:x>
      <cdr:y>0.30102</cdr:y>
    </cdr:from>
    <cdr:to>
      <cdr:x>0.54266</cdr:x>
      <cdr:y>0.42956</cdr:y>
    </cdr:to>
    <cdr:sp macro="" textlink="">
      <cdr:nvSpPr>
        <cdr:cNvPr id="22" name="Légende : encadrée sans bordure 21">
          <a:extLst xmlns:a="http://schemas.openxmlformats.org/drawingml/2006/main">
            <a:ext uri="{FF2B5EF4-FFF2-40B4-BE49-F238E27FC236}">
              <a16:creationId xmlns:a16="http://schemas.microsoft.com/office/drawing/2014/main" id="{EC7EC450-1B25-43AC-9EDD-599B2490814F}"/>
            </a:ext>
          </a:extLst>
        </cdr:cNvPr>
        <cdr:cNvSpPr/>
      </cdr:nvSpPr>
      <cdr:spPr bwMode="auto">
        <a:xfrm xmlns:a="http://schemas.openxmlformats.org/drawingml/2006/main">
          <a:off x="4259660" y="1818877"/>
          <a:ext cx="776684" cy="776685"/>
        </a:xfrm>
        <a:prstGeom xmlns:a="http://schemas.openxmlformats.org/drawingml/2006/main" prst="callout1">
          <a:avLst>
            <a:gd name="adj1" fmla="val -7566"/>
            <a:gd name="adj2" fmla="val 50000"/>
            <a:gd name="adj3" fmla="val -53289"/>
            <a:gd name="adj4" fmla="val 50000"/>
          </a:avLst>
        </a:prstGeom>
        <a:noFill xmlns:a="http://schemas.openxmlformats.org/drawingml/2006/main"/>
        <a:ln xmlns:a="http://schemas.openxmlformats.org/drawingml/2006/main" w="9525" cap="flat" cmpd="sng" algn="ctr">
          <a:noFill/>
          <a:prstDash val="solid"/>
          <a:round/>
          <a:headEnd type="none" w="med" len="med"/>
          <a:tailEnd type="none" w="med" len="med"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r>
            <a:rPr lang="fr-FR" sz="11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Autonomy</a:t>
          </a:r>
        </a:p>
        <a:p xmlns:a="http://schemas.openxmlformats.org/drawingml/2006/main">
          <a:pPr marL="0" indent="0" algn="ctr"/>
          <a:r>
            <a:rPr lang="fr-FR" sz="11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Field "G71" of "Request" Sheet</a:t>
          </a:r>
        </a:p>
      </cdr:txBody>
    </cdr:sp>
  </cdr:relSizeAnchor>
  <cdr:relSizeAnchor xmlns:cdr="http://schemas.openxmlformats.org/drawingml/2006/chartDrawing">
    <cdr:from>
      <cdr:x>0.4567</cdr:x>
      <cdr:y>0.24289</cdr:y>
    </cdr:from>
    <cdr:to>
      <cdr:x>0.90598</cdr:x>
      <cdr:y>0.24532</cdr:y>
    </cdr:to>
    <cdr:cxnSp macro="">
      <cdr:nvCxnSpPr>
        <cdr:cNvPr id="27" name="Connecteur droit avec flèche 26">
          <a:extLst xmlns:a="http://schemas.openxmlformats.org/drawingml/2006/main">
            <a:ext uri="{FF2B5EF4-FFF2-40B4-BE49-F238E27FC236}">
              <a16:creationId xmlns:a16="http://schemas.microsoft.com/office/drawing/2014/main" id="{FA862C1A-E83B-4052-9616-BFEDDE9CBB00}"/>
            </a:ext>
          </a:extLst>
        </cdr:cNvPr>
        <cdr:cNvCxnSpPr/>
      </cdr:nvCxnSpPr>
      <cdr:spPr bwMode="auto">
        <a:xfrm xmlns:a="http://schemas.openxmlformats.org/drawingml/2006/main" flipV="1">
          <a:off x="4238625" y="1467641"/>
          <a:ext cx="4169669" cy="14688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1F497D"/>
          </a:solidFill>
          <a:headEnd type="triangle"/>
          <a:tailEnd type="triangle"/>
        </a:ln>
        <a:ex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0.50259</cdr:x>
      <cdr:y>0.20447</cdr:y>
    </cdr:from>
    <cdr:to>
      <cdr:x>0.86856</cdr:x>
      <cdr:y>0.24585</cdr:y>
    </cdr:to>
    <cdr:sp macro="" textlink="">
      <cdr:nvSpPr>
        <cdr:cNvPr id="28" name="ZoneTexte 1">
          <a:extLst xmlns:a="http://schemas.openxmlformats.org/drawingml/2006/main">
            <a:ext uri="{FF2B5EF4-FFF2-40B4-BE49-F238E27FC236}">
              <a16:creationId xmlns:a16="http://schemas.microsoft.com/office/drawing/2014/main" id="{C642374B-13AE-406B-8B2C-7304329C76F2}"/>
            </a:ext>
          </a:extLst>
        </cdr:cNvPr>
        <cdr:cNvSpPr txBox="1"/>
      </cdr:nvSpPr>
      <cdr:spPr>
        <a:xfrm xmlns:a="http://schemas.openxmlformats.org/drawingml/2006/main">
          <a:off x="4664472" y="1235473"/>
          <a:ext cx="3396539" cy="2500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100" b="1">
              <a:solidFill>
                <a:srgbClr val="1F497D"/>
              </a:solidFill>
            </a:rPr>
            <a:t>Autonomy</a:t>
          </a:r>
          <a:r>
            <a:rPr lang="fr-FR" sz="11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 (for Primary) </a:t>
          </a:r>
          <a:r>
            <a:rPr lang="fr-FR" sz="1100" b="1">
              <a:solidFill>
                <a:srgbClr val="1F497D"/>
              </a:solidFill>
            </a:rPr>
            <a:t>- Field "G71" of "Request" </a:t>
          </a:r>
          <a:r>
            <a:rPr lang="fr-FR" sz="1100" b="1">
              <a:solidFill>
                <a:srgbClr val="1F497D"/>
              </a:solidFill>
              <a:latin typeface="+mn-lt"/>
              <a:ea typeface="+mn-ea"/>
              <a:cs typeface="+mn-cs"/>
            </a:rPr>
            <a:t>Sheet</a:t>
          </a:r>
        </a:p>
      </cdr:txBody>
    </cdr:sp>
  </cdr:relSizeAnchor>
  <cdr:relSizeAnchor xmlns:cdr="http://schemas.openxmlformats.org/drawingml/2006/chartDrawing">
    <cdr:from>
      <cdr:x>0.18409</cdr:x>
      <cdr:y>0.75764</cdr:y>
    </cdr:from>
    <cdr:to>
      <cdr:x>0.32072</cdr:x>
      <cdr:y>0.75862</cdr:y>
    </cdr:to>
    <cdr:cxnSp macro="">
      <cdr:nvCxnSpPr>
        <cdr:cNvPr id="8" name="Connecteur droit avec flèche 7">
          <a:extLst xmlns:a="http://schemas.openxmlformats.org/drawingml/2006/main">
            <a:ext uri="{FF2B5EF4-FFF2-40B4-BE49-F238E27FC236}">
              <a16:creationId xmlns:a16="http://schemas.microsoft.com/office/drawing/2014/main" id="{91228589-0E84-4BAC-AE3D-E4F18CD58FB3}"/>
            </a:ext>
          </a:extLst>
        </cdr:cNvPr>
        <cdr:cNvCxnSpPr/>
      </cdr:nvCxnSpPr>
      <cdr:spPr bwMode="auto">
        <a:xfrm xmlns:a="http://schemas.openxmlformats.org/drawingml/2006/main" flipV="1">
          <a:off x="1708547" y="4577953"/>
          <a:ext cx="1268016" cy="5953"/>
        </a:xfrm>
        <a:prstGeom xmlns:a="http://schemas.openxmlformats.org/drawingml/2006/main" prst="straightConnector1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 cap="flat" cmpd="sng" algn="ctr">
          <a:solidFill>
            <a:schemeClr val="bg1">
              <a:lumMod val="50000"/>
            </a:schemeClr>
          </a:solidFill>
          <a:prstDash val="sysDot"/>
          <a:round/>
          <a:headEnd type="triangle"/>
          <a:tailEnd type="triangle"/>
        </a:ln>
        <a:effectLst xmlns:a="http://schemas.openxmlformats.org/drawingml/2006/main"/>
        <a:extLst xmlns:a="http://schemas.openxmlformats.org/drawingml/2006/main"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cxnSp>
  </cdr:relSizeAnchor>
  <cdr:relSizeAnchor xmlns:cdr="http://schemas.openxmlformats.org/drawingml/2006/chartDrawing">
    <cdr:from>
      <cdr:x>0.32042</cdr:x>
      <cdr:y>0.75521</cdr:y>
    </cdr:from>
    <cdr:to>
      <cdr:x>0.45705</cdr:x>
      <cdr:y>0.75619</cdr:y>
    </cdr:to>
    <cdr:cxnSp macro="">
      <cdr:nvCxnSpPr>
        <cdr:cNvPr id="29" name="Connecteur droit avec flèche 28">
          <a:extLst xmlns:a="http://schemas.openxmlformats.org/drawingml/2006/main">
            <a:ext uri="{FF2B5EF4-FFF2-40B4-BE49-F238E27FC236}">
              <a16:creationId xmlns:a16="http://schemas.microsoft.com/office/drawing/2014/main" id="{6CAD0B5B-AFCC-40B7-9B94-B17302F41D37}"/>
            </a:ext>
          </a:extLst>
        </cdr:cNvPr>
        <cdr:cNvCxnSpPr/>
      </cdr:nvCxnSpPr>
      <cdr:spPr bwMode="auto">
        <a:xfrm xmlns:a="http://schemas.openxmlformats.org/drawingml/2006/main" flipV="1">
          <a:off x="2973784" y="4563269"/>
          <a:ext cx="1268016" cy="5953"/>
        </a:xfrm>
        <a:prstGeom xmlns:a="http://schemas.openxmlformats.org/drawingml/2006/main" prst="straightConnector1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 cap="flat" cmpd="sng" algn="ctr">
          <a:solidFill>
            <a:schemeClr val="bg1">
              <a:lumMod val="50000"/>
            </a:schemeClr>
          </a:solidFill>
          <a:prstDash val="sysDot"/>
          <a:round/>
          <a:headEnd type="triangle"/>
          <a:tailEnd type="triangle"/>
        </a:ln>
        <a:effectLst xmlns:a="http://schemas.openxmlformats.org/drawingml/2006/main"/>
        <a:extLst xmlns:a="http://schemas.openxmlformats.org/drawingml/2006/main"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cxnSp>
  </cdr:relSizeAnchor>
  <cdr:relSizeAnchor xmlns:cdr="http://schemas.openxmlformats.org/drawingml/2006/chartDrawing">
    <cdr:from>
      <cdr:x>0.33389</cdr:x>
      <cdr:y>0.72762</cdr:y>
    </cdr:from>
    <cdr:to>
      <cdr:x>0.44452</cdr:x>
      <cdr:y>0.81576</cdr:y>
    </cdr:to>
    <cdr:sp macro="" textlink="">
      <cdr:nvSpPr>
        <cdr:cNvPr id="31" name="Légende : encadrée sans bordure 30">
          <a:extLst xmlns:a="http://schemas.openxmlformats.org/drawingml/2006/main">
            <a:ext uri="{FF2B5EF4-FFF2-40B4-BE49-F238E27FC236}">
              <a16:creationId xmlns:a16="http://schemas.microsoft.com/office/drawing/2014/main" id="{4EF1443E-B4DB-4FC1-A8B4-9C9E52EB7C00}"/>
            </a:ext>
          </a:extLst>
        </cdr:cNvPr>
        <cdr:cNvSpPr/>
      </cdr:nvSpPr>
      <cdr:spPr bwMode="auto">
        <a:xfrm xmlns:a="http://schemas.openxmlformats.org/drawingml/2006/main">
          <a:off x="3098800" y="4396582"/>
          <a:ext cx="1026716" cy="532606"/>
        </a:xfrm>
        <a:prstGeom xmlns:a="http://schemas.openxmlformats.org/drawingml/2006/main" prst="callout1">
          <a:avLst>
            <a:gd name="adj1" fmla="val -7566"/>
            <a:gd name="adj2" fmla="val 50000"/>
            <a:gd name="adj3" fmla="val -53289"/>
            <a:gd name="adj4" fmla="val 50000"/>
          </a:avLst>
        </a:prstGeom>
        <a:noFill xmlns:a="http://schemas.openxmlformats.org/drawingml/2006/main"/>
        <a:ln xmlns:a="http://schemas.openxmlformats.org/drawingml/2006/main" w="9525" cap="flat" cmpd="sng" algn="ctr">
          <a:noFill/>
          <a:prstDash val="solid"/>
          <a:round/>
          <a:headEnd type="none" w="med" len="med"/>
          <a:tailEnd type="none" w="med" len="med"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r>
            <a:rPr lang="fr-FR" sz="11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Storage Duration</a:t>
          </a:r>
        </a:p>
        <a:p xmlns:a="http://schemas.openxmlformats.org/drawingml/2006/main">
          <a:pPr marL="0" indent="0" algn="ctr"/>
          <a:r>
            <a:rPr lang="fr-FR" sz="11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Field "F82" of "Request" Sheet</a:t>
          </a:r>
        </a:p>
      </cdr:txBody>
    </cdr:sp>
  </cdr:relSizeAnchor>
  <cdr:relSizeAnchor xmlns:cdr="http://schemas.openxmlformats.org/drawingml/2006/chartDrawing">
    <cdr:from>
      <cdr:x>0.19341</cdr:x>
      <cdr:y>0.73057</cdr:y>
    </cdr:from>
    <cdr:to>
      <cdr:x>0.30404</cdr:x>
      <cdr:y>0.81872</cdr:y>
    </cdr:to>
    <cdr:sp macro="" textlink="">
      <cdr:nvSpPr>
        <cdr:cNvPr id="32" name="Légende : encadrée sans bordure 31">
          <a:extLst xmlns:a="http://schemas.openxmlformats.org/drawingml/2006/main">
            <a:ext uri="{FF2B5EF4-FFF2-40B4-BE49-F238E27FC236}">
              <a16:creationId xmlns:a16="http://schemas.microsoft.com/office/drawing/2014/main" id="{057985BC-C357-406B-B0F4-6C5B7FE2E287}"/>
            </a:ext>
          </a:extLst>
        </cdr:cNvPr>
        <cdr:cNvSpPr/>
      </cdr:nvSpPr>
      <cdr:spPr bwMode="auto">
        <a:xfrm xmlns:a="http://schemas.openxmlformats.org/drawingml/2006/main">
          <a:off x="1795066" y="4414441"/>
          <a:ext cx="1026716" cy="532606"/>
        </a:xfrm>
        <a:prstGeom xmlns:a="http://schemas.openxmlformats.org/drawingml/2006/main" prst="callout1">
          <a:avLst>
            <a:gd name="adj1" fmla="val -7566"/>
            <a:gd name="adj2" fmla="val 50000"/>
            <a:gd name="adj3" fmla="val -53289"/>
            <a:gd name="adj4" fmla="val 50000"/>
          </a:avLst>
        </a:prstGeom>
        <a:noFill xmlns:a="http://schemas.openxmlformats.org/drawingml/2006/main"/>
        <a:ln xmlns:a="http://schemas.openxmlformats.org/drawingml/2006/main" w="9525" cap="flat" cmpd="sng" algn="ctr">
          <a:noFill/>
          <a:prstDash val="solid"/>
          <a:round/>
          <a:headEnd type="none" w="med" len="med"/>
          <a:tailEnd type="none" w="med" len="med"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r>
            <a:rPr lang="fr-FR" sz="11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Storage Duration</a:t>
          </a:r>
        </a:p>
        <a:p xmlns:a="http://schemas.openxmlformats.org/drawingml/2006/main">
          <a:pPr marL="0" indent="0" algn="ctr"/>
          <a:r>
            <a:rPr lang="fr-FR" sz="11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Field "B121" of "Request" Sheet</a:t>
          </a:r>
        </a:p>
      </cdr:txBody>
    </cdr:sp>
  </cdr:relSizeAnchor>
  <cdr:relSizeAnchor xmlns:cdr="http://schemas.openxmlformats.org/drawingml/2006/chartDrawing">
    <cdr:from>
      <cdr:x>0.86307</cdr:x>
      <cdr:y>0.08624</cdr:y>
    </cdr:from>
    <cdr:to>
      <cdr:x>0.94868</cdr:x>
      <cdr:y>0.12217</cdr:y>
    </cdr:to>
    <cdr:sp macro="" textlink="">
      <cdr:nvSpPr>
        <cdr:cNvPr id="33" name="Légende : encadrée sans bordure 32">
          <a:extLst xmlns:a="http://schemas.openxmlformats.org/drawingml/2006/main">
            <a:ext uri="{FF2B5EF4-FFF2-40B4-BE49-F238E27FC236}">
              <a16:creationId xmlns:a16="http://schemas.microsoft.com/office/drawing/2014/main" id="{3B58752F-55D7-4366-A7E6-5C8BAC46B099}"/>
            </a:ext>
          </a:extLst>
        </cdr:cNvPr>
        <cdr:cNvSpPr/>
      </cdr:nvSpPr>
      <cdr:spPr bwMode="auto">
        <a:xfrm xmlns:a="http://schemas.openxmlformats.org/drawingml/2006/main">
          <a:off x="8010128" y="521096"/>
          <a:ext cx="794540" cy="217091"/>
        </a:xfrm>
        <a:prstGeom xmlns:a="http://schemas.openxmlformats.org/drawingml/2006/main" prst="callout1">
          <a:avLst>
            <a:gd name="adj1" fmla="val 99380"/>
            <a:gd name="adj2" fmla="val 52247"/>
            <a:gd name="adj3" fmla="val 259324"/>
            <a:gd name="adj4" fmla="val 51498"/>
          </a:avLst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 cap="flat" cmpd="sng" algn="ctr">
          <a:solidFill>
            <a:schemeClr val="bg1">
              <a:lumMod val="65000"/>
            </a:schemeClr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  <a:extLst xmlns:a="http://schemas.openxmlformats.org/drawingml/2006/main"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r>
            <a:rPr lang="fr-FR" sz="11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End of Life</a:t>
          </a:r>
        </a:p>
      </cdr:txBody>
    </cdr:sp>
  </cdr:relSizeAnchor>
  <cdr:relSizeAnchor xmlns:cdr="http://schemas.openxmlformats.org/drawingml/2006/chartDrawing">
    <cdr:from>
      <cdr:x>0.39675</cdr:x>
      <cdr:y>0.09117</cdr:y>
    </cdr:from>
    <cdr:to>
      <cdr:x>0.51123</cdr:x>
      <cdr:y>0.12217</cdr:y>
    </cdr:to>
    <cdr:sp macro="" textlink="">
      <cdr:nvSpPr>
        <cdr:cNvPr id="34" name="Légende : encadrée sans bordure 33">
          <a:extLst xmlns:a="http://schemas.openxmlformats.org/drawingml/2006/main">
            <a:ext uri="{FF2B5EF4-FFF2-40B4-BE49-F238E27FC236}">
              <a16:creationId xmlns:a16="http://schemas.microsoft.com/office/drawing/2014/main" id="{3946990C-7E6F-47BB-B62D-47EB4E1CFD89}"/>
            </a:ext>
          </a:extLst>
        </cdr:cNvPr>
        <cdr:cNvSpPr/>
      </cdr:nvSpPr>
      <cdr:spPr bwMode="auto">
        <a:xfrm xmlns:a="http://schemas.openxmlformats.org/drawingml/2006/main">
          <a:off x="3682206" y="550866"/>
          <a:ext cx="1062480" cy="187315"/>
        </a:xfrm>
        <a:prstGeom xmlns:a="http://schemas.openxmlformats.org/drawingml/2006/main" prst="callout1">
          <a:avLst>
            <a:gd name="adj1" fmla="val 99380"/>
            <a:gd name="adj2" fmla="val 52247"/>
            <a:gd name="adj3" fmla="val 500314"/>
            <a:gd name="adj4" fmla="val 52430"/>
          </a:avLst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 cap="flat" cmpd="sng" algn="ctr">
          <a:solidFill>
            <a:schemeClr val="bg1">
              <a:lumMod val="65000"/>
            </a:schemeClr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  <a:extLst xmlns:a="http://schemas.openxmlformats.org/drawingml/2006/main"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r>
            <a:rPr lang="fr-FR" sz="11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Beginning of Life</a:t>
          </a:r>
        </a:p>
      </cdr:txBody>
    </cdr:sp>
  </cdr:relSizeAnchor>
  <cdr:relSizeAnchor xmlns:cdr="http://schemas.openxmlformats.org/drawingml/2006/chartDrawing">
    <cdr:from>
      <cdr:x>0.89943</cdr:x>
      <cdr:y>0.9526</cdr:y>
    </cdr:from>
    <cdr:to>
      <cdr:x>0.98681</cdr:x>
      <cdr:y>0.98682</cdr:y>
    </cdr:to>
    <cdr:pic>
      <cdr:nvPicPr>
        <cdr:cNvPr id="26" name="Image 25">
          <a:extLst xmlns:a="http://schemas.openxmlformats.org/drawingml/2006/main">
            <a:ext uri="{FF2B5EF4-FFF2-40B4-BE49-F238E27FC236}">
              <a16:creationId xmlns:a16="http://schemas.microsoft.com/office/drawing/2014/main" id="{9FD7A9DB-1931-4596-BB76-4E1486C6963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8348134" y="5776819"/>
          <a:ext cx="810985" cy="207526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86BB9C3-345E-4AE0-9040-2CBDD111233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0.13413</cdr:x>
      <cdr:y>0.56552</cdr:y>
    </cdr:from>
    <cdr:to>
      <cdr:x>0.84221</cdr:x>
      <cdr:y>0.94313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7EB8EDE2-0D39-42E7-B56C-2C7FBA0594D9}"/>
            </a:ext>
          </a:extLst>
        </cdr:cNvPr>
        <cdr:cNvSpPr/>
      </cdr:nvSpPr>
      <cdr:spPr bwMode="auto">
        <a:xfrm xmlns:a="http://schemas.openxmlformats.org/drawingml/2006/main">
          <a:off x="1244851" y="3417093"/>
          <a:ext cx="6571602" cy="2281695"/>
        </a:xfrm>
        <a:prstGeom xmlns:a="http://schemas.openxmlformats.org/drawingml/2006/main" prst="rect">
          <a:avLst/>
        </a:prstGeom>
        <a:pattFill xmlns:a="http://schemas.openxmlformats.org/drawingml/2006/main" prst="ltUpDiag">
          <a:fgClr>
            <a:schemeClr val="accent1"/>
          </a:fgClr>
          <a:bgClr>
            <a:schemeClr val="bg1"/>
          </a:bgClr>
        </a:pattFill>
        <a:ln xmlns:a="http://schemas.openxmlformats.org/drawingml/2006/main" w="9525" cap="flat" cmpd="sng" algn="ctr">
          <a:noFill/>
          <a:prstDash val="solid"/>
          <a:round/>
          <a:headEnd type="none" w="med" len="med"/>
          <a:tailEnd type="none" w="med" len="med"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0.32245</cdr:x>
      <cdr:y>0.24096</cdr:y>
    </cdr:from>
    <cdr:to>
      <cdr:x>0.34445</cdr:x>
      <cdr:y>0.56946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81C81930-FEF8-4DB5-9DDE-A582595D92E2}"/>
            </a:ext>
          </a:extLst>
        </cdr:cNvPr>
        <cdr:cNvSpPr/>
      </cdr:nvSpPr>
      <cdr:spPr bwMode="auto">
        <a:xfrm xmlns:a="http://schemas.openxmlformats.org/drawingml/2006/main">
          <a:off x="2992606" y="1455984"/>
          <a:ext cx="204221" cy="1984922"/>
        </a:xfrm>
        <a:prstGeom xmlns:a="http://schemas.openxmlformats.org/drawingml/2006/main" prst="rect">
          <a:avLst/>
        </a:prstGeom>
        <a:pattFill xmlns:a="http://schemas.openxmlformats.org/drawingml/2006/main" prst="ltUpDiag">
          <a:fgClr>
            <a:schemeClr val="accent1"/>
          </a:fgClr>
          <a:bgClr>
            <a:schemeClr val="bg1"/>
          </a:bgClr>
        </a:pattFill>
        <a:ln xmlns:a="http://schemas.openxmlformats.org/drawingml/2006/main" w="9525" cap="flat" cmpd="sng" algn="ctr">
          <a:noFill/>
          <a:prstDash val="solid"/>
          <a:round/>
          <a:headEnd type="none" w="med" len="med"/>
          <a:tailEnd type="none" w="med" len="med"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0.37135</cdr:x>
      <cdr:y>0.24455</cdr:y>
    </cdr:from>
    <cdr:to>
      <cdr:x>0.39064</cdr:x>
      <cdr:y>0.57734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B92FD1B-9EEE-4A4F-8A82-0C7D13239103}"/>
            </a:ext>
          </a:extLst>
        </cdr:cNvPr>
        <cdr:cNvSpPr/>
      </cdr:nvSpPr>
      <cdr:spPr bwMode="auto">
        <a:xfrm xmlns:a="http://schemas.openxmlformats.org/drawingml/2006/main">
          <a:off x="3446484" y="1477677"/>
          <a:ext cx="178969" cy="2010853"/>
        </a:xfrm>
        <a:prstGeom xmlns:a="http://schemas.openxmlformats.org/drawingml/2006/main" prst="rect">
          <a:avLst/>
        </a:prstGeom>
        <a:pattFill xmlns:a="http://schemas.openxmlformats.org/drawingml/2006/main" prst="ltUpDiag">
          <a:fgClr>
            <a:schemeClr val="accent1"/>
          </a:fgClr>
          <a:bgClr>
            <a:schemeClr val="bg1"/>
          </a:bgClr>
        </a:pattFill>
        <a:ln xmlns:a="http://schemas.openxmlformats.org/drawingml/2006/main" w="9525" cap="flat" cmpd="sng" algn="ctr">
          <a:noFill/>
          <a:prstDash val="solid"/>
          <a:round/>
          <a:headEnd type="none" w="med" len="med"/>
          <a:tailEnd type="none" w="med" len="med"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0.41819</cdr:x>
      <cdr:y>0.24258</cdr:y>
    </cdr:from>
    <cdr:to>
      <cdr:x>0.43938</cdr:x>
      <cdr:y>0.5734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B92FD1B-9EEE-4A4F-8A82-0C7D13239103}"/>
            </a:ext>
          </a:extLst>
        </cdr:cNvPr>
        <cdr:cNvSpPr/>
      </cdr:nvSpPr>
      <cdr:spPr bwMode="auto">
        <a:xfrm xmlns:a="http://schemas.openxmlformats.org/drawingml/2006/main">
          <a:off x="3881189" y="1465773"/>
          <a:ext cx="196702" cy="1998946"/>
        </a:xfrm>
        <a:prstGeom xmlns:a="http://schemas.openxmlformats.org/drawingml/2006/main" prst="rect">
          <a:avLst/>
        </a:prstGeom>
        <a:pattFill xmlns:a="http://schemas.openxmlformats.org/drawingml/2006/main" prst="ltUpDiag">
          <a:fgClr>
            <a:schemeClr val="accent1"/>
          </a:fgClr>
          <a:bgClr>
            <a:schemeClr val="bg1"/>
          </a:bgClr>
        </a:pattFill>
        <a:ln xmlns:a="http://schemas.openxmlformats.org/drawingml/2006/main" w="9525" cap="flat" cmpd="sng" algn="ctr">
          <a:noFill/>
          <a:prstDash val="solid"/>
          <a:round/>
          <a:headEnd type="none" w="med" len="med"/>
          <a:tailEnd type="none" w="med" len="med"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0.74949</cdr:x>
      <cdr:y>0.24258</cdr:y>
    </cdr:from>
    <cdr:to>
      <cdr:x>0.77165</cdr:x>
      <cdr:y>0.57931</cdr:y>
    </cdr:to>
    <cdr:sp macro="" textlink="">
      <cdr:nvSpPr>
        <cdr:cNvPr id="7" name="Rectangle 6">
          <a:extLst xmlns:a="http://schemas.openxmlformats.org/drawingml/2006/main">
            <a:ext uri="{FF2B5EF4-FFF2-40B4-BE49-F238E27FC236}">
              <a16:creationId xmlns:a16="http://schemas.microsoft.com/office/drawing/2014/main" id="{3B92FD1B-9EEE-4A4F-8A82-0C7D13239103}"/>
            </a:ext>
          </a:extLst>
        </cdr:cNvPr>
        <cdr:cNvSpPr/>
      </cdr:nvSpPr>
      <cdr:spPr bwMode="auto">
        <a:xfrm xmlns:a="http://schemas.openxmlformats.org/drawingml/2006/main">
          <a:off x="6955958" y="1465771"/>
          <a:ext cx="205651" cy="2034666"/>
        </a:xfrm>
        <a:prstGeom xmlns:a="http://schemas.openxmlformats.org/drawingml/2006/main" prst="rect">
          <a:avLst/>
        </a:prstGeom>
        <a:pattFill xmlns:a="http://schemas.openxmlformats.org/drawingml/2006/main" prst="ltUpDiag">
          <a:fgClr>
            <a:schemeClr val="accent1"/>
          </a:fgClr>
          <a:bgClr>
            <a:schemeClr val="bg1"/>
          </a:bgClr>
        </a:pattFill>
        <a:ln xmlns:a="http://schemas.openxmlformats.org/drawingml/2006/main" w="9525" cap="flat" cmpd="sng" algn="ctr">
          <a:noFill/>
          <a:prstDash val="solid"/>
          <a:round/>
          <a:headEnd type="none" w="med" len="med"/>
          <a:tailEnd type="none" w="med" len="med"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0.79683</cdr:x>
      <cdr:y>0.24433</cdr:y>
    </cdr:from>
    <cdr:to>
      <cdr:x>0.81911</cdr:x>
      <cdr:y>0.58128</cdr:y>
    </cdr:to>
    <cdr:sp macro="" textlink="">
      <cdr:nvSpPr>
        <cdr:cNvPr id="8" name="Rectangle 7">
          <a:extLst xmlns:a="http://schemas.openxmlformats.org/drawingml/2006/main">
            <a:ext uri="{FF2B5EF4-FFF2-40B4-BE49-F238E27FC236}">
              <a16:creationId xmlns:a16="http://schemas.microsoft.com/office/drawing/2014/main" id="{3B92FD1B-9EEE-4A4F-8A82-0C7D13239103}"/>
            </a:ext>
          </a:extLst>
        </cdr:cNvPr>
        <cdr:cNvSpPr/>
      </cdr:nvSpPr>
      <cdr:spPr bwMode="auto">
        <a:xfrm xmlns:a="http://schemas.openxmlformats.org/drawingml/2006/main">
          <a:off x="7395317" y="1476345"/>
          <a:ext cx="206824" cy="2035999"/>
        </a:xfrm>
        <a:prstGeom xmlns:a="http://schemas.openxmlformats.org/drawingml/2006/main" prst="rect">
          <a:avLst/>
        </a:prstGeom>
        <a:pattFill xmlns:a="http://schemas.openxmlformats.org/drawingml/2006/main" prst="ltUpDiag">
          <a:fgClr>
            <a:schemeClr val="accent1"/>
          </a:fgClr>
          <a:bgClr>
            <a:schemeClr val="bg1"/>
          </a:bgClr>
        </a:pattFill>
        <a:ln xmlns:a="http://schemas.openxmlformats.org/drawingml/2006/main" w="9525" cap="flat" cmpd="sng" algn="ctr">
          <a:noFill/>
          <a:prstDash val="solid"/>
          <a:round/>
          <a:headEnd type="none" w="med" len="med"/>
          <a:tailEnd type="none" w="med" len="med"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0.29264</cdr:x>
      <cdr:y>0.70516</cdr:y>
    </cdr:from>
    <cdr:to>
      <cdr:x>0.65773</cdr:x>
      <cdr:y>0.7909</cdr:y>
    </cdr:to>
    <cdr:sp macro="" textlink="">
      <cdr:nvSpPr>
        <cdr:cNvPr id="13" name="ZoneTexte 12">
          <a:extLst xmlns:a="http://schemas.openxmlformats.org/drawingml/2006/main">
            <a:ext uri="{FF2B5EF4-FFF2-40B4-BE49-F238E27FC236}">
              <a16:creationId xmlns:a16="http://schemas.microsoft.com/office/drawing/2014/main" id="{79147E4F-4066-42D9-9540-7DCEEFB4BEE8}"/>
            </a:ext>
          </a:extLst>
        </cdr:cNvPr>
        <cdr:cNvSpPr txBox="1"/>
      </cdr:nvSpPr>
      <cdr:spPr>
        <a:xfrm xmlns:a="http://schemas.openxmlformats.org/drawingml/2006/main">
          <a:off x="2714625" y="4265084"/>
          <a:ext cx="3386667" cy="5185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fr-FR" sz="1100" b="1">
              <a:solidFill>
                <a:schemeClr val="accent1"/>
              </a:solidFill>
            </a:rPr>
            <a:t>Energy Consumed</a:t>
          </a:r>
          <a:r>
            <a:rPr lang="fr-FR" sz="1100" b="1" baseline="0">
              <a:solidFill>
                <a:schemeClr val="accent1"/>
              </a:solidFill>
            </a:rPr>
            <a:t> (Ah or Wh)</a:t>
          </a:r>
          <a:endParaRPr lang="fr-FR" sz="1100" b="1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0.47176</cdr:x>
      <cdr:y>0.17323</cdr:y>
    </cdr:from>
    <cdr:to>
      <cdr:x>0.82938</cdr:x>
      <cdr:y>0.23054</cdr:y>
    </cdr:to>
    <cdr:sp macro="" textlink="">
      <cdr:nvSpPr>
        <cdr:cNvPr id="14" name="Légende : encadrée sans bordure 13">
          <a:extLst xmlns:a="http://schemas.openxmlformats.org/drawingml/2006/main">
            <a:ext uri="{FF2B5EF4-FFF2-40B4-BE49-F238E27FC236}">
              <a16:creationId xmlns:a16="http://schemas.microsoft.com/office/drawing/2014/main" id="{C51436CA-ADCC-4729-9E97-3C249826D8D9}"/>
            </a:ext>
          </a:extLst>
        </cdr:cNvPr>
        <cdr:cNvSpPr/>
      </cdr:nvSpPr>
      <cdr:spPr bwMode="auto">
        <a:xfrm xmlns:a="http://schemas.openxmlformats.org/drawingml/2006/main">
          <a:off x="4378368" y="1046729"/>
          <a:ext cx="3319023" cy="346291"/>
        </a:xfrm>
        <a:prstGeom xmlns:a="http://schemas.openxmlformats.org/drawingml/2006/main" prst="callout1">
          <a:avLst>
            <a:gd name="adj1" fmla="val 37981"/>
            <a:gd name="adj2" fmla="val -4313"/>
            <a:gd name="adj3" fmla="val 115784"/>
            <a:gd name="adj4" fmla="val -13402"/>
          </a:avLst>
        </a:prstGeom>
        <a:noFill xmlns:a="http://schemas.openxmlformats.org/drawingml/2006/main"/>
        <a:ln xmlns:a="http://schemas.openxmlformats.org/drawingml/2006/main"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r>
            <a:rPr lang="fr-FR">
              <a:solidFill>
                <a:schemeClr val="accent1"/>
              </a:solidFill>
            </a:rPr>
            <a:t>Data Transmission (Max Peak)</a:t>
          </a:r>
        </a:p>
        <a:p xmlns:a="http://schemas.openxmlformats.org/drawingml/2006/main">
          <a:r>
            <a:rPr lang="fr-FR">
              <a:solidFill>
                <a:schemeClr val="accent1"/>
              </a:solidFill>
            </a:rPr>
            <a:t>Fields "M86", "M88", "M90", "M92" of "Request"</a:t>
          </a:r>
          <a:r>
            <a:rPr lang="fr-FR" baseline="0">
              <a:solidFill>
                <a:schemeClr val="accent1"/>
              </a:solidFill>
            </a:rPr>
            <a:t> </a:t>
          </a:r>
          <a:r>
            <a:rPr lang="fr-FR" sz="1100">
              <a:solidFill>
                <a:schemeClr val="accent1"/>
              </a:solidFill>
              <a:latin typeface="+mn-lt"/>
              <a:ea typeface="+mn-ea"/>
              <a:cs typeface="+mn-cs"/>
            </a:rPr>
            <a:t>Sheet</a:t>
          </a:r>
        </a:p>
      </cdr:txBody>
    </cdr:sp>
  </cdr:relSizeAnchor>
  <cdr:relSizeAnchor xmlns:cdr="http://schemas.openxmlformats.org/drawingml/2006/chartDrawing">
    <cdr:from>
      <cdr:x>0.14432</cdr:x>
      <cdr:y>0.33103</cdr:y>
    </cdr:from>
    <cdr:to>
      <cdr:x>0.31238</cdr:x>
      <cdr:y>0.43153</cdr:y>
    </cdr:to>
    <cdr:sp macro="" textlink="">
      <cdr:nvSpPr>
        <cdr:cNvPr id="15" name="Légende : encadrée sans bordure 14">
          <a:extLst xmlns:a="http://schemas.openxmlformats.org/drawingml/2006/main">
            <a:ext uri="{FF2B5EF4-FFF2-40B4-BE49-F238E27FC236}">
              <a16:creationId xmlns:a16="http://schemas.microsoft.com/office/drawing/2014/main" id="{A43F7900-6EEB-4ED1-9F92-EFE431379154}"/>
            </a:ext>
          </a:extLst>
        </cdr:cNvPr>
        <cdr:cNvSpPr/>
      </cdr:nvSpPr>
      <cdr:spPr bwMode="auto">
        <a:xfrm xmlns:a="http://schemas.openxmlformats.org/drawingml/2006/main">
          <a:off x="1339453" y="2000251"/>
          <a:ext cx="1559719" cy="607218"/>
        </a:xfrm>
        <a:prstGeom xmlns:a="http://schemas.openxmlformats.org/drawingml/2006/main" prst="callout1">
          <a:avLst>
            <a:gd name="adj1" fmla="val 51405"/>
            <a:gd name="adj2" fmla="val 38635"/>
            <a:gd name="adj3" fmla="val 222077"/>
            <a:gd name="adj4" fmla="val 62569"/>
          </a:avLst>
        </a:prstGeom>
        <a:noFill xmlns:a="http://schemas.openxmlformats.org/drawingml/2006/main"/>
        <a:ln xmlns:a="http://schemas.openxmlformats.org/drawingml/2006/main"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>
              <a:solidFill>
                <a:schemeClr val="accent1"/>
              </a:solidFill>
            </a:rPr>
            <a:t>Communication</a:t>
          </a:r>
          <a:r>
            <a:rPr lang="fr-FR" baseline="0">
              <a:solidFill>
                <a:schemeClr val="accent1"/>
              </a:solidFill>
            </a:rPr>
            <a:t> Modem</a:t>
          </a:r>
        </a:p>
        <a:p xmlns:a="http://schemas.openxmlformats.org/drawingml/2006/main">
          <a:r>
            <a:rPr lang="fr-FR" baseline="0">
              <a:solidFill>
                <a:schemeClr val="accent1"/>
              </a:solidFill>
            </a:rPr>
            <a:t>A</a:t>
          </a:r>
          <a:r>
            <a:rPr lang="fr-FR">
              <a:solidFill>
                <a:schemeClr val="accent1"/>
              </a:solidFill>
            </a:rPr>
            <a:t>ctivation</a:t>
          </a:r>
        </a:p>
      </cdr:txBody>
    </cdr:sp>
  </cdr:relSizeAnchor>
  <cdr:relSizeAnchor xmlns:cdr="http://schemas.openxmlformats.org/drawingml/2006/chartDrawing">
    <cdr:from>
      <cdr:x>0</cdr:x>
      <cdr:y>0.83153</cdr:y>
    </cdr:from>
    <cdr:to>
      <cdr:x>0.14176</cdr:x>
      <cdr:y>0.91479</cdr:y>
    </cdr:to>
    <cdr:sp macro="" textlink="">
      <cdr:nvSpPr>
        <cdr:cNvPr id="16" name="Légende : encadrée sans bordure 15">
          <a:extLst xmlns:a="http://schemas.openxmlformats.org/drawingml/2006/main">
            <a:ext uri="{FF2B5EF4-FFF2-40B4-BE49-F238E27FC236}">
              <a16:creationId xmlns:a16="http://schemas.microsoft.com/office/drawing/2014/main" id="{A7DB8B61-C066-4ED2-AB69-7A49824AB08A}"/>
            </a:ext>
          </a:extLst>
        </cdr:cNvPr>
        <cdr:cNvSpPr/>
      </cdr:nvSpPr>
      <cdr:spPr bwMode="auto">
        <a:xfrm xmlns:a="http://schemas.openxmlformats.org/drawingml/2006/main">
          <a:off x="0" y="5024455"/>
          <a:ext cx="1315640" cy="503092"/>
        </a:xfrm>
        <a:prstGeom xmlns:a="http://schemas.openxmlformats.org/drawingml/2006/main" prst="callout1">
          <a:avLst>
            <a:gd name="adj1" fmla="val 68452"/>
            <a:gd name="adj2" fmla="val 75055"/>
            <a:gd name="adj3" fmla="val 129369"/>
            <a:gd name="adj4" fmla="val 81768"/>
          </a:avLst>
        </a:prstGeom>
        <a:noFill xmlns:a="http://schemas.openxmlformats.org/drawingml/2006/main"/>
        <a:ln xmlns:a="http://schemas.openxmlformats.org/drawingml/2006/main"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>
              <a:solidFill>
                <a:schemeClr val="accent1"/>
              </a:solidFill>
            </a:rPr>
            <a:t>Consumption Before Communication</a:t>
          </a:r>
        </a:p>
      </cdr:txBody>
    </cdr:sp>
  </cdr:relSizeAnchor>
  <cdr:relSizeAnchor xmlns:cdr="http://schemas.openxmlformats.org/drawingml/2006/chartDrawing">
    <cdr:from>
      <cdr:x>0.13063</cdr:x>
      <cdr:y>0.14173</cdr:y>
    </cdr:from>
    <cdr:to>
      <cdr:x>0.13177</cdr:x>
      <cdr:y>0.55643</cdr:y>
    </cdr:to>
    <cdr:cxnSp macro="">
      <cdr:nvCxnSpPr>
        <cdr:cNvPr id="18" name="Connecteur droit 17">
          <a:extLst xmlns:a="http://schemas.openxmlformats.org/drawingml/2006/main">
            <a:ext uri="{FF2B5EF4-FFF2-40B4-BE49-F238E27FC236}">
              <a16:creationId xmlns:a16="http://schemas.microsoft.com/office/drawing/2014/main" id="{8E93516A-619E-4412-AB6F-FE9472F970B0}"/>
            </a:ext>
          </a:extLst>
        </cdr:cNvPr>
        <cdr:cNvCxnSpPr/>
      </cdr:nvCxnSpPr>
      <cdr:spPr bwMode="auto">
        <a:xfrm xmlns:a="http://schemas.openxmlformats.org/drawingml/2006/main" flipV="1">
          <a:off x="1211792" y="857251"/>
          <a:ext cx="10583" cy="2508250"/>
        </a:xfrm>
        <a:prstGeom xmlns:a="http://schemas.openxmlformats.org/drawingml/2006/main" prst="lin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 cap="flat" cmpd="sng" algn="ctr">
          <a:solidFill>
            <a:schemeClr val="tx1">
              <a:lumMod val="50000"/>
              <a:lumOff val="50000"/>
            </a:schemeClr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  <a:extLst xmlns:a="http://schemas.openxmlformats.org/drawingml/2006/main"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cxnSp>
  </cdr:relSizeAnchor>
  <cdr:relSizeAnchor xmlns:cdr="http://schemas.openxmlformats.org/drawingml/2006/chartDrawing">
    <cdr:from>
      <cdr:x>0.84176</cdr:x>
      <cdr:y>0.14313</cdr:y>
    </cdr:from>
    <cdr:to>
      <cdr:x>0.8429</cdr:x>
      <cdr:y>0.55783</cdr:y>
    </cdr:to>
    <cdr:cxnSp macro="">
      <cdr:nvCxnSpPr>
        <cdr:cNvPr id="20" name="Connecteur droit 19">
          <a:extLst xmlns:a="http://schemas.openxmlformats.org/drawingml/2006/main">
            <a:ext uri="{FF2B5EF4-FFF2-40B4-BE49-F238E27FC236}">
              <a16:creationId xmlns:a16="http://schemas.microsoft.com/office/drawing/2014/main" id="{112F7B41-F555-48F5-9930-258A1EA54F54}"/>
            </a:ext>
          </a:extLst>
        </cdr:cNvPr>
        <cdr:cNvCxnSpPr/>
      </cdr:nvCxnSpPr>
      <cdr:spPr bwMode="auto">
        <a:xfrm xmlns:a="http://schemas.openxmlformats.org/drawingml/2006/main" flipV="1">
          <a:off x="7808383" y="865717"/>
          <a:ext cx="10583" cy="2508250"/>
        </a:xfrm>
        <a:prstGeom xmlns:a="http://schemas.openxmlformats.org/drawingml/2006/main" prst="lin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 cap="flat" cmpd="sng" algn="ctr">
          <a:solidFill>
            <a:schemeClr val="tx1">
              <a:lumMod val="50000"/>
              <a:lumOff val="50000"/>
            </a:schemeClr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  <a:extLst xmlns:a="http://schemas.openxmlformats.org/drawingml/2006/main"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cxnSp>
  </cdr:relSizeAnchor>
  <cdr:relSizeAnchor xmlns:cdr="http://schemas.openxmlformats.org/drawingml/2006/chartDrawing">
    <cdr:from>
      <cdr:x>0.13063</cdr:x>
      <cdr:y>0.14698</cdr:y>
    </cdr:from>
    <cdr:to>
      <cdr:x>0.84256</cdr:x>
      <cdr:y>0.14873</cdr:y>
    </cdr:to>
    <cdr:cxnSp macro="">
      <cdr:nvCxnSpPr>
        <cdr:cNvPr id="22" name="Connecteur droit avec flèche 21">
          <a:extLst xmlns:a="http://schemas.openxmlformats.org/drawingml/2006/main">
            <a:ext uri="{FF2B5EF4-FFF2-40B4-BE49-F238E27FC236}">
              <a16:creationId xmlns:a16="http://schemas.microsoft.com/office/drawing/2014/main" id="{8BC3D73C-8E17-4100-9F5D-1ECDCD48752B}"/>
            </a:ext>
          </a:extLst>
        </cdr:cNvPr>
        <cdr:cNvCxnSpPr/>
      </cdr:nvCxnSpPr>
      <cdr:spPr bwMode="auto">
        <a:xfrm xmlns:a="http://schemas.openxmlformats.org/drawingml/2006/main">
          <a:off x="1211792" y="889000"/>
          <a:ext cx="6604000" cy="10583"/>
        </a:xfrm>
        <a:prstGeom xmlns:a="http://schemas.openxmlformats.org/drawingml/2006/main" prst="straightConnector1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 cap="flat" cmpd="sng" algn="ctr">
          <a:solidFill>
            <a:schemeClr val="tx1">
              <a:lumMod val="50000"/>
              <a:lumOff val="50000"/>
            </a:schemeClr>
          </a:solidFill>
          <a:prstDash val="solid"/>
          <a:round/>
          <a:headEnd type="triangle"/>
          <a:tailEnd type="triangle"/>
        </a:ln>
        <a:effectLst xmlns:a="http://schemas.openxmlformats.org/drawingml/2006/main"/>
        <a:extLst xmlns:a="http://schemas.openxmlformats.org/drawingml/2006/main"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cxnSp>
  </cdr:relSizeAnchor>
  <cdr:relSizeAnchor xmlns:cdr="http://schemas.openxmlformats.org/drawingml/2006/chartDrawing">
    <cdr:from>
      <cdr:x>0.1352</cdr:x>
      <cdr:y>0.10324</cdr:y>
    </cdr:from>
    <cdr:to>
      <cdr:x>0.8437</cdr:x>
      <cdr:y>0.14698</cdr:y>
    </cdr:to>
    <cdr:sp macro="" textlink="">
      <cdr:nvSpPr>
        <cdr:cNvPr id="23" name="ZoneTexte 22">
          <a:extLst xmlns:a="http://schemas.openxmlformats.org/drawingml/2006/main">
            <a:ext uri="{FF2B5EF4-FFF2-40B4-BE49-F238E27FC236}">
              <a16:creationId xmlns:a16="http://schemas.microsoft.com/office/drawing/2014/main" id="{BA0B036A-6D52-4BAA-9274-9C8B4BA69CE0}"/>
            </a:ext>
          </a:extLst>
        </cdr:cNvPr>
        <cdr:cNvSpPr txBox="1"/>
      </cdr:nvSpPr>
      <cdr:spPr>
        <a:xfrm xmlns:a="http://schemas.openxmlformats.org/drawingml/2006/main">
          <a:off x="1254126" y="624416"/>
          <a:ext cx="6572250" cy="2645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solidFill>
                <a:schemeClr val="tx1">
                  <a:lumMod val="50000"/>
                  <a:lumOff val="50000"/>
                </a:schemeClr>
              </a:solidFill>
            </a:rPr>
            <a:t>Communication Function</a:t>
          </a:r>
          <a:r>
            <a:rPr lang="fr-FR" sz="1100" baseline="0">
              <a:solidFill>
                <a:schemeClr val="tx1">
                  <a:lumMod val="50000"/>
                  <a:lumOff val="50000"/>
                </a:schemeClr>
              </a:solidFill>
            </a:rPr>
            <a:t> </a:t>
          </a:r>
          <a:r>
            <a:rPr lang="fr-FR" sz="110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rPr>
            <a:t>Duration - Fields "F86", "F88", "F90, "F92" of "Request" Sheet</a:t>
          </a:r>
        </a:p>
        <a:p xmlns:a="http://schemas.openxmlformats.org/drawingml/2006/main">
          <a:pPr algn="ctr"/>
          <a:endParaRPr lang="fr-FR" sz="1100">
            <a:solidFill>
              <a:schemeClr val="tx1">
                <a:lumMod val="50000"/>
                <a:lumOff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0.39644</cdr:x>
      <cdr:y>0.42887</cdr:y>
    </cdr:from>
    <cdr:to>
      <cdr:x>0.80894</cdr:x>
      <cdr:y>0.52956</cdr:y>
    </cdr:to>
    <cdr:sp macro="" textlink="">
      <cdr:nvSpPr>
        <cdr:cNvPr id="2" name="ZoneTexte 13">
          <a:extLst xmlns:a="http://schemas.openxmlformats.org/drawingml/2006/main">
            <a:ext uri="{FF2B5EF4-FFF2-40B4-BE49-F238E27FC236}">
              <a16:creationId xmlns:a16="http://schemas.microsoft.com/office/drawing/2014/main" id="{DE70F9C6-E66F-4D2E-9284-AEAD6F60CB8A}"/>
            </a:ext>
          </a:extLst>
        </cdr:cNvPr>
        <cdr:cNvSpPr txBox="1"/>
      </cdr:nvSpPr>
      <cdr:spPr>
        <a:xfrm xmlns:a="http://schemas.openxmlformats.org/drawingml/2006/main">
          <a:off x="3679290" y="2591393"/>
          <a:ext cx="3828380" cy="60841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100" b="1">
              <a:solidFill>
                <a:schemeClr val="accent2"/>
              </a:solidFill>
            </a:rPr>
            <a:t>Average Consumption</a:t>
          </a:r>
        </a:p>
        <a:p xmlns:a="http://schemas.openxmlformats.org/drawingml/2006/main">
          <a:pPr algn="ctr"/>
          <a:r>
            <a:rPr lang="fr-FR" sz="1100" b="0">
              <a:solidFill>
                <a:schemeClr val="accent2"/>
              </a:solidFill>
              <a:latin typeface="+mn-lt"/>
              <a:ea typeface="+mn-ea"/>
              <a:cs typeface="+mn-cs"/>
            </a:rPr>
            <a:t>Fields "D86",  "</a:t>
          </a:r>
          <a:r>
            <a:rPr lang="fr-FR" sz="1100" b="0">
              <a:solidFill>
                <a:schemeClr val="accent2"/>
              </a:solidFill>
            </a:rPr>
            <a:t>D88",</a:t>
          </a:r>
          <a:r>
            <a:rPr lang="fr-FR" sz="1100" b="0" baseline="0">
              <a:solidFill>
                <a:schemeClr val="accent2"/>
              </a:solidFill>
            </a:rPr>
            <a:t> "D90", "D92"</a:t>
          </a:r>
          <a:r>
            <a:rPr lang="fr-FR" sz="1100" b="0" baseline="0">
              <a:solidFill>
                <a:schemeClr val="accent2"/>
              </a:solidFill>
              <a:latin typeface="+mn-lt"/>
              <a:ea typeface="+mn-ea"/>
              <a:cs typeface="+mn-cs"/>
            </a:rPr>
            <a:t> of "Request" Sheet</a:t>
          </a:r>
        </a:p>
      </cdr:txBody>
    </cdr:sp>
  </cdr:relSizeAnchor>
  <cdr:relSizeAnchor xmlns:cdr="http://schemas.openxmlformats.org/drawingml/2006/chartDrawing">
    <cdr:from>
      <cdr:x>0.90057</cdr:x>
      <cdr:y>0.95434</cdr:y>
    </cdr:from>
    <cdr:to>
      <cdr:x>0.98795</cdr:x>
      <cdr:y>0.98856</cdr:y>
    </cdr:to>
    <cdr:pic>
      <cdr:nvPicPr>
        <cdr:cNvPr id="17" name="Image 16">
          <a:extLst xmlns:a="http://schemas.openxmlformats.org/drawingml/2006/main">
            <a:ext uri="{FF2B5EF4-FFF2-40B4-BE49-F238E27FC236}">
              <a16:creationId xmlns:a16="http://schemas.microsoft.com/office/drawing/2014/main" id="{9FD7A9DB-1931-4596-BB76-4E1486C6963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8358717" y="5787330"/>
          <a:ext cx="810985" cy="207526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14288</xdr:rowOff>
    </xdr:from>
    <xdr:to>
      <xdr:col>11</xdr:col>
      <xdr:colOff>1264105</xdr:colOff>
      <xdr:row>35</xdr:row>
      <xdr:rowOff>33339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450F55C-EFBA-4306-80F8-F922E5ACDC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598" t="17836" r="10822" b="4044"/>
        <a:stretch/>
      </xdr:blipFill>
      <xdr:spPr>
        <a:xfrm>
          <a:off x="0" y="14288"/>
          <a:ext cx="11325226" cy="6696076"/>
        </a:xfrm>
        <a:prstGeom prst="rect">
          <a:avLst/>
        </a:prstGeom>
      </xdr:spPr>
    </xdr:pic>
    <xdr:clientData/>
  </xdr:twoCellAnchor>
  <xdr:twoCellAnchor editAs="oneCell">
    <xdr:from>
      <xdr:col>11</xdr:col>
      <xdr:colOff>427265</xdr:colOff>
      <xdr:row>37</xdr:row>
      <xdr:rowOff>142875</xdr:rowOff>
    </xdr:from>
    <xdr:to>
      <xdr:col>11</xdr:col>
      <xdr:colOff>1235529</xdr:colOff>
      <xdr:row>38</xdr:row>
      <xdr:rowOff>159176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6F39B4E4-0390-4BE6-9C80-499894107D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5729" y="7198179"/>
          <a:ext cx="808264" cy="2068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>
    <pageSetUpPr fitToPage="1"/>
  </sheetPr>
  <dimension ref="A1:AF178"/>
  <sheetViews>
    <sheetView showGridLines="0" tabSelected="1" topLeftCell="A101" zoomScale="80" zoomScaleNormal="80" zoomScaleSheetLayoutView="80" workbookViewId="0">
      <selection activeCell="B147" sqref="B147:P147"/>
    </sheetView>
  </sheetViews>
  <sheetFormatPr defaultColWidth="10.6328125" defaultRowHeight="14.4"/>
  <cols>
    <col min="1" max="1" width="40.36328125" style="6" customWidth="1"/>
    <col min="2" max="2" width="8.90625" style="6" customWidth="1"/>
    <col min="3" max="3" width="4.1796875" style="6" customWidth="1"/>
    <col min="4" max="4" width="8.90625" style="6" customWidth="1"/>
    <col min="5" max="5" width="4.1796875" style="6" customWidth="1"/>
    <col min="6" max="6" width="8.90625" style="6" customWidth="1"/>
    <col min="7" max="7" width="4.1796875" style="6" customWidth="1"/>
    <col min="8" max="8" width="8.90625" style="6" customWidth="1"/>
    <col min="9" max="9" width="4.1796875" style="6" customWidth="1"/>
    <col min="10" max="10" width="8.90625" style="6" customWidth="1"/>
    <col min="11" max="11" width="4.1796875" style="6" customWidth="1"/>
    <col min="12" max="12" width="8.90625" style="6" customWidth="1"/>
    <col min="13" max="13" width="4.1796875" style="6" customWidth="1"/>
    <col min="14" max="14" width="9.08984375" style="6" customWidth="1"/>
    <col min="15" max="15" width="4.1796875" style="6" customWidth="1"/>
    <col min="16" max="16" width="9.08984375" style="6" customWidth="1"/>
    <col min="17" max="17" width="9.453125" style="6" customWidth="1"/>
    <col min="18" max="16384" width="10.6328125" style="6"/>
  </cols>
  <sheetData>
    <row r="1" spans="1:16" ht="75" customHeight="1">
      <c r="B1" s="132" t="s">
        <v>703</v>
      </c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</row>
    <row r="2" spans="1:16" ht="3.75" customHeight="1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s="14" customFormat="1" ht="75" customHeight="1">
      <c r="A3" s="9"/>
      <c r="B3" s="10"/>
      <c r="C3" s="11"/>
      <c r="D3" s="10"/>
      <c r="E3" s="12"/>
      <c r="F3" s="12"/>
      <c r="G3" s="12"/>
      <c r="H3" s="12"/>
      <c r="I3" s="13"/>
      <c r="J3" s="13"/>
      <c r="K3" s="13"/>
      <c r="L3" s="13"/>
      <c r="M3" s="6"/>
      <c r="N3" s="13"/>
      <c r="O3" s="13"/>
      <c r="P3" s="13"/>
    </row>
    <row r="4" spans="1:16" ht="24" thickBot="1">
      <c r="A4" s="15" t="s">
        <v>569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</row>
    <row r="5" spans="1:16" s="14" customFormat="1" ht="6" customHeight="1" thickTop="1" thickBot="1">
      <c r="A5" s="17"/>
      <c r="B5" s="18"/>
      <c r="C5" s="18"/>
      <c r="D5" s="18"/>
      <c r="E5" s="18"/>
      <c r="F5" s="18"/>
      <c r="G5" s="18"/>
      <c r="H5" s="18"/>
      <c r="I5" s="19"/>
      <c r="J5" s="19"/>
      <c r="K5" s="19"/>
      <c r="L5" s="19"/>
      <c r="M5" s="19"/>
      <c r="N5" s="19"/>
      <c r="O5" s="19"/>
      <c r="P5" s="19"/>
    </row>
    <row r="6" spans="1:16" ht="24" thickBot="1">
      <c r="A6" s="20" t="s">
        <v>564</v>
      </c>
      <c r="B6" s="134" t="s">
        <v>735</v>
      </c>
      <c r="C6" s="135"/>
      <c r="D6" s="135"/>
      <c r="E6" s="135"/>
      <c r="F6" s="135"/>
      <c r="G6" s="135"/>
      <c r="H6" s="135"/>
      <c r="I6" s="135"/>
      <c r="J6" s="136"/>
      <c r="K6" s="13"/>
      <c r="L6" s="127" t="s">
        <v>565</v>
      </c>
      <c r="M6" s="146"/>
      <c r="N6" s="117">
        <v>43711</v>
      </c>
      <c r="O6" s="118"/>
      <c r="P6" s="119"/>
    </row>
    <row r="7" spans="1:16" s="14" customFormat="1" ht="6" customHeight="1" thickBot="1">
      <c r="A7" s="9"/>
      <c r="B7" s="10"/>
      <c r="C7" s="11"/>
      <c r="D7" s="10"/>
      <c r="E7" s="12"/>
      <c r="F7" s="12"/>
      <c r="G7" s="12"/>
      <c r="H7" s="12"/>
      <c r="I7" s="13"/>
      <c r="J7" s="13"/>
      <c r="K7" s="13"/>
      <c r="L7" s="13"/>
      <c r="M7" s="13"/>
      <c r="N7" s="13"/>
      <c r="O7" s="13"/>
      <c r="P7" s="13"/>
    </row>
    <row r="8" spans="1:16" ht="24" thickBot="1">
      <c r="A8" s="20" t="s">
        <v>566</v>
      </c>
      <c r="B8" s="134" t="s">
        <v>736</v>
      </c>
      <c r="C8" s="135"/>
      <c r="D8" s="135"/>
      <c r="E8" s="135"/>
      <c r="F8" s="135"/>
      <c r="G8" s="135"/>
      <c r="H8" s="135"/>
      <c r="I8" s="135"/>
      <c r="J8" s="136"/>
      <c r="K8" s="13"/>
      <c r="L8" s="137" t="s">
        <v>403</v>
      </c>
      <c r="M8" s="138"/>
      <c r="N8" s="138"/>
      <c r="O8" s="138"/>
      <c r="P8" s="139"/>
    </row>
    <row r="9" spans="1:16" s="14" customFormat="1" ht="6" customHeight="1" thickBot="1">
      <c r="A9" s="9"/>
      <c r="B9" s="10"/>
      <c r="C9" s="11"/>
      <c r="D9" s="10"/>
      <c r="E9" s="12"/>
      <c r="F9" s="12"/>
      <c r="G9" s="12"/>
      <c r="H9" s="12"/>
      <c r="I9" s="13"/>
      <c r="J9" s="13"/>
      <c r="K9" s="13"/>
      <c r="L9" s="13"/>
      <c r="M9" s="6"/>
      <c r="N9" s="13"/>
      <c r="O9" s="13"/>
      <c r="P9" s="13"/>
    </row>
    <row r="10" spans="1:16" ht="24" thickBot="1">
      <c r="A10" s="20" t="s">
        <v>567</v>
      </c>
      <c r="B10" s="140" t="s">
        <v>737</v>
      </c>
      <c r="C10" s="141"/>
      <c r="D10" s="142"/>
      <c r="E10" s="12"/>
      <c r="F10" s="140" t="s">
        <v>738</v>
      </c>
      <c r="G10" s="141"/>
      <c r="H10" s="141"/>
      <c r="I10" s="141"/>
      <c r="J10" s="142"/>
      <c r="K10" s="13"/>
      <c r="L10" s="110" t="s">
        <v>181</v>
      </c>
      <c r="M10" s="115"/>
      <c r="N10" s="115"/>
      <c r="O10" s="115"/>
      <c r="P10" s="111"/>
    </row>
    <row r="11" spans="1:16" s="14" customFormat="1" ht="6" customHeight="1">
      <c r="A11" s="9"/>
      <c r="B11" s="9"/>
      <c r="C11" s="9"/>
      <c r="D11" s="9"/>
      <c r="E11" s="12"/>
      <c r="F11" s="9"/>
      <c r="G11" s="9"/>
      <c r="H11" s="9"/>
      <c r="I11" s="9"/>
      <c r="J11" s="9"/>
      <c r="K11" s="13"/>
      <c r="L11" s="9"/>
      <c r="O11" s="20"/>
      <c r="P11" s="20"/>
    </row>
    <row r="12" spans="1:16" ht="15.75" customHeight="1">
      <c r="A12" s="20"/>
      <c r="B12" s="110" t="s">
        <v>739</v>
      </c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1"/>
    </row>
    <row r="13" spans="1:16" s="14" customFormat="1" ht="6" customHeight="1">
      <c r="A13" s="9"/>
      <c r="B13" s="9"/>
      <c r="C13" s="6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20"/>
      <c r="P13" s="20"/>
    </row>
    <row r="14" spans="1:16" ht="15.75" customHeight="1">
      <c r="A14" s="20"/>
      <c r="B14" s="110" t="s">
        <v>740</v>
      </c>
      <c r="C14" s="115"/>
      <c r="D14" s="115"/>
      <c r="E14" s="115"/>
      <c r="F14" s="115"/>
      <c r="G14" s="115"/>
      <c r="H14" s="111"/>
      <c r="I14" s="21"/>
      <c r="J14" s="110" t="s">
        <v>741</v>
      </c>
      <c r="K14" s="115"/>
      <c r="L14" s="115"/>
      <c r="M14" s="115"/>
      <c r="N14" s="115"/>
      <c r="O14" s="115"/>
      <c r="P14" s="111"/>
    </row>
    <row r="15" spans="1:16" ht="6" customHeight="1">
      <c r="A15" s="22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</row>
    <row r="16" spans="1:16" ht="15.75" customHeight="1">
      <c r="A16" s="22"/>
      <c r="B16" s="110">
        <v>2000</v>
      </c>
      <c r="C16" s="115"/>
      <c r="D16" s="115"/>
      <c r="E16" s="115"/>
      <c r="F16" s="115"/>
      <c r="G16" s="115"/>
      <c r="H16" s="111"/>
      <c r="I16" s="21"/>
      <c r="J16" s="110" t="s">
        <v>741</v>
      </c>
      <c r="K16" s="115"/>
      <c r="L16" s="115"/>
      <c r="M16" s="115"/>
      <c r="N16" s="115"/>
      <c r="O16" s="115"/>
      <c r="P16" s="111"/>
    </row>
    <row r="17" spans="1:18" ht="6" customHeight="1">
      <c r="A17" s="22"/>
      <c r="B17" s="23"/>
      <c r="C17" s="23"/>
      <c r="D17" s="23"/>
      <c r="E17" s="23"/>
      <c r="F17" s="23"/>
      <c r="G17" s="23"/>
      <c r="H17" s="21"/>
      <c r="I17" s="21"/>
      <c r="J17" s="21"/>
      <c r="K17" s="21"/>
      <c r="L17" s="21"/>
      <c r="M17" s="21"/>
      <c r="N17" s="21"/>
      <c r="O17" s="21"/>
      <c r="P17" s="21"/>
    </row>
    <row r="18" spans="1:18" ht="15.75" customHeight="1">
      <c r="A18" s="20" t="s">
        <v>568</v>
      </c>
      <c r="B18" s="110" t="s">
        <v>653</v>
      </c>
      <c r="C18" s="115"/>
      <c r="D18" s="111"/>
      <c r="E18" s="21"/>
      <c r="H18" s="24"/>
      <c r="L18" s="127" t="s">
        <v>176</v>
      </c>
      <c r="M18" s="146"/>
      <c r="N18" s="110" t="s">
        <v>455</v>
      </c>
      <c r="O18" s="115"/>
      <c r="P18" s="111"/>
    </row>
    <row r="19" spans="1:18" s="14" customFormat="1" ht="6" customHeight="1">
      <c r="A19" s="9"/>
      <c r="B19" s="25"/>
      <c r="C19" s="26"/>
      <c r="D19" s="25"/>
      <c r="E19" s="18"/>
      <c r="F19" s="18"/>
      <c r="G19" s="18"/>
      <c r="H19" s="18"/>
      <c r="I19" s="21"/>
      <c r="J19" s="21"/>
      <c r="K19" s="19"/>
      <c r="L19" s="19"/>
      <c r="M19" s="19"/>
      <c r="N19" s="19"/>
      <c r="O19" s="19"/>
      <c r="P19" s="19"/>
    </row>
    <row r="20" spans="1:18" ht="24" thickBot="1">
      <c r="A20" s="15" t="s">
        <v>570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R20" s="27"/>
    </row>
    <row r="21" spans="1:18" s="14" customFormat="1" ht="6" customHeight="1" thickTop="1">
      <c r="A21" s="9"/>
      <c r="B21" s="25"/>
      <c r="C21" s="26"/>
      <c r="D21" s="25"/>
      <c r="E21" s="18"/>
      <c r="F21" s="18"/>
      <c r="G21" s="18"/>
      <c r="H21" s="18"/>
      <c r="I21" s="19"/>
      <c r="J21" s="19"/>
      <c r="K21" s="19"/>
      <c r="L21" s="19"/>
      <c r="M21" s="19"/>
      <c r="N21" s="19"/>
      <c r="O21" s="19"/>
      <c r="P21" s="19"/>
      <c r="R21" s="27"/>
    </row>
    <row r="22" spans="1:18" ht="15.75" customHeight="1">
      <c r="A22" s="20" t="s">
        <v>571</v>
      </c>
      <c r="B22" s="64" t="s">
        <v>698</v>
      </c>
      <c r="C22" s="48" t="s">
        <v>694</v>
      </c>
      <c r="D22" s="34" t="s">
        <v>573</v>
      </c>
      <c r="E22" s="110" t="s">
        <v>178</v>
      </c>
      <c r="F22" s="111"/>
      <c r="G22" s="48" t="str">
        <f>C22</f>
        <v>pcs</v>
      </c>
      <c r="H22" s="34" t="s">
        <v>575</v>
      </c>
      <c r="I22" s="110" t="s">
        <v>178</v>
      </c>
      <c r="J22" s="111"/>
      <c r="K22" s="48" t="str">
        <f>C22</f>
        <v>pcs</v>
      </c>
      <c r="M22" s="34" t="s">
        <v>574</v>
      </c>
      <c r="N22" s="110" t="s">
        <v>178</v>
      </c>
      <c r="O22" s="111"/>
      <c r="P22" s="48" t="str">
        <f>C22</f>
        <v>pcs</v>
      </c>
    </row>
    <row r="23" spans="1:18" s="14" customFormat="1" ht="6" customHeight="1">
      <c r="A23" s="9"/>
      <c r="B23" s="25"/>
      <c r="C23" s="26"/>
      <c r="D23" s="25"/>
      <c r="E23" s="18"/>
      <c r="F23" s="18"/>
      <c r="G23" s="18"/>
      <c r="H23" s="18"/>
      <c r="I23" s="19"/>
      <c r="J23" s="19"/>
      <c r="K23" s="19"/>
      <c r="L23" s="19"/>
      <c r="M23" s="19"/>
      <c r="N23" s="19"/>
      <c r="O23" s="19"/>
      <c r="P23" s="19"/>
    </row>
    <row r="24" spans="1:18" ht="15.75" customHeight="1">
      <c r="A24" s="20" t="s">
        <v>572</v>
      </c>
      <c r="B24" s="143" t="s">
        <v>179</v>
      </c>
      <c r="C24" s="144"/>
      <c r="D24" s="145"/>
      <c r="E24" s="112" t="s">
        <v>696</v>
      </c>
      <c r="F24" s="114"/>
      <c r="H24" s="52" t="s">
        <v>683</v>
      </c>
      <c r="J24" s="110"/>
      <c r="K24" s="115"/>
      <c r="L24" s="115"/>
      <c r="M24" s="111"/>
      <c r="N24" s="21"/>
      <c r="O24" s="21"/>
      <c r="P24" s="21"/>
      <c r="Q24" s="53"/>
    </row>
    <row r="25" spans="1:18" s="14" customFormat="1" ht="6" customHeight="1">
      <c r="A25" s="9"/>
      <c r="B25" s="25"/>
      <c r="C25" s="26"/>
      <c r="D25" s="25"/>
      <c r="E25" s="18"/>
      <c r="F25" s="18"/>
      <c r="G25" s="18"/>
      <c r="H25" s="18"/>
      <c r="I25" s="19"/>
      <c r="J25" s="19"/>
      <c r="K25" s="19"/>
      <c r="L25" s="19"/>
      <c r="M25" s="19"/>
      <c r="N25" s="19"/>
      <c r="O25" s="19"/>
      <c r="P25" s="19"/>
    </row>
    <row r="26" spans="1:18" ht="15.75" customHeight="1">
      <c r="A26" s="20" t="s">
        <v>576</v>
      </c>
      <c r="B26" s="52" t="s">
        <v>577</v>
      </c>
      <c r="C26" s="52"/>
      <c r="D26" s="21"/>
      <c r="E26" s="110" t="s">
        <v>175</v>
      </c>
      <c r="F26" s="111"/>
      <c r="H26" s="52"/>
      <c r="I26" s="21"/>
      <c r="O26" s="21"/>
      <c r="P26" s="21"/>
    </row>
    <row r="27" spans="1:18" s="14" customFormat="1" ht="6" customHeight="1">
      <c r="A27" s="9"/>
      <c r="B27" s="19"/>
      <c r="C27" s="19"/>
      <c r="D27" s="19"/>
      <c r="E27" s="19"/>
      <c r="F27" s="25"/>
      <c r="H27" s="26"/>
      <c r="I27" s="25"/>
      <c r="J27" s="18"/>
      <c r="K27" s="18"/>
      <c r="L27" s="19"/>
      <c r="M27" s="19"/>
      <c r="N27" s="19"/>
      <c r="O27" s="19"/>
      <c r="P27" s="19"/>
    </row>
    <row r="28" spans="1:18" s="14" customFormat="1" ht="15.75" customHeight="1">
      <c r="A28" s="20" t="s">
        <v>578</v>
      </c>
      <c r="B28" s="123" t="s">
        <v>579</v>
      </c>
      <c r="C28" s="123"/>
      <c r="D28" s="123"/>
      <c r="E28" s="47"/>
      <c r="F28" s="6"/>
      <c r="H28" s="51" t="s">
        <v>580</v>
      </c>
      <c r="I28" s="51"/>
      <c r="J28" s="51"/>
      <c r="K28" s="47"/>
      <c r="P28" s="19"/>
    </row>
    <row r="29" spans="1:18" ht="6" customHeight="1">
      <c r="A29" s="22"/>
      <c r="B29" s="23"/>
      <c r="C29" s="23"/>
      <c r="D29" s="23"/>
      <c r="E29" s="23"/>
      <c r="F29" s="23"/>
      <c r="H29" s="23"/>
      <c r="I29" s="23"/>
      <c r="J29" s="23"/>
      <c r="K29" s="23"/>
      <c r="L29" s="21"/>
      <c r="M29" s="21"/>
      <c r="N29" s="21"/>
      <c r="O29" s="21"/>
      <c r="P29" s="21"/>
    </row>
    <row r="30" spans="1:18" s="14" customFormat="1" ht="15.75" customHeight="1">
      <c r="A30" s="20"/>
      <c r="B30" s="123" t="s">
        <v>581</v>
      </c>
      <c r="C30" s="123"/>
      <c r="D30" s="123"/>
      <c r="E30" s="47"/>
      <c r="F30" s="6"/>
      <c r="H30" s="51" t="s">
        <v>582</v>
      </c>
      <c r="I30" s="51"/>
      <c r="J30" s="51"/>
      <c r="K30" s="47"/>
      <c r="L30" s="6"/>
      <c r="M30" s="19"/>
      <c r="N30" s="51" t="s">
        <v>583</v>
      </c>
      <c r="O30" s="47" t="s">
        <v>497</v>
      </c>
      <c r="P30" s="51"/>
    </row>
    <row r="31" spans="1:18" ht="6" customHeight="1">
      <c r="A31" s="22"/>
      <c r="B31" s="23"/>
      <c r="C31" s="23"/>
      <c r="D31" s="23"/>
      <c r="E31" s="23"/>
      <c r="F31" s="23"/>
      <c r="H31" s="21"/>
      <c r="I31" s="21"/>
      <c r="J31" s="21"/>
      <c r="K31" s="21"/>
      <c r="L31" s="21"/>
      <c r="M31" s="21"/>
      <c r="N31" s="21"/>
      <c r="O31" s="21"/>
      <c r="P31" s="21"/>
    </row>
    <row r="32" spans="1:18" s="14" customFormat="1" ht="15.75" customHeight="1">
      <c r="A32" s="20"/>
      <c r="B32" s="123" t="s">
        <v>180</v>
      </c>
      <c r="C32" s="123"/>
      <c r="D32" s="123"/>
      <c r="E32" s="47" t="s">
        <v>497</v>
      </c>
      <c r="F32" s="6"/>
      <c r="M32" s="20"/>
      <c r="N32" s="52" t="s">
        <v>584</v>
      </c>
      <c r="O32" s="110"/>
      <c r="P32" s="111"/>
    </row>
    <row r="33" spans="1:19" ht="6" customHeight="1">
      <c r="A33" s="22"/>
      <c r="B33" s="23"/>
      <c r="C33" s="23"/>
      <c r="D33" s="23"/>
      <c r="E33" s="23"/>
      <c r="F33" s="23"/>
      <c r="H33" s="21"/>
      <c r="I33" s="21"/>
      <c r="J33" s="21"/>
      <c r="K33" s="21"/>
      <c r="M33" s="21"/>
      <c r="N33" s="21"/>
      <c r="O33" s="21"/>
      <c r="P33" s="21"/>
    </row>
    <row r="34" spans="1:19" s="14" customFormat="1" ht="15.75" customHeight="1">
      <c r="A34" s="20"/>
      <c r="C34" s="52" t="s">
        <v>178</v>
      </c>
      <c r="D34" s="6"/>
      <c r="E34" s="110"/>
      <c r="F34" s="111"/>
      <c r="H34" s="52" t="s">
        <v>585</v>
      </c>
      <c r="K34" s="110" t="s">
        <v>175</v>
      </c>
      <c r="L34" s="111"/>
      <c r="N34" s="124" t="str">
        <f>IF(O30=DB!AL2,"NDA required","")</f>
        <v/>
      </c>
      <c r="O34" s="124"/>
      <c r="P34" s="124"/>
    </row>
    <row r="35" spans="1:19" s="14" customFormat="1" ht="6" customHeight="1">
      <c r="A35" s="9"/>
      <c r="B35" s="25"/>
      <c r="C35" s="26"/>
      <c r="D35" s="25"/>
      <c r="E35" s="18"/>
      <c r="F35" s="18"/>
      <c r="G35" s="18"/>
      <c r="H35" s="18"/>
      <c r="I35" s="21"/>
      <c r="J35" s="21"/>
      <c r="K35" s="19"/>
      <c r="L35" s="19"/>
      <c r="M35" s="19"/>
      <c r="N35" s="19"/>
      <c r="O35" s="19"/>
      <c r="P35" s="19"/>
    </row>
    <row r="36" spans="1:19" ht="24" thickBot="1">
      <c r="A36" s="15" t="s">
        <v>586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</row>
    <row r="37" spans="1:19" ht="6" customHeight="1" thickTop="1">
      <c r="A37" s="22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</row>
    <row r="38" spans="1:19" s="14" customFormat="1" ht="21" customHeight="1">
      <c r="A38" s="20" t="s">
        <v>48</v>
      </c>
      <c r="B38" s="110"/>
      <c r="C38" s="115"/>
      <c r="D38" s="115"/>
      <c r="E38" s="115"/>
      <c r="F38" s="115"/>
      <c r="G38" s="111"/>
      <c r="I38" s="9" t="s">
        <v>171</v>
      </c>
      <c r="K38" s="110"/>
      <c r="L38" s="115"/>
      <c r="M38" s="115"/>
      <c r="N38" s="115"/>
      <c r="O38" s="115"/>
      <c r="P38" s="111"/>
      <c r="R38" s="63" t="str">
        <f>IF(B38="","",CONCATENATE("CE ",B38))</f>
        <v/>
      </c>
      <c r="S38" s="63" t="str">
        <f>IF(K38="","",CONCATENATE("CE ",K38))</f>
        <v/>
      </c>
    </row>
    <row r="39" spans="1:19" ht="6" customHeight="1">
      <c r="A39" s="22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</row>
    <row r="40" spans="1:19" ht="15.75" customHeight="1">
      <c r="A40" s="20" t="s">
        <v>587</v>
      </c>
      <c r="B40" s="101" t="s">
        <v>177</v>
      </c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3"/>
    </row>
    <row r="41" spans="1:19" ht="15.75" customHeight="1">
      <c r="A41" s="20"/>
      <c r="B41" s="104"/>
      <c r="C41" s="105"/>
      <c r="D41" s="105"/>
      <c r="E41" s="105"/>
      <c r="F41" s="105"/>
      <c r="G41" s="105"/>
      <c r="H41" s="105"/>
      <c r="I41" s="105"/>
      <c r="J41" s="105"/>
      <c r="K41" s="105"/>
      <c r="L41" s="105"/>
      <c r="M41" s="105"/>
      <c r="N41" s="105"/>
      <c r="O41" s="105"/>
      <c r="P41" s="106"/>
    </row>
    <row r="42" spans="1:19" ht="15.75" customHeight="1">
      <c r="A42" s="20"/>
      <c r="B42" s="104"/>
      <c r="C42" s="105"/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6"/>
    </row>
    <row r="43" spans="1:19" ht="15.75" customHeight="1">
      <c r="A43" s="20"/>
      <c r="B43" s="107"/>
      <c r="C43" s="108"/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9"/>
    </row>
    <row r="44" spans="1:19" ht="6" customHeight="1">
      <c r="A44" s="22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</row>
    <row r="45" spans="1:19" ht="21.6" thickBot="1">
      <c r="A45" s="29" t="s">
        <v>588</v>
      </c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</row>
    <row r="46" spans="1:19" ht="6" customHeigh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</row>
    <row r="47" spans="1:19" ht="15.75" customHeight="1">
      <c r="A47" s="20" t="s">
        <v>589</v>
      </c>
      <c r="B47" s="110" t="s">
        <v>506</v>
      </c>
      <c r="C47" s="115"/>
      <c r="D47" s="111"/>
      <c r="E47" s="21"/>
      <c r="F47" s="52" t="s">
        <v>508</v>
      </c>
      <c r="G47" s="52"/>
      <c r="H47" s="149">
        <v>25</v>
      </c>
      <c r="I47" s="150"/>
      <c r="J47" s="48" t="s">
        <v>509</v>
      </c>
      <c r="L47" s="47">
        <v>0</v>
      </c>
      <c r="M47" s="31" t="str">
        <f>IF(J47="","",J47)</f>
        <v>°C</v>
      </c>
      <c r="N47" s="47">
        <v>45</v>
      </c>
      <c r="O47" s="31" t="str">
        <f>IF(J47="","",J47)</f>
        <v>°C</v>
      </c>
    </row>
    <row r="48" spans="1:19" ht="6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</row>
    <row r="49" spans="1:18" ht="15.75" customHeight="1">
      <c r="A49" s="60" t="str">
        <f>IF(D51+F51+H51+J51+L51+N51+P51=0,"",IF(ROUND((D49*D51+F49*F51+H49*H51+J49*J51+L49*L51+N49*N51+P49*P51)/100,0)=H47,"",CONCATENATE("Repartition Average Temperature = ",ROUND((D49*D51+F49*F51+H49*H51+J49*J51+L49*L51+N49*N51+P49*P51)/100,0))))</f>
        <v/>
      </c>
      <c r="B49" s="52" t="s">
        <v>511</v>
      </c>
      <c r="D49" s="49">
        <v>25</v>
      </c>
      <c r="E49" s="21" t="str">
        <f>IF(J47="","",J47)</f>
        <v>°C</v>
      </c>
      <c r="F49" s="49">
        <f>IF(OR(L47="Min",L47=""),IF($J$47=DB!$AZ$2,-20,0),ROUND(L47+(H47-L47)/3,1))</f>
        <v>8.3000000000000007</v>
      </c>
      <c r="G49" s="21" t="str">
        <f>IF(J47="","",J47)</f>
        <v>°C</v>
      </c>
      <c r="H49" s="49">
        <f>IF(OR(L47="Min",L47=""),IF($J$47=DB!$AZ$2,0,40),ROUND(F49+(H47-L47)/3,1))</f>
        <v>16.600000000000001</v>
      </c>
      <c r="I49" s="32" t="str">
        <f>IF(J47="","",J47)</f>
        <v>°C</v>
      </c>
      <c r="J49" s="49">
        <f>IF(OR(H47="Average",H47=""),IF($J$47=DB!$AZ$2,20,70),H47)</f>
        <v>25</v>
      </c>
      <c r="K49" s="32" t="str">
        <f>IF(J47="","",J47)</f>
        <v>°C</v>
      </c>
      <c r="L49" s="49">
        <f>IF(OR(N47="Max",N47=""),IF($J$47=DB!$AZ$2,40,100),ROUND(H47+(N47-H47)/3,1))</f>
        <v>31.7</v>
      </c>
      <c r="M49" s="32" t="str">
        <f>IF(J47="","",J47)</f>
        <v>°C</v>
      </c>
      <c r="N49" s="49">
        <f>IF(OR(N47="Max",N47=""),IF($J$47=DB!$AZ$2,60,140),ROUND(L49+(N47-H47)/3,1))</f>
        <v>38.4</v>
      </c>
      <c r="O49" s="32" t="str">
        <f>IF(J47="","",J47)</f>
        <v>°C</v>
      </c>
      <c r="P49" s="49">
        <f>IF(OR(N47="Max",N47=""),IF($J$47=DB!$AZ$2,80,180),N47)</f>
        <v>45</v>
      </c>
      <c r="Q49" s="52"/>
    </row>
    <row r="50" spans="1:18" ht="6" customHeight="1">
      <c r="A50" s="22"/>
      <c r="B50" s="52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</row>
    <row r="51" spans="1:18" ht="15.75" customHeight="1">
      <c r="A51" s="60" t="str">
        <f>IF(D51+F51+H51+J51+L51+N51+P51=0,"",IF(D51+F51+H51+J51+L51+N51+P51=100,"",CONCATENATE("Total is equal to ",D51+F51+H51+J51+L51+N51+P51)))</f>
        <v/>
      </c>
      <c r="B51" s="52" t="s">
        <v>512</v>
      </c>
      <c r="D51" s="47">
        <v>100</v>
      </c>
      <c r="E51" s="21" t="s">
        <v>513</v>
      </c>
      <c r="F51" s="47"/>
      <c r="G51" s="21" t="s">
        <v>513</v>
      </c>
      <c r="H51" s="47"/>
      <c r="I51" s="32" t="s">
        <v>513</v>
      </c>
      <c r="J51" s="47"/>
      <c r="K51" s="32" t="s">
        <v>513</v>
      </c>
      <c r="L51" s="47"/>
      <c r="M51" s="32" t="s">
        <v>513</v>
      </c>
      <c r="N51" s="47"/>
      <c r="O51" s="32" t="s">
        <v>513</v>
      </c>
      <c r="P51" s="47"/>
      <c r="Q51" s="52"/>
    </row>
    <row r="52" spans="1:18" ht="6" customHeight="1">
      <c r="A52" s="22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</row>
    <row r="53" spans="1:18" ht="15.75" customHeight="1">
      <c r="A53" s="20" t="str">
        <f>IF(OR(B47=DB!$AY$2,B47=""),"","Example of Device Location Climate")</f>
        <v>Example of Device Location Climate</v>
      </c>
      <c r="B53" s="110" t="s">
        <v>702</v>
      </c>
      <c r="C53" s="115"/>
      <c r="D53" s="111"/>
      <c r="E53" s="21"/>
      <c r="F53" s="110" t="s">
        <v>182</v>
      </c>
      <c r="G53" s="115"/>
      <c r="H53" s="111"/>
      <c r="I53" s="32"/>
      <c r="J53" s="110" t="s">
        <v>182</v>
      </c>
      <c r="K53" s="115"/>
      <c r="L53" s="111"/>
      <c r="M53" s="32"/>
      <c r="N53" s="110" t="s">
        <v>61</v>
      </c>
      <c r="O53" s="115"/>
      <c r="P53" s="111"/>
      <c r="Q53" s="52"/>
      <c r="R53" s="33"/>
    </row>
    <row r="54" spans="1:18" ht="6" customHeight="1">
      <c r="A54" s="22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</row>
    <row r="55" spans="1:18" ht="15.75" customHeight="1">
      <c r="A55" s="20" t="s">
        <v>590</v>
      </c>
      <c r="B55" s="52" t="s">
        <v>591</v>
      </c>
      <c r="C55" s="21"/>
      <c r="D55" s="21"/>
      <c r="E55" s="47" t="s">
        <v>497</v>
      </c>
      <c r="F55" s="34" t="str">
        <f>IF(OR(E55=DB!AL1,E55=DB!AL2),"Zone","")</f>
        <v/>
      </c>
      <c r="G55" s="47"/>
      <c r="I55" s="52" t="s">
        <v>592</v>
      </c>
      <c r="L55" s="21"/>
      <c r="M55" s="110"/>
      <c r="N55" s="111"/>
      <c r="O55" s="21"/>
      <c r="P55" s="21"/>
      <c r="Q55" s="52"/>
    </row>
    <row r="56" spans="1:18" ht="6" customHeight="1">
      <c r="A56" s="22"/>
      <c r="B56" s="21"/>
      <c r="C56" s="21"/>
      <c r="D56" s="21"/>
      <c r="E56" s="21"/>
      <c r="F56" s="21"/>
      <c r="G56" s="21"/>
      <c r="H56" s="21"/>
      <c r="I56" s="21"/>
      <c r="K56" s="21"/>
      <c r="L56" s="21"/>
      <c r="M56" s="21"/>
      <c r="N56" s="21"/>
      <c r="O56" s="21"/>
      <c r="P56" s="21"/>
    </row>
    <row r="57" spans="1:18" ht="15.75" customHeight="1">
      <c r="A57" s="20" t="s">
        <v>596</v>
      </c>
      <c r="B57" s="52" t="s">
        <v>593</v>
      </c>
      <c r="C57" s="21"/>
      <c r="D57" s="21"/>
      <c r="E57" s="47" t="s">
        <v>497</v>
      </c>
      <c r="G57" s="35" t="str">
        <f>IF(E57=DB!AL3,"","Standards Reference")</f>
        <v/>
      </c>
      <c r="J57" s="36"/>
      <c r="K57" s="120"/>
      <c r="L57" s="121"/>
      <c r="M57" s="121"/>
      <c r="N57" s="121"/>
      <c r="O57" s="121"/>
      <c r="P57" s="122"/>
      <c r="Q57" s="52"/>
    </row>
    <row r="58" spans="1:18" ht="6" customHeight="1">
      <c r="A58" s="22"/>
      <c r="B58" s="21"/>
      <c r="C58" s="21"/>
      <c r="D58" s="21"/>
      <c r="E58" s="21"/>
      <c r="F58" s="21"/>
      <c r="G58" s="21"/>
      <c r="I58" s="21"/>
      <c r="K58" s="21"/>
      <c r="L58" s="21"/>
      <c r="M58" s="21"/>
      <c r="N58" s="21"/>
      <c r="O58" s="21"/>
      <c r="P58" s="21"/>
    </row>
    <row r="59" spans="1:18" ht="15.75" customHeight="1">
      <c r="A59" s="20"/>
      <c r="B59" s="52" t="s">
        <v>684</v>
      </c>
      <c r="C59" s="21"/>
      <c r="D59" s="21"/>
      <c r="E59" s="47" t="s">
        <v>497</v>
      </c>
      <c r="G59" s="35" t="str">
        <f>IF(E59=DB!AL3,"","Standards Reference")</f>
        <v/>
      </c>
      <c r="J59" s="36"/>
      <c r="K59" s="120"/>
      <c r="L59" s="121"/>
      <c r="M59" s="121"/>
      <c r="N59" s="121"/>
      <c r="O59" s="121"/>
      <c r="P59" s="122"/>
      <c r="Q59" s="52"/>
    </row>
    <row r="60" spans="1:18" ht="6" customHeight="1">
      <c r="A60" s="22"/>
      <c r="B60" s="21"/>
      <c r="C60" s="21"/>
      <c r="D60" s="21"/>
      <c r="E60" s="21"/>
      <c r="F60" s="21"/>
      <c r="G60" s="21"/>
      <c r="I60" s="21"/>
      <c r="K60" s="21"/>
      <c r="L60" s="21"/>
      <c r="M60" s="21"/>
      <c r="N60" s="21"/>
      <c r="O60" s="21"/>
      <c r="P60" s="21"/>
    </row>
    <row r="61" spans="1:18" ht="15.75" customHeight="1">
      <c r="A61" s="20"/>
      <c r="B61" s="52" t="s">
        <v>594</v>
      </c>
      <c r="C61" s="21"/>
      <c r="D61" s="21"/>
      <c r="E61" s="47" t="s">
        <v>496</v>
      </c>
      <c r="F61" s="37"/>
      <c r="G61" s="35" t="s">
        <v>595</v>
      </c>
      <c r="J61" s="36"/>
      <c r="K61" s="47" t="s">
        <v>497</v>
      </c>
      <c r="L61" s="125" t="str">
        <f>IF(K61=DB!AL3,"","Reference")</f>
        <v/>
      </c>
      <c r="M61" s="126"/>
      <c r="N61" s="110"/>
      <c r="O61" s="115"/>
      <c r="P61" s="111"/>
      <c r="Q61" s="52"/>
    </row>
    <row r="62" spans="1:18" ht="6" customHeight="1">
      <c r="A62" s="22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</row>
    <row r="63" spans="1:18" ht="15.75" customHeight="1">
      <c r="A63" s="20"/>
      <c r="B63" s="101" t="s">
        <v>657</v>
      </c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3"/>
    </row>
    <row r="64" spans="1:18" ht="6" customHeight="1">
      <c r="A64" s="22"/>
      <c r="B64" s="104"/>
      <c r="C64" s="105"/>
      <c r="D64" s="105"/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6"/>
    </row>
    <row r="65" spans="1:18" ht="15.75" customHeight="1">
      <c r="A65" s="20"/>
      <c r="B65" s="107"/>
      <c r="C65" s="108"/>
      <c r="D65" s="108"/>
      <c r="E65" s="108"/>
      <c r="F65" s="108"/>
      <c r="G65" s="108"/>
      <c r="H65" s="108"/>
      <c r="I65" s="108"/>
      <c r="J65" s="108"/>
      <c r="K65" s="108"/>
      <c r="L65" s="108"/>
      <c r="M65" s="108"/>
      <c r="N65" s="108"/>
      <c r="O65" s="108"/>
      <c r="P65" s="109"/>
      <c r="Q65" s="52"/>
    </row>
    <row r="66" spans="1:18" ht="6" customHeight="1">
      <c r="A66" s="22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</row>
    <row r="67" spans="1:18" ht="21.6" thickBot="1">
      <c r="A67" s="29" t="s">
        <v>597</v>
      </c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</row>
    <row r="68" spans="1:18" ht="6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</row>
    <row r="69" spans="1:18" ht="15.75" customHeight="1">
      <c r="A69" s="20" t="s">
        <v>661</v>
      </c>
      <c r="B69" s="41" t="s">
        <v>660</v>
      </c>
      <c r="C69" s="21"/>
      <c r="D69" s="21"/>
      <c r="E69" s="21"/>
      <c r="G69" s="110"/>
      <c r="H69" s="115"/>
      <c r="I69" s="115"/>
      <c r="J69" s="112" t="s">
        <v>24</v>
      </c>
      <c r="K69" s="114"/>
      <c r="M69" s="151" t="s">
        <v>704</v>
      </c>
      <c r="N69" s="151"/>
      <c r="O69" s="151"/>
      <c r="P69" s="151"/>
    </row>
    <row r="70" spans="1:18" ht="6" customHeight="1">
      <c r="A70" s="22"/>
      <c r="B70" s="25"/>
      <c r="C70" s="26"/>
      <c r="D70" s="25"/>
      <c r="E70" s="18"/>
      <c r="F70" s="18"/>
      <c r="G70" s="18"/>
      <c r="H70" s="18"/>
      <c r="I70" s="21"/>
      <c r="J70" s="21"/>
      <c r="K70" s="19"/>
      <c r="M70" s="151"/>
      <c r="N70" s="151"/>
      <c r="O70" s="151"/>
      <c r="P70" s="151"/>
    </row>
    <row r="71" spans="1:18" ht="15.75" customHeight="1">
      <c r="A71" s="20"/>
      <c r="B71" s="41" t="s">
        <v>659</v>
      </c>
      <c r="C71" s="26"/>
      <c r="E71" s="18"/>
      <c r="F71" s="18"/>
      <c r="G71" s="110">
        <v>2</v>
      </c>
      <c r="H71" s="115"/>
      <c r="I71" s="115"/>
      <c r="J71" s="112" t="s">
        <v>24</v>
      </c>
      <c r="K71" s="114"/>
      <c r="M71" s="151"/>
      <c r="N71" s="151"/>
      <c r="O71" s="151"/>
      <c r="P71" s="151"/>
      <c r="R71" s="53"/>
    </row>
    <row r="72" spans="1:18" ht="6" customHeight="1">
      <c r="A72" s="22"/>
      <c r="B72" s="25"/>
      <c r="C72" s="26"/>
      <c r="E72" s="18"/>
      <c r="F72" s="18"/>
      <c r="G72" s="18"/>
      <c r="H72" s="18"/>
      <c r="I72" s="21"/>
      <c r="K72" s="61"/>
      <c r="M72" s="62"/>
      <c r="N72" s="62"/>
      <c r="O72" s="62"/>
      <c r="P72" s="62"/>
    </row>
    <row r="73" spans="1:18" ht="15.75" customHeight="1">
      <c r="A73" s="20"/>
      <c r="B73" s="52" t="s">
        <v>607</v>
      </c>
      <c r="C73" s="18"/>
      <c r="D73" s="18"/>
      <c r="E73" s="18"/>
      <c r="F73" s="18"/>
      <c r="G73" s="21"/>
      <c r="H73" s="161" t="s">
        <v>30</v>
      </c>
      <c r="I73" s="162"/>
      <c r="J73" s="99">
        <v>2.6</v>
      </c>
      <c r="K73" s="48" t="s">
        <v>33</v>
      </c>
      <c r="L73" s="159" t="s">
        <v>32</v>
      </c>
      <c r="M73" s="160"/>
      <c r="N73" s="48">
        <v>3.6</v>
      </c>
      <c r="O73" s="48" t="str">
        <f>K73</f>
        <v>V</v>
      </c>
      <c r="R73" s="33"/>
    </row>
    <row r="74" spans="1:18" ht="6" customHeight="1">
      <c r="A74" s="22"/>
      <c r="B74" s="25"/>
      <c r="C74" s="26"/>
      <c r="D74" s="25"/>
      <c r="E74" s="18"/>
      <c r="F74" s="18"/>
      <c r="G74" s="18"/>
      <c r="H74" s="18"/>
      <c r="I74" s="21"/>
      <c r="J74" s="21"/>
      <c r="K74" s="19"/>
      <c r="L74" s="19"/>
      <c r="M74" s="19"/>
      <c r="N74" s="19"/>
      <c r="O74" s="19"/>
      <c r="P74" s="19"/>
    </row>
    <row r="75" spans="1:18" ht="15.75" customHeight="1">
      <c r="A75" s="20"/>
      <c r="B75" s="116" t="str">
        <f>IF(J73="","Electronics Minimum Operating Voltage is a Key Parameter for Battery Selection and Sizing","")</f>
        <v/>
      </c>
      <c r="C75" s="116"/>
      <c r="D75" s="116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</row>
    <row r="76" spans="1:18" ht="6" customHeight="1">
      <c r="A76" s="22"/>
      <c r="B76" s="25"/>
      <c r="C76" s="26"/>
      <c r="D76" s="25"/>
      <c r="E76" s="18"/>
      <c r="F76" s="18"/>
      <c r="G76" s="18"/>
      <c r="H76" s="18"/>
      <c r="I76" s="21"/>
      <c r="J76" s="21"/>
      <c r="K76" s="19"/>
      <c r="N76" s="19"/>
      <c r="O76" s="19"/>
      <c r="P76" s="19"/>
    </row>
    <row r="77" spans="1:18" ht="15.75" customHeight="1">
      <c r="A77" s="100" t="s">
        <v>663</v>
      </c>
      <c r="B77" s="154" t="s">
        <v>539</v>
      </c>
      <c r="C77" s="154"/>
      <c r="D77" s="152" t="s">
        <v>598</v>
      </c>
      <c r="E77" s="152"/>
      <c r="F77" s="154" t="s">
        <v>183</v>
      </c>
      <c r="G77" s="154"/>
      <c r="H77" s="154"/>
      <c r="I77" s="154" t="s">
        <v>538</v>
      </c>
      <c r="J77" s="154"/>
      <c r="K77" s="154"/>
      <c r="L77" s="154"/>
      <c r="M77" s="152" t="s">
        <v>599</v>
      </c>
      <c r="N77" s="152"/>
      <c r="O77" s="152"/>
      <c r="P77" s="62"/>
    </row>
    <row r="78" spans="1:18" ht="15.75" customHeight="1">
      <c r="A78" s="100"/>
      <c r="B78" s="155"/>
      <c r="C78" s="155"/>
      <c r="D78" s="153"/>
      <c r="E78" s="153"/>
      <c r="F78" s="156"/>
      <c r="G78" s="156"/>
      <c r="H78" s="156"/>
      <c r="I78" s="156"/>
      <c r="J78" s="156"/>
      <c r="K78" s="156"/>
      <c r="L78" s="156"/>
      <c r="M78" s="157"/>
      <c r="N78" s="157"/>
      <c r="O78" s="157"/>
      <c r="P78" s="62"/>
    </row>
    <row r="79" spans="1:18" ht="6" customHeight="1">
      <c r="A79" s="22"/>
      <c r="B79" s="25"/>
      <c r="C79" s="26"/>
      <c r="D79" s="25"/>
      <c r="E79" s="18"/>
      <c r="F79" s="18"/>
      <c r="G79" s="18"/>
      <c r="H79" s="18"/>
      <c r="I79" s="21"/>
      <c r="J79" s="21"/>
      <c r="K79" s="19"/>
      <c r="N79" s="19"/>
      <c r="O79" s="19"/>
      <c r="P79" s="19"/>
    </row>
    <row r="80" spans="1:18" ht="18">
      <c r="A80" s="20" t="s">
        <v>726</v>
      </c>
      <c r="B80" s="110" t="s">
        <v>727</v>
      </c>
      <c r="C80" s="115"/>
      <c r="D80" s="115"/>
      <c r="E80" s="111"/>
    </row>
    <row r="81" spans="1:32" ht="6" customHeight="1">
      <c r="A81" s="22"/>
      <c r="B81" s="21"/>
      <c r="C81" s="21"/>
      <c r="D81" s="21"/>
      <c r="P81" s="62"/>
    </row>
    <row r="82" spans="1:32" ht="15.75" customHeight="1">
      <c r="A82" s="20" t="s">
        <v>664</v>
      </c>
      <c r="B82" s="110" t="s">
        <v>534</v>
      </c>
      <c r="C82" s="111"/>
      <c r="D82" s="49">
        <v>3</v>
      </c>
      <c r="E82" s="48" t="str">
        <f>IF($B$80=DB!$CJ$1,"µA","µW")</f>
        <v>µA</v>
      </c>
      <c r="F82" s="50">
        <v>1</v>
      </c>
      <c r="G82" s="112" t="s">
        <v>20</v>
      </c>
      <c r="H82" s="114"/>
      <c r="J82" s="158" t="s">
        <v>725</v>
      </c>
      <c r="K82" s="158"/>
      <c r="L82" s="158"/>
      <c r="M82" s="158"/>
      <c r="N82" s="158"/>
      <c r="O82" s="158"/>
      <c r="P82" s="62"/>
      <c r="X82" s="21"/>
      <c r="Y82" s="21"/>
      <c r="Z82" s="21"/>
      <c r="AA82" s="21"/>
      <c r="AB82" s="21"/>
      <c r="AC82" s="21"/>
      <c r="AD82" s="21"/>
      <c r="AE82" s="21"/>
      <c r="AF82" s="21"/>
    </row>
    <row r="83" spans="1:32" ht="6" customHeight="1">
      <c r="A83" s="22"/>
      <c r="B83" s="58"/>
      <c r="C83" s="58"/>
      <c r="D83" s="58"/>
      <c r="E83" s="59"/>
      <c r="F83" s="59"/>
      <c r="G83" s="59"/>
      <c r="H83" s="59"/>
      <c r="P83" s="62"/>
      <c r="R83" s="33"/>
      <c r="X83" s="21"/>
      <c r="Y83" s="21"/>
      <c r="Z83" s="21"/>
      <c r="AA83" s="21"/>
      <c r="AB83" s="21"/>
      <c r="AC83" s="21"/>
    </row>
    <row r="84" spans="1:32" ht="15.75" customHeight="1">
      <c r="A84" s="20" t="s">
        <v>665</v>
      </c>
      <c r="B84" s="110" t="s">
        <v>533</v>
      </c>
      <c r="C84" s="111"/>
      <c r="D84" s="49">
        <v>0</v>
      </c>
      <c r="E84" s="48" t="str">
        <f>IF($B$80=DB!$CJ$1,"µA","µW")</f>
        <v>µA</v>
      </c>
      <c r="F84" s="50">
        <v>0</v>
      </c>
      <c r="G84" s="172" t="s">
        <v>19</v>
      </c>
      <c r="H84" s="173"/>
      <c r="I84" s="147"/>
      <c r="J84" s="148"/>
      <c r="K84" s="172" t="s">
        <v>20</v>
      </c>
      <c r="L84" s="173"/>
      <c r="P84" s="62"/>
      <c r="R84" s="33"/>
      <c r="X84" s="21"/>
      <c r="Y84" s="21"/>
      <c r="Z84" s="21"/>
      <c r="AA84" s="21"/>
      <c r="AB84" s="21"/>
      <c r="AC84" s="21"/>
    </row>
    <row r="85" spans="1:32" ht="6" customHeight="1">
      <c r="A85" s="22"/>
      <c r="B85" s="21"/>
      <c r="C85" s="21"/>
      <c r="P85" s="62"/>
      <c r="W85" s="21"/>
      <c r="X85" s="21"/>
      <c r="Y85" s="21"/>
      <c r="Z85" s="21"/>
      <c r="AA85" s="21"/>
      <c r="AB85" s="21"/>
      <c r="AC85" s="21"/>
    </row>
    <row r="86" spans="1:32" ht="15.75" customHeight="1">
      <c r="A86" s="20" t="s">
        <v>675</v>
      </c>
      <c r="B86" s="110" t="s">
        <v>169</v>
      </c>
      <c r="C86" s="111"/>
      <c r="D86" s="49">
        <v>25</v>
      </c>
      <c r="E86" s="48" t="str">
        <f>IF($B$80=DB!$CJ$1,"mA","mW")</f>
        <v>mA</v>
      </c>
      <c r="F86" s="50">
        <v>10</v>
      </c>
      <c r="G86" s="172" t="s">
        <v>18</v>
      </c>
      <c r="H86" s="173"/>
      <c r="I86" s="147"/>
      <c r="J86" s="148"/>
      <c r="K86" s="172" t="s">
        <v>22</v>
      </c>
      <c r="L86" s="173"/>
      <c r="M86" s="147"/>
      <c r="N86" s="148"/>
      <c r="O86" s="48" t="str">
        <f>IF($B$80=DB!$CJ$1,"A","W")</f>
        <v>A</v>
      </c>
      <c r="P86" s="62"/>
      <c r="W86" s="21"/>
      <c r="X86" s="21"/>
      <c r="Y86" s="21"/>
      <c r="Z86" s="21"/>
      <c r="AA86" s="21"/>
      <c r="AB86" s="21"/>
      <c r="AC86" s="21"/>
    </row>
    <row r="87" spans="1:32" ht="6" customHeight="1">
      <c r="A87" s="22"/>
      <c r="B87" s="21"/>
      <c r="C87" s="21"/>
      <c r="P87" s="62"/>
      <c r="W87" s="21"/>
      <c r="X87" s="21"/>
      <c r="Y87" s="21"/>
      <c r="Z87" s="21"/>
      <c r="AA87" s="21"/>
      <c r="AB87" s="21"/>
      <c r="AC87" s="21"/>
    </row>
    <row r="88" spans="1:32" ht="15.75" customHeight="1">
      <c r="A88" s="20" t="s">
        <v>676</v>
      </c>
      <c r="B88" s="110" t="s">
        <v>168</v>
      </c>
      <c r="C88" s="111"/>
      <c r="D88" s="49">
        <v>20</v>
      </c>
      <c r="E88" s="48" t="str">
        <f>IF($B$80=DB!$CJ$1,"mA","mW")</f>
        <v>mA</v>
      </c>
      <c r="F88" s="49">
        <v>200</v>
      </c>
      <c r="G88" s="172" t="s">
        <v>17</v>
      </c>
      <c r="H88" s="173"/>
      <c r="I88" s="147"/>
      <c r="J88" s="148"/>
      <c r="K88" s="172" t="s">
        <v>18</v>
      </c>
      <c r="L88" s="173"/>
      <c r="M88" s="147"/>
      <c r="N88" s="148"/>
      <c r="O88" s="48" t="str">
        <f>IF($B$80=DB!$CJ$1,"A","W")</f>
        <v>A</v>
      </c>
      <c r="P88" s="62"/>
      <c r="W88" s="21"/>
      <c r="X88" s="21"/>
      <c r="Y88" s="21"/>
      <c r="Z88" s="21"/>
      <c r="AA88" s="21"/>
      <c r="AB88" s="21"/>
      <c r="AC88" s="21"/>
    </row>
    <row r="89" spans="1:32" ht="6" customHeight="1">
      <c r="A89" s="22"/>
      <c r="B89" s="21"/>
      <c r="C89" s="21"/>
      <c r="P89" s="62"/>
      <c r="W89" s="21"/>
      <c r="X89" s="21"/>
      <c r="Y89" s="21"/>
      <c r="Z89" s="21"/>
      <c r="AA89" s="21"/>
      <c r="AB89" s="21"/>
      <c r="AC89" s="21"/>
    </row>
    <row r="90" spans="1:32" ht="15.75" customHeight="1">
      <c r="A90" s="20" t="s">
        <v>677</v>
      </c>
      <c r="B90" s="110"/>
      <c r="C90" s="111"/>
      <c r="D90" s="49"/>
      <c r="E90" s="48" t="str">
        <f>IF($B$80=DB!$CJ$1,"mA","mW")</f>
        <v>mA</v>
      </c>
      <c r="F90" s="49"/>
      <c r="G90" s="172" t="s">
        <v>19</v>
      </c>
      <c r="H90" s="173"/>
      <c r="I90" s="147"/>
      <c r="J90" s="148"/>
      <c r="K90" s="172" t="s">
        <v>18</v>
      </c>
      <c r="L90" s="173"/>
      <c r="M90" s="147"/>
      <c r="N90" s="148"/>
      <c r="O90" s="48" t="str">
        <f>IF($B$80=DB!$CJ$1,"A","W")</f>
        <v>A</v>
      </c>
      <c r="P90" s="62"/>
      <c r="W90" s="21"/>
      <c r="X90" s="21"/>
      <c r="Y90" s="21"/>
      <c r="Z90" s="21"/>
      <c r="AA90" s="21"/>
      <c r="AB90" s="21"/>
      <c r="AC90" s="21"/>
    </row>
    <row r="91" spans="1:32" ht="6" customHeight="1">
      <c r="A91" s="22"/>
      <c r="B91" s="21"/>
      <c r="C91" s="21"/>
      <c r="P91" s="62"/>
      <c r="W91" s="21"/>
      <c r="X91" s="21"/>
      <c r="Y91" s="21"/>
      <c r="Z91" s="21"/>
      <c r="AA91" s="21"/>
      <c r="AB91" s="21"/>
      <c r="AC91" s="21"/>
    </row>
    <row r="92" spans="1:32" ht="15.75" customHeight="1">
      <c r="A92" s="20" t="s">
        <v>678</v>
      </c>
      <c r="B92" s="110"/>
      <c r="C92" s="111"/>
      <c r="D92" s="49"/>
      <c r="E92" s="48" t="str">
        <f>IF($B$80=DB!$CJ$1,"mA","mW")</f>
        <v>mA</v>
      </c>
      <c r="F92" s="49"/>
      <c r="G92" s="172" t="s">
        <v>19</v>
      </c>
      <c r="H92" s="173"/>
      <c r="I92" s="147"/>
      <c r="J92" s="148"/>
      <c r="K92" s="172" t="s">
        <v>18</v>
      </c>
      <c r="L92" s="173"/>
      <c r="M92" s="147"/>
      <c r="N92" s="148"/>
      <c r="O92" s="48" t="str">
        <f>IF($B$80=DB!$CJ$1,"A","W")</f>
        <v>A</v>
      </c>
      <c r="P92" s="62"/>
      <c r="W92" s="21"/>
      <c r="X92" s="21"/>
      <c r="Y92" s="21"/>
      <c r="Z92" s="21"/>
      <c r="AA92" s="21"/>
      <c r="AB92" s="21"/>
      <c r="AC92" s="21"/>
    </row>
    <row r="93" spans="1:32" ht="6" customHeight="1">
      <c r="A93" s="22"/>
      <c r="B93" s="21"/>
      <c r="C93" s="21"/>
      <c r="J93" s="38"/>
      <c r="W93" s="21"/>
      <c r="X93" s="21"/>
      <c r="Y93" s="21"/>
      <c r="Z93" s="21"/>
      <c r="AA93" s="21"/>
      <c r="AB93" s="21"/>
      <c r="AC93" s="21"/>
    </row>
    <row r="94" spans="1:32" ht="15.75" customHeight="1">
      <c r="A94" s="20" t="s">
        <v>630</v>
      </c>
      <c r="B94" s="101" t="s">
        <v>699</v>
      </c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3"/>
      <c r="Q94" s="52"/>
    </row>
    <row r="95" spans="1:32" ht="6" customHeight="1">
      <c r="A95" s="22"/>
      <c r="B95" s="104"/>
      <c r="C95" s="105"/>
      <c r="D95" s="105"/>
      <c r="E95" s="105"/>
      <c r="F95" s="105"/>
      <c r="G95" s="105"/>
      <c r="H95" s="105"/>
      <c r="I95" s="105"/>
      <c r="J95" s="105"/>
      <c r="K95" s="105"/>
      <c r="L95" s="105"/>
      <c r="M95" s="105"/>
      <c r="N95" s="105"/>
      <c r="O95" s="105"/>
      <c r="P95" s="106"/>
    </row>
    <row r="96" spans="1:32" ht="15.75" customHeight="1">
      <c r="A96" s="20"/>
      <c r="B96" s="104"/>
      <c r="C96" s="105"/>
      <c r="D96" s="105"/>
      <c r="E96" s="105"/>
      <c r="F96" s="105"/>
      <c r="G96" s="105"/>
      <c r="H96" s="105"/>
      <c r="I96" s="105"/>
      <c r="J96" s="105"/>
      <c r="K96" s="105"/>
      <c r="L96" s="105"/>
      <c r="M96" s="105"/>
      <c r="N96" s="105"/>
      <c r="O96" s="105"/>
      <c r="P96" s="106"/>
      <c r="Q96" s="65"/>
    </row>
    <row r="97" spans="1:29" ht="6" customHeight="1">
      <c r="A97" s="22"/>
      <c r="B97" s="104"/>
      <c r="C97" s="105"/>
      <c r="D97" s="105"/>
      <c r="E97" s="105"/>
      <c r="F97" s="105"/>
      <c r="G97" s="105"/>
      <c r="H97" s="105"/>
      <c r="I97" s="105"/>
      <c r="J97" s="105"/>
      <c r="K97" s="105"/>
      <c r="L97" s="105"/>
      <c r="M97" s="105"/>
      <c r="N97" s="105"/>
      <c r="O97" s="105"/>
      <c r="P97" s="106"/>
    </row>
    <row r="98" spans="1:29" ht="15.75" customHeight="1">
      <c r="A98" s="20"/>
      <c r="B98" s="104"/>
      <c r="C98" s="105"/>
      <c r="D98" s="105"/>
      <c r="E98" s="105"/>
      <c r="F98" s="105"/>
      <c r="G98" s="105"/>
      <c r="H98" s="105"/>
      <c r="I98" s="105"/>
      <c r="J98" s="105"/>
      <c r="K98" s="105"/>
      <c r="L98" s="105"/>
      <c r="M98" s="105"/>
      <c r="N98" s="105"/>
      <c r="O98" s="105"/>
      <c r="P98" s="106"/>
      <c r="Q98" s="65"/>
    </row>
    <row r="99" spans="1:29" ht="6" customHeight="1">
      <c r="A99" s="22"/>
      <c r="B99" s="104"/>
      <c r="C99" s="105"/>
      <c r="D99" s="105"/>
      <c r="E99" s="105"/>
      <c r="F99" s="105"/>
      <c r="G99" s="105"/>
      <c r="H99" s="105"/>
      <c r="I99" s="105"/>
      <c r="J99" s="105"/>
      <c r="K99" s="105"/>
      <c r="L99" s="105"/>
      <c r="M99" s="105"/>
      <c r="N99" s="105"/>
      <c r="O99" s="105"/>
      <c r="P99" s="106"/>
    </row>
    <row r="100" spans="1:29" ht="15.75" customHeight="1">
      <c r="A100" s="20"/>
      <c r="B100" s="104"/>
      <c r="C100" s="105"/>
      <c r="D100" s="105"/>
      <c r="E100" s="105"/>
      <c r="F100" s="105"/>
      <c r="G100" s="105"/>
      <c r="H100" s="105"/>
      <c r="I100" s="105"/>
      <c r="J100" s="105"/>
      <c r="K100" s="105"/>
      <c r="L100" s="105"/>
      <c r="M100" s="105"/>
      <c r="N100" s="105"/>
      <c r="O100" s="105"/>
      <c r="P100" s="106"/>
      <c r="Q100" s="65"/>
    </row>
    <row r="101" spans="1:29" ht="6" customHeight="1">
      <c r="A101" s="22"/>
      <c r="B101" s="104"/>
      <c r="C101" s="105"/>
      <c r="D101" s="105"/>
      <c r="E101" s="105"/>
      <c r="F101" s="105"/>
      <c r="G101" s="105"/>
      <c r="H101" s="105"/>
      <c r="I101" s="105"/>
      <c r="J101" s="105"/>
      <c r="K101" s="105"/>
      <c r="L101" s="105"/>
      <c r="M101" s="105"/>
      <c r="N101" s="105"/>
      <c r="O101" s="105"/>
      <c r="P101" s="106"/>
    </row>
    <row r="102" spans="1:29" ht="15.75" customHeight="1">
      <c r="A102" s="20"/>
      <c r="B102" s="107"/>
      <c r="C102" s="108"/>
      <c r="D102" s="108"/>
      <c r="E102" s="108"/>
      <c r="F102" s="108"/>
      <c r="G102" s="108"/>
      <c r="H102" s="108"/>
      <c r="I102" s="108"/>
      <c r="J102" s="108"/>
      <c r="K102" s="108"/>
      <c r="L102" s="108"/>
      <c r="M102" s="108"/>
      <c r="N102" s="108"/>
      <c r="O102" s="108"/>
      <c r="P102" s="109"/>
      <c r="Q102" s="52"/>
    </row>
    <row r="103" spans="1:29" ht="6" customHeight="1">
      <c r="A103" s="22"/>
      <c r="B103" s="21"/>
      <c r="C103" s="21"/>
      <c r="P103" s="62"/>
      <c r="W103" s="21"/>
      <c r="X103" s="21"/>
      <c r="Y103" s="21"/>
      <c r="Z103" s="21"/>
      <c r="AA103" s="21"/>
      <c r="AB103" s="21"/>
      <c r="AC103" s="21"/>
    </row>
    <row r="104" spans="1:29" ht="15.75" customHeight="1">
      <c r="A104" s="20" t="s">
        <v>601</v>
      </c>
      <c r="B104" s="168">
        <f>IF(ISERROR('Calculation tool'!I30/1000),"",'Calculation tool'!I30/1000)</f>
        <v>1.2885474133333332</v>
      </c>
      <c r="C104" s="169"/>
      <c r="D104" s="48" t="s">
        <v>535</v>
      </c>
      <c r="E104" s="74" t="s">
        <v>705</v>
      </c>
      <c r="W104" s="21"/>
      <c r="X104" s="21"/>
      <c r="Y104" s="21"/>
      <c r="Z104" s="21"/>
      <c r="AA104" s="21"/>
      <c r="AB104" s="21"/>
      <c r="AC104" s="21"/>
    </row>
    <row r="105" spans="1:29" ht="6" customHeight="1">
      <c r="A105" s="22"/>
      <c r="B105" s="25"/>
      <c r="C105" s="26"/>
      <c r="D105" s="25"/>
      <c r="E105" s="18"/>
      <c r="F105" s="18"/>
      <c r="G105" s="18"/>
      <c r="H105" s="18"/>
      <c r="I105" s="21"/>
      <c r="J105" s="21"/>
      <c r="K105" s="19"/>
      <c r="N105" s="19"/>
      <c r="O105" s="19"/>
      <c r="P105" s="19"/>
    </row>
    <row r="106" spans="1:29" ht="23.7" customHeight="1">
      <c r="A106" s="22"/>
      <c r="B106" s="25"/>
      <c r="C106" s="26"/>
      <c r="D106" s="25"/>
      <c r="E106" s="18"/>
      <c r="F106" s="18"/>
      <c r="G106" s="18"/>
      <c r="H106" s="18"/>
      <c r="I106" s="21"/>
      <c r="J106" s="21"/>
      <c r="K106" s="19"/>
      <c r="N106" s="19"/>
      <c r="O106" s="19"/>
      <c r="P106" s="19"/>
    </row>
    <row r="107" spans="1:29" ht="24" thickBot="1">
      <c r="A107" s="15" t="s">
        <v>602</v>
      </c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</row>
    <row r="108" spans="1:29" ht="6" customHeight="1" thickTop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</row>
    <row r="109" spans="1:29" ht="15.75" customHeight="1">
      <c r="A109" s="20" t="s">
        <v>700</v>
      </c>
      <c r="B109" s="110" t="s">
        <v>632</v>
      </c>
      <c r="C109" s="115"/>
      <c r="D109" s="111"/>
      <c r="E109" s="21"/>
    </row>
    <row r="110" spans="1:29" ht="6" customHeight="1">
      <c r="A110" s="21"/>
      <c r="B110" s="21"/>
      <c r="C110" s="21"/>
      <c r="D110" s="21"/>
      <c r="E110" s="21"/>
    </row>
    <row r="111" spans="1:29" ht="15.75" customHeight="1">
      <c r="A111" s="20" t="s">
        <v>603</v>
      </c>
      <c r="B111" s="110" t="s">
        <v>40</v>
      </c>
      <c r="C111" s="115"/>
      <c r="D111" s="111"/>
      <c r="E111" s="21"/>
      <c r="F111" s="41" t="str">
        <f>IF(OR(B111=DB!$AQ$1,B111=DB!$AQ$3,B111=DB!$AQ$4),"Minimum Autonomy Expected for Beginning or End of Life ?","")</f>
        <v/>
      </c>
      <c r="N111" s="110"/>
      <c r="O111" s="115"/>
      <c r="P111" s="111"/>
      <c r="Q111" s="52"/>
    </row>
    <row r="112" spans="1:29" ht="6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</row>
    <row r="113" spans="1:18" s="14" customFormat="1" ht="15.75" customHeight="1">
      <c r="A113" s="20"/>
      <c r="B113" s="127" t="s">
        <v>604</v>
      </c>
      <c r="C113" s="127"/>
      <c r="D113" s="110" t="s">
        <v>641</v>
      </c>
      <c r="E113" s="115"/>
      <c r="F113" s="115"/>
      <c r="G113" s="115"/>
      <c r="H113" s="115"/>
      <c r="I113" s="115"/>
      <c r="J113" s="115"/>
      <c r="K113" s="115"/>
      <c r="L113" s="115"/>
      <c r="M113" s="115"/>
      <c r="N113" s="115"/>
      <c r="O113" s="115"/>
      <c r="P113" s="111"/>
      <c r="R113" s="27"/>
    </row>
    <row r="114" spans="1:18" ht="6" customHeight="1">
      <c r="A114" s="22"/>
      <c r="B114" s="23"/>
      <c r="C114" s="23"/>
      <c r="D114" s="23"/>
      <c r="E114" s="23"/>
      <c r="F114" s="23"/>
      <c r="H114" s="21"/>
      <c r="I114" s="21"/>
      <c r="J114" s="21"/>
      <c r="K114" s="21"/>
      <c r="M114" s="21"/>
      <c r="N114" s="21"/>
      <c r="O114" s="21"/>
      <c r="P114" s="21"/>
    </row>
    <row r="115" spans="1:18" s="14" customFormat="1" ht="15.75" customHeight="1">
      <c r="A115" s="20"/>
      <c r="C115" s="52"/>
      <c r="D115" s="52" t="str">
        <f>IF(AND(B111=DB!AQ2,Request!D113=""),"",IF(OR($D$113=DB!$AU$2,$D$113=""),"Main Power Source",IF($B$111=DB!AQ2,"",IF($D$113=DB!$AU$3,"Device Charge Power Source",""))))</f>
        <v/>
      </c>
      <c r="E115" s="52"/>
      <c r="F115" s="52"/>
      <c r="H115" s="110"/>
      <c r="I115" s="115"/>
      <c r="J115" s="111"/>
      <c r="L115" s="52" t="str">
        <f>IF(B111=DB!AQ2,"",IF(OR(H115="",H115=DB!AV3,H115=DB!BK3),IF(OR(D113=DB!AU2,D113=DB!BK2),IF(H115=DB!AV3,"Current/Power",""),"Current/Power"),""))</f>
        <v/>
      </c>
      <c r="N115" s="50"/>
      <c r="O115" s="112" t="s">
        <v>28</v>
      </c>
      <c r="P115" s="114"/>
      <c r="R115" s="39"/>
    </row>
    <row r="116" spans="1:18" s="14" customFormat="1" ht="6" customHeight="1">
      <c r="A116" s="9"/>
      <c r="B116" s="25"/>
      <c r="C116" s="26"/>
      <c r="D116" s="25"/>
      <c r="E116" s="18"/>
      <c r="F116" s="18"/>
      <c r="G116" s="18"/>
      <c r="H116" s="21"/>
      <c r="I116" s="19"/>
      <c r="J116" s="19"/>
      <c r="M116" s="19"/>
      <c r="N116" s="19"/>
      <c r="O116" s="19"/>
      <c r="P116" s="19"/>
    </row>
    <row r="117" spans="1:18" s="14" customFormat="1" ht="15.75" customHeight="1">
      <c r="A117" s="20"/>
      <c r="C117" s="52"/>
      <c r="D117" s="40" t="str">
        <f>IF($B$111=DB!AQ2,"",IF(OR(H115="",H115=DB!BK3),IF(OR(D113=DB!AU2,D113=DB!BK2),"","Period for Recharge"),""))</f>
        <v/>
      </c>
      <c r="E117" s="52"/>
      <c r="F117" s="52"/>
      <c r="H117" s="110"/>
      <c r="I117" s="115"/>
      <c r="J117" s="111"/>
      <c r="L117" s="110" t="s">
        <v>600</v>
      </c>
      <c r="M117" s="115"/>
      <c r="N117" s="115"/>
      <c r="O117" s="115"/>
      <c r="P117" s="111"/>
    </row>
    <row r="118" spans="1:18" s="14" customFormat="1" ht="6" customHeight="1">
      <c r="A118" s="9"/>
      <c r="B118" s="25"/>
      <c r="C118" s="26"/>
      <c r="D118" s="25"/>
      <c r="E118" s="18"/>
      <c r="F118" s="18"/>
      <c r="G118" s="18"/>
      <c r="H118" s="18"/>
      <c r="I118" s="21"/>
      <c r="J118" s="21"/>
      <c r="K118" s="19"/>
      <c r="L118" s="19"/>
      <c r="M118" s="19"/>
      <c r="N118" s="19"/>
      <c r="O118" s="19"/>
      <c r="P118" s="19"/>
    </row>
    <row r="119" spans="1:18" ht="15.75" customHeight="1">
      <c r="A119" s="20"/>
      <c r="B119" s="25"/>
      <c r="C119" s="26"/>
      <c r="D119" s="116" t="str">
        <f>IF(AND(B111=DB!$AQ$2,Request!D113=DB!$AU$2),"CAUTION: Charging Current has to be Avoided with Primary Technologies","")</f>
        <v/>
      </c>
      <c r="E119" s="116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</row>
    <row r="120" spans="1:18" ht="6" customHeight="1">
      <c r="A120" s="22"/>
      <c r="B120" s="25"/>
      <c r="C120" s="26"/>
      <c r="D120" s="25"/>
      <c r="E120" s="18"/>
      <c r="F120" s="18"/>
      <c r="G120" s="18"/>
      <c r="H120" s="18"/>
      <c r="I120" s="21"/>
      <c r="J120" s="21"/>
      <c r="K120" s="19"/>
      <c r="L120" s="19"/>
      <c r="M120" s="19"/>
      <c r="N120" s="19"/>
      <c r="O120" s="19"/>
      <c r="P120" s="19"/>
    </row>
    <row r="121" spans="1:18" ht="15.75" customHeight="1">
      <c r="A121" s="20" t="s">
        <v>605</v>
      </c>
      <c r="B121" s="110">
        <v>6</v>
      </c>
      <c r="C121" s="111"/>
      <c r="D121" s="48" t="s">
        <v>23</v>
      </c>
      <c r="F121" s="52" t="str">
        <f>IF(B121="","","Temperature")</f>
        <v>Temperature</v>
      </c>
      <c r="H121" s="129">
        <v>22</v>
      </c>
      <c r="I121" s="130"/>
      <c r="J121" s="131"/>
      <c r="K121" s="21" t="str">
        <f>J47</f>
        <v>°C</v>
      </c>
      <c r="L121" s="50">
        <v>0</v>
      </c>
      <c r="M121" s="21" t="str">
        <f>K121</f>
        <v>°C</v>
      </c>
      <c r="N121" s="50">
        <v>45</v>
      </c>
      <c r="O121" s="21" t="str">
        <f>K121</f>
        <v>°C</v>
      </c>
    </row>
    <row r="122" spans="1:18" ht="6" customHeight="1">
      <c r="A122" s="22"/>
      <c r="B122" s="25"/>
      <c r="C122" s="26"/>
      <c r="D122" s="25"/>
      <c r="E122" s="18"/>
      <c r="F122" s="18"/>
      <c r="G122" s="18"/>
      <c r="H122" s="18"/>
      <c r="I122" s="21"/>
      <c r="J122" s="21"/>
      <c r="K122" s="19"/>
      <c r="M122" s="19"/>
      <c r="N122" s="19"/>
      <c r="O122" s="19"/>
      <c r="P122" s="19"/>
    </row>
    <row r="123" spans="1:18" ht="15.75" customHeight="1">
      <c r="A123" s="20" t="s">
        <v>606</v>
      </c>
      <c r="B123" s="110">
        <v>3.6</v>
      </c>
      <c r="C123" s="111"/>
      <c r="D123" s="48" t="str">
        <f>K73</f>
        <v>V</v>
      </c>
      <c r="F123" s="18"/>
      <c r="G123" s="19"/>
      <c r="H123" s="19"/>
      <c r="I123" s="19"/>
      <c r="J123" s="19"/>
      <c r="K123" s="19"/>
      <c r="L123" s="19"/>
      <c r="M123" s="19"/>
      <c r="N123" s="19"/>
      <c r="O123" s="19"/>
      <c r="P123" s="19"/>
    </row>
    <row r="124" spans="1:18" ht="6" customHeight="1">
      <c r="A124" s="22"/>
      <c r="B124" s="25"/>
      <c r="C124" s="26"/>
      <c r="D124" s="25"/>
      <c r="E124" s="18"/>
      <c r="F124" s="18"/>
      <c r="G124" s="18"/>
      <c r="H124" s="18"/>
      <c r="I124" s="21"/>
      <c r="J124" s="21"/>
      <c r="K124" s="19"/>
      <c r="L124" s="19"/>
      <c r="M124" s="19"/>
      <c r="N124" s="19"/>
      <c r="O124" s="19"/>
      <c r="P124" s="19"/>
    </row>
    <row r="125" spans="1:18" ht="15.75" customHeight="1">
      <c r="A125" s="20" t="s">
        <v>608</v>
      </c>
      <c r="B125" s="51" t="s">
        <v>609</v>
      </c>
      <c r="C125" s="51"/>
      <c r="D125" s="51"/>
      <c r="E125" s="47" t="s">
        <v>497</v>
      </c>
      <c r="H125" s="51"/>
      <c r="J125" s="128" t="s">
        <v>611</v>
      </c>
      <c r="K125" s="128"/>
      <c r="L125" s="128"/>
      <c r="M125" s="128"/>
      <c r="N125" s="128"/>
    </row>
    <row r="126" spans="1:18" ht="6" customHeight="1">
      <c r="A126" s="22"/>
      <c r="B126" s="21"/>
      <c r="C126" s="21"/>
      <c r="D126" s="21"/>
      <c r="E126" s="21"/>
      <c r="F126" s="21"/>
    </row>
    <row r="127" spans="1:18" ht="15.75" customHeight="1">
      <c r="A127" s="20"/>
      <c r="B127" s="51" t="s">
        <v>610</v>
      </c>
      <c r="C127" s="14"/>
      <c r="E127" s="47" t="s">
        <v>497</v>
      </c>
      <c r="F127" s="51"/>
      <c r="J127" s="52" t="s">
        <v>184</v>
      </c>
      <c r="K127" s="110"/>
      <c r="L127" s="111"/>
      <c r="M127" s="112" t="s">
        <v>540</v>
      </c>
      <c r="N127" s="114"/>
    </row>
    <row r="128" spans="1:18" ht="6" customHeight="1">
      <c r="A128" s="22"/>
      <c r="D128" s="21"/>
      <c r="E128" s="21"/>
      <c r="F128" s="21"/>
      <c r="J128" s="23"/>
      <c r="K128" s="23"/>
      <c r="L128" s="23"/>
      <c r="M128" s="23"/>
      <c r="N128" s="23"/>
    </row>
    <row r="129" spans="1:17" ht="15.75" customHeight="1">
      <c r="A129" s="20"/>
      <c r="C129" s="52" t="str">
        <f>IF(OR(E127=DB!AL1,E127=DB!AL2),"File format","")</f>
        <v/>
      </c>
      <c r="E129" s="110"/>
      <c r="F129" s="111"/>
      <c r="J129" s="52" t="s">
        <v>185</v>
      </c>
      <c r="K129" s="110"/>
      <c r="L129" s="111"/>
      <c r="M129" s="112" t="s">
        <v>540</v>
      </c>
      <c r="N129" s="114"/>
    </row>
    <row r="130" spans="1:17" ht="6" customHeight="1">
      <c r="A130" s="22"/>
      <c r="G130" s="23"/>
      <c r="J130" s="23"/>
      <c r="K130" s="23"/>
      <c r="L130" s="23"/>
      <c r="M130" s="23"/>
      <c r="N130" s="23"/>
    </row>
    <row r="131" spans="1:17" ht="15.75" customHeight="1">
      <c r="A131" s="20"/>
      <c r="J131" s="52" t="s">
        <v>186</v>
      </c>
      <c r="K131" s="110"/>
      <c r="L131" s="111"/>
      <c r="M131" s="112" t="s">
        <v>540</v>
      </c>
      <c r="N131" s="114"/>
    </row>
    <row r="132" spans="1:17" ht="6" customHeight="1">
      <c r="A132" s="22"/>
      <c r="G132" s="23"/>
      <c r="H132" s="42"/>
      <c r="I132" s="42"/>
      <c r="J132" s="23"/>
      <c r="K132" s="23"/>
      <c r="L132" s="23"/>
      <c r="M132" s="23"/>
      <c r="N132" s="23"/>
      <c r="O132" s="21"/>
      <c r="P132" s="21"/>
    </row>
    <row r="133" spans="1:17" ht="15.75" customHeight="1">
      <c r="A133" s="20"/>
      <c r="H133" s="52"/>
      <c r="I133" s="52"/>
      <c r="J133" s="52" t="s">
        <v>187</v>
      </c>
      <c r="K133" s="110"/>
      <c r="L133" s="111"/>
      <c r="M133" s="112" t="s">
        <v>540</v>
      </c>
      <c r="N133" s="114"/>
      <c r="O133" s="21"/>
      <c r="P133" s="21"/>
    </row>
    <row r="134" spans="1:17" ht="6" customHeight="1">
      <c r="A134" s="22"/>
      <c r="G134" s="23"/>
      <c r="H134" s="42"/>
      <c r="I134" s="42"/>
      <c r="J134" s="23"/>
      <c r="K134" s="23"/>
      <c r="L134" s="23"/>
      <c r="M134" s="23"/>
      <c r="N134" s="23"/>
      <c r="O134" s="21"/>
      <c r="P134" s="21"/>
    </row>
    <row r="135" spans="1:17" ht="15.75" customHeight="1">
      <c r="A135" s="20" t="s">
        <v>612</v>
      </c>
      <c r="B135" s="52" t="s">
        <v>613</v>
      </c>
      <c r="C135" s="52"/>
      <c r="D135" s="52"/>
      <c r="E135" s="52"/>
      <c r="F135" s="52"/>
      <c r="G135" s="110" t="s">
        <v>504</v>
      </c>
      <c r="H135" s="115"/>
      <c r="I135" s="115"/>
      <c r="J135" s="111"/>
      <c r="K135" s="43"/>
      <c r="L135" s="43"/>
      <c r="M135" s="43"/>
      <c r="N135" s="43"/>
      <c r="O135" s="43"/>
      <c r="P135" s="43"/>
    </row>
    <row r="136" spans="1:17" ht="6" customHeight="1">
      <c r="A136" s="22"/>
      <c r="B136" s="21"/>
      <c r="C136" s="21"/>
      <c r="D136" s="21"/>
      <c r="E136" s="21"/>
      <c r="F136" s="21"/>
      <c r="G136" s="21"/>
      <c r="H136" s="21"/>
      <c r="I136" s="21"/>
      <c r="J136" s="43"/>
      <c r="K136" s="43"/>
      <c r="L136" s="43"/>
      <c r="M136" s="43"/>
      <c r="N136" s="43"/>
      <c r="O136" s="43"/>
      <c r="P136" s="43"/>
    </row>
    <row r="137" spans="1:17" ht="15.75" customHeight="1">
      <c r="A137" s="170" t="str">
        <f>IF(G135=DB!$AT$4,"Battery holder are not recommended
for high quality &amp; reliable batteries","")</f>
        <v/>
      </c>
      <c r="B137" s="52"/>
      <c r="C137" s="52" t="str">
        <f>IF(OR(G135=DB!AT2,G135=DB!AT5,G135=DB!AT1),"Cell Tabbing Arrangements","")</f>
        <v>Cell Tabbing Arrangements</v>
      </c>
      <c r="G137" s="110" t="s">
        <v>557</v>
      </c>
      <c r="H137" s="115"/>
      <c r="I137" s="111"/>
      <c r="J137" s="171" t="str">
        <f>IF(G137=DB!BM7,"This tabbing is not manufactured so often.
Process requalifaction could be necessary.","")</f>
        <v/>
      </c>
      <c r="K137" s="171"/>
      <c r="L137" s="171"/>
      <c r="M137" s="171"/>
      <c r="N137" s="171"/>
      <c r="O137" s="171"/>
      <c r="P137" s="171"/>
      <c r="Q137" s="32"/>
    </row>
    <row r="138" spans="1:17" ht="6" customHeight="1">
      <c r="A138" s="170"/>
      <c r="B138" s="23"/>
      <c r="C138" s="23"/>
      <c r="E138" s="23"/>
      <c r="F138" s="23"/>
      <c r="G138" s="23"/>
      <c r="H138" s="21"/>
      <c r="I138" s="21"/>
      <c r="J138" s="171"/>
      <c r="K138" s="171"/>
      <c r="L138" s="171"/>
      <c r="M138" s="171"/>
      <c r="N138" s="171"/>
      <c r="O138" s="171"/>
      <c r="P138" s="171"/>
    </row>
    <row r="139" spans="1:17" ht="15.75" customHeight="1">
      <c r="A139" s="170"/>
      <c r="B139" s="21"/>
      <c r="C139" s="52" t="str">
        <f>IF(OR(G135=DB!AT3,G135=DB!AT5,G135=DB!AT1),"Wire Length","")</f>
        <v/>
      </c>
      <c r="E139" s="21"/>
      <c r="F139" s="110"/>
      <c r="G139" s="111"/>
      <c r="H139" s="112" t="s">
        <v>540</v>
      </c>
      <c r="I139" s="114"/>
      <c r="J139" s="171"/>
      <c r="K139" s="171"/>
      <c r="L139" s="171"/>
      <c r="M139" s="171"/>
      <c r="N139" s="171"/>
      <c r="O139" s="171"/>
      <c r="P139" s="171"/>
    </row>
    <row r="140" spans="1:17" ht="6" customHeight="1">
      <c r="A140" s="170"/>
      <c r="B140" s="21"/>
      <c r="C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</row>
    <row r="141" spans="1:17" ht="15.75" customHeight="1">
      <c r="A141" s="170"/>
      <c r="B141" s="21"/>
      <c r="C141" s="52" t="str">
        <f>IF(OR(G135=DB!AT3,G135=DB!AT5,G135=DB!AT1),"Connector","")</f>
        <v/>
      </c>
      <c r="E141" s="21"/>
      <c r="F141" s="110"/>
      <c r="G141" s="111"/>
      <c r="H141" s="163" t="s">
        <v>729</v>
      </c>
      <c r="I141" s="163"/>
      <c r="J141" s="164"/>
      <c r="K141" s="165"/>
      <c r="L141" s="166"/>
      <c r="M141" s="166"/>
      <c r="N141" s="166"/>
      <c r="O141" s="166"/>
      <c r="P141" s="167"/>
    </row>
    <row r="142" spans="1:17" ht="6" customHeight="1">
      <c r="A142" s="22"/>
    </row>
    <row r="143" spans="1:17" ht="15.75" customHeight="1">
      <c r="A143" s="20"/>
      <c r="B143" s="52" t="s">
        <v>614</v>
      </c>
      <c r="C143" s="21"/>
      <c r="D143" s="21"/>
      <c r="F143" s="110"/>
      <c r="G143" s="111"/>
      <c r="H143" s="112" t="s">
        <v>546</v>
      </c>
      <c r="I143" s="114"/>
    </row>
    <row r="144" spans="1:17" ht="6" customHeight="1">
      <c r="A144" s="22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</row>
    <row r="145" spans="1:16" ht="15.75" customHeight="1">
      <c r="A145" s="20"/>
      <c r="B145" s="52" t="s">
        <v>615</v>
      </c>
      <c r="C145" s="21"/>
      <c r="D145" s="21"/>
      <c r="E145" s="21"/>
      <c r="F145" s="110"/>
      <c r="G145" s="115"/>
      <c r="H145" s="115"/>
      <c r="I145" s="111"/>
      <c r="J145" s="21"/>
      <c r="K145" s="21"/>
      <c r="L145" s="21"/>
      <c r="M145" s="21"/>
      <c r="N145" s="21"/>
      <c r="O145" s="21"/>
      <c r="P145" s="21"/>
    </row>
    <row r="146" spans="1:16" ht="6" customHeight="1">
      <c r="A146" s="22"/>
      <c r="B146" s="23"/>
      <c r="C146" s="23"/>
      <c r="D146" s="23"/>
      <c r="E146" s="23"/>
      <c r="F146" s="23"/>
      <c r="G146" s="23"/>
      <c r="H146" s="21"/>
      <c r="I146" s="21"/>
      <c r="J146" s="21"/>
      <c r="K146" s="21"/>
      <c r="L146" s="21"/>
      <c r="M146" s="21"/>
      <c r="N146" s="21"/>
      <c r="O146" s="21"/>
      <c r="P146" s="21"/>
    </row>
    <row r="147" spans="1:16" ht="15.75" customHeight="1">
      <c r="A147" s="20" t="s">
        <v>616</v>
      </c>
      <c r="B147" s="112" t="s">
        <v>177</v>
      </c>
      <c r="C147" s="113"/>
      <c r="D147" s="113"/>
      <c r="E147" s="113"/>
      <c r="F147" s="113"/>
      <c r="G147" s="113"/>
      <c r="H147" s="113"/>
      <c r="I147" s="113"/>
      <c r="J147" s="113"/>
      <c r="K147" s="113"/>
      <c r="L147" s="113"/>
      <c r="M147" s="113"/>
      <c r="N147" s="113"/>
      <c r="O147" s="113"/>
      <c r="P147" s="114"/>
    </row>
    <row r="148" spans="1:16" ht="6" customHeight="1">
      <c r="A148" s="22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</row>
    <row r="149" spans="1:16" ht="15.75" customHeight="1">
      <c r="A149" s="20" t="str">
        <f>IF(B111=DB!AQ2,"","Electronic Smart Functionalities")</f>
        <v/>
      </c>
      <c r="B149" s="52" t="s">
        <v>617</v>
      </c>
      <c r="C149" s="52"/>
      <c r="D149" s="52"/>
      <c r="E149" s="52"/>
      <c r="F149" s="52"/>
      <c r="H149" s="47"/>
      <c r="J149" s="21"/>
      <c r="K149" s="21"/>
      <c r="L149" s="21"/>
      <c r="M149" s="21"/>
      <c r="N149" s="21"/>
      <c r="O149" s="21"/>
      <c r="P149" s="21"/>
    </row>
    <row r="150" spans="1:16" ht="6" customHeight="1">
      <c r="A150" s="22"/>
      <c r="B150" s="23"/>
      <c r="C150" s="23"/>
      <c r="D150" s="23"/>
      <c r="E150" s="23"/>
      <c r="F150" s="23"/>
      <c r="G150" s="23"/>
      <c r="H150" s="21"/>
      <c r="I150" s="21"/>
      <c r="J150" s="21"/>
      <c r="K150" s="21"/>
      <c r="L150" s="21"/>
      <c r="M150" s="21"/>
      <c r="N150" s="21"/>
      <c r="O150" s="21"/>
      <c r="P150" s="21"/>
    </row>
    <row r="151" spans="1:16" ht="15.75" customHeight="1">
      <c r="A151" s="66" t="str">
        <f>IF(OR(B111="",B111=DB!AQ4),"Electronic Functionalities for Rechargeable Battery","")</f>
        <v/>
      </c>
      <c r="B151" s="52" t="s">
        <v>618</v>
      </c>
      <c r="C151" s="52"/>
      <c r="D151" s="52"/>
      <c r="E151" s="52"/>
      <c r="F151" s="52"/>
      <c r="H151" s="47"/>
      <c r="I151" s="21"/>
      <c r="J151" s="52" t="str">
        <f>IF(H151=DB!AL3,"","Button + LED")</f>
        <v>Button + LED</v>
      </c>
      <c r="K151" s="21"/>
      <c r="L151" s="21"/>
      <c r="M151" s="47"/>
      <c r="N151" s="21"/>
      <c r="O151" s="21"/>
      <c r="P151" s="21"/>
    </row>
    <row r="152" spans="1:16" ht="6" customHeight="1">
      <c r="A152" s="66"/>
      <c r="B152" s="23"/>
      <c r="C152" s="23"/>
      <c r="D152" s="23"/>
      <c r="E152" s="23"/>
      <c r="F152" s="23"/>
      <c r="G152" s="23"/>
      <c r="H152" s="21"/>
      <c r="I152" s="21"/>
      <c r="J152" s="42"/>
      <c r="K152" s="21"/>
      <c r="L152" s="21"/>
      <c r="M152" s="21"/>
      <c r="N152" s="21"/>
      <c r="O152" s="21"/>
      <c r="P152" s="21"/>
    </row>
    <row r="153" spans="1:16" ht="15.75" customHeight="1">
      <c r="A153" s="66"/>
      <c r="B153" s="52"/>
      <c r="C153" s="52"/>
      <c r="D153" s="52"/>
      <c r="E153" s="52"/>
      <c r="F153" s="52"/>
      <c r="G153" s="52"/>
      <c r="I153" s="52"/>
      <c r="J153" s="52" t="str">
        <f>IF(H151=DB!AL3,"","Communication Bus")</f>
        <v>Communication Bus</v>
      </c>
      <c r="K153" s="21"/>
      <c r="L153" s="21"/>
      <c r="M153" s="47"/>
      <c r="N153" s="34" t="str">
        <f>IF(M153=DB!AL2,"Type","")</f>
        <v/>
      </c>
      <c r="O153" s="110" t="s">
        <v>177</v>
      </c>
      <c r="P153" s="111"/>
    </row>
    <row r="154" spans="1:16" ht="6" customHeight="1">
      <c r="A154" s="22"/>
      <c r="B154" s="23"/>
      <c r="C154" s="23"/>
      <c r="D154" s="23"/>
      <c r="E154" s="23"/>
      <c r="F154" s="23"/>
      <c r="G154" s="23"/>
      <c r="I154" s="42"/>
      <c r="J154" s="42"/>
      <c r="K154" s="21"/>
      <c r="L154" s="21"/>
      <c r="M154" s="21"/>
      <c r="N154" s="21"/>
      <c r="O154" s="21"/>
      <c r="P154" s="21"/>
    </row>
    <row r="155" spans="1:16" ht="15.75" customHeight="1">
      <c r="A155" s="20"/>
      <c r="B155" s="52" t="s">
        <v>682</v>
      </c>
      <c r="C155" s="52"/>
      <c r="D155" s="52"/>
      <c r="E155" s="52"/>
      <c r="F155" s="52"/>
      <c r="G155" s="21"/>
      <c r="H155" s="47"/>
      <c r="I155" s="44"/>
      <c r="J155" s="110"/>
      <c r="K155" s="115"/>
      <c r="L155" s="111"/>
      <c r="M155" s="44"/>
      <c r="N155" s="44"/>
      <c r="O155" s="44"/>
      <c r="P155" s="44"/>
    </row>
    <row r="156" spans="1:16" ht="6" customHeight="1">
      <c r="A156" s="22"/>
      <c r="B156" s="23"/>
      <c r="C156" s="23"/>
      <c r="D156" s="23"/>
      <c r="E156" s="23"/>
      <c r="F156" s="23"/>
      <c r="G156" s="23"/>
      <c r="H156" s="42"/>
      <c r="I156" s="42"/>
      <c r="J156" s="42"/>
      <c r="K156" s="21"/>
      <c r="L156" s="45"/>
      <c r="M156" s="45"/>
      <c r="N156" s="45"/>
      <c r="O156" s="45"/>
      <c r="P156" s="45"/>
    </row>
    <row r="157" spans="1:16" ht="15.75" customHeight="1">
      <c r="A157" s="20"/>
      <c r="B157" s="52" t="s">
        <v>619</v>
      </c>
      <c r="C157" s="52"/>
      <c r="D157" s="52"/>
      <c r="E157" s="52"/>
      <c r="F157" s="52"/>
      <c r="G157" s="21"/>
      <c r="H157" s="47"/>
      <c r="I157" s="52"/>
      <c r="J157" s="52" t="str">
        <f>IF(OR(H157=DB!AL1,H157=DB!AL3),"","Communication (smart charger)")</f>
        <v/>
      </c>
      <c r="K157" s="46"/>
      <c r="L157" s="44"/>
      <c r="M157" s="44"/>
      <c r="N157" s="28"/>
      <c r="O157" s="44"/>
      <c r="P157" s="44"/>
    </row>
    <row r="158" spans="1:16" ht="6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</row>
    <row r="159" spans="1:16" ht="24" thickBot="1">
      <c r="A159" s="15" t="s">
        <v>620</v>
      </c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</row>
    <row r="160" spans="1:16" ht="6" customHeight="1" thickTop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</row>
    <row r="161" spans="1:16" s="14" customFormat="1" ht="15.75" customHeight="1">
      <c r="A161" s="20" t="s">
        <v>621</v>
      </c>
      <c r="B161" s="52" t="s">
        <v>622</v>
      </c>
      <c r="C161" s="52"/>
      <c r="E161" s="110"/>
      <c r="F161" s="115"/>
      <c r="G161" s="115"/>
      <c r="H161" s="111"/>
      <c r="I161" s="6"/>
      <c r="J161" s="6"/>
      <c r="K161" s="6"/>
      <c r="M161" s="19"/>
      <c r="N161" s="19"/>
      <c r="O161" s="19"/>
      <c r="P161" s="19"/>
    </row>
    <row r="162" spans="1:16" ht="6" customHeight="1">
      <c r="A162" s="22"/>
      <c r="B162" s="23"/>
      <c r="C162" s="23"/>
      <c r="E162" s="23"/>
      <c r="F162" s="23"/>
      <c r="G162" s="23"/>
      <c r="H162" s="21"/>
      <c r="I162" s="21"/>
      <c r="J162" s="21"/>
      <c r="K162" s="21"/>
      <c r="L162" s="21"/>
      <c r="M162" s="21"/>
      <c r="N162" s="21"/>
      <c r="O162" s="21"/>
      <c r="P162" s="21"/>
    </row>
    <row r="163" spans="1:16" s="14" customFormat="1" ht="15.75" customHeight="1">
      <c r="A163" s="20"/>
      <c r="B163" s="52" t="s">
        <v>623</v>
      </c>
      <c r="C163" s="52"/>
      <c r="E163" s="110"/>
      <c r="F163" s="115"/>
      <c r="G163" s="115"/>
      <c r="H163" s="111"/>
      <c r="I163" s="6"/>
      <c r="J163" s="6"/>
      <c r="K163" s="6"/>
      <c r="L163" s="52"/>
      <c r="M163" s="19"/>
      <c r="N163" s="19"/>
      <c r="O163" s="19"/>
      <c r="P163" s="19"/>
    </row>
    <row r="164" spans="1:16" ht="6" customHeight="1">
      <c r="A164" s="22"/>
      <c r="B164" s="23"/>
      <c r="C164" s="23"/>
      <c r="E164" s="23"/>
      <c r="F164" s="23"/>
      <c r="G164" s="23"/>
      <c r="H164" s="21"/>
      <c r="I164" s="21"/>
      <c r="J164" s="21"/>
      <c r="K164" s="21"/>
      <c r="L164" s="21"/>
      <c r="M164" s="21"/>
      <c r="N164" s="21"/>
      <c r="O164" s="21"/>
      <c r="P164" s="21"/>
    </row>
    <row r="165" spans="1:16" s="14" customFormat="1" ht="15.75" customHeight="1">
      <c r="A165" s="20"/>
      <c r="B165" s="52" t="s">
        <v>624</v>
      </c>
      <c r="C165" s="52"/>
      <c r="E165" s="110"/>
      <c r="F165" s="115"/>
      <c r="G165" s="115"/>
      <c r="H165" s="111"/>
      <c r="I165" s="6"/>
      <c r="J165" s="6"/>
      <c r="K165" s="6"/>
      <c r="L165" s="52"/>
      <c r="M165" s="19"/>
      <c r="N165" s="19"/>
      <c r="O165" s="19"/>
      <c r="P165" s="19"/>
    </row>
    <row r="166" spans="1:16" ht="6" customHeight="1">
      <c r="A166" s="22"/>
      <c r="B166" s="23"/>
      <c r="C166" s="23"/>
      <c r="D166" s="23"/>
      <c r="E166" s="23"/>
      <c r="F166" s="23"/>
      <c r="G166" s="23"/>
      <c r="H166" s="21"/>
      <c r="I166" s="21"/>
      <c r="J166" s="21"/>
      <c r="K166" s="21"/>
      <c r="L166" s="21"/>
      <c r="M166" s="21"/>
      <c r="N166" s="21"/>
      <c r="O166" s="21"/>
      <c r="P166" s="21"/>
    </row>
    <row r="167" spans="1:16" ht="15.75" customHeight="1">
      <c r="A167" s="20" t="s">
        <v>193</v>
      </c>
      <c r="B167" s="101" t="s">
        <v>177</v>
      </c>
      <c r="C167" s="102"/>
      <c r="D167" s="102"/>
      <c r="E167" s="102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3"/>
    </row>
    <row r="168" spans="1:16" ht="15.75" customHeight="1">
      <c r="A168" s="21"/>
      <c r="B168" s="104"/>
      <c r="C168" s="105"/>
      <c r="D168" s="105"/>
      <c r="E168" s="105"/>
      <c r="F168" s="105"/>
      <c r="G168" s="105"/>
      <c r="H168" s="105"/>
      <c r="I168" s="105"/>
      <c r="J168" s="105"/>
      <c r="K168" s="105"/>
      <c r="L168" s="105"/>
      <c r="M168" s="105"/>
      <c r="N168" s="105"/>
      <c r="O168" s="105"/>
      <c r="P168" s="106"/>
    </row>
    <row r="169" spans="1:16" ht="15.75" customHeight="1">
      <c r="A169" s="21"/>
      <c r="B169" s="104"/>
      <c r="C169" s="105"/>
      <c r="D169" s="105"/>
      <c r="E169" s="105"/>
      <c r="F169" s="105"/>
      <c r="G169" s="105"/>
      <c r="H169" s="105"/>
      <c r="I169" s="105"/>
      <c r="J169" s="105"/>
      <c r="K169" s="105"/>
      <c r="L169" s="105"/>
      <c r="M169" s="105"/>
      <c r="N169" s="105"/>
      <c r="O169" s="105"/>
      <c r="P169" s="106"/>
    </row>
    <row r="170" spans="1:16" ht="15.75" customHeight="1">
      <c r="A170" s="21"/>
      <c r="B170" s="104"/>
      <c r="C170" s="105"/>
      <c r="D170" s="105"/>
      <c r="E170" s="105"/>
      <c r="F170" s="105"/>
      <c r="G170" s="105"/>
      <c r="H170" s="105"/>
      <c r="I170" s="105"/>
      <c r="J170" s="105"/>
      <c r="K170" s="105"/>
      <c r="L170" s="105"/>
      <c r="M170" s="105"/>
      <c r="N170" s="105"/>
      <c r="O170" s="105"/>
      <c r="P170" s="106"/>
    </row>
    <row r="171" spans="1:16">
      <c r="B171" s="104"/>
      <c r="C171" s="105"/>
      <c r="D171" s="105"/>
      <c r="E171" s="105"/>
      <c r="F171" s="105"/>
      <c r="G171" s="105"/>
      <c r="H171" s="105"/>
      <c r="I171" s="105"/>
      <c r="J171" s="105"/>
      <c r="K171" s="105"/>
      <c r="L171" s="105"/>
      <c r="M171" s="105"/>
      <c r="N171" s="105"/>
      <c r="O171" s="105"/>
      <c r="P171" s="106"/>
    </row>
    <row r="172" spans="1:16">
      <c r="B172" s="104"/>
      <c r="C172" s="105"/>
      <c r="D172" s="105"/>
      <c r="E172" s="105"/>
      <c r="F172" s="105"/>
      <c r="G172" s="105"/>
      <c r="H172" s="105"/>
      <c r="I172" s="105"/>
      <c r="J172" s="105"/>
      <c r="K172" s="105"/>
      <c r="L172" s="105"/>
      <c r="M172" s="105"/>
      <c r="N172" s="105"/>
      <c r="O172" s="105"/>
      <c r="P172" s="106"/>
    </row>
    <row r="173" spans="1:16">
      <c r="B173" s="104"/>
      <c r="C173" s="105"/>
      <c r="D173" s="105"/>
      <c r="E173" s="105"/>
      <c r="F173" s="105"/>
      <c r="G173" s="105"/>
      <c r="H173" s="105"/>
      <c r="I173" s="105"/>
      <c r="J173" s="105"/>
      <c r="K173" s="105"/>
      <c r="L173" s="105"/>
      <c r="M173" s="105"/>
      <c r="N173" s="105"/>
      <c r="O173" s="105"/>
      <c r="P173" s="106"/>
    </row>
    <row r="174" spans="1:16">
      <c r="B174" s="104"/>
      <c r="C174" s="105"/>
      <c r="D174" s="105"/>
      <c r="E174" s="105"/>
      <c r="F174" s="105"/>
      <c r="G174" s="105"/>
      <c r="H174" s="105"/>
      <c r="I174" s="105"/>
      <c r="J174" s="105"/>
      <c r="K174" s="105"/>
      <c r="L174" s="105"/>
      <c r="M174" s="105"/>
      <c r="N174" s="105"/>
      <c r="O174" s="105"/>
      <c r="P174" s="106"/>
    </row>
    <row r="175" spans="1:16">
      <c r="B175" s="104"/>
      <c r="C175" s="105"/>
      <c r="D175" s="105"/>
      <c r="E175" s="105"/>
      <c r="F175" s="105"/>
      <c r="G175" s="105"/>
      <c r="H175" s="105"/>
      <c r="I175" s="105"/>
      <c r="J175" s="105"/>
      <c r="K175" s="105"/>
      <c r="L175" s="105"/>
      <c r="M175" s="105"/>
      <c r="N175" s="105"/>
      <c r="O175" s="105"/>
      <c r="P175" s="106"/>
    </row>
    <row r="176" spans="1:16">
      <c r="B176" s="104"/>
      <c r="C176" s="105"/>
      <c r="D176" s="105"/>
      <c r="E176" s="105"/>
      <c r="F176" s="105"/>
      <c r="G176" s="105"/>
      <c r="H176" s="105"/>
      <c r="I176" s="105"/>
      <c r="J176" s="105"/>
      <c r="K176" s="105"/>
      <c r="L176" s="105"/>
      <c r="M176" s="105"/>
      <c r="N176" s="105"/>
      <c r="O176" s="105"/>
      <c r="P176" s="106"/>
    </row>
    <row r="177" spans="2:16">
      <c r="B177" s="104"/>
      <c r="C177" s="105"/>
      <c r="D177" s="105"/>
      <c r="E177" s="105"/>
      <c r="F177" s="105"/>
      <c r="G177" s="105"/>
      <c r="H177" s="105"/>
      <c r="I177" s="105"/>
      <c r="J177" s="105"/>
      <c r="K177" s="105"/>
      <c r="L177" s="105"/>
      <c r="M177" s="105"/>
      <c r="N177" s="105"/>
      <c r="O177" s="105"/>
      <c r="P177" s="106"/>
    </row>
    <row r="178" spans="2:16">
      <c r="B178" s="107"/>
      <c r="C178" s="108"/>
      <c r="D178" s="108"/>
      <c r="E178" s="108"/>
      <c r="F178" s="108"/>
      <c r="G178" s="108"/>
      <c r="H178" s="108"/>
      <c r="I178" s="108"/>
      <c r="J178" s="108"/>
      <c r="K178" s="108"/>
      <c r="L178" s="108"/>
      <c r="M178" s="108"/>
      <c r="N178" s="108"/>
      <c r="O178" s="108"/>
      <c r="P178" s="109"/>
    </row>
  </sheetData>
  <sheetProtection algorithmName="SHA-512" hashValue="ZorHWzzg6IMyHpEvTUi3wrjhjnwAgY35awLglQfInJLUR5uqo8zlyqMC8GhzGRAZ2V7bXh+LHwI9UeJL/j0/UA==" saltValue="Ucxe6186idKIo4GRRtuYFA==" spinCount="100000" sheet="1" objects="1" scenarios="1" formatCells="0" selectLockedCells="1"/>
  <mergeCells count="132">
    <mergeCell ref="F141:G141"/>
    <mergeCell ref="H141:J141"/>
    <mergeCell ref="K141:P141"/>
    <mergeCell ref="B104:C104"/>
    <mergeCell ref="A137:A141"/>
    <mergeCell ref="J137:P139"/>
    <mergeCell ref="G84:H84"/>
    <mergeCell ref="G86:H86"/>
    <mergeCell ref="G88:H88"/>
    <mergeCell ref="G90:H90"/>
    <mergeCell ref="G92:H92"/>
    <mergeCell ref="I84:J84"/>
    <mergeCell ref="I86:J86"/>
    <mergeCell ref="I88:J88"/>
    <mergeCell ref="I90:J90"/>
    <mergeCell ref="I92:J92"/>
    <mergeCell ref="K84:L84"/>
    <mergeCell ref="K86:L86"/>
    <mergeCell ref="K88:L88"/>
    <mergeCell ref="K90:L90"/>
    <mergeCell ref="K92:L92"/>
    <mergeCell ref="M86:N86"/>
    <mergeCell ref="M88:N88"/>
    <mergeCell ref="M90:N90"/>
    <mergeCell ref="M92:N92"/>
    <mergeCell ref="J53:L53"/>
    <mergeCell ref="N53:P53"/>
    <mergeCell ref="H47:I47"/>
    <mergeCell ref="B63:P65"/>
    <mergeCell ref="M69:P71"/>
    <mergeCell ref="D77:E78"/>
    <mergeCell ref="B77:C78"/>
    <mergeCell ref="F77:H78"/>
    <mergeCell ref="I77:L78"/>
    <mergeCell ref="B90:C90"/>
    <mergeCell ref="G71:I71"/>
    <mergeCell ref="M55:N55"/>
    <mergeCell ref="B75:P75"/>
    <mergeCell ref="G69:I69"/>
    <mergeCell ref="J69:K69"/>
    <mergeCell ref="M77:O78"/>
    <mergeCell ref="J82:O82"/>
    <mergeCell ref="B80:E80"/>
    <mergeCell ref="L73:M73"/>
    <mergeCell ref="H73:I73"/>
    <mergeCell ref="B1:P1"/>
    <mergeCell ref="B8:J8"/>
    <mergeCell ref="B28:D28"/>
    <mergeCell ref="B30:D30"/>
    <mergeCell ref="O32:P32"/>
    <mergeCell ref="E24:F24"/>
    <mergeCell ref="E26:F26"/>
    <mergeCell ref="L8:P8"/>
    <mergeCell ref="L10:P10"/>
    <mergeCell ref="B12:P12"/>
    <mergeCell ref="F10:J10"/>
    <mergeCell ref="B10:D10"/>
    <mergeCell ref="B24:D24"/>
    <mergeCell ref="J16:P16"/>
    <mergeCell ref="B14:H14"/>
    <mergeCell ref="B18:D18"/>
    <mergeCell ref="L18:M18"/>
    <mergeCell ref="J14:P14"/>
    <mergeCell ref="B6:J6"/>
    <mergeCell ref="I22:J22"/>
    <mergeCell ref="E22:F22"/>
    <mergeCell ref="J24:M24"/>
    <mergeCell ref="N22:O22"/>
    <mergeCell ref="L6:M6"/>
    <mergeCell ref="K127:L127"/>
    <mergeCell ref="M127:N127"/>
    <mergeCell ref="K129:L129"/>
    <mergeCell ref="M129:N129"/>
    <mergeCell ref="D113:P113"/>
    <mergeCell ref="B113:C113"/>
    <mergeCell ref="H115:J115"/>
    <mergeCell ref="H117:J117"/>
    <mergeCell ref="B109:D109"/>
    <mergeCell ref="B111:D111"/>
    <mergeCell ref="J125:N125"/>
    <mergeCell ref="E129:F129"/>
    <mergeCell ref="B123:C123"/>
    <mergeCell ref="B121:C121"/>
    <mergeCell ref="H121:J121"/>
    <mergeCell ref="N111:P111"/>
    <mergeCell ref="N6:P6"/>
    <mergeCell ref="B40:P43"/>
    <mergeCell ref="E34:F34"/>
    <mergeCell ref="K34:L34"/>
    <mergeCell ref="B86:C86"/>
    <mergeCell ref="B88:C88"/>
    <mergeCell ref="N18:P18"/>
    <mergeCell ref="K38:P38"/>
    <mergeCell ref="B38:G38"/>
    <mergeCell ref="B84:C84"/>
    <mergeCell ref="K57:P57"/>
    <mergeCell ref="B32:D32"/>
    <mergeCell ref="B16:H16"/>
    <mergeCell ref="K59:P59"/>
    <mergeCell ref="N34:P34"/>
    <mergeCell ref="J71:K71"/>
    <mergeCell ref="B82:C82"/>
    <mergeCell ref="G82:H82"/>
    <mergeCell ref="N61:P61"/>
    <mergeCell ref="L61:M61"/>
    <mergeCell ref="B47:D47"/>
    <mergeCell ref="B53:D53"/>
    <mergeCell ref="F53:H53"/>
    <mergeCell ref="A77:A78"/>
    <mergeCell ref="B167:P178"/>
    <mergeCell ref="O153:P153"/>
    <mergeCell ref="B147:P147"/>
    <mergeCell ref="F145:I145"/>
    <mergeCell ref="E161:H161"/>
    <mergeCell ref="E163:H163"/>
    <mergeCell ref="E165:H165"/>
    <mergeCell ref="F143:G143"/>
    <mergeCell ref="H143:I143"/>
    <mergeCell ref="F139:G139"/>
    <mergeCell ref="H139:I139"/>
    <mergeCell ref="G135:J135"/>
    <mergeCell ref="M131:N131"/>
    <mergeCell ref="K133:L133"/>
    <mergeCell ref="M133:N133"/>
    <mergeCell ref="J155:L155"/>
    <mergeCell ref="G137:I137"/>
    <mergeCell ref="K131:L131"/>
    <mergeCell ref="B92:C92"/>
    <mergeCell ref="L117:P117"/>
    <mergeCell ref="O115:P115"/>
    <mergeCell ref="D119:P119"/>
    <mergeCell ref="B94:P102"/>
  </mergeCells>
  <conditionalFormatting sqref="K135">
    <cfRule type="cellIs" dxfId="33" priority="121" operator="notEqual">
      <formula>""</formula>
    </cfRule>
  </conditionalFormatting>
  <conditionalFormatting sqref="D119">
    <cfRule type="cellIs" dxfId="32" priority="113" operator="notEqual">
      <formula>""</formula>
    </cfRule>
  </conditionalFormatting>
  <conditionalFormatting sqref="H115:J115">
    <cfRule type="expression" dxfId="31" priority="112">
      <formula>$D$115=""</formula>
    </cfRule>
  </conditionalFormatting>
  <conditionalFormatting sqref="H117:P117">
    <cfRule type="expression" dxfId="30" priority="111">
      <formula>$D$117=""</formula>
    </cfRule>
  </conditionalFormatting>
  <conditionalFormatting sqref="B53:P53">
    <cfRule type="expression" dxfId="29" priority="102">
      <formula>$A$53=""</formula>
    </cfRule>
  </conditionalFormatting>
  <conditionalFormatting sqref="F47:O47 B49:P51">
    <cfRule type="expression" dxfId="28" priority="8">
      <formula>$B$47=""</formula>
    </cfRule>
  </conditionalFormatting>
  <conditionalFormatting sqref="B75">
    <cfRule type="cellIs" dxfId="27" priority="86" operator="notEqual">
      <formula>""</formula>
    </cfRule>
  </conditionalFormatting>
  <conditionalFormatting sqref="N115:P115">
    <cfRule type="expression" dxfId="26" priority="38">
      <formula>$L$115=""</formula>
    </cfRule>
  </conditionalFormatting>
  <conditionalFormatting sqref="B49:P51">
    <cfRule type="expression" dxfId="25" priority="37">
      <formula>$H$47="Average"</formula>
    </cfRule>
  </conditionalFormatting>
  <conditionalFormatting sqref="G55:N55 J56:J58 J61">
    <cfRule type="expression" dxfId="24" priority="95">
      <formula>$F$55=""</formula>
    </cfRule>
  </conditionalFormatting>
  <conditionalFormatting sqref="H121:O121">
    <cfRule type="expression" dxfId="23" priority="35">
      <formula>$F$121=""</formula>
    </cfRule>
  </conditionalFormatting>
  <conditionalFormatting sqref="E129:F129">
    <cfRule type="expression" dxfId="22" priority="135">
      <formula>$C$129=""</formula>
    </cfRule>
  </conditionalFormatting>
  <conditionalFormatting sqref="O153:P153">
    <cfRule type="expression" dxfId="21" priority="28">
      <formula>$N$153=""</formula>
    </cfRule>
  </conditionalFormatting>
  <conditionalFormatting sqref="N157">
    <cfRule type="expression" dxfId="20" priority="27">
      <formula>$J$157=""</formula>
    </cfRule>
  </conditionalFormatting>
  <conditionalFormatting sqref="B149:H157">
    <cfRule type="expression" dxfId="19" priority="26">
      <formula>$A$149=""</formula>
    </cfRule>
  </conditionalFormatting>
  <conditionalFormatting sqref="K57:P57">
    <cfRule type="expression" dxfId="18" priority="136">
      <formula>$G$57=""</formula>
    </cfRule>
  </conditionalFormatting>
  <conditionalFormatting sqref="K61">
    <cfRule type="expression" dxfId="17" priority="22">
      <formula>$G$61=""</formula>
    </cfRule>
  </conditionalFormatting>
  <conditionalFormatting sqref="N61:P61">
    <cfRule type="expression" dxfId="16" priority="21">
      <formula>$L$61=""</formula>
    </cfRule>
  </conditionalFormatting>
  <conditionalFormatting sqref="G137:I137">
    <cfRule type="expression" dxfId="15" priority="137">
      <formula>$C$137=""</formula>
    </cfRule>
  </conditionalFormatting>
  <conditionalFormatting sqref="F139:G139">
    <cfRule type="expression" dxfId="14" priority="138">
      <formula>$C$139=""</formula>
    </cfRule>
  </conditionalFormatting>
  <conditionalFormatting sqref="J155">
    <cfRule type="expression" dxfId="13" priority="17">
      <formula>$A$149=""</formula>
    </cfRule>
  </conditionalFormatting>
  <conditionalFormatting sqref="N111:P111">
    <cfRule type="expression" dxfId="12" priority="140">
      <formula>$F$111=""</formula>
    </cfRule>
  </conditionalFormatting>
  <conditionalFormatting sqref="J59:J60">
    <cfRule type="expression" dxfId="11" priority="9">
      <formula>$F$55=""</formula>
    </cfRule>
  </conditionalFormatting>
  <conditionalFormatting sqref="K59:P59">
    <cfRule type="expression" dxfId="10" priority="10">
      <formula>$G$59=""</formula>
    </cfRule>
  </conditionalFormatting>
  <conditionalFormatting sqref="H47:I47">
    <cfRule type="expression" dxfId="9" priority="101" stopIfTrue="1">
      <formula>$A$49=""</formula>
    </cfRule>
  </conditionalFormatting>
  <conditionalFormatting sqref="J151:M153">
    <cfRule type="expression" dxfId="8" priority="4">
      <formula>$A$149=""</formula>
    </cfRule>
  </conditionalFormatting>
  <conditionalFormatting sqref="M151:M153">
    <cfRule type="expression" dxfId="7" priority="3">
      <formula>$J$151=""</formula>
    </cfRule>
  </conditionalFormatting>
  <conditionalFormatting sqref="H139:I139">
    <cfRule type="expression" dxfId="6" priority="2">
      <formula>$C$139=""</formula>
    </cfRule>
  </conditionalFormatting>
  <conditionalFormatting sqref="F141:P141">
    <cfRule type="expression" dxfId="5" priority="1">
      <formula>$C$141=""</formula>
    </cfRule>
  </conditionalFormatting>
  <dataValidations count="1">
    <dataValidation type="list" allowBlank="1" showInputMessage="1" showErrorMessage="1" sqref="N157">
      <formula1>$AI$1:$AI$3</formula1>
    </dataValidation>
  </dataValidations>
  <printOptions horizontalCentered="1"/>
  <pageMargins left="0.43307086614173229" right="0.43307086614173229" top="0.43307086614173229" bottom="0.43307086614173229" header="3.937007874015748E-2" footer="3.937007874015748E-2"/>
  <pageSetup paperSize="9" scale="55" fitToHeight="0" orientation="portrait" r:id="rId1"/>
  <headerFooter>
    <oddFooter>&amp;LStandard form reference: A0621-17 rev F
Date: May 2019&amp;C&amp;P/&amp;N</oddFooter>
  </headerFooter>
  <rowBreaks count="1" manualBreakCount="1">
    <brk id="105" max="15" man="1"/>
  </rowBreaks>
  <ignoredErrors>
    <ignoredError sqref="F49 H49 J49 L49 N49 P49" unlockedFormula="1"/>
  </ignoredErrors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3" id="{EDAE7049-F1B6-42F6-AE23-947FD9B17373}">
            <xm:f>$O$30=DB!$AL$3</xm:f>
            <x14:dxf>
              <font>
                <color theme="0"/>
              </font>
              <fill>
                <patternFill patternType="none">
                  <bgColor auto="1"/>
                </patternFill>
              </fill>
              <border>
                <left/>
                <right/>
                <top/>
                <bottom/>
                <vertical/>
                <horizontal/>
              </border>
            </x14:dxf>
          </x14:cfRule>
          <xm:sqref>M32:P32</xm:sqref>
        </x14:conditionalFormatting>
        <x14:conditionalFormatting xmlns:xm="http://schemas.microsoft.com/office/excel/2006/main">
          <x14:cfRule type="expression" priority="134" id="{E311E470-B689-44EB-A884-6468301CA7F1}">
            <xm:f>$E$32=DB!$AL$3</xm:f>
            <x14:dxf>
              <font>
                <color theme="0"/>
              </font>
              <fill>
                <patternFill patternType="none">
                  <bgColor auto="1"/>
                </patternFill>
              </fill>
              <border>
                <left/>
                <right/>
                <top/>
                <bottom/>
                <vertical/>
                <horizontal/>
              </border>
            </x14:dxf>
          </x14:cfRule>
          <xm:sqref>C34:F34 H34:I34 K34:L34</xm:sqref>
        </x14:conditionalFormatting>
        <x14:conditionalFormatting xmlns:xm="http://schemas.microsoft.com/office/excel/2006/main">
          <x14:cfRule type="expression" priority="117" id="{99B9842B-3F05-4F9D-B8EA-263B90BAA995}">
            <xm:f>OR($B$111=DB!$AQ$1,$B$111=DB!$AQ$2)</xm:f>
            <x14:dxf>
              <font>
                <color theme="0"/>
              </font>
              <fill>
                <patternFill patternType="none">
                  <bgColor auto="1"/>
                </patternFill>
              </fill>
              <border>
                <left/>
                <right/>
                <top/>
                <bottom/>
                <vertical/>
                <horizontal/>
              </border>
            </x14:dxf>
          </x14:cfRule>
          <xm:sqref>B115:C117</xm:sqref>
        </x14:conditionalFormatting>
        <x14:conditionalFormatting xmlns:xm="http://schemas.microsoft.com/office/excel/2006/main">
          <x14:cfRule type="expression" priority="16" id="{121224C6-2235-4563-BCD8-4D45C1351B0B}">
            <xm:f>OR($H$155=DB!$AL$3,$H$155=DB!$AL$1)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/>
                <right/>
                <top/>
                <bottom/>
                <vertical/>
                <horizontal/>
              </border>
            </x14:dxf>
          </x14:cfRule>
          <xm:sqref>J155:L155</xm:sqref>
        </x14:conditionalFormatting>
        <x14:conditionalFormatting xmlns:xm="http://schemas.microsoft.com/office/excel/2006/main">
          <x14:cfRule type="expression" priority="14" id="{4AFE523E-CC8A-4A55-80E6-B05DED195A3D}">
            <xm:f>OR($D$113=DB!$BK$2,$D$113=DB!$AQ$4)</xm:f>
            <x14:dxf>
              <font>
                <color theme="0"/>
              </font>
              <fill>
                <patternFill patternType="solid">
                  <bgColor theme="0"/>
                </patternFill>
              </fill>
              <border>
                <left/>
                <right/>
                <top/>
                <bottom/>
                <vertical/>
                <horizontal/>
              </border>
            </x14:dxf>
          </x14:cfRule>
          <xm:sqref>F111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4">
        <x14:dataValidation type="list" allowBlank="1" showInputMessage="1" showErrorMessage="1">
          <x14:formula1>
            <xm:f>DB!$AX$1:$AX$10</xm:f>
          </x14:formula1>
          <xm:sqref>D121 G82:H82 G84:H84 G86:H86 G88:H88 G90:H90 G92:H92 K92:L92 K90:L90 K88:L88 K86:L86 K84:L84 J69:K69 J71:K71</xm:sqref>
        </x14:dataValidation>
        <x14:dataValidation type="list" allowBlank="1" showInputMessage="1" showErrorMessage="1">
          <x14:formula1>
            <xm:f>DB!$AO$1:$AO$7</xm:f>
          </x14:formula1>
          <xm:sqref>O115:P115 E82 E90 E84 E86 E88 E92 O86 O88 O90 O92</xm:sqref>
        </x14:dataValidation>
        <x14:dataValidation type="list" allowBlank="1" showInputMessage="1" showErrorMessage="1">
          <x14:formula1>
            <xm:f>DB!$BC$1:$BC$26</xm:f>
          </x14:formula1>
          <xm:sqref>F53:H53 J53:L53 B53:D53</xm:sqref>
        </x14:dataValidation>
        <x14:dataValidation type="list" allowBlank="1" showInputMessage="1" showErrorMessage="1">
          <x14:formula1>
            <xm:f>DB!$B$2:$B$23</xm:f>
          </x14:formula1>
          <xm:sqref>B38:G38</xm:sqref>
        </x14:dataValidation>
        <x14:dataValidation type="list" errorStyle="warning" allowBlank="1" showInputMessage="1" showErrorMessage="1" errorTitle="Wrong" error="Country name doesn't exist in the list">
          <x14:formula1>
            <xm:f>DB!$AF$2:$AF$260</xm:f>
          </x14:formula1>
          <xm:sqref>L8:P8</xm:sqref>
        </x14:dataValidation>
        <x14:dataValidation type="list" allowBlank="1" showInputMessage="1" showErrorMessage="1">
          <x14:formula1>
            <xm:f>DB!$A$2:$A$105</xm:f>
          </x14:formula1>
          <xm:sqref>K38:P38</xm:sqref>
        </x14:dataValidation>
        <x14:dataValidation type="list" allowBlank="1" showInputMessage="1" showErrorMessage="1">
          <x14:formula1>
            <xm:f>DB!$AH$1:$AH$4</xm:f>
          </x14:formula1>
          <xm:sqref>N18:P18</xm:sqref>
        </x14:dataValidation>
        <x14:dataValidation type="list" allowBlank="1" showInputMessage="1" showErrorMessage="1">
          <x14:formula1>
            <xm:f>DB!$AL$1:$AL$3</xm:f>
          </x14:formula1>
          <xm:sqref>E28 E30 E32 K28 K30:K31 O30 E55 E57 E59 E61 K61 E125 E127 M151 M153 H149 H151 H155 H157</xm:sqref>
        </x14:dataValidation>
        <x14:dataValidation type="list" allowBlank="1" showInputMessage="1" showErrorMessage="1">
          <x14:formula1>
            <xm:f>DB!$AM$1:$AM$4</xm:f>
          </x14:formula1>
          <xm:sqref>O32:P32 E129:F129</xm:sqref>
        </x14:dataValidation>
        <x14:dataValidation type="list" allowBlank="1" showInputMessage="1" showErrorMessage="1">
          <x14:formula1>
            <xm:f>DB!$AQ$1:$AQ$4</xm:f>
          </x14:formula1>
          <xm:sqref>B111:D111</xm:sqref>
        </x14:dataValidation>
        <x14:dataValidation type="list" allowBlank="1" showInputMessage="1" showErrorMessage="1">
          <x14:formula1>
            <xm:f>DB!$AS$1:$AS$4</xm:f>
          </x14:formula1>
          <xm:sqref>B109:D109</xm:sqref>
        </x14:dataValidation>
        <x14:dataValidation type="list" allowBlank="1" showInputMessage="1" showErrorMessage="1">
          <x14:formula1>
            <xm:f>DB!$AT$1:$AT$5</xm:f>
          </x14:formula1>
          <xm:sqref>G135</xm:sqref>
        </x14:dataValidation>
        <x14:dataValidation type="list" allowBlank="1" showInputMessage="1" showErrorMessage="1">
          <x14:formula1>
            <xm:f>DB!$AU$1:$AU$4</xm:f>
          </x14:formula1>
          <xm:sqref>D113</xm:sqref>
        </x14:dataValidation>
        <x14:dataValidation type="list" allowBlank="1" showInputMessage="1" showErrorMessage="1">
          <x14:formula1>
            <xm:f>DB!$AV$1:$AV$4</xm:f>
          </x14:formula1>
          <xm:sqref>H115</xm:sqref>
        </x14:dataValidation>
        <x14:dataValidation type="list" allowBlank="1" showInputMessage="1" showErrorMessage="1">
          <x14:formula1>
            <xm:f>DB!$AW$1:$AW$6</xm:f>
          </x14:formula1>
          <xm:sqref>H117:J117</xm:sqref>
        </x14:dataValidation>
        <x14:dataValidation type="list" allowBlank="1" showInputMessage="1" showErrorMessage="1">
          <x14:formula1>
            <xm:f>DB!$AN$1:$AN$3</xm:f>
          </x14:formula1>
          <xm:sqref>D123 K73 O73</xm:sqref>
        </x14:dataValidation>
        <x14:dataValidation type="list" allowBlank="1" showInputMessage="1" showErrorMessage="1">
          <x14:formula1>
            <xm:f>DB!$AY$1:$AY$4</xm:f>
          </x14:formula1>
          <xm:sqref>B47:D47</xm:sqref>
        </x14:dataValidation>
        <x14:dataValidation type="list" allowBlank="1" showInputMessage="1" showErrorMessage="1">
          <x14:formula1>
            <xm:f>DB!$AZ$1:$AZ$3</xm:f>
          </x14:formula1>
          <xm:sqref>J47</xm:sqref>
        </x14:dataValidation>
        <x14:dataValidation type="list" allowBlank="1" showInputMessage="1" showErrorMessage="1">
          <x14:formula1>
            <xm:f>DB!$BA$2:$BA$7</xm:f>
          </x14:formula1>
          <xm:sqref>M55</xm:sqref>
        </x14:dataValidation>
        <x14:dataValidation type="list" allowBlank="1" showInputMessage="1" showErrorMessage="1">
          <x14:formula1>
            <xm:f>DB!$BD$2:$BD$4</xm:f>
          </x14:formula1>
          <xm:sqref>G55</xm:sqref>
        </x14:dataValidation>
        <x14:dataValidation type="list" allowBlank="1" showInputMessage="1" showErrorMessage="1">
          <x14:formula1>
            <xm:f>DB!$BB$2:$BB$6</xm:f>
          </x14:formula1>
          <xm:sqref>M127:N127 M129:N129 M131:N131 M133:N133 H139:I139</xm:sqref>
        </x14:dataValidation>
        <x14:dataValidation type="list" allowBlank="1" showInputMessage="1" showErrorMessage="1">
          <x14:formula1>
            <xm:f>DB!$BB$9:$BB$11</xm:f>
          </x14:formula1>
          <xm:sqref>H143:I143</xm:sqref>
        </x14:dataValidation>
        <x14:dataValidation type="list" allowBlank="1" showInputMessage="1" showErrorMessage="1">
          <x14:formula1>
            <xm:f>DB!$BM$1:$BM$15</xm:f>
          </x14:formula1>
          <xm:sqref>G137:I137</xm:sqref>
        </x14:dataValidation>
        <x14:dataValidation type="list" allowBlank="1" showInputMessage="1" showErrorMessage="1">
          <x14:formula1>
            <xm:f>DB!$BN$1:$BN$3</xm:f>
          </x14:formula1>
          <xm:sqref>F145:I147</xm:sqref>
        </x14:dataValidation>
        <x14:dataValidation type="list" allowBlank="1" showInputMessage="1" showErrorMessage="1">
          <x14:formula1>
            <xm:f>DB!$BO$1:$BO$12</xm:f>
          </x14:formula1>
          <xm:sqref>E161 E163 E165</xm:sqref>
        </x14:dataValidation>
        <x14:dataValidation type="list" allowBlank="1" showInputMessage="1" showErrorMessage="1">
          <x14:formula1>
            <xm:f>DB!$BQ$1:$BQ$4</xm:f>
          </x14:formula1>
          <xm:sqref>B18:D18</xm:sqref>
        </x14:dataValidation>
        <x14:dataValidation type="list" allowBlank="1" showInputMessage="1" showErrorMessage="1">
          <x14:formula1>
            <xm:f>DB!$BI$2:$BI$3</xm:f>
          </x14:formula1>
          <xm:sqref>D104</xm:sqref>
        </x14:dataValidation>
        <x14:dataValidation type="list" allowBlank="1" showInputMessage="1" showErrorMessage="1">
          <x14:formula1>
            <xm:f>DB!$BR$1:$BR$4</xm:f>
          </x14:formula1>
          <xm:sqref>J155</xm:sqref>
        </x14:dataValidation>
        <x14:dataValidation type="list" allowBlank="1" showInputMessage="1" showErrorMessage="1">
          <x14:formula1>
            <xm:f>DB!$BP$1:$BP$3</xm:f>
          </x14:formula1>
          <xm:sqref>N111:P111</xm:sqref>
        </x14:dataValidation>
        <x14:dataValidation type="list" allowBlank="1" showInputMessage="1" showErrorMessage="1">
          <x14:formula1>
            <xm:f>DB!$BS$2:$BS$3</xm:f>
          </x14:formula1>
          <xm:sqref>C22 G22 K22 P22</xm:sqref>
        </x14:dataValidation>
        <x14:dataValidation type="list" allowBlank="1" showInputMessage="1" showErrorMessage="1">
          <x14:formula1>
            <xm:f>DB!$AJ$2:$AJ$21</xm:f>
          </x14:formula1>
          <xm:sqref>E24:F24</xm:sqref>
        </x14:dataValidation>
        <x14:dataValidation type="list" allowBlank="1" showInputMessage="1" showErrorMessage="1">
          <x14:formula1>
            <xm:f>DB!$BJ$1:$BJ$6</xm:f>
          </x14:formula1>
          <xm:sqref>B86:C86 B88:C88 B90:C90 B92:C92</xm:sqref>
        </x14:dataValidation>
        <x14:dataValidation type="list" allowBlank="1" showInputMessage="1" showErrorMessage="1">
          <x14:formula1>
            <xm:f>DB!$CJ$1:$CJ$2</xm:f>
          </x14:formula1>
          <xm:sqref>B80</xm:sqref>
        </x14:dataValidation>
        <x14:dataValidation type="list" allowBlank="1" showInputMessage="1" showErrorMessage="1">
          <x14:formula1>
            <xm:f>DB!$CG$2:$CG$5</xm:f>
          </x14:formula1>
          <xm:sqref>F141:G141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7"/>
  <sheetViews>
    <sheetView topLeftCell="A7" zoomScale="95" zoomScaleNormal="95" zoomScaleSheetLayoutView="100" workbookViewId="0">
      <selection activeCell="D12" sqref="D12"/>
    </sheetView>
  </sheetViews>
  <sheetFormatPr defaultColWidth="10.6328125" defaultRowHeight="15"/>
  <cols>
    <col min="1" max="1" width="2.6328125" style="1" customWidth="1"/>
    <col min="2" max="2" width="3.08984375" style="1" bestFit="1" customWidth="1"/>
    <col min="3" max="3" width="10.1796875" style="1" bestFit="1" customWidth="1"/>
    <col min="4" max="4" width="12.6328125" style="1" customWidth="1"/>
    <col min="5" max="5" width="4.36328125" style="1" customWidth="1"/>
    <col min="6" max="6" width="12.6328125" style="1" customWidth="1"/>
    <col min="7" max="7" width="6.6328125" style="1" bestFit="1" customWidth="1"/>
    <col min="8" max="8" width="12.6328125" style="1" customWidth="1"/>
    <col min="9" max="9" width="8.1796875" style="1" bestFit="1" customWidth="1"/>
    <col min="10" max="12" width="5.6328125" style="1" customWidth="1"/>
    <col min="13" max="14" width="5.6328125" style="1" hidden="1" customWidth="1"/>
    <col min="15" max="15" width="5.6328125" style="1" customWidth="1"/>
    <col min="16" max="16" width="2.6328125" style="1" customWidth="1"/>
    <col min="17" max="17" width="8" style="1" customWidth="1"/>
    <col min="18" max="18" width="5.6328125" style="3" bestFit="1" customWidth="1"/>
    <col min="19" max="19" width="8.453125" style="3" bestFit="1" customWidth="1"/>
    <col min="20" max="20" width="3.90625" style="3" bestFit="1" customWidth="1"/>
    <col min="21" max="21" width="8.08984375" style="3" customWidth="1"/>
    <col min="22" max="22" width="4.6328125" style="3" bestFit="1" customWidth="1"/>
    <col min="23" max="23" width="7.7265625" style="3" bestFit="1" customWidth="1"/>
    <col min="24" max="24" width="6.90625" style="3" bestFit="1" customWidth="1"/>
    <col min="25" max="25" width="7.1796875" style="3" bestFit="1" customWidth="1"/>
    <col min="26" max="26" width="5.6328125" style="1" bestFit="1" customWidth="1"/>
    <col min="27" max="27" width="8.7265625" style="1" bestFit="1" customWidth="1"/>
    <col min="28" max="28" width="11.7265625" style="1" bestFit="1" customWidth="1"/>
    <col min="29" max="16384" width="10.6328125" style="1"/>
  </cols>
  <sheetData>
    <row r="1" spans="1:28" ht="30">
      <c r="A1" s="176" t="s">
        <v>658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8"/>
      <c r="Q1" s="3"/>
      <c r="V1" s="54"/>
      <c r="W1" s="54"/>
      <c r="Y1" s="179"/>
      <c r="Z1" s="179"/>
    </row>
    <row r="2" spans="1:28">
      <c r="A2" s="76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77"/>
      <c r="Q2" s="3"/>
      <c r="Z2" s="3"/>
      <c r="AA2" s="3"/>
    </row>
    <row r="3" spans="1:28" ht="15" customHeight="1">
      <c r="A3" s="76"/>
      <c r="B3" s="2"/>
      <c r="C3" s="2"/>
      <c r="D3" s="2"/>
      <c r="E3" s="2"/>
      <c r="F3" s="180" t="s">
        <v>625</v>
      </c>
      <c r="G3" s="180"/>
      <c r="H3" s="180"/>
      <c r="I3" s="2"/>
      <c r="J3" s="2"/>
      <c r="K3" s="2"/>
      <c r="L3" s="2"/>
      <c r="M3" s="2"/>
      <c r="N3" s="2"/>
      <c r="O3" s="2"/>
      <c r="P3" s="77"/>
      <c r="Q3" s="3"/>
      <c r="Z3" s="3"/>
      <c r="AA3" s="3"/>
    </row>
    <row r="4" spans="1:28" ht="15.6">
      <c r="A4" s="76"/>
      <c r="B4" s="2"/>
      <c r="C4" s="2"/>
      <c r="D4" s="2"/>
      <c r="E4" s="2"/>
      <c r="F4" s="81" t="s">
        <v>31</v>
      </c>
      <c r="G4" s="82">
        <f>IF(Request!B123="",IF(ISERROR(AVERAGE(Request!J73,Request!N73)),Request!J73,AVERAGE(Request!J73,Request!N73)),Request!B123)</f>
        <v>3.6</v>
      </c>
      <c r="H4" s="83" t="s">
        <v>33</v>
      </c>
      <c r="I4" s="2"/>
      <c r="J4" s="2"/>
      <c r="K4" s="2"/>
      <c r="L4" s="2"/>
      <c r="M4" s="2"/>
      <c r="N4" s="2"/>
      <c r="O4" s="2"/>
      <c r="P4" s="77"/>
      <c r="Q4" s="3"/>
      <c r="Z4" s="3"/>
      <c r="AA4" s="3"/>
    </row>
    <row r="5" spans="1:28" ht="15.6">
      <c r="A5" s="76"/>
      <c r="B5" s="2"/>
      <c r="C5" s="2"/>
      <c r="D5" s="2"/>
      <c r="E5" s="2"/>
      <c r="F5" s="81" t="s">
        <v>30</v>
      </c>
      <c r="G5" s="82">
        <f>Request!J73</f>
        <v>2.6</v>
      </c>
      <c r="H5" s="83" t="s">
        <v>33</v>
      </c>
      <c r="I5" s="2"/>
      <c r="J5" s="2"/>
      <c r="K5" s="2"/>
      <c r="L5" s="2"/>
      <c r="M5" s="2"/>
      <c r="N5" s="2"/>
      <c r="O5" s="2"/>
      <c r="P5" s="77"/>
      <c r="Q5" s="3"/>
      <c r="V5" s="54"/>
      <c r="W5" s="54"/>
      <c r="Z5" s="3"/>
      <c r="AA5" s="3"/>
      <c r="AB5" s="4"/>
    </row>
    <row r="6" spans="1:28" ht="15.6">
      <c r="A6" s="76"/>
      <c r="B6" s="2"/>
      <c r="C6" s="2"/>
      <c r="D6" s="2"/>
      <c r="E6" s="2"/>
      <c r="F6" s="81" t="s">
        <v>32</v>
      </c>
      <c r="G6" s="82">
        <f>Request!N73</f>
        <v>3.6</v>
      </c>
      <c r="H6" s="83" t="s">
        <v>33</v>
      </c>
      <c r="I6" s="2"/>
      <c r="J6" s="2"/>
      <c r="K6" s="2"/>
      <c r="L6" s="2"/>
      <c r="M6" s="2"/>
      <c r="N6" s="2"/>
      <c r="O6" s="2"/>
      <c r="P6" s="77"/>
      <c r="Q6" s="3"/>
      <c r="X6" s="1"/>
      <c r="Z6" s="3"/>
      <c r="AA6" s="3"/>
      <c r="AB6" s="3"/>
    </row>
    <row r="7" spans="1:28">
      <c r="A7" s="76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77"/>
      <c r="X7" s="1"/>
      <c r="Z7" s="3"/>
      <c r="AA7" s="3"/>
      <c r="AB7" s="3"/>
    </row>
    <row r="8" spans="1:28" ht="15" customHeight="1">
      <c r="A8" s="76"/>
      <c r="B8" s="2"/>
      <c r="C8" s="2"/>
      <c r="D8" s="186" t="s">
        <v>626</v>
      </c>
      <c r="E8" s="186"/>
      <c r="F8" s="183" t="s">
        <v>627</v>
      </c>
      <c r="G8" s="183"/>
      <c r="H8" s="183" t="s">
        <v>628</v>
      </c>
      <c r="I8" s="183"/>
      <c r="J8" s="187" t="s">
        <v>29</v>
      </c>
      <c r="K8" s="187"/>
      <c r="L8" s="187"/>
      <c r="M8" s="187"/>
      <c r="N8" s="187"/>
      <c r="O8" s="187"/>
      <c r="P8" s="77"/>
      <c r="Q8" s="174" t="s">
        <v>674</v>
      </c>
      <c r="R8" s="174" t="s">
        <v>2</v>
      </c>
      <c r="S8" s="175"/>
      <c r="T8" s="175" t="s">
        <v>28</v>
      </c>
      <c r="U8" s="185" t="s">
        <v>667</v>
      </c>
      <c r="V8" s="185"/>
      <c r="X8" s="1"/>
      <c r="Z8" s="3"/>
      <c r="AA8" s="3"/>
      <c r="AB8" s="5"/>
    </row>
    <row r="9" spans="1:28">
      <c r="A9" s="76"/>
      <c r="B9" s="2"/>
      <c r="C9" s="2"/>
      <c r="D9" s="186"/>
      <c r="E9" s="186"/>
      <c r="F9" s="183"/>
      <c r="G9" s="183"/>
      <c r="H9" s="183"/>
      <c r="I9" s="183"/>
      <c r="J9" s="187"/>
      <c r="K9" s="187"/>
      <c r="L9" s="187"/>
      <c r="M9" s="187"/>
      <c r="N9" s="187"/>
      <c r="O9" s="187"/>
      <c r="P9" s="77"/>
      <c r="Q9" s="174"/>
      <c r="R9" s="175"/>
      <c r="S9" s="175"/>
      <c r="T9" s="175"/>
      <c r="U9" s="185"/>
      <c r="V9" s="185"/>
      <c r="Z9" s="3"/>
      <c r="AA9" s="3"/>
      <c r="AB9" s="5"/>
    </row>
    <row r="10" spans="1:28" ht="15.6">
      <c r="A10" s="76"/>
      <c r="B10" s="2"/>
      <c r="C10" s="83" t="s">
        <v>3</v>
      </c>
      <c r="D10" s="84">
        <v>3</v>
      </c>
      <c r="E10" s="85" t="str">
        <f>Request!E84</f>
        <v>µA</v>
      </c>
      <c r="F10" s="183"/>
      <c r="G10" s="183"/>
      <c r="H10" s="183"/>
      <c r="I10" s="183"/>
      <c r="J10" s="187"/>
      <c r="K10" s="187"/>
      <c r="L10" s="187"/>
      <c r="M10" s="187"/>
      <c r="N10" s="187"/>
      <c r="O10" s="187"/>
      <c r="P10" s="77"/>
      <c r="Q10" s="56">
        <f>(D10*IF(OR(E10=DB!$BU$2,E10=DB!$BU$3,E10=DB!$BU$4),VLOOKUP(E10,DB!$BU$2:$BV$4,2,FALSE),IF(OR(E10=DB!$BU$6,E10=DB!$BU$7,E10=DB!$BU$8),VLOOKUP(E10,DB!$BU$6:$BV$8,2,FALSE)/($G$4),0)))</f>
        <v>3</v>
      </c>
      <c r="R10" s="57" t="s">
        <v>26</v>
      </c>
      <c r="S10" s="57" t="s">
        <v>27</v>
      </c>
      <c r="T10" s="56" t="str">
        <f>IF(OR(E10=DB!$BU$2,E10=DB!$BU$3,E10=DB!$BU$4),E10,VLOOKUP(VLOOKUP(E10,DB!$BU$6:$BW$8,3,FALSE),DB!$BT$2:$BU$4,2,FALSE))</f>
        <v>µA</v>
      </c>
      <c r="U10" s="55">
        <f>IF(D10=0,"",(D10*IF(OR(E10=DB!$BU$2,E10=DB!$BU$3,E10=DB!$BU$4),VLOOKUP(E10,DB!$BU$2:$BV$4,2,FALSE),IF(OR(E10=DB!$BU$6,E10=DB!$BU$7,E10=DB!$BU$8),VLOOKUP(E10,DB!$BU$6:$BV$8,2,FALSE)/($G$5),0))))</f>
        <v>3</v>
      </c>
      <c r="V10" s="55" t="str">
        <f>IF(U10="","",T10)</f>
        <v>µA</v>
      </c>
      <c r="Z10" s="3"/>
      <c r="AA10" s="3"/>
    </row>
    <row r="11" spans="1:28" ht="15" customHeight="1">
      <c r="A11" s="76"/>
      <c r="B11" s="181" t="s">
        <v>629</v>
      </c>
      <c r="C11" s="81" t="s">
        <v>5</v>
      </c>
      <c r="D11" s="84">
        <v>25</v>
      </c>
      <c r="E11" s="86" t="str">
        <f>Request!E86</f>
        <v>mA</v>
      </c>
      <c r="F11" s="84">
        <v>10</v>
      </c>
      <c r="G11" s="86" t="str">
        <f>Request!G86</f>
        <v>s</v>
      </c>
      <c r="H11" s="84">
        <v>1</v>
      </c>
      <c r="I11" s="86" t="s">
        <v>20</v>
      </c>
      <c r="J11" s="182"/>
      <c r="K11" s="182"/>
      <c r="L11" s="182"/>
      <c r="M11" s="182"/>
      <c r="N11" s="182"/>
      <c r="O11" s="182"/>
      <c r="P11" s="77"/>
      <c r="Q11" s="56">
        <f>(D11*IF(OR(E11=DB!$BU$2,E11=DB!$BU$3,E11=DB!$BU$4),VLOOKUP(E11,DB!$BU$2:$BV$4,2,FALSE),IF(OR(E11=DB!$BU$6,E11=DB!$BU$7,E11=DB!$BU$8),VLOOKUP(E11,DB!$BU$6:$BV$8,2,FALSE)/($G$4),0)))</f>
        <v>25000</v>
      </c>
      <c r="R11" s="56">
        <f>H11*VLOOKUP(I11,DB!$BY$2:$BZ$10,2,FALSE)</f>
        <v>3600</v>
      </c>
      <c r="S11" s="56">
        <f>IF(Q11=0,0,F11*VLOOKUP(G11,DB!$BY$2:$BZ$10,2,FALSE)*IF(MAX($R$11:$R$20)=0,1,MAX($R$11:$R$20))/R11)</f>
        <v>10</v>
      </c>
      <c r="T11" s="56" t="str">
        <f>IF(OR(E11=DB!$BU$2,E11=DB!$BU$3,E11=DB!$BU$4),E11,VLOOKUP(VLOOKUP(E11,DB!$BU$6:$BW$8,3,FALSE),DB!$BT$2:$BU$4,2,FALSE))</f>
        <v>mA</v>
      </c>
      <c r="U11" s="55">
        <f>IF(D11=0,"",(D11*IF(OR(E11=DB!$BU$2,E11=DB!$BU$3,E11=DB!$BU$4),VLOOKUP(E11,DB!$BU$2:$BV$4,2,FALSE),IF(OR(E11=DB!$BU$6,E11=DB!$BU$7,E11=DB!$BU$8),VLOOKUP(E11,DB!$BU$6:$BV$8,2,FALSE)/($G$5),0))))</f>
        <v>25000</v>
      </c>
      <c r="V11" s="55" t="str">
        <f t="shared" ref="V11:V20" si="0">IF(U11="","",T11)</f>
        <v>mA</v>
      </c>
      <c r="W11" s="55" t="str">
        <f>IF(Request!M86="","",Request!M86*IF(OR(Request!O86=DB!$BU$2,Request!O86=DB!$BU$3,Request!O86=DB!$BU$4),VLOOKUP(Request!O86,DB!$BU$2:$BV$4,2,FALSE),IF(OR(Request!O86=DB!$BU$6,Request!O86=DB!$BU$7,Request!O86=DB!$BU$8),VLOOKUP(Request!O86,DB!$BU$6:$BV$8,2,FALSE)/($G$5),0)))</f>
        <v/>
      </c>
      <c r="X11" s="55" t="str">
        <f>IF(W11="","",Request!O86)</f>
        <v/>
      </c>
      <c r="Y11" s="1"/>
    </row>
    <row r="12" spans="1:28" ht="15.6">
      <c r="A12" s="76"/>
      <c r="B12" s="181"/>
      <c r="C12" s="81" t="s">
        <v>6</v>
      </c>
      <c r="D12" s="84">
        <v>20</v>
      </c>
      <c r="E12" s="86" t="str">
        <f>Request!E88</f>
        <v>mA</v>
      </c>
      <c r="F12" s="84">
        <v>200</v>
      </c>
      <c r="G12" s="86" t="s">
        <v>17</v>
      </c>
      <c r="H12" s="84">
        <v>1</v>
      </c>
      <c r="I12" s="86" t="s">
        <v>20</v>
      </c>
      <c r="J12" s="182"/>
      <c r="K12" s="182"/>
      <c r="L12" s="182"/>
      <c r="M12" s="182"/>
      <c r="N12" s="182"/>
      <c r="O12" s="182"/>
      <c r="P12" s="77"/>
      <c r="Q12" s="56">
        <f>(D12*IF(OR(E12=DB!$BU$2,E12=DB!$BU$3,E12=DB!$BU$4),VLOOKUP(E12,DB!$BU$2:$BV$4,2,FALSE),IF(OR(E12=DB!$BU$6,E12=DB!$BU$7,E12=DB!$BU$8),VLOOKUP(E12,DB!$BU$6:$BV$8,2,FALSE)/($G$4),0)))</f>
        <v>20000</v>
      </c>
      <c r="R12" s="56">
        <f>H12*VLOOKUP(I12,DB!$BY$2:$BZ$10,2,FALSE)</f>
        <v>3600</v>
      </c>
      <c r="S12" s="56">
        <f>IF(Q12=0,0,F12*VLOOKUP(G12,DB!$BY$2:$BZ$10,2,FALSE)*IF(MAX($R$11:$R$20)=0,1,MAX($R$11:$R$20))/R12)</f>
        <v>0.2</v>
      </c>
      <c r="T12" s="56" t="str">
        <f>IF(OR(E12=DB!$BU$2,E12=DB!$BU$3,E12=DB!$BU$4),E12,VLOOKUP(VLOOKUP(E12,DB!$BU$6:$BW$8,3,FALSE),DB!$BT$2:$BU$4,2,FALSE))</f>
        <v>mA</v>
      </c>
      <c r="U12" s="55">
        <f>IF(D12=0,"",(D12*IF(OR(E12=DB!$BU$2,E12=DB!$BU$3,E12=DB!$BU$4),VLOOKUP(E12,DB!$BU$2:$BV$4,2,FALSE),IF(OR(E12=DB!$BU$6,E12=DB!$BU$7,E12=DB!$BU$8),VLOOKUP(E12,DB!$BU$6:$BV$8,2,FALSE)/($G$5),0))))</f>
        <v>20000</v>
      </c>
      <c r="V12" s="55" t="str">
        <f t="shared" si="0"/>
        <v>mA</v>
      </c>
      <c r="W12" s="55" t="str">
        <f>IF(Request!M88="","",Request!M88*IF(OR(Request!O88=DB!$BU$2,Request!O88=DB!$BU$3,Request!O88=DB!$BU$4),VLOOKUP(Request!O88,DB!$BU$2:$BV$4,2,FALSE),IF(OR(Request!O88=DB!$BU$6,Request!O88=DB!$BU$7,Request!O88=DB!$BU$8),VLOOKUP(Request!O88,DB!$BU$6:$BV$8,2,FALSE)/($G$5),0)))</f>
        <v/>
      </c>
      <c r="X12" s="55" t="str">
        <f>IF(W12="","",Request!O88)</f>
        <v/>
      </c>
    </row>
    <row r="13" spans="1:28" ht="15.6">
      <c r="A13" s="76"/>
      <c r="B13" s="181"/>
      <c r="C13" s="81" t="s">
        <v>7</v>
      </c>
      <c r="D13" s="84">
        <v>0</v>
      </c>
      <c r="E13" s="86" t="str">
        <f>Request!E90</f>
        <v>mA</v>
      </c>
      <c r="F13" s="84">
        <f>Request!F90</f>
        <v>0</v>
      </c>
      <c r="G13" s="86" t="str">
        <f>Request!G90</f>
        <v>mn</v>
      </c>
      <c r="H13" s="84">
        <f>Request!I90</f>
        <v>0</v>
      </c>
      <c r="I13" s="86" t="str">
        <f>Request!K90</f>
        <v>s</v>
      </c>
      <c r="J13" s="182"/>
      <c r="K13" s="182"/>
      <c r="L13" s="182"/>
      <c r="M13" s="182"/>
      <c r="N13" s="182"/>
      <c r="O13" s="182"/>
      <c r="P13" s="77"/>
      <c r="Q13" s="56">
        <f>(D13*IF(OR(E13=DB!$BU$2,E13=DB!$BU$3,E13=DB!$BU$4),VLOOKUP(E13,DB!$BU$2:$BV$4,2,FALSE),IF(OR(E13=DB!$BU$6,E13=DB!$BU$7,E13=DB!$BU$8),VLOOKUP(E13,DB!$BU$6:$BV$8,2,FALSE)/($G$4),0)))</f>
        <v>0</v>
      </c>
      <c r="R13" s="56">
        <f>H13*VLOOKUP(I13,DB!$BY$2:$BZ$10,2,FALSE)</f>
        <v>0</v>
      </c>
      <c r="S13" s="56">
        <f>IF(Q13=0,0,F13*VLOOKUP(G13,DB!$BY$2:$BZ$10,2,FALSE)*IF(MAX($R$11:$R$20)=0,1,MAX($R$11:$R$20))/R13)</f>
        <v>0</v>
      </c>
      <c r="T13" s="56" t="str">
        <f>IF(OR(E13=DB!$BU$2,E13=DB!$BU$3,E13=DB!$BU$4),E13,VLOOKUP(VLOOKUP(E13,DB!$BU$6:$BW$8,3,FALSE),DB!$BT$2:$BU$4,2,FALSE))</f>
        <v>mA</v>
      </c>
      <c r="U13" s="55" t="str">
        <f>IF(D13=0,"",(D13*IF(OR(E13=DB!$BU$2,E13=DB!$BU$3,E13=DB!$BU$4),VLOOKUP(E13,DB!$BU$2:$BV$4,2,FALSE),IF(OR(E13=DB!$BU$6,E13=DB!$BU$7,E13=DB!$BU$8),VLOOKUP(E13,DB!$BU$6:$BV$8,2,FALSE)/($G$5),0))))</f>
        <v/>
      </c>
      <c r="V13" s="55" t="str">
        <f t="shared" si="0"/>
        <v/>
      </c>
      <c r="W13" s="55" t="str">
        <f>IF(Request!M90="","",Request!M90*IF(OR(Request!O90=DB!$BU$2,Request!O90=DB!$BU$3,Request!O90=DB!$BU$4),VLOOKUP(Request!O90,DB!$BU$2:$BV$4,2,FALSE),IF(OR(Request!O90=DB!$BU$6,Request!O90=DB!$BU$7,Request!O90=DB!$BU$8),VLOOKUP(Request!O90,DB!$BU$6:$BV$8,2,FALSE)/($G$5),0)))</f>
        <v/>
      </c>
      <c r="X13" s="55" t="str">
        <f>IF(W13="","",Request!O90)</f>
        <v/>
      </c>
    </row>
    <row r="14" spans="1:28" ht="15.6">
      <c r="A14" s="76"/>
      <c r="B14" s="181"/>
      <c r="C14" s="81" t="s">
        <v>8</v>
      </c>
      <c r="D14" s="84">
        <f>Request!D92</f>
        <v>0</v>
      </c>
      <c r="E14" s="86" t="str">
        <f>Request!E92</f>
        <v>mA</v>
      </c>
      <c r="F14" s="84">
        <f>Request!F92</f>
        <v>0</v>
      </c>
      <c r="G14" s="86" t="str">
        <f>Request!G92</f>
        <v>mn</v>
      </c>
      <c r="H14" s="84">
        <f>Request!I92</f>
        <v>0</v>
      </c>
      <c r="I14" s="86" t="str">
        <f>Request!K92</f>
        <v>s</v>
      </c>
      <c r="J14" s="182"/>
      <c r="K14" s="182"/>
      <c r="L14" s="182"/>
      <c r="M14" s="182"/>
      <c r="N14" s="182"/>
      <c r="O14" s="182"/>
      <c r="P14" s="77"/>
      <c r="Q14" s="56">
        <f>(D14*IF(OR(E14=DB!$BU$2,E14=DB!$BU$3,E14=DB!$BU$4),VLOOKUP(E14,DB!$BU$2:$BV$4,2,FALSE),IF(OR(E14=DB!$BU$6,E14=DB!$BU$7,E14=DB!$BU$8),VLOOKUP(E14,DB!$BU$6:$BV$8,2,FALSE)/($G$4),0)))</f>
        <v>0</v>
      </c>
      <c r="R14" s="56">
        <f>H14*VLOOKUP(I14,DB!$BY$2:$BZ$10,2,FALSE)</f>
        <v>0</v>
      </c>
      <c r="S14" s="56">
        <f>IF(Q14=0,0,F14*VLOOKUP(G14,DB!$BY$2:$BZ$10,2,FALSE)*IF(MAX($R$11:$R$20)=0,1,MAX($R$11:$R$20))/R14)</f>
        <v>0</v>
      </c>
      <c r="T14" s="56" t="str">
        <f>IF(OR(E14=DB!$BU$2,E14=DB!$BU$3,E14=DB!$BU$4),E14,VLOOKUP(VLOOKUP(E14,DB!$BU$6:$BW$8,3,FALSE),DB!$BT$2:$BU$4,2,FALSE))</f>
        <v>mA</v>
      </c>
      <c r="U14" s="55" t="str">
        <f>IF(D14=0,"",(D14*IF(OR(E14=DB!$BU$2,E14=DB!$BU$3,E14=DB!$BU$4),VLOOKUP(E14,DB!$BU$2:$BV$4,2,FALSE),IF(OR(E14=DB!$BU$6,E14=DB!$BU$7,E14=DB!$BU$8),VLOOKUP(E14,DB!$BU$6:$BV$8,2,FALSE)/($G$5),0))))</f>
        <v/>
      </c>
      <c r="V14" s="55" t="str">
        <f t="shared" si="0"/>
        <v/>
      </c>
      <c r="W14" s="55" t="str">
        <f>IF(Request!M92="","",Request!M92*IF(OR(Request!O92=DB!$BU$2,Request!O92=DB!$BU$3,Request!O92=DB!$BU$4),VLOOKUP(Request!O92,DB!$BU$2:$BV$4,2,FALSE),IF(OR(Request!O92=DB!$BU$6,Request!O92=DB!$BU$7,Request!O92=DB!$BU$8),VLOOKUP(Request!O92,DB!$BU$6:$BV$8,2,FALSE)/($G$5),0)))</f>
        <v/>
      </c>
      <c r="X14" s="55" t="str">
        <f>IF(W14="","",Request!O92)</f>
        <v/>
      </c>
    </row>
    <row r="15" spans="1:28" ht="15.6">
      <c r="A15" s="76"/>
      <c r="B15" s="181"/>
      <c r="C15" s="81" t="s">
        <v>9</v>
      </c>
      <c r="D15" s="84">
        <v>0</v>
      </c>
      <c r="E15" s="86" t="s">
        <v>0</v>
      </c>
      <c r="F15" s="84">
        <v>0</v>
      </c>
      <c r="G15" s="86" t="s">
        <v>18</v>
      </c>
      <c r="H15" s="84">
        <v>0</v>
      </c>
      <c r="I15" s="86" t="s">
        <v>18</v>
      </c>
      <c r="J15" s="182"/>
      <c r="K15" s="182"/>
      <c r="L15" s="182"/>
      <c r="M15" s="182"/>
      <c r="N15" s="182"/>
      <c r="O15" s="182"/>
      <c r="P15" s="77"/>
      <c r="Q15" s="56">
        <f>(D15*IF(OR(E15=DB!$BU$2,E15=DB!$BU$3,E15=DB!$BU$4),VLOOKUP(E15,DB!$BU$2:$BV$4,2,FALSE),IF(OR(E15=DB!$BU$6,E15=DB!$BU$7,E15=DB!$BU$8),VLOOKUP(E15,DB!$BU$6:$BV$8,2,FALSE)/($G$4),0)))</f>
        <v>0</v>
      </c>
      <c r="R15" s="56">
        <f>H15*VLOOKUP(I15,DB!$BY$2:$BZ$10,2,FALSE)</f>
        <v>0</v>
      </c>
      <c r="S15" s="56">
        <f>IF(Q15=0,0,F15*VLOOKUP(G15,DB!$BY$2:$BZ$10,2,FALSE)*IF(MAX($R$11:$R$20)=0,1,MAX($R$11:$R$20))/R15)</f>
        <v>0</v>
      </c>
      <c r="T15" s="56" t="str">
        <f>IF(OR(E15=DB!$BU$2,E15=DB!$BU$3,E15=DB!$BU$4),E15,VLOOKUP(VLOOKUP(E15,DB!$BU$6:$BW$8,3,FALSE),DB!$BT$2:$BU$4,2,FALSE))</f>
        <v>µA</v>
      </c>
      <c r="U15" s="55" t="str">
        <f>IF(D15=0,"",(D15*IF(OR(E15=DB!$BU$2,E15=DB!$BU$3,E15=DB!$BU$4),VLOOKUP(E15,DB!$BU$2:$BV$4,2,FALSE),IF(OR(E15=DB!$BU$6,E15=DB!$BU$7,E15=DB!$BU$8),VLOOKUP(E15,DB!$BU$6:$BV$8,2,FALSE)/($G$5),0))))</f>
        <v/>
      </c>
      <c r="V15" s="55" t="str">
        <f t="shared" si="0"/>
        <v/>
      </c>
    </row>
    <row r="16" spans="1:28" ht="15.6">
      <c r="A16" s="76"/>
      <c r="B16" s="181"/>
      <c r="C16" s="81" t="s">
        <v>10</v>
      </c>
      <c r="D16" s="84">
        <v>0</v>
      </c>
      <c r="E16" s="86" t="s">
        <v>15</v>
      </c>
      <c r="F16" s="84">
        <v>0</v>
      </c>
      <c r="G16" s="86" t="s">
        <v>18</v>
      </c>
      <c r="H16" s="84">
        <v>0</v>
      </c>
      <c r="I16" s="86" t="s">
        <v>18</v>
      </c>
      <c r="J16" s="182"/>
      <c r="K16" s="182"/>
      <c r="L16" s="182"/>
      <c r="M16" s="182"/>
      <c r="N16" s="182"/>
      <c r="O16" s="182"/>
      <c r="P16" s="77"/>
      <c r="Q16" s="56">
        <f>(D16*IF(OR(E16=DB!$BU$2,E16=DB!$BU$3,E16=DB!$BU$4),VLOOKUP(E16,DB!$BU$2:$BV$4,2,FALSE),IF(OR(E16=DB!$BU$6,E16=DB!$BU$7,E16=DB!$BU$8),VLOOKUP(E16,DB!$BU$6:$BV$8,2,FALSE)/($G$4),0)))</f>
        <v>0</v>
      </c>
      <c r="R16" s="56">
        <f>H16*VLOOKUP(I16,DB!$BY$2:$BZ$10,2,FALSE)</f>
        <v>0</v>
      </c>
      <c r="S16" s="56">
        <f>IF(Q16=0,0,F16*VLOOKUP(G16,DB!$BY$2:$BZ$10,2,FALSE)*IF(MAX($R$11:$R$20)=0,1,MAX($R$11:$R$20))/R16)</f>
        <v>0</v>
      </c>
      <c r="T16" s="56" t="str">
        <f>IF(OR(E16=DB!$BU$2,E16=DB!$BU$3,E16=DB!$BU$4),E16,VLOOKUP(VLOOKUP(E16,DB!$BU$6:$BW$8,3,FALSE),DB!$BT$2:$BU$4,2,FALSE))</f>
        <v>mA</v>
      </c>
      <c r="U16" s="55" t="str">
        <f>IF(D16=0,"",(D16*IF(OR(E16=DB!$BU$2,E16=DB!$BU$3,E16=DB!$BU$4),VLOOKUP(E16,DB!$BU$2:$BV$4,2,FALSE),IF(OR(E16=DB!$BU$6,E16=DB!$BU$7,E16=DB!$BU$8),VLOOKUP(E16,DB!$BU$6:$BV$8,2,FALSE)/($G$5),0))))</f>
        <v/>
      </c>
      <c r="V16" s="55" t="str">
        <f t="shared" si="0"/>
        <v/>
      </c>
    </row>
    <row r="17" spans="1:48" ht="15.6">
      <c r="A17" s="76"/>
      <c r="B17" s="181"/>
      <c r="C17" s="81" t="s">
        <v>11</v>
      </c>
      <c r="D17" s="84">
        <v>0</v>
      </c>
      <c r="E17" s="86" t="s">
        <v>15</v>
      </c>
      <c r="F17" s="84">
        <v>0</v>
      </c>
      <c r="G17" s="86" t="s">
        <v>18</v>
      </c>
      <c r="H17" s="84">
        <v>0</v>
      </c>
      <c r="I17" s="86" t="s">
        <v>18</v>
      </c>
      <c r="J17" s="182"/>
      <c r="K17" s="182"/>
      <c r="L17" s="182"/>
      <c r="M17" s="182"/>
      <c r="N17" s="182"/>
      <c r="O17" s="182"/>
      <c r="P17" s="77"/>
      <c r="Q17" s="56">
        <f>(D17*IF(OR(E17=DB!$BU$2,E17=DB!$BU$3,E17=DB!$BU$4),VLOOKUP(E17,DB!$BU$2:$BV$4,2,FALSE),IF(OR(E17=DB!$BU$6,E17=DB!$BU$7,E17=DB!$BU$8),VLOOKUP(E17,DB!$BU$6:$BV$8,2,FALSE)/($G$4),0)))</f>
        <v>0</v>
      </c>
      <c r="R17" s="56">
        <f>H17*VLOOKUP(I17,DB!$BY$2:$BZ$10,2,FALSE)</f>
        <v>0</v>
      </c>
      <c r="S17" s="56">
        <f>IF(Q17=0,0,F17*VLOOKUP(G17,DB!$BY$2:$BZ$10,2,FALSE)*IF(MAX($R$11:$R$20)=0,1,MAX($R$11:$R$20))/R17)</f>
        <v>0</v>
      </c>
      <c r="T17" s="56" t="str">
        <f>IF(OR(E17=DB!$BU$2,E17=DB!$BU$3,E17=DB!$BU$4),E17,VLOOKUP(VLOOKUP(E17,DB!$BU$6:$BW$8,3,FALSE),DB!$BT$2:$BU$4,2,FALSE))</f>
        <v>mA</v>
      </c>
      <c r="U17" s="55" t="str">
        <f>IF(D17=0,"",(D17*IF(OR(E17=DB!$BU$2,E17=DB!$BU$3,E17=DB!$BU$4),VLOOKUP(E17,DB!$BU$2:$BV$4,2,FALSE),IF(OR(E17=DB!$BU$6,E17=DB!$BU$7,E17=DB!$BU$8),VLOOKUP(E17,DB!$BU$6:$BV$8,2,FALSE)/($G$5),0))))</f>
        <v/>
      </c>
      <c r="V17" s="55" t="str">
        <f t="shared" si="0"/>
        <v/>
      </c>
    </row>
    <row r="18" spans="1:48" ht="15.6">
      <c r="A18" s="76"/>
      <c r="B18" s="181"/>
      <c r="C18" s="81" t="s">
        <v>12</v>
      </c>
      <c r="D18" s="84">
        <v>0</v>
      </c>
      <c r="E18" s="86" t="s">
        <v>15</v>
      </c>
      <c r="F18" s="84">
        <v>0</v>
      </c>
      <c r="G18" s="86" t="s">
        <v>18</v>
      </c>
      <c r="H18" s="84">
        <v>0</v>
      </c>
      <c r="I18" s="86" t="s">
        <v>18</v>
      </c>
      <c r="J18" s="182"/>
      <c r="K18" s="182"/>
      <c r="L18" s="182"/>
      <c r="M18" s="182"/>
      <c r="N18" s="182"/>
      <c r="O18" s="182"/>
      <c r="P18" s="77"/>
      <c r="Q18" s="56">
        <f>(D18*IF(OR(E18=DB!$BU$2,E18=DB!$BU$3,E18=DB!$BU$4),VLOOKUP(E18,DB!$BU$2:$BV$4,2,FALSE),IF(OR(E18=DB!$BU$6,E18=DB!$BU$7,E18=DB!$BU$8),VLOOKUP(E18,DB!$BU$6:$BV$8,2,FALSE)/($G$4),0)))</f>
        <v>0</v>
      </c>
      <c r="R18" s="56">
        <f>H18*VLOOKUP(I18,DB!$BY$2:$BZ$10,2,FALSE)</f>
        <v>0</v>
      </c>
      <c r="S18" s="56">
        <f>IF(Q18=0,0,F18*VLOOKUP(G18,DB!$BY$2:$BZ$10,2,FALSE)*IF(MAX($R$11:$R$20)=0,1,MAX($R$11:$R$20))/R18)</f>
        <v>0</v>
      </c>
      <c r="T18" s="56" t="str">
        <f>IF(OR(E18=DB!$BU$2,E18=DB!$BU$3,E18=DB!$BU$4),E18,VLOOKUP(VLOOKUP(E18,DB!$BU$6:$BW$8,3,FALSE),DB!$BT$2:$BU$4,2,FALSE))</f>
        <v>mA</v>
      </c>
      <c r="U18" s="55" t="str">
        <f>IF(D18=0,"",(D18*IF(OR(E18=DB!$BU$2,E18=DB!$BU$3,E18=DB!$BU$4),VLOOKUP(E18,DB!$BU$2:$BV$4,2,FALSE),IF(OR(E18=DB!$BU$6,E18=DB!$BU$7,E18=DB!$BU$8),VLOOKUP(E18,DB!$BU$6:$BV$8,2,FALSE)/($G$5),0))))</f>
        <v/>
      </c>
      <c r="V18" s="55" t="str">
        <f t="shared" si="0"/>
        <v/>
      </c>
    </row>
    <row r="19" spans="1:48" ht="15.6">
      <c r="A19" s="76"/>
      <c r="B19" s="181"/>
      <c r="C19" s="81" t="s">
        <v>13</v>
      </c>
      <c r="D19" s="84">
        <v>0</v>
      </c>
      <c r="E19" s="86" t="s">
        <v>15</v>
      </c>
      <c r="F19" s="84">
        <v>0</v>
      </c>
      <c r="G19" s="86" t="s">
        <v>18</v>
      </c>
      <c r="H19" s="84">
        <v>0</v>
      </c>
      <c r="I19" s="86" t="s">
        <v>18</v>
      </c>
      <c r="J19" s="182"/>
      <c r="K19" s="182"/>
      <c r="L19" s="182"/>
      <c r="M19" s="182"/>
      <c r="N19" s="182"/>
      <c r="O19" s="182"/>
      <c r="P19" s="77"/>
      <c r="Q19" s="56">
        <f>(D19*IF(OR(E19=DB!$BU$2,E19=DB!$BU$3,E19=DB!$BU$4),VLOOKUP(E19,DB!$BU$2:$BV$4,2,FALSE),IF(OR(E19=DB!$BU$6,E19=DB!$BU$7,E19=DB!$BU$8),VLOOKUP(E19,DB!$BU$6:$BV$8,2,FALSE)/($G$4),0)))</f>
        <v>0</v>
      </c>
      <c r="R19" s="56">
        <f>H19*VLOOKUP(I19,DB!$BY$2:$BZ$10,2,FALSE)</f>
        <v>0</v>
      </c>
      <c r="S19" s="56">
        <f>IF(Q19=0,0,F19*VLOOKUP(G19,DB!$BY$2:$BZ$10,2,FALSE)*IF(MAX($R$11:$R$20)=0,1,MAX($R$11:$R$20))/R19)</f>
        <v>0</v>
      </c>
      <c r="T19" s="56" t="str">
        <f>IF(OR(E19=DB!$BU$2,E19=DB!$BU$3,E19=DB!$BU$4),E19,VLOOKUP(VLOOKUP(E19,DB!$BU$6:$BW$8,3,FALSE),DB!$BT$2:$BU$4,2,FALSE))</f>
        <v>mA</v>
      </c>
      <c r="U19" s="55" t="str">
        <f>IF(D19=0,"",(D19*IF(OR(E19=DB!$BU$2,E19=DB!$BU$3,E19=DB!$BU$4),VLOOKUP(E19,DB!$BU$2:$BV$4,2,FALSE),IF(OR(E19=DB!$BU$6,E19=DB!$BU$7,E19=DB!$BU$8),VLOOKUP(E19,DB!$BU$6:$BV$8,2,FALSE)/($G$5),0))))</f>
        <v/>
      </c>
      <c r="V19" s="55" t="str">
        <f t="shared" si="0"/>
        <v/>
      </c>
    </row>
    <row r="20" spans="1:48" ht="15.6">
      <c r="A20" s="76"/>
      <c r="B20" s="181"/>
      <c r="C20" s="81" t="s">
        <v>14</v>
      </c>
      <c r="D20" s="84">
        <v>0</v>
      </c>
      <c r="E20" s="86" t="s">
        <v>15</v>
      </c>
      <c r="F20" s="84">
        <v>0</v>
      </c>
      <c r="G20" s="86" t="s">
        <v>18</v>
      </c>
      <c r="H20" s="84">
        <v>0</v>
      </c>
      <c r="I20" s="86" t="s">
        <v>18</v>
      </c>
      <c r="J20" s="182"/>
      <c r="K20" s="182"/>
      <c r="L20" s="182"/>
      <c r="M20" s="182"/>
      <c r="N20" s="182"/>
      <c r="O20" s="182"/>
      <c r="P20" s="77"/>
      <c r="Q20" s="56">
        <f>(D20*IF(OR(E20=DB!$BU$2,E20=DB!$BU$3,E20=DB!$BU$4),VLOOKUP(E20,DB!$BU$2:$BV$4,2,FALSE),IF(OR(E20=DB!$BU$6,E20=DB!$BU$7,E20=DB!$BU$8),VLOOKUP(E20,DB!$BU$6:$BV$8,2,FALSE)/($G$4),0)))</f>
        <v>0</v>
      </c>
      <c r="R20" s="56">
        <f>H20*VLOOKUP(I20,DB!$BY$2:$BZ$10,2,FALSE)</f>
        <v>0</v>
      </c>
      <c r="S20" s="56">
        <f>IF(Q20=0,0,F20*VLOOKUP(G20,DB!$BY$2:$BZ$10,2,FALSE)*IF(MAX($R$11:$R$20)=0,1,MAX($R$11:$R$20))/R20)</f>
        <v>0</v>
      </c>
      <c r="T20" s="56" t="str">
        <f>IF(OR(E20=DB!$BU$2,E20=DB!$BU$3,E20=DB!$BU$4),E20,VLOOKUP(VLOOKUP(E20,DB!$BU$6:$BW$8,3,FALSE),DB!$BT$2:$BU$4,2,FALSE))</f>
        <v>mA</v>
      </c>
      <c r="U20" s="55" t="str">
        <f>IF(D20=0,"",(D20*IF(OR(E20=DB!$BU$2,E20=DB!$BU$3,E20=DB!$BU$4),VLOOKUP(E20,DB!$BU$2:$BV$4,2,FALSE),IF(OR(E20=DB!$BU$6,E20=DB!$BU$7,E20=DB!$BU$8),VLOOKUP(E20,DB!$BU$6:$BV$8,2,FALSE)/($G$5),0))))</f>
        <v/>
      </c>
      <c r="V20" s="55" t="str">
        <f t="shared" si="0"/>
        <v/>
      </c>
      <c r="AV20" s="1">
        <v>5</v>
      </c>
    </row>
    <row r="21" spans="1:48" ht="15.45" customHeight="1">
      <c r="A21" s="76"/>
      <c r="B21" s="183" t="s">
        <v>666</v>
      </c>
      <c r="C21" s="183"/>
      <c r="D21" s="87">
        <f>U21/IF(ISERROR(VLOOKUP('Calculation tool'!V21,DB!$BU$2:$BV$4,2,FALSE)),1,VLOOKUP('Calculation tool'!V21,DB!$BU$2:$BV$4,2,FALSE))</f>
        <v>25</v>
      </c>
      <c r="E21" s="88" t="str">
        <f>IF(ISERROR(V21),"",V21)</f>
        <v>mA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77"/>
      <c r="Q21" s="55"/>
      <c r="R21" s="55"/>
      <c r="S21" s="55"/>
      <c r="T21" s="55">
        <f>IF(MAX(W11:W14)&lt;MAX(U10:U20),1,0)</f>
        <v>1</v>
      </c>
      <c r="U21" s="55">
        <f>IF(MAX(W11:W14)&lt;MAX(U10:U20),MAX(U10:U20),MAX(W11:W14))</f>
        <v>25000</v>
      </c>
      <c r="V21" s="55" t="str">
        <f>IF(T21=0,VLOOKUP(U21,W11:X14,2,FALSE),VLOOKUP('Calculation tool'!U21,'Calculation tool'!$U$10:$V$20,2,FALSE))</f>
        <v>mA</v>
      </c>
      <c r="AV21" s="1">
        <v>6</v>
      </c>
    </row>
    <row r="22" spans="1:48" ht="15.45" customHeight="1">
      <c r="A22" s="76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77"/>
      <c r="Q22" s="3"/>
    </row>
    <row r="23" spans="1:48" ht="15.45" customHeight="1">
      <c r="A23" s="76"/>
      <c r="B23" s="2"/>
      <c r="C23" s="2"/>
      <c r="D23" s="180" t="s">
        <v>171</v>
      </c>
      <c r="E23" s="180"/>
      <c r="F23" s="180"/>
      <c r="G23" s="180"/>
      <c r="H23" s="180"/>
      <c r="I23" s="180"/>
      <c r="J23" s="180"/>
      <c r="K23" s="2"/>
      <c r="L23" s="2"/>
      <c r="M23" s="2"/>
      <c r="N23" s="2"/>
      <c r="O23" s="2"/>
      <c r="P23" s="77"/>
      <c r="Q23" s="3"/>
      <c r="R23" s="54"/>
      <c r="S23" s="54"/>
      <c r="AV23" s="1">
        <v>6</v>
      </c>
    </row>
    <row r="24" spans="1:48" ht="15.45" customHeight="1">
      <c r="A24" s="76"/>
      <c r="B24" s="2"/>
      <c r="C24" s="2"/>
      <c r="D24" s="184" t="s">
        <v>669</v>
      </c>
      <c r="E24" s="184"/>
      <c r="F24" s="184"/>
      <c r="G24" s="184"/>
      <c r="H24" s="184"/>
      <c r="I24" s="87">
        <f>(Request!D82*IF(OR(Request!$E$82=DB!$BU$2,Request!$E$82=DB!$BU$3,Request!$E$82=DB!$BU$4),VLOOKUP(Request!$E$82,DB!$BU$2:$BV$4,2,FALSE),IF(OR(Request!$E$82=DB!$BU$6,Request!$E$82=DB!$BU$7,Request!$E$82=DB!$BU$8),VLOOKUP(Request!$E$82,DB!$BU$6:$BV$8,2,FALSE)/($G$4),0)))</f>
        <v>3</v>
      </c>
      <c r="J24" s="88" t="s">
        <v>0</v>
      </c>
      <c r="K24" s="2"/>
      <c r="L24" s="2"/>
      <c r="M24" s="2"/>
      <c r="N24" s="2"/>
      <c r="O24" s="2"/>
      <c r="P24" s="77"/>
      <c r="Q24" s="3"/>
      <c r="AV24" s="1">
        <v>6</v>
      </c>
    </row>
    <row r="25" spans="1:48" ht="15.45" customHeight="1">
      <c r="A25" s="76"/>
      <c r="B25" s="2"/>
      <c r="C25" s="2"/>
      <c r="D25" s="184" t="s">
        <v>670</v>
      </c>
      <c r="E25" s="184"/>
      <c r="F25" s="184"/>
      <c r="G25" s="184"/>
      <c r="H25" s="184"/>
      <c r="I25" s="87">
        <f>IF(Request!F82="Duration",0,Request!F82)</f>
        <v>1</v>
      </c>
      <c r="J25" s="88" t="str">
        <f>Request!G82</f>
        <v>h</v>
      </c>
      <c r="K25" s="2"/>
      <c r="L25" s="2"/>
      <c r="M25" s="2"/>
      <c r="N25" s="2"/>
      <c r="O25" s="2"/>
      <c r="P25" s="77"/>
      <c r="R25" s="1"/>
      <c r="S25" s="1"/>
      <c r="T25" s="1"/>
      <c r="U25" s="1"/>
      <c r="AV25" s="1">
        <v>6</v>
      </c>
    </row>
    <row r="26" spans="1:48" ht="15.45" customHeight="1">
      <c r="A26" s="76"/>
      <c r="B26" s="2"/>
      <c r="C26" s="2"/>
      <c r="D26" s="184" t="s">
        <v>671</v>
      </c>
      <c r="E26" s="184"/>
      <c r="F26" s="184"/>
      <c r="G26" s="184"/>
      <c r="H26" s="184"/>
      <c r="I26" s="87">
        <f>I25*VLOOKUP(J25,DB!$BY$2:$BZ$10,2,FALSE)*I24*VLOOKUP(J24,DB!BU2:BV4,2,FALSE)/1000/3600</f>
        <v>3.0000000000000001E-3</v>
      </c>
      <c r="J26" s="88" t="s">
        <v>4</v>
      </c>
      <c r="K26" s="2"/>
      <c r="L26" s="2"/>
      <c r="M26" s="2"/>
      <c r="N26" s="2"/>
      <c r="O26" s="2"/>
      <c r="P26" s="77"/>
      <c r="W26" s="1"/>
      <c r="X26" s="1"/>
      <c r="AV26" s="1">
        <v>7</v>
      </c>
    </row>
    <row r="27" spans="1:48" ht="15.45" customHeight="1">
      <c r="A27" s="76"/>
      <c r="B27" s="2"/>
      <c r="C27" s="2"/>
      <c r="D27" s="184" t="s">
        <v>668</v>
      </c>
      <c r="E27" s="184"/>
      <c r="F27" s="184"/>
      <c r="G27" s="184"/>
      <c r="H27" s="184"/>
      <c r="I27" s="87">
        <f>(SUMPRODUCT(Q11:Q20,S11:S20)+Q10*(IF(MAX($R$11:$R$20)=0,1,MAX($R$11:$R$20))-SUM(S11:S20)))/IF(MAX($R$11:$R$20)=0,1,MAX($R$11:$R$20))/VLOOKUP(T10,DB!BU2:BV4,2,FALSE)</f>
        <v>73.547055555555559</v>
      </c>
      <c r="J27" s="88" t="str">
        <f>T10</f>
        <v>µA</v>
      </c>
      <c r="K27" s="2"/>
      <c r="L27" s="2"/>
      <c r="M27" s="2"/>
      <c r="N27" s="2"/>
      <c r="O27" s="2"/>
      <c r="P27" s="77"/>
      <c r="W27" s="1"/>
      <c r="X27" s="1"/>
      <c r="AV27" s="1">
        <v>7</v>
      </c>
    </row>
    <row r="28" spans="1:48" ht="15.45" customHeight="1">
      <c r="A28" s="76"/>
      <c r="B28" s="2"/>
      <c r="C28" s="2"/>
      <c r="D28" s="184" t="s">
        <v>662</v>
      </c>
      <c r="E28" s="184"/>
      <c r="F28" s="184"/>
      <c r="G28" s="184"/>
      <c r="H28" s="184"/>
      <c r="I28" s="87">
        <f>IF(Request!G71="Duration",0,Request!G71)</f>
        <v>2</v>
      </c>
      <c r="J28" s="88" t="str">
        <f>Request!J71</f>
        <v>year</v>
      </c>
      <c r="K28" s="2"/>
      <c r="L28" s="2"/>
      <c r="M28" s="2"/>
      <c r="N28" s="2"/>
      <c r="O28" s="2"/>
      <c r="P28" s="77"/>
      <c r="AV28" s="1">
        <v>7</v>
      </c>
    </row>
    <row r="29" spans="1:48" ht="15.45" customHeight="1">
      <c r="A29" s="76"/>
      <c r="B29" s="2"/>
      <c r="C29" s="2"/>
      <c r="D29" s="184" t="s">
        <v>672</v>
      </c>
      <c r="E29" s="184"/>
      <c r="F29" s="184"/>
      <c r="G29" s="184"/>
      <c r="H29" s="184"/>
      <c r="I29" s="87">
        <f>I28*VLOOKUP(J28,DB!$BY$2:$BZ$10,2,FALSE)*I27*VLOOKUP(J27,DB!BU2:BV4,2,FALSE)/1000/3600</f>
        <v>1288.5444133333333</v>
      </c>
      <c r="J29" s="88" t="s">
        <v>4</v>
      </c>
      <c r="K29" s="2"/>
      <c r="L29" s="2"/>
      <c r="M29" s="2"/>
      <c r="N29" s="2"/>
      <c r="O29" s="2"/>
      <c r="P29" s="77"/>
      <c r="AV29" s="1">
        <v>7</v>
      </c>
    </row>
    <row r="30" spans="1:48" ht="15.45" customHeight="1">
      <c r="A30" s="76"/>
      <c r="B30" s="2"/>
      <c r="C30" s="2"/>
      <c r="D30" s="184" t="s">
        <v>673</v>
      </c>
      <c r="E30" s="184"/>
      <c r="F30" s="184"/>
      <c r="G30" s="184"/>
      <c r="H30" s="184"/>
      <c r="I30" s="87">
        <f>I29+I26</f>
        <v>1288.5474133333332</v>
      </c>
      <c r="J30" s="83" t="str">
        <f>J29</f>
        <v>mAh</v>
      </c>
      <c r="K30" s="2"/>
      <c r="L30" s="2"/>
      <c r="M30" s="2"/>
      <c r="N30" s="2"/>
      <c r="O30" s="2"/>
      <c r="P30" s="77"/>
      <c r="AV30" s="1">
        <v>8</v>
      </c>
    </row>
    <row r="31" spans="1:48">
      <c r="A31" s="78"/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80"/>
      <c r="AV31" s="1">
        <v>8</v>
      </c>
    </row>
    <row r="32" spans="1:48">
      <c r="AV32" s="1">
        <v>8</v>
      </c>
    </row>
    <row r="33" spans="48:48">
      <c r="AV33" s="1">
        <v>8</v>
      </c>
    </row>
    <row r="34" spans="48:48">
      <c r="AV34" s="1">
        <v>9</v>
      </c>
    </row>
    <row r="35" spans="48:48">
      <c r="AV35" s="1">
        <v>9</v>
      </c>
    </row>
    <row r="36" spans="48:48">
      <c r="AV36" s="1">
        <v>9</v>
      </c>
    </row>
    <row r="37" spans="48:48">
      <c r="AV37" s="1">
        <v>9</v>
      </c>
    </row>
    <row r="38" spans="48:48">
      <c r="AV38" s="1">
        <v>10</v>
      </c>
    </row>
    <row r="39" spans="48:48">
      <c r="AV39" s="1">
        <v>10</v>
      </c>
    </row>
    <row r="40" spans="48:48">
      <c r="AV40" s="1">
        <v>10</v>
      </c>
    </row>
    <row r="41" spans="48:48">
      <c r="AV41" s="1">
        <v>10</v>
      </c>
    </row>
    <row r="42" spans="48:48">
      <c r="AV42" s="1">
        <v>11</v>
      </c>
    </row>
    <row r="43" spans="48:48">
      <c r="AV43" s="1">
        <v>11</v>
      </c>
    </row>
    <row r="44" spans="48:48">
      <c r="AV44" s="1">
        <v>11</v>
      </c>
    </row>
    <row r="45" spans="48:48">
      <c r="AV45" s="1">
        <v>11</v>
      </c>
    </row>
    <row r="46" spans="48:48">
      <c r="AV46" s="1">
        <v>12</v>
      </c>
    </row>
    <row r="47" spans="48:48">
      <c r="AV47" s="1">
        <v>12</v>
      </c>
    </row>
    <row r="48" spans="48:48">
      <c r="AV48" s="1">
        <v>12</v>
      </c>
    </row>
    <row r="49" spans="48:48">
      <c r="AV49" s="1">
        <v>12</v>
      </c>
    </row>
    <row r="50" spans="48:48">
      <c r="AV50" s="1">
        <v>13</v>
      </c>
    </row>
    <row r="51" spans="48:48">
      <c r="AV51" s="1">
        <v>13</v>
      </c>
    </row>
    <row r="52" spans="48:48">
      <c r="AV52" s="1">
        <v>13</v>
      </c>
    </row>
    <row r="53" spans="48:48">
      <c r="AV53" s="1">
        <v>13</v>
      </c>
    </row>
    <row r="54" spans="48:48">
      <c r="AV54" s="1">
        <v>14</v>
      </c>
    </row>
    <row r="55" spans="48:48">
      <c r="AV55" s="1">
        <v>14</v>
      </c>
    </row>
    <row r="56" spans="48:48">
      <c r="AV56" s="1">
        <v>14</v>
      </c>
    </row>
    <row r="57" spans="48:48">
      <c r="AV57" s="1">
        <v>14</v>
      </c>
    </row>
  </sheetData>
  <sheetProtection algorithmName="SHA-512" hashValue="lQ3+b/074DxlEgB6GdIPce5EVidGHVzB4j4u06QHHUM9HvaNSdDRiMKTP/aJLM5qvpMQ14jX2Vf5njvQT60ztg==" saltValue="3NRmHtXJI6UuEJwiTw0wNg==" spinCount="100000" sheet="1" objects="1" scenarios="1" formatCells="0" formatColumns="0" selectLockedCells="1"/>
  <mergeCells count="31">
    <mergeCell ref="D27:H27"/>
    <mergeCell ref="D28:H28"/>
    <mergeCell ref="D29:H29"/>
    <mergeCell ref="D30:H30"/>
    <mergeCell ref="U8:V9"/>
    <mergeCell ref="J19:O19"/>
    <mergeCell ref="J20:O20"/>
    <mergeCell ref="J16:O16"/>
    <mergeCell ref="J17:O17"/>
    <mergeCell ref="J18:O18"/>
    <mergeCell ref="T8:T9"/>
    <mergeCell ref="D8:E9"/>
    <mergeCell ref="F8:G10"/>
    <mergeCell ref="H8:I10"/>
    <mergeCell ref="J8:O10"/>
    <mergeCell ref="Q8:Q9"/>
    <mergeCell ref="B21:C21"/>
    <mergeCell ref="D24:H24"/>
    <mergeCell ref="D23:J23"/>
    <mergeCell ref="D25:H25"/>
    <mergeCell ref="D26:H26"/>
    <mergeCell ref="R8:S9"/>
    <mergeCell ref="A1:P1"/>
    <mergeCell ref="Y1:Z1"/>
    <mergeCell ref="F3:H3"/>
    <mergeCell ref="B11:B20"/>
    <mergeCell ref="J11:O11"/>
    <mergeCell ref="J12:O12"/>
    <mergeCell ref="J13:O13"/>
    <mergeCell ref="J14:O14"/>
    <mergeCell ref="J15:O15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DB!$AO$2:$AO$7</xm:f>
          </x14:formula1>
          <xm:sqref>E10:E20</xm:sqref>
        </x14:dataValidation>
        <x14:dataValidation type="list" allowBlank="1" showInputMessage="1" showErrorMessage="1">
          <x14:formula1>
            <xm:f>DB!$AX$1:$AX$10</xm:f>
          </x14:formula1>
          <xm:sqref>G11:G20 I20 I11:I19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2"/>
  <sheetViews>
    <sheetView topLeftCell="A16" workbookViewId="0"/>
  </sheetViews>
  <sheetFormatPr defaultColWidth="10.6328125" defaultRowHeight="15"/>
  <cols>
    <col min="1" max="1" width="30.36328125" customWidth="1"/>
    <col min="2" max="2" width="41.90625" customWidth="1"/>
    <col min="3" max="16384" width="10.6328125" style="75"/>
  </cols>
  <sheetData>
    <row r="1" spans="1:2" ht="42">
      <c r="A1" s="6"/>
      <c r="B1" s="95" t="s">
        <v>734</v>
      </c>
    </row>
    <row r="2" spans="1:2" s="97" customFormat="1" ht="3.75" customHeight="1">
      <c r="A2" s="7"/>
      <c r="B2" s="8"/>
    </row>
    <row r="3" spans="1:2" s="96" customFormat="1" ht="25.95" customHeight="1">
      <c r="A3" s="89"/>
      <c r="B3" s="89"/>
    </row>
    <row r="4" spans="1:2" s="97" customFormat="1" ht="24" thickBot="1">
      <c r="A4" s="98" t="s">
        <v>48</v>
      </c>
      <c r="B4" s="98" t="s">
        <v>171</v>
      </c>
    </row>
    <row r="5" spans="1:2" s="96" customFormat="1" ht="16.2" thickTop="1">
      <c r="A5" s="91" t="s">
        <v>52</v>
      </c>
      <c r="B5" s="92" t="s">
        <v>69</v>
      </c>
    </row>
    <row r="6" spans="1:2" s="96" customFormat="1" ht="15.6">
      <c r="A6" s="93" t="s">
        <v>52</v>
      </c>
      <c r="B6" s="94" t="s">
        <v>87</v>
      </c>
    </row>
    <row r="7" spans="1:2" s="96" customFormat="1" ht="15.6">
      <c r="A7" s="91" t="s">
        <v>52</v>
      </c>
      <c r="B7" s="92" t="s">
        <v>104</v>
      </c>
    </row>
    <row r="8" spans="1:2" s="96" customFormat="1" ht="15.6">
      <c r="A8" s="93" t="s">
        <v>52</v>
      </c>
      <c r="B8" s="94" t="s">
        <v>120</v>
      </c>
    </row>
    <row r="9" spans="1:2" s="96" customFormat="1" ht="15.6">
      <c r="A9" s="91" t="s">
        <v>52</v>
      </c>
      <c r="B9" s="92" t="s">
        <v>131</v>
      </c>
    </row>
    <row r="10" spans="1:2" s="96" customFormat="1" ht="15.6">
      <c r="A10" s="93" t="s">
        <v>52</v>
      </c>
      <c r="B10" s="94" t="s">
        <v>144</v>
      </c>
    </row>
    <row r="11" spans="1:2" s="96" customFormat="1" ht="15.6">
      <c r="A11" s="91" t="s">
        <v>49</v>
      </c>
      <c r="B11" s="92" t="s">
        <v>70</v>
      </c>
    </row>
    <row r="12" spans="1:2" s="96" customFormat="1" ht="15.6">
      <c r="A12" s="93" t="s">
        <v>49</v>
      </c>
      <c r="B12" s="94" t="s">
        <v>105</v>
      </c>
    </row>
    <row r="13" spans="1:2" s="96" customFormat="1" ht="15.6">
      <c r="A13" s="91" t="s">
        <v>49</v>
      </c>
      <c r="B13" s="92" t="s">
        <v>88</v>
      </c>
    </row>
    <row r="14" spans="1:2" s="96" customFormat="1" ht="15.6">
      <c r="A14" s="93" t="s">
        <v>50</v>
      </c>
      <c r="B14" s="94" t="s">
        <v>71</v>
      </c>
    </row>
    <row r="15" spans="1:2" s="96" customFormat="1" ht="15.6">
      <c r="A15" s="91" t="s">
        <v>50</v>
      </c>
      <c r="B15" s="92" t="s">
        <v>89</v>
      </c>
    </row>
    <row r="16" spans="1:2" s="96" customFormat="1" ht="15.6">
      <c r="A16" s="93" t="s">
        <v>730</v>
      </c>
      <c r="B16" s="94" t="s">
        <v>731</v>
      </c>
    </row>
    <row r="17" spans="1:2" s="96" customFormat="1" ht="15.6">
      <c r="A17" s="91" t="s">
        <v>730</v>
      </c>
      <c r="B17" s="92" t="s">
        <v>732</v>
      </c>
    </row>
    <row r="18" spans="1:2" s="96" customFormat="1" ht="15.6">
      <c r="A18" s="93" t="s">
        <v>730</v>
      </c>
      <c r="B18" s="94" t="s">
        <v>733</v>
      </c>
    </row>
    <row r="19" spans="1:2" s="96" customFormat="1" ht="15.6">
      <c r="A19" s="91" t="s">
        <v>51</v>
      </c>
      <c r="B19" s="92" t="s">
        <v>72</v>
      </c>
    </row>
    <row r="20" spans="1:2" s="96" customFormat="1" ht="15.6">
      <c r="A20" s="93" t="s">
        <v>51</v>
      </c>
      <c r="B20" s="94" t="s">
        <v>90</v>
      </c>
    </row>
    <row r="21" spans="1:2" s="96" customFormat="1" ht="15.6">
      <c r="A21" s="91" t="s">
        <v>51</v>
      </c>
      <c r="B21" s="92" t="s">
        <v>106</v>
      </c>
    </row>
    <row r="22" spans="1:2" s="96" customFormat="1" ht="15.6">
      <c r="A22" s="93" t="s">
        <v>51</v>
      </c>
      <c r="B22" s="94" t="s">
        <v>121</v>
      </c>
    </row>
    <row r="23" spans="1:2" s="96" customFormat="1" ht="15.6">
      <c r="A23" s="91" t="s">
        <v>51</v>
      </c>
      <c r="B23" s="92" t="s">
        <v>132</v>
      </c>
    </row>
    <row r="24" spans="1:2" s="96" customFormat="1" ht="15.6">
      <c r="A24" s="93" t="s">
        <v>53</v>
      </c>
      <c r="B24" s="94" t="s">
        <v>145</v>
      </c>
    </row>
    <row r="25" spans="1:2" s="96" customFormat="1" ht="15.6">
      <c r="A25" s="91" t="s">
        <v>53</v>
      </c>
      <c r="B25" s="92" t="s">
        <v>133</v>
      </c>
    </row>
    <row r="26" spans="1:2" s="96" customFormat="1" ht="15.6">
      <c r="A26" s="93" t="s">
        <v>53</v>
      </c>
      <c r="B26" s="94" t="s">
        <v>73</v>
      </c>
    </row>
    <row r="27" spans="1:2" s="96" customFormat="1" ht="15.6">
      <c r="A27" s="91" t="s">
        <v>53</v>
      </c>
      <c r="B27" s="92" t="s">
        <v>155</v>
      </c>
    </row>
    <row r="28" spans="1:2" s="96" customFormat="1" ht="15.6">
      <c r="A28" s="93" t="s">
        <v>53</v>
      </c>
      <c r="B28" s="94" t="s">
        <v>107</v>
      </c>
    </row>
    <row r="29" spans="1:2" s="96" customFormat="1" ht="15.6">
      <c r="A29" s="91" t="s">
        <v>53</v>
      </c>
      <c r="B29" s="92" t="s">
        <v>91</v>
      </c>
    </row>
    <row r="30" spans="1:2" s="96" customFormat="1" ht="15.6">
      <c r="A30" s="93" t="s">
        <v>53</v>
      </c>
      <c r="B30" s="94" t="s">
        <v>122</v>
      </c>
    </row>
    <row r="31" spans="1:2" s="96" customFormat="1" ht="15.6">
      <c r="A31" s="91" t="s">
        <v>54</v>
      </c>
      <c r="B31" s="92" t="s">
        <v>74</v>
      </c>
    </row>
    <row r="32" spans="1:2" s="96" customFormat="1" ht="15.6">
      <c r="A32" s="93" t="s">
        <v>54</v>
      </c>
      <c r="B32" s="94" t="s">
        <v>92</v>
      </c>
    </row>
    <row r="33" spans="1:2" s="96" customFormat="1" ht="15.6">
      <c r="A33" s="91" t="s">
        <v>54</v>
      </c>
      <c r="B33" s="92" t="s">
        <v>108</v>
      </c>
    </row>
    <row r="34" spans="1:2" s="96" customFormat="1" ht="15.6">
      <c r="A34" s="93" t="s">
        <v>55</v>
      </c>
      <c r="B34" s="94" t="s">
        <v>75</v>
      </c>
    </row>
    <row r="35" spans="1:2" s="96" customFormat="1" ht="15.6">
      <c r="A35" s="91" t="s">
        <v>55</v>
      </c>
      <c r="B35" s="92" t="s">
        <v>109</v>
      </c>
    </row>
    <row r="36" spans="1:2" s="96" customFormat="1" ht="15.6">
      <c r="A36" s="93" t="s">
        <v>55</v>
      </c>
      <c r="B36" s="94" t="s">
        <v>134</v>
      </c>
    </row>
    <row r="37" spans="1:2" s="96" customFormat="1" ht="15.6">
      <c r="A37" s="91" t="s">
        <v>55</v>
      </c>
      <c r="B37" s="92" t="s">
        <v>123</v>
      </c>
    </row>
    <row r="38" spans="1:2" s="96" customFormat="1" ht="15.6">
      <c r="A38" s="93" t="s">
        <v>55</v>
      </c>
      <c r="B38" s="94" t="s">
        <v>146</v>
      </c>
    </row>
    <row r="39" spans="1:2" s="96" customFormat="1" ht="15.6">
      <c r="A39" s="91" t="s">
        <v>55</v>
      </c>
      <c r="B39" s="92" t="s">
        <v>93</v>
      </c>
    </row>
    <row r="40" spans="1:2" s="96" customFormat="1" ht="15.6">
      <c r="A40" s="93" t="s">
        <v>55</v>
      </c>
      <c r="B40" s="94" t="s">
        <v>156</v>
      </c>
    </row>
    <row r="41" spans="1:2" s="96" customFormat="1" ht="15.6">
      <c r="A41" s="91" t="s">
        <v>57</v>
      </c>
      <c r="B41" s="92" t="s">
        <v>76</v>
      </c>
    </row>
    <row r="42" spans="1:2" s="96" customFormat="1" ht="15.6">
      <c r="A42" s="93" t="s">
        <v>57</v>
      </c>
      <c r="B42" s="94" t="s">
        <v>94</v>
      </c>
    </row>
    <row r="43" spans="1:2" s="96" customFormat="1" ht="15.6">
      <c r="A43" s="91" t="s">
        <v>57</v>
      </c>
      <c r="B43" s="92" t="s">
        <v>110</v>
      </c>
    </row>
    <row r="44" spans="1:2" s="96" customFormat="1" ht="15.6">
      <c r="A44" s="93" t="s">
        <v>57</v>
      </c>
      <c r="B44" s="94" t="s">
        <v>124</v>
      </c>
    </row>
    <row r="45" spans="1:2" s="96" customFormat="1" ht="15.6">
      <c r="A45" s="91" t="s">
        <v>57</v>
      </c>
      <c r="B45" s="92" t="s">
        <v>135</v>
      </c>
    </row>
    <row r="46" spans="1:2" s="96" customFormat="1" ht="15.6">
      <c r="A46" s="93" t="s">
        <v>57</v>
      </c>
      <c r="B46" s="94" t="s">
        <v>147</v>
      </c>
    </row>
    <row r="47" spans="1:2" s="96" customFormat="1" ht="15.6">
      <c r="A47" s="91" t="s">
        <v>57</v>
      </c>
      <c r="B47" s="92" t="s">
        <v>157</v>
      </c>
    </row>
    <row r="48" spans="1:2" s="96" customFormat="1" ht="15.6">
      <c r="A48" s="93" t="s">
        <v>57</v>
      </c>
      <c r="B48" s="94" t="s">
        <v>163</v>
      </c>
    </row>
    <row r="49" spans="1:2" s="96" customFormat="1" ht="15.6">
      <c r="A49" s="91" t="s">
        <v>57</v>
      </c>
      <c r="B49" s="92" t="s">
        <v>691</v>
      </c>
    </row>
    <row r="50" spans="1:2" s="96" customFormat="1" ht="15.6">
      <c r="A50" s="93" t="s">
        <v>57</v>
      </c>
      <c r="B50" s="94" t="s">
        <v>165</v>
      </c>
    </row>
    <row r="51" spans="1:2" s="96" customFormat="1" ht="15.6">
      <c r="A51" s="91" t="s">
        <v>57</v>
      </c>
      <c r="B51" s="92" t="s">
        <v>166</v>
      </c>
    </row>
    <row r="52" spans="1:2" s="96" customFormat="1" ht="15.6">
      <c r="A52" s="93" t="s">
        <v>57</v>
      </c>
      <c r="B52" s="94" t="s">
        <v>167</v>
      </c>
    </row>
    <row r="53" spans="1:2" s="96" customFormat="1" ht="15.6">
      <c r="A53" s="91" t="s">
        <v>58</v>
      </c>
      <c r="B53" s="92" t="s">
        <v>95</v>
      </c>
    </row>
    <row r="54" spans="1:2" s="96" customFormat="1" ht="15.6">
      <c r="A54" s="93" t="s">
        <v>58</v>
      </c>
      <c r="B54" s="94" t="s">
        <v>111</v>
      </c>
    </row>
    <row r="55" spans="1:2" s="96" customFormat="1" ht="15.6">
      <c r="A55" s="91" t="s">
        <v>58</v>
      </c>
      <c r="B55" s="92" t="s">
        <v>77</v>
      </c>
    </row>
    <row r="56" spans="1:2" s="96" customFormat="1" ht="15.6">
      <c r="A56" s="93" t="s">
        <v>59</v>
      </c>
      <c r="B56" s="94" t="s">
        <v>96</v>
      </c>
    </row>
    <row r="57" spans="1:2" s="96" customFormat="1" ht="15.6">
      <c r="A57" s="91" t="s">
        <v>59</v>
      </c>
      <c r="B57" s="92" t="s">
        <v>112</v>
      </c>
    </row>
    <row r="58" spans="1:2" s="96" customFormat="1" ht="15.6">
      <c r="A58" s="93" t="s">
        <v>59</v>
      </c>
      <c r="B58" s="94" t="s">
        <v>136</v>
      </c>
    </row>
    <row r="59" spans="1:2" s="96" customFormat="1" ht="15.6">
      <c r="A59" s="91" t="s">
        <v>59</v>
      </c>
      <c r="B59" s="92" t="s">
        <v>148</v>
      </c>
    </row>
    <row r="60" spans="1:2" s="96" customFormat="1" ht="15.6">
      <c r="A60" s="93" t="s">
        <v>59</v>
      </c>
      <c r="B60" s="94" t="s">
        <v>78</v>
      </c>
    </row>
    <row r="61" spans="1:2" s="96" customFormat="1" ht="15.6">
      <c r="A61" s="91" t="s">
        <v>59</v>
      </c>
      <c r="B61" s="92" t="s">
        <v>125</v>
      </c>
    </row>
    <row r="62" spans="1:2" s="96" customFormat="1" ht="15.6">
      <c r="A62" s="93" t="s">
        <v>60</v>
      </c>
      <c r="B62" s="94" t="s">
        <v>113</v>
      </c>
    </row>
    <row r="63" spans="1:2" s="96" customFormat="1" ht="15.6">
      <c r="A63" s="91" t="s">
        <v>60</v>
      </c>
      <c r="B63" s="92" t="s">
        <v>126</v>
      </c>
    </row>
    <row r="64" spans="1:2" s="96" customFormat="1" ht="15.6">
      <c r="A64" s="93" t="s">
        <v>60</v>
      </c>
      <c r="B64" s="94" t="s">
        <v>97</v>
      </c>
    </row>
    <row r="65" spans="1:2" s="96" customFormat="1" ht="15.6">
      <c r="A65" s="91" t="s">
        <v>60</v>
      </c>
      <c r="B65" s="92" t="s">
        <v>137</v>
      </c>
    </row>
    <row r="66" spans="1:2" s="96" customFormat="1" ht="15.6">
      <c r="A66" s="93" t="s">
        <v>60</v>
      </c>
      <c r="B66" s="94" t="s">
        <v>158</v>
      </c>
    </row>
    <row r="67" spans="1:2" s="96" customFormat="1" ht="15.6">
      <c r="A67" s="91" t="s">
        <v>60</v>
      </c>
      <c r="B67" s="92" t="s">
        <v>149</v>
      </c>
    </row>
    <row r="68" spans="1:2" s="96" customFormat="1" ht="15.6">
      <c r="A68" s="93" t="s">
        <v>60</v>
      </c>
      <c r="B68" s="94" t="s">
        <v>79</v>
      </c>
    </row>
    <row r="69" spans="1:2" s="96" customFormat="1" ht="15.6">
      <c r="A69" s="91" t="s">
        <v>61</v>
      </c>
      <c r="B69" s="92" t="s">
        <v>80</v>
      </c>
    </row>
    <row r="70" spans="1:2" s="96" customFormat="1" ht="15.6">
      <c r="A70" s="93" t="s">
        <v>61</v>
      </c>
      <c r="B70" s="94" t="s">
        <v>98</v>
      </c>
    </row>
    <row r="71" spans="1:2" s="96" customFormat="1" ht="15.6">
      <c r="A71" s="91" t="s">
        <v>62</v>
      </c>
      <c r="B71" s="92" t="s">
        <v>99</v>
      </c>
    </row>
    <row r="72" spans="1:2" s="96" customFormat="1" ht="15.6">
      <c r="A72" s="93" t="s">
        <v>62</v>
      </c>
      <c r="B72" s="94" t="s">
        <v>138</v>
      </c>
    </row>
    <row r="73" spans="1:2" s="96" customFormat="1" ht="15.6">
      <c r="A73" s="91" t="s">
        <v>62</v>
      </c>
      <c r="B73" s="92" t="s">
        <v>81</v>
      </c>
    </row>
    <row r="74" spans="1:2" s="96" customFormat="1" ht="15.6">
      <c r="A74" s="93" t="s">
        <v>62</v>
      </c>
      <c r="B74" s="94" t="s">
        <v>114</v>
      </c>
    </row>
    <row r="75" spans="1:2" s="96" customFormat="1" ht="15.6">
      <c r="A75" s="91" t="s">
        <v>62</v>
      </c>
      <c r="B75" s="92" t="s">
        <v>127</v>
      </c>
    </row>
    <row r="76" spans="1:2" s="96" customFormat="1" ht="15.6">
      <c r="A76" s="93" t="s">
        <v>63</v>
      </c>
      <c r="B76" s="94" t="s">
        <v>100</v>
      </c>
    </row>
    <row r="77" spans="1:2" s="96" customFormat="1" ht="15.6">
      <c r="A77" s="91" t="s">
        <v>63</v>
      </c>
      <c r="B77" s="92" t="s">
        <v>115</v>
      </c>
    </row>
    <row r="78" spans="1:2" s="96" customFormat="1" ht="15.6">
      <c r="A78" s="93" t="s">
        <v>63</v>
      </c>
      <c r="B78" s="94" t="s">
        <v>150</v>
      </c>
    </row>
    <row r="79" spans="1:2" s="96" customFormat="1" ht="15.6">
      <c r="A79" s="91" t="s">
        <v>63</v>
      </c>
      <c r="B79" s="92" t="s">
        <v>82</v>
      </c>
    </row>
    <row r="80" spans="1:2" s="96" customFormat="1" ht="15.6">
      <c r="A80" s="93" t="s">
        <v>63</v>
      </c>
      <c r="B80" s="94" t="s">
        <v>128</v>
      </c>
    </row>
    <row r="81" spans="1:2" s="96" customFormat="1" ht="15.6">
      <c r="A81" s="91" t="s">
        <v>63</v>
      </c>
      <c r="B81" s="92" t="s">
        <v>139</v>
      </c>
    </row>
    <row r="82" spans="1:2" s="96" customFormat="1" ht="15.6">
      <c r="A82" s="93" t="s">
        <v>63</v>
      </c>
      <c r="B82" s="94" t="s">
        <v>159</v>
      </c>
    </row>
    <row r="83" spans="1:2" s="96" customFormat="1" ht="15.6">
      <c r="A83" s="91" t="s">
        <v>64</v>
      </c>
      <c r="B83" s="92" t="s">
        <v>83</v>
      </c>
    </row>
    <row r="84" spans="1:2" s="96" customFormat="1" ht="15.6">
      <c r="A84" s="93" t="s">
        <v>64</v>
      </c>
      <c r="B84" s="94" t="s">
        <v>160</v>
      </c>
    </row>
    <row r="85" spans="1:2" s="96" customFormat="1" ht="15.6">
      <c r="A85" s="91" t="s">
        <v>64</v>
      </c>
      <c r="B85" s="92" t="s">
        <v>129</v>
      </c>
    </row>
    <row r="86" spans="1:2" s="96" customFormat="1" ht="15.6">
      <c r="A86" s="93" t="s">
        <v>64</v>
      </c>
      <c r="B86" s="94" t="s">
        <v>140</v>
      </c>
    </row>
    <row r="87" spans="1:2" s="96" customFormat="1" ht="15.6">
      <c r="A87" s="91" t="s">
        <v>64</v>
      </c>
      <c r="B87" s="92" t="s">
        <v>151</v>
      </c>
    </row>
    <row r="88" spans="1:2" s="96" customFormat="1" ht="15.6">
      <c r="A88" s="93" t="s">
        <v>64</v>
      </c>
      <c r="B88" s="94" t="s">
        <v>116</v>
      </c>
    </row>
    <row r="89" spans="1:2" s="96" customFormat="1" ht="15.6">
      <c r="A89" s="91" t="s">
        <v>64</v>
      </c>
      <c r="B89" s="92" t="s">
        <v>101</v>
      </c>
    </row>
    <row r="90" spans="1:2" s="96" customFormat="1" ht="15.6">
      <c r="A90" s="93" t="s">
        <v>65</v>
      </c>
      <c r="B90" s="94" t="s">
        <v>161</v>
      </c>
    </row>
    <row r="91" spans="1:2" s="96" customFormat="1" ht="15.6">
      <c r="A91" s="91" t="s">
        <v>65</v>
      </c>
      <c r="B91" s="92" t="s">
        <v>117</v>
      </c>
    </row>
    <row r="92" spans="1:2" s="96" customFormat="1" ht="15.6">
      <c r="A92" s="93" t="s">
        <v>65</v>
      </c>
      <c r="B92" s="94" t="s">
        <v>141</v>
      </c>
    </row>
    <row r="93" spans="1:2" s="96" customFormat="1" ht="15.6">
      <c r="A93" s="91" t="s">
        <v>65</v>
      </c>
      <c r="B93" s="92" t="s">
        <v>152</v>
      </c>
    </row>
    <row r="94" spans="1:2" s="96" customFormat="1" ht="15.6">
      <c r="A94" s="93" t="s">
        <v>65</v>
      </c>
      <c r="B94" s="94" t="s">
        <v>84</v>
      </c>
    </row>
    <row r="95" spans="1:2" s="96" customFormat="1" ht="15.6">
      <c r="A95" s="91" t="s">
        <v>65</v>
      </c>
      <c r="B95" s="92" t="s">
        <v>164</v>
      </c>
    </row>
    <row r="96" spans="1:2" s="96" customFormat="1" ht="15.6">
      <c r="A96" s="93" t="s">
        <v>65</v>
      </c>
      <c r="B96" s="94" t="s">
        <v>692</v>
      </c>
    </row>
    <row r="97" spans="1:2" s="96" customFormat="1" ht="15.6">
      <c r="A97" s="91" t="s">
        <v>65</v>
      </c>
      <c r="B97" s="92" t="s">
        <v>693</v>
      </c>
    </row>
    <row r="98" spans="1:2" s="96" customFormat="1" ht="15.6">
      <c r="A98" s="93" t="s">
        <v>66</v>
      </c>
      <c r="B98" s="94"/>
    </row>
    <row r="99" spans="1:2" s="96" customFormat="1" ht="15.6">
      <c r="A99" s="91" t="s">
        <v>67</v>
      </c>
      <c r="B99" s="92" t="s">
        <v>118</v>
      </c>
    </row>
    <row r="100" spans="1:2" s="96" customFormat="1" ht="15.6">
      <c r="A100" s="93" t="s">
        <v>67</v>
      </c>
      <c r="B100" s="94" t="s">
        <v>102</v>
      </c>
    </row>
    <row r="101" spans="1:2" s="96" customFormat="1" ht="15.6">
      <c r="A101" s="91" t="s">
        <v>67</v>
      </c>
      <c r="B101" s="92" t="s">
        <v>110</v>
      </c>
    </row>
    <row r="102" spans="1:2" s="96" customFormat="1" ht="15.6">
      <c r="A102" s="93" t="s">
        <v>67</v>
      </c>
      <c r="B102" s="94" t="s">
        <v>153</v>
      </c>
    </row>
    <row r="103" spans="1:2" s="96" customFormat="1" ht="15.6">
      <c r="A103" s="91" t="s">
        <v>67</v>
      </c>
      <c r="B103" s="92" t="s">
        <v>85</v>
      </c>
    </row>
    <row r="104" spans="1:2" s="96" customFormat="1" ht="15.6">
      <c r="A104" s="93" t="s">
        <v>67</v>
      </c>
      <c r="B104" s="94" t="s">
        <v>142</v>
      </c>
    </row>
    <row r="105" spans="1:2" s="96" customFormat="1" ht="15.6">
      <c r="A105" s="91" t="s">
        <v>68</v>
      </c>
      <c r="B105" s="92"/>
    </row>
    <row r="106" spans="1:2" s="96" customFormat="1" ht="15.6">
      <c r="A106" s="93" t="s">
        <v>56</v>
      </c>
      <c r="B106" s="94" t="s">
        <v>119</v>
      </c>
    </row>
    <row r="107" spans="1:2" s="96" customFormat="1" ht="15.6">
      <c r="A107" s="91" t="s">
        <v>56</v>
      </c>
      <c r="B107" s="92" t="s">
        <v>162</v>
      </c>
    </row>
    <row r="108" spans="1:2" s="96" customFormat="1" ht="15.6">
      <c r="A108" s="93" t="s">
        <v>56</v>
      </c>
      <c r="B108" s="94" t="s">
        <v>130</v>
      </c>
    </row>
    <row r="109" spans="1:2" s="96" customFormat="1" ht="15.6">
      <c r="A109" s="91" t="s">
        <v>56</v>
      </c>
      <c r="B109" s="92" t="s">
        <v>143</v>
      </c>
    </row>
    <row r="110" spans="1:2" s="96" customFormat="1" ht="15.6">
      <c r="A110" s="93" t="s">
        <v>56</v>
      </c>
      <c r="B110" s="94" t="s">
        <v>103</v>
      </c>
    </row>
    <row r="111" spans="1:2" s="96" customFormat="1" ht="15.6">
      <c r="A111" s="91" t="s">
        <v>56</v>
      </c>
      <c r="B111" s="92" t="s">
        <v>86</v>
      </c>
    </row>
    <row r="112" spans="1:2" s="96" customFormat="1" ht="15.6">
      <c r="A112" s="93" t="s">
        <v>56</v>
      </c>
      <c r="B112" s="94" t="s">
        <v>154</v>
      </c>
    </row>
  </sheetData>
  <sheetProtection algorithmName="SHA-512" hashValue="LrBmRo6op0L7jhHPLT4+HBa1MegHa9/lvv5VaDqEJ726+xE0oIJrDZzQ5nwiZ79qbQiebY7hoif0276mbHnjEw==" saltValue="L9ynSH57eNVGVi15ebtJ8Q==" spinCount="100000" sheet="1" objects="1" scenarios="1" autoFilter="0"/>
  <autoFilter ref="A4:B112"/>
  <printOptions horizontalCentered="1"/>
  <pageMargins left="0.43307086614173229" right="0.43307086614173229" top="0.43307086614173229" bottom="0.43307086614173229" header="3.937007874015748E-2" footer="3.937007874015748E-2"/>
  <pageSetup paperSize="9" fitToHeight="0" orientation="portrait" r:id="rId1"/>
  <headerFooter>
    <oddFooter>&amp;L&amp;10Date: May 2019&amp;C&amp;10&amp;P/&amp;N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"/>
  <sheetViews>
    <sheetView topLeftCell="A10" zoomScaleNormal="100" workbookViewId="0">
      <selection activeCell="M1" sqref="M1"/>
    </sheetView>
  </sheetViews>
  <sheetFormatPr defaultColWidth="10.90625" defaultRowHeight="15"/>
  <cols>
    <col min="12" max="12" width="14.81640625" customWidth="1"/>
    <col min="13" max="13" width="10.6328125" style="75"/>
  </cols>
  <sheetData>
    <row r="1" spans="1:4" ht="15.6">
      <c r="A1" s="188"/>
      <c r="B1" s="188"/>
      <c r="C1" s="188"/>
      <c r="D1" s="188"/>
    </row>
  </sheetData>
  <sheetProtection algorithmName="SHA-512" hashValue="XQFKL6kNBrS6rPmVjx+4WVfDwCpWWEl3Nzy5tu5JdSu1t9wyL0EIlpWaMSuzi6f7Q18J+3CkbwgPBEyLxCSDWg==" saltValue="AzgPdHqal6VKhVJsmjtaFw==" spinCount="100000" sheet="1" objects="1" scenarios="1"/>
  <mergeCells count="1">
    <mergeCell ref="A1:D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3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:CJ260"/>
  <sheetViews>
    <sheetView workbookViewId="0"/>
  </sheetViews>
  <sheetFormatPr defaultColWidth="10.54296875" defaultRowHeight="15"/>
  <cols>
    <col min="1" max="16384" width="10.54296875" style="67"/>
  </cols>
  <sheetData>
    <row r="1" spans="1:88">
      <c r="A1" s="67" t="s">
        <v>173</v>
      </c>
      <c r="B1" s="67" t="s">
        <v>172</v>
      </c>
      <c r="C1" s="67" t="s">
        <v>171</v>
      </c>
      <c r="F1" s="67" t="s">
        <v>48</v>
      </c>
      <c r="I1" s="67">
        <v>0</v>
      </c>
      <c r="K1" s="67">
        <v>1</v>
      </c>
      <c r="L1" s="67" t="s">
        <v>52</v>
      </c>
      <c r="M1" s="68" t="s">
        <v>49</v>
      </c>
      <c r="N1" s="68" t="s">
        <v>50</v>
      </c>
      <c r="O1" s="68" t="s">
        <v>51</v>
      </c>
      <c r="P1" s="68" t="s">
        <v>53</v>
      </c>
      <c r="Q1" s="67" t="s">
        <v>54</v>
      </c>
      <c r="R1" s="67" t="s">
        <v>55</v>
      </c>
      <c r="S1" s="67" t="s">
        <v>57</v>
      </c>
      <c r="T1" s="67" t="s">
        <v>58</v>
      </c>
      <c r="U1" s="67" t="s">
        <v>59</v>
      </c>
      <c r="V1" s="67" t="s">
        <v>60</v>
      </c>
      <c r="W1" s="67" t="s">
        <v>61</v>
      </c>
      <c r="X1" s="67" t="s">
        <v>62</v>
      </c>
      <c r="Y1" s="67" t="s">
        <v>63</v>
      </c>
      <c r="Z1" s="67" t="s">
        <v>64</v>
      </c>
      <c r="AA1" s="67" t="s">
        <v>65</v>
      </c>
      <c r="AB1" s="67" t="s">
        <v>66</v>
      </c>
      <c r="AC1" s="67" t="s">
        <v>67</v>
      </c>
      <c r="AD1" s="67" t="s">
        <v>68</v>
      </c>
      <c r="AE1" s="67" t="s">
        <v>56</v>
      </c>
      <c r="AF1" s="69" t="s">
        <v>174</v>
      </c>
      <c r="AO1" s="67" t="s">
        <v>28</v>
      </c>
      <c r="AX1" s="67" t="s">
        <v>28</v>
      </c>
      <c r="AZ1" s="69"/>
      <c r="BC1" s="67" t="s">
        <v>182</v>
      </c>
      <c r="BE1" s="70"/>
      <c r="BF1" s="70"/>
      <c r="BG1" s="70">
        <v>0</v>
      </c>
      <c r="BH1" s="70">
        <v>1E-3</v>
      </c>
      <c r="BI1" s="67" t="s">
        <v>28</v>
      </c>
      <c r="BU1" s="189" t="s">
        <v>39</v>
      </c>
      <c r="BV1" s="189"/>
      <c r="BX1" s="189" t="s">
        <v>38</v>
      </c>
      <c r="BY1" s="189"/>
      <c r="BZ1" s="67" t="s">
        <v>47</v>
      </c>
      <c r="CA1" s="67" t="s">
        <v>42</v>
      </c>
      <c r="CC1" s="67" t="s">
        <v>679</v>
      </c>
      <c r="CH1" s="189" t="s">
        <v>719</v>
      </c>
      <c r="CI1" s="189"/>
      <c r="CJ1" s="67" t="s">
        <v>727</v>
      </c>
    </row>
    <row r="2" spans="1:88">
      <c r="A2" s="67" t="str">
        <f>""</f>
        <v/>
      </c>
      <c r="B2" s="67" t="str">
        <f>""</f>
        <v/>
      </c>
      <c r="C2" s="67" t="s">
        <v>83</v>
      </c>
      <c r="D2" s="67" t="str">
        <f t="shared" ref="D2:D33" si="0">CONCATENATE("CE ",C2)</f>
        <v>CE Alarms</v>
      </c>
      <c r="E2" s="67" t="str">
        <f>C2</f>
        <v>Alarms</v>
      </c>
      <c r="F2" s="67" t="s">
        <v>52</v>
      </c>
      <c r="G2" s="67" t="str">
        <f t="shared" ref="G2:G20" si="1">CONCATENATE("CE ",F2)</f>
        <v>CE Automation &amp; Instrumentation</v>
      </c>
      <c r="H2" s="67" t="str">
        <f>F2</f>
        <v>Automation &amp; Instrumentation</v>
      </c>
      <c r="I2" s="67">
        <f>IF(J2="",I1,I1+1)</f>
        <v>0</v>
      </c>
      <c r="J2" s="67" t="str">
        <f>IF(ISERROR(HLOOKUP(Request!$K$38,DB!L2:$AE$106,$K$106-K1,FALSE)),"",HLOOKUP(Request!$K$38,DB!L2:$AE$106,$K$106-K1,FALSE))</f>
        <v/>
      </c>
      <c r="K2" s="67">
        <v>2</v>
      </c>
      <c r="L2" s="67" t="s">
        <v>69</v>
      </c>
      <c r="M2" s="67" t="s">
        <v>70</v>
      </c>
      <c r="N2" s="67" t="s">
        <v>71</v>
      </c>
      <c r="O2" s="67" t="s">
        <v>72</v>
      </c>
      <c r="P2" s="67" t="s">
        <v>73</v>
      </c>
      <c r="Q2" s="67" t="s">
        <v>74</v>
      </c>
      <c r="R2" s="67" t="s">
        <v>75</v>
      </c>
      <c r="S2" s="67" t="s">
        <v>76</v>
      </c>
      <c r="T2" s="67" t="s">
        <v>77</v>
      </c>
      <c r="U2" s="67" t="s">
        <v>78</v>
      </c>
      <c r="V2" s="67" t="s">
        <v>79</v>
      </c>
      <c r="W2" s="67" t="s">
        <v>80</v>
      </c>
      <c r="X2" s="67" t="s">
        <v>81</v>
      </c>
      <c r="Y2" s="67" t="s">
        <v>82</v>
      </c>
      <c r="Z2" s="67" t="s">
        <v>83</v>
      </c>
      <c r="AA2" s="67" t="s">
        <v>84</v>
      </c>
      <c r="AB2" s="67" t="s">
        <v>61</v>
      </c>
      <c r="AC2" s="67" t="s">
        <v>85</v>
      </c>
      <c r="AD2" s="67" t="s">
        <v>61</v>
      </c>
      <c r="AE2" s="67" t="s">
        <v>86</v>
      </c>
      <c r="AF2" s="68" t="s">
        <v>194</v>
      </c>
      <c r="AH2" s="67" t="s">
        <v>455</v>
      </c>
      <c r="AJ2" s="67" t="s">
        <v>456</v>
      </c>
      <c r="AK2" s="67" t="s">
        <v>457</v>
      </c>
      <c r="AL2" s="67" t="s">
        <v>496</v>
      </c>
      <c r="AM2" s="71" t="s">
        <v>494</v>
      </c>
      <c r="AN2" s="67" t="s">
        <v>33</v>
      </c>
      <c r="AO2" s="67" t="s">
        <v>0</v>
      </c>
      <c r="AP2" s="67" t="s">
        <v>36</v>
      </c>
      <c r="AQ2" s="67" t="s">
        <v>40</v>
      </c>
      <c r="AR2" s="67" t="s">
        <v>500</v>
      </c>
      <c r="AS2" s="67" t="s">
        <v>631</v>
      </c>
      <c r="AT2" s="67" t="s">
        <v>504</v>
      </c>
      <c r="AU2" s="67" t="s">
        <v>635</v>
      </c>
      <c r="AV2" s="67" t="str">
        <f>IF(Request!$D$113=DB!$AU$2,"Power Grid",BK3)</f>
        <v>External Charger</v>
      </c>
      <c r="AW2" s="67" t="s">
        <v>637</v>
      </c>
      <c r="AX2" s="67" t="s">
        <v>21</v>
      </c>
      <c r="AY2" s="67" t="s">
        <v>505</v>
      </c>
      <c r="AZ2" s="68" t="s">
        <v>509</v>
      </c>
      <c r="BA2" s="67" t="s">
        <v>685</v>
      </c>
      <c r="BB2" s="67" t="s">
        <v>540</v>
      </c>
      <c r="BC2" s="67" t="s">
        <v>525</v>
      </c>
      <c r="BD2" s="67">
        <v>0</v>
      </c>
      <c r="BE2" s="70"/>
      <c r="BF2" s="70"/>
      <c r="BG2" s="70">
        <v>1</v>
      </c>
      <c r="BH2" s="70">
        <v>1E-3</v>
      </c>
      <c r="BI2" s="67" t="s">
        <v>535</v>
      </c>
      <c r="BJ2" s="67" t="s">
        <v>537</v>
      </c>
      <c r="BK2" s="67" t="s">
        <v>641</v>
      </c>
      <c r="BL2" s="67" t="s">
        <v>21</v>
      </c>
      <c r="BM2" s="67" t="s">
        <v>561</v>
      </c>
      <c r="BN2" s="67" t="s">
        <v>643</v>
      </c>
      <c r="BO2" s="67" t="s">
        <v>189</v>
      </c>
      <c r="BP2" s="67" t="s">
        <v>650</v>
      </c>
      <c r="BQ2" s="67" t="s">
        <v>652</v>
      </c>
      <c r="BR2" s="67" t="s">
        <v>655</v>
      </c>
      <c r="BS2" s="67" t="s">
        <v>694</v>
      </c>
      <c r="BT2" s="67">
        <v>1</v>
      </c>
      <c r="BU2" s="67" t="s">
        <v>16</v>
      </c>
      <c r="BV2" s="67">
        <v>1000000</v>
      </c>
      <c r="BY2" s="67" t="s">
        <v>21</v>
      </c>
      <c r="BZ2" s="67">
        <v>9.9999999999999995E-7</v>
      </c>
      <c r="CC2" s="67" t="s">
        <v>680</v>
      </c>
      <c r="CE2" s="67" t="s">
        <v>681</v>
      </c>
      <c r="CH2" s="189" t="s">
        <v>41</v>
      </c>
      <c r="CI2" s="189"/>
      <c r="CJ2" s="67" t="s">
        <v>728</v>
      </c>
    </row>
    <row r="3" spans="1:88">
      <c r="A3" s="67" t="str">
        <f>IF(AND(Request!$K$38="",Request!$B$38=""),IF(DB!C2="","",DB!C2),IF(Request!$B$38="",IF(DB!C2="","",DB!C2),IF(ISERROR(HLOOKUP(Request!$B$38,$L$1:$AE$20,K2,FALSE)),"",IF(HLOOKUP(Request!$B$38,$L$1:$AE$105,K2,FALSE)="","",HLOOKUP(Request!$B$38,$L$1:$AE$105,K2,FALSE)))))</f>
        <v>Alarms</v>
      </c>
      <c r="B3" s="67" t="str">
        <f>IF(AND(Request!$K$38="",Request!$B$38=""),IF(DB!F2="","",DB!F2),IF(OR(Request!$K$38=$F$20,Request!$K$38=""),IF(DB!F2="","",DB!F2),IF(ISERROR(VLOOKUP(K1,$I$1:$J$20,2,FALSE)),"",VLOOKUP(K1,$I$1:$J$20,2,FALSE))))</f>
        <v>Automation &amp; Instrumentation</v>
      </c>
      <c r="C3" s="67" t="s">
        <v>85</v>
      </c>
      <c r="D3" s="67" t="str">
        <f t="shared" si="0"/>
        <v>CE Animal Tracking</v>
      </c>
      <c r="E3" s="67" t="str">
        <f t="shared" ref="E3:E66" si="2">C3</f>
        <v>Animal Tracking</v>
      </c>
      <c r="F3" s="68" t="s">
        <v>49</v>
      </c>
      <c r="G3" s="67" t="str">
        <f t="shared" si="1"/>
        <v>CE Automotive</v>
      </c>
      <c r="H3" s="67" t="str">
        <f t="shared" ref="H3:H20" si="3">F3</f>
        <v>Automotive</v>
      </c>
      <c r="I3" s="67">
        <f t="shared" ref="I3:I20" si="4">IF(J3="",I2,I2+1)</f>
        <v>0</v>
      </c>
      <c r="J3" s="67" t="str">
        <f>IF(ISERROR(HLOOKUP(Request!$K$38,DB!L3:$AE$106,$K$106-K2,FALSE)),"",HLOOKUP(Request!$K$38,DB!L3:$AE$106,$K$106-K2,FALSE))</f>
        <v/>
      </c>
      <c r="K3" s="68">
        <v>3</v>
      </c>
      <c r="L3" s="67" t="s">
        <v>87</v>
      </c>
      <c r="M3" s="67" t="s">
        <v>88</v>
      </c>
      <c r="N3" s="67" t="s">
        <v>89</v>
      </c>
      <c r="O3" s="67" t="s">
        <v>90</v>
      </c>
      <c r="P3" s="67" t="s">
        <v>91</v>
      </c>
      <c r="Q3" s="67" t="s">
        <v>92</v>
      </c>
      <c r="R3" s="67" t="s">
        <v>93</v>
      </c>
      <c r="S3" s="67" t="s">
        <v>94</v>
      </c>
      <c r="T3" s="67" t="s">
        <v>95</v>
      </c>
      <c r="U3" s="67" t="s">
        <v>96</v>
      </c>
      <c r="V3" s="67" t="s">
        <v>97</v>
      </c>
      <c r="W3" s="67" t="s">
        <v>98</v>
      </c>
      <c r="X3" s="67" t="s">
        <v>99</v>
      </c>
      <c r="Y3" s="67" t="s">
        <v>100</v>
      </c>
      <c r="Z3" s="67" t="s">
        <v>101</v>
      </c>
      <c r="AA3" s="67" t="s">
        <v>692</v>
      </c>
      <c r="AC3" s="67" t="s">
        <v>102</v>
      </c>
      <c r="AE3" s="67" t="s">
        <v>103</v>
      </c>
      <c r="AF3" s="68" t="s">
        <v>195</v>
      </c>
      <c r="AH3" s="67" t="s">
        <v>454</v>
      </c>
      <c r="AJ3" s="67" t="s">
        <v>458</v>
      </c>
      <c r="AK3" s="67" t="s">
        <v>459</v>
      </c>
      <c r="AL3" s="67" t="s">
        <v>497</v>
      </c>
      <c r="AM3" s="71" t="s">
        <v>495</v>
      </c>
      <c r="AN3" s="67" t="s">
        <v>498</v>
      </c>
      <c r="AO3" s="67" t="s">
        <v>15</v>
      </c>
      <c r="AP3" s="67" t="s">
        <v>35</v>
      </c>
      <c r="AQ3" s="67" t="s">
        <v>41</v>
      </c>
      <c r="AR3" s="67" t="s">
        <v>501</v>
      </c>
      <c r="AS3" s="67" t="s">
        <v>632</v>
      </c>
      <c r="AT3" s="67" t="s">
        <v>633</v>
      </c>
      <c r="AU3" s="67" t="str">
        <f>IF(Request!B111=DB!AQ2,BK2,"Cycling (Battery Charge and Discharge Periodically)")</f>
        <v>Discharged (Battery Permanently Discharge Without Charge Possibility)</v>
      </c>
      <c r="AV3" s="67" t="s">
        <v>636</v>
      </c>
      <c r="AW3" s="67" t="s">
        <v>638</v>
      </c>
      <c r="AX3" s="67" t="s">
        <v>17</v>
      </c>
      <c r="AY3" s="67" t="s">
        <v>506</v>
      </c>
      <c r="AZ3" s="68" t="s">
        <v>510</v>
      </c>
      <c r="BA3" s="67" t="s">
        <v>686</v>
      </c>
      <c r="BB3" s="67" t="s">
        <v>541</v>
      </c>
      <c r="BC3" s="67" t="s">
        <v>522</v>
      </c>
      <c r="BD3" s="67">
        <v>1</v>
      </c>
      <c r="BE3" s="70"/>
      <c r="BF3" s="70"/>
      <c r="BG3" s="70">
        <v>2</v>
      </c>
      <c r="BH3" s="70">
        <v>1E-3</v>
      </c>
      <c r="BI3" s="67" t="s">
        <v>536</v>
      </c>
      <c r="BJ3" s="67" t="s">
        <v>168</v>
      </c>
      <c r="BK3" s="67" t="s">
        <v>642</v>
      </c>
      <c r="BL3" s="67" t="s">
        <v>17</v>
      </c>
      <c r="BM3" s="67" t="s">
        <v>562</v>
      </c>
      <c r="BN3" s="67" t="s">
        <v>644</v>
      </c>
      <c r="BO3" s="67" t="s">
        <v>645</v>
      </c>
      <c r="BP3" s="67" t="s">
        <v>651</v>
      </c>
      <c r="BQ3" s="67" t="s">
        <v>653</v>
      </c>
      <c r="BR3" s="67" t="s">
        <v>656</v>
      </c>
      <c r="BS3" s="67" t="s">
        <v>695</v>
      </c>
      <c r="BT3" s="67">
        <v>2</v>
      </c>
      <c r="BU3" s="67" t="s">
        <v>15</v>
      </c>
      <c r="BV3" s="67">
        <v>1000</v>
      </c>
      <c r="BY3" s="67" t="s">
        <v>17</v>
      </c>
      <c r="BZ3" s="67">
        <v>1E-3</v>
      </c>
      <c r="CC3" s="67">
        <v>0</v>
      </c>
      <c r="CD3" s="67">
        <v>0</v>
      </c>
      <c r="CE3" s="67">
        <v>7</v>
      </c>
      <c r="CF3" s="67">
        <v>19.7</v>
      </c>
      <c r="CG3" s="67" t="s">
        <v>721</v>
      </c>
      <c r="CH3" s="67" t="s">
        <v>720</v>
      </c>
      <c r="CI3" s="71" t="s">
        <v>722</v>
      </c>
    </row>
    <row r="4" spans="1:88">
      <c r="A4" s="67" t="str">
        <f>IF(AND(Request!$K$38="",Request!$B$38=""),IF(DB!C3="","",DB!C3),IF(Request!$B$38="",IF(DB!C3="","",DB!C3),IF(ISERROR(HLOOKUP(Request!$B$38,$L$1:$AE$20,K3,FALSE)),"",IF(HLOOKUP(Request!$B$38,$L$1:$AE$105,K3,FALSE)="","",HLOOKUP(Request!$B$38,$L$1:$AE$105,K3,FALSE)))))</f>
        <v>Animal Tracking</v>
      </c>
      <c r="B4" s="67" t="str">
        <f>IF(AND(Request!$K$38="",Request!$B$38=""),IF(DB!F3="","",DB!F3),IF(OR(Request!$K$38=$F$20,Request!$K$38=""),IF(DB!F3="","",DB!F3),IF(ISERROR(VLOOKUP(K2,$I$1:$J$20,2,FALSE)),"",VLOOKUP(K2,$I$1:$J$20,2,FALSE))))</f>
        <v>Automotive</v>
      </c>
      <c r="C4" s="67" t="s">
        <v>102</v>
      </c>
      <c r="D4" s="67" t="str">
        <f t="shared" si="0"/>
        <v>CE Asset Tracking</v>
      </c>
      <c r="E4" s="67" t="str">
        <f t="shared" si="2"/>
        <v>Asset Tracking</v>
      </c>
      <c r="F4" s="68" t="s">
        <v>51</v>
      </c>
      <c r="G4" s="67" t="str">
        <f t="shared" si="1"/>
        <v>CE Environment Monitoring</v>
      </c>
      <c r="H4" s="67" t="str">
        <f t="shared" si="3"/>
        <v>Environment Monitoring</v>
      </c>
      <c r="I4" s="67">
        <f t="shared" si="4"/>
        <v>0</v>
      </c>
      <c r="J4" s="67" t="str">
        <f>IF(ISERROR(HLOOKUP(Request!$K$38,DB!L4:$AE$106,$K$106-K3,FALSE)),"",HLOOKUP(Request!$K$38,DB!L4:$AE$106,$K$106-K3,FALSE))</f>
        <v/>
      </c>
      <c r="K4" s="68">
        <v>4</v>
      </c>
      <c r="L4" s="67" t="s">
        <v>104</v>
      </c>
      <c r="M4" s="67" t="s">
        <v>105</v>
      </c>
      <c r="N4" s="67" t="s">
        <v>61</v>
      </c>
      <c r="O4" s="67" t="s">
        <v>106</v>
      </c>
      <c r="P4" s="67" t="s">
        <v>107</v>
      </c>
      <c r="Q4" s="67" t="s">
        <v>108</v>
      </c>
      <c r="R4" s="67" t="s">
        <v>109</v>
      </c>
      <c r="S4" s="67" t="s">
        <v>110</v>
      </c>
      <c r="T4" s="67" t="s">
        <v>111</v>
      </c>
      <c r="U4" s="67" t="s">
        <v>112</v>
      </c>
      <c r="V4" s="67" t="s">
        <v>113</v>
      </c>
      <c r="W4" s="67" t="s">
        <v>61</v>
      </c>
      <c r="X4" s="67" t="s">
        <v>114</v>
      </c>
      <c r="Y4" s="67" t="s">
        <v>115</v>
      </c>
      <c r="Z4" s="67" t="s">
        <v>116</v>
      </c>
      <c r="AA4" s="67" t="s">
        <v>117</v>
      </c>
      <c r="AC4" s="67" t="s">
        <v>118</v>
      </c>
      <c r="AE4" s="67" t="s">
        <v>119</v>
      </c>
      <c r="AF4" s="68" t="s">
        <v>196</v>
      </c>
      <c r="AH4" s="67" t="s">
        <v>453</v>
      </c>
      <c r="AJ4" s="67" t="s">
        <v>460</v>
      </c>
      <c r="AK4" s="67" t="s">
        <v>461</v>
      </c>
      <c r="AO4" s="67" t="s">
        <v>16</v>
      </c>
      <c r="AP4" s="67" t="s">
        <v>34</v>
      </c>
      <c r="AQ4" s="67" t="s">
        <v>499</v>
      </c>
      <c r="AR4" s="67" t="s">
        <v>502</v>
      </c>
      <c r="AS4" s="67" t="s">
        <v>499</v>
      </c>
      <c r="AT4" s="67" t="s">
        <v>634</v>
      </c>
      <c r="AU4" s="67" t="str">
        <f>IF(OR(Request!B111=DB!AQ4,Request!B111=DB!AQ1),BK2,"")</f>
        <v/>
      </c>
      <c r="AV4" s="67" t="s">
        <v>61</v>
      </c>
      <c r="AW4" s="67" t="s">
        <v>639</v>
      </c>
      <c r="AX4" s="67" t="s">
        <v>18</v>
      </c>
      <c r="AY4" s="67" t="s">
        <v>507</v>
      </c>
      <c r="AZ4" s="68"/>
      <c r="BA4" s="67" t="s">
        <v>687</v>
      </c>
      <c r="BB4" s="67" t="s">
        <v>544</v>
      </c>
      <c r="BC4" s="67" t="s">
        <v>530</v>
      </c>
      <c r="BD4" s="67">
        <v>2</v>
      </c>
      <c r="BE4" s="70"/>
      <c r="BF4" s="70"/>
      <c r="BG4" s="70">
        <v>2</v>
      </c>
      <c r="BH4" s="70">
        <v>0.06</v>
      </c>
      <c r="BJ4" s="67" t="s">
        <v>169</v>
      </c>
      <c r="BL4" s="67" t="s">
        <v>18</v>
      </c>
      <c r="BM4" s="67" t="s">
        <v>555</v>
      </c>
      <c r="BO4" s="67" t="s">
        <v>646</v>
      </c>
      <c r="BQ4" s="67" t="s">
        <v>654</v>
      </c>
      <c r="BR4" s="67" t="s">
        <v>499</v>
      </c>
      <c r="BT4" s="67">
        <v>3</v>
      </c>
      <c r="BU4" s="67" t="s">
        <v>0</v>
      </c>
      <c r="BV4" s="67">
        <v>1</v>
      </c>
      <c r="BX4" s="67" t="s">
        <v>47</v>
      </c>
      <c r="BY4" s="67" t="s">
        <v>18</v>
      </c>
      <c r="BZ4" s="67">
        <v>1</v>
      </c>
      <c r="CA4" s="67">
        <f>1/3600</f>
        <v>2.7777777777777778E-4</v>
      </c>
      <c r="CC4" s="67">
        <v>1</v>
      </c>
      <c r="CD4" s="67">
        <v>0</v>
      </c>
      <c r="CE4" s="67">
        <v>9</v>
      </c>
      <c r="CF4" s="67">
        <v>19.7</v>
      </c>
      <c r="CG4" s="67" t="s">
        <v>720</v>
      </c>
      <c r="CH4" s="67" t="s">
        <v>720</v>
      </c>
      <c r="CI4" s="71" t="s">
        <v>723</v>
      </c>
    </row>
    <row r="5" spans="1:88">
      <c r="A5" s="67" t="str">
        <f>IF(AND(Request!$K$38="",Request!$B$38=""),IF(DB!C4="","",DB!C4),IF(Request!$B$38="",IF(DB!C4="","",DB!C4),IF(ISERROR(HLOOKUP(Request!$B$38,$L$1:$AE$20,K4,FALSE)),"",IF(HLOOKUP(Request!$B$38,$L$1:$AE$105,K4,FALSE)="","",HLOOKUP(Request!$B$38,$L$1:$AE$105,K4,FALSE)))))</f>
        <v>Asset Tracking</v>
      </c>
      <c r="B5" s="67" t="str">
        <f>IF(AND(Request!$K$38="",Request!$B$38=""),IF(DB!F4="","",DB!F4),IF(OR(Request!$K$38=$F$20,Request!$K$38=""),IF(DB!F4="","",DB!F4),IF(ISERROR(VLOOKUP(K3,$I$1:$J$20,2,FALSE)),"",VLOOKUP(K3,$I$1:$J$20,2,FALSE))))</f>
        <v>Environment Monitoring</v>
      </c>
      <c r="C5" s="67" t="s">
        <v>75</v>
      </c>
      <c r="D5" s="67" t="str">
        <f t="shared" si="0"/>
        <v>CE Automated External Defibrillators</v>
      </c>
      <c r="E5" s="67" t="str">
        <f t="shared" si="2"/>
        <v>Automated External Defibrillators</v>
      </c>
      <c r="F5" s="68" t="s">
        <v>53</v>
      </c>
      <c r="G5" s="67" t="str">
        <f t="shared" si="1"/>
        <v>CE Internet Of Things</v>
      </c>
      <c r="H5" s="67" t="str">
        <f t="shared" si="3"/>
        <v>Internet Of Things</v>
      </c>
      <c r="I5" s="67">
        <f t="shared" si="4"/>
        <v>0</v>
      </c>
      <c r="J5" s="67" t="str">
        <f>IF(ISERROR(HLOOKUP(Request!$K$38,DB!L5:$AE$106,$K$106-K4,FALSE)),"",HLOOKUP(Request!$K$38,DB!L5:$AE$106,$K$106-K4,FALSE))</f>
        <v/>
      </c>
      <c r="K5" s="68">
        <v>5</v>
      </c>
      <c r="L5" s="67" t="s">
        <v>120</v>
      </c>
      <c r="M5" s="67" t="s">
        <v>61</v>
      </c>
      <c r="O5" s="67" t="s">
        <v>121</v>
      </c>
      <c r="P5" s="67" t="s">
        <v>122</v>
      </c>
      <c r="Q5" s="67" t="s">
        <v>61</v>
      </c>
      <c r="R5" s="67" t="s">
        <v>123</v>
      </c>
      <c r="S5" s="67" t="s">
        <v>124</v>
      </c>
      <c r="T5" s="67" t="s">
        <v>61</v>
      </c>
      <c r="U5" s="67" t="s">
        <v>125</v>
      </c>
      <c r="V5" s="67" t="s">
        <v>126</v>
      </c>
      <c r="W5" s="67" t="str">
        <f>IF(Request!$B$38=DB!$W$1,"",C2)</f>
        <v>Alarms</v>
      </c>
      <c r="X5" s="67" t="s">
        <v>127</v>
      </c>
      <c r="Y5" s="67" t="s">
        <v>128</v>
      </c>
      <c r="Z5" s="67" t="s">
        <v>129</v>
      </c>
      <c r="AA5" s="67" t="s">
        <v>693</v>
      </c>
      <c r="AC5" s="67" t="s">
        <v>110</v>
      </c>
      <c r="AE5" s="67" t="s">
        <v>130</v>
      </c>
      <c r="AF5" s="68" t="s">
        <v>197</v>
      </c>
      <c r="AJ5" s="67" t="s">
        <v>462</v>
      </c>
      <c r="AK5" s="67" t="s">
        <v>463</v>
      </c>
      <c r="AO5" s="67" t="s">
        <v>36</v>
      </c>
      <c r="AR5" s="67" t="s">
        <v>503</v>
      </c>
      <c r="AT5" s="67" t="s">
        <v>499</v>
      </c>
      <c r="AW5" s="67" t="s">
        <v>640</v>
      </c>
      <c r="AX5" s="67" t="s">
        <v>19</v>
      </c>
      <c r="AZ5" s="68"/>
      <c r="BA5" s="67" t="s">
        <v>688</v>
      </c>
      <c r="BB5" s="67" t="s">
        <v>542</v>
      </c>
      <c r="BC5" s="67" t="s">
        <v>526</v>
      </c>
      <c r="BE5" s="70"/>
      <c r="BF5" s="70"/>
      <c r="BG5" s="70">
        <v>3</v>
      </c>
      <c r="BH5" s="70">
        <v>0.06</v>
      </c>
      <c r="BJ5" s="67" t="s">
        <v>170</v>
      </c>
      <c r="BL5" s="67" t="s">
        <v>19</v>
      </c>
      <c r="BM5" s="67" t="s">
        <v>556</v>
      </c>
      <c r="BO5" s="67" t="s">
        <v>647</v>
      </c>
      <c r="BU5" s="189" t="s">
        <v>37</v>
      </c>
      <c r="BV5" s="189"/>
      <c r="BX5" s="67" t="s">
        <v>43</v>
      </c>
      <c r="BY5" s="67" t="s">
        <v>19</v>
      </c>
      <c r="BZ5" s="67">
        <v>60</v>
      </c>
      <c r="CA5" s="72">
        <f>1/60</f>
        <v>1.6666666666666666E-2</v>
      </c>
      <c r="CC5" s="67">
        <v>1</v>
      </c>
      <c r="CD5" s="67">
        <v>0</v>
      </c>
      <c r="CE5" s="67">
        <v>9</v>
      </c>
      <c r="CF5" s="67">
        <v>0</v>
      </c>
      <c r="CG5" s="67" t="s">
        <v>61</v>
      </c>
      <c r="CH5" s="67" t="s">
        <v>721</v>
      </c>
      <c r="CI5" s="67" t="s">
        <v>724</v>
      </c>
    </row>
    <row r="6" spans="1:88">
      <c r="A6" s="67" t="str">
        <f>IF(AND(Request!$K$38="",Request!$B$38=""),IF(DB!C5="","",DB!C5),IF(Request!$B$38="",IF(DB!C5="","",DB!C5),IF(ISERROR(HLOOKUP(Request!$B$38,$L$1:$AE$20,K5,FALSE)),"",IF(HLOOKUP(Request!$B$38,$L$1:$AE$105,K5,FALSE)="","",HLOOKUP(Request!$B$38,$L$1:$AE$105,K5,FALSE)))))</f>
        <v>Automated External Defibrillators</v>
      </c>
      <c r="B6" s="67" t="str">
        <f>IF(AND(Request!$K$38="",Request!$B$38=""),IF(DB!F5="","",DB!F5),IF(OR(Request!$K$38=$F$20,Request!$K$38=""),IF(DB!F5="","",DB!F5),IF(ISERROR(VLOOKUP(K4,$I$1:$J$20,2,FALSE)),"",VLOOKUP(K4,$I$1:$J$20,2,FALSE))))</f>
        <v>Internet Of Things</v>
      </c>
      <c r="C6" s="67" t="s">
        <v>71</v>
      </c>
      <c r="D6" s="67" t="str">
        <f t="shared" si="0"/>
        <v>CE Avionics Equipment</v>
      </c>
      <c r="E6" s="67" t="str">
        <f t="shared" si="2"/>
        <v>Avionics Equipment</v>
      </c>
      <c r="F6" s="67" t="s">
        <v>54</v>
      </c>
      <c r="G6" s="67" t="str">
        <f t="shared" si="1"/>
        <v>CE Lighting &amp; Signaling</v>
      </c>
      <c r="H6" s="67" t="str">
        <f t="shared" si="3"/>
        <v>Lighting &amp; Signaling</v>
      </c>
      <c r="I6" s="67">
        <f t="shared" si="4"/>
        <v>0</v>
      </c>
      <c r="J6" s="67" t="str">
        <f>IF(ISERROR(HLOOKUP(Request!$K$38,DB!L6:$AE$106,$K$106-K5,FALSE)),"",HLOOKUP(Request!$K$38,DB!L6:$AE$106,$K$106-K5,FALSE))</f>
        <v/>
      </c>
      <c r="K6" s="67">
        <v>6</v>
      </c>
      <c r="L6" s="67" t="s">
        <v>131</v>
      </c>
      <c r="O6" s="67" t="s">
        <v>132</v>
      </c>
      <c r="P6" s="67" t="s">
        <v>133</v>
      </c>
      <c r="R6" s="67" t="s">
        <v>134</v>
      </c>
      <c r="S6" s="67" t="s">
        <v>135</v>
      </c>
      <c r="U6" s="67" t="s">
        <v>136</v>
      </c>
      <c r="V6" s="67" t="s">
        <v>137</v>
      </c>
      <c r="W6" s="67" t="str">
        <f>IF(Request!$B$38=DB!$W$1,"",C3)</f>
        <v>Animal Tracking</v>
      </c>
      <c r="X6" s="67" t="s">
        <v>138</v>
      </c>
      <c r="Y6" s="67" t="s">
        <v>139</v>
      </c>
      <c r="Z6" s="67" t="s">
        <v>140</v>
      </c>
      <c r="AA6" s="67" t="s">
        <v>141</v>
      </c>
      <c r="AC6" s="67" t="s">
        <v>142</v>
      </c>
      <c r="AE6" s="67" t="s">
        <v>143</v>
      </c>
      <c r="AF6" s="68" t="s">
        <v>198</v>
      </c>
      <c r="AJ6" s="67" t="s">
        <v>464</v>
      </c>
      <c r="AK6" s="67" t="s">
        <v>465</v>
      </c>
      <c r="AO6" s="67" t="s">
        <v>35</v>
      </c>
      <c r="AW6" s="67" t="s">
        <v>61</v>
      </c>
      <c r="AX6" s="67" t="s">
        <v>20</v>
      </c>
      <c r="AZ6" s="68"/>
      <c r="BA6" s="67" t="s">
        <v>689</v>
      </c>
      <c r="BB6" s="67" t="s">
        <v>543</v>
      </c>
      <c r="BC6" s="67" t="s">
        <v>701</v>
      </c>
      <c r="BE6" s="70"/>
      <c r="BF6" s="70"/>
      <c r="BG6" s="70">
        <v>4</v>
      </c>
      <c r="BH6" s="70">
        <v>0.06</v>
      </c>
      <c r="BJ6" s="67" t="s">
        <v>61</v>
      </c>
      <c r="BL6" s="67" t="s">
        <v>20</v>
      </c>
      <c r="BM6" s="67" t="s">
        <v>557</v>
      </c>
      <c r="BO6" s="67" t="s">
        <v>190</v>
      </c>
      <c r="BU6" s="67" t="s">
        <v>34</v>
      </c>
      <c r="BV6" s="67">
        <v>1000000</v>
      </c>
      <c r="BW6" s="67">
        <v>1</v>
      </c>
      <c r="BX6" s="67" t="s">
        <v>42</v>
      </c>
      <c r="BY6" s="67" t="s">
        <v>20</v>
      </c>
      <c r="BZ6" s="67">
        <v>3600</v>
      </c>
      <c r="CA6" s="67">
        <v>1</v>
      </c>
      <c r="CC6" s="67">
        <v>4</v>
      </c>
      <c r="CD6" s="67">
        <v>0</v>
      </c>
      <c r="CE6" s="67">
        <v>11</v>
      </c>
      <c r="CF6" s="67">
        <v>0</v>
      </c>
    </row>
    <row r="7" spans="1:88">
      <c r="A7" s="67" t="str">
        <f>IF(AND(Request!$K$38="",Request!$B$38=""),IF(DB!C6="","",DB!C6),IF(Request!$B$38="",IF(DB!C6="","",DB!C6),IF(ISERROR(HLOOKUP(Request!$B$38,$L$1:$AE$20,K6,FALSE)),"",IF(HLOOKUP(Request!$B$38,$L$1:$AE$105,K6,FALSE)="","",HLOOKUP(Request!$B$38,$L$1:$AE$105,K6,FALSE)))))</f>
        <v>Avionics Equipment</v>
      </c>
      <c r="B7" s="67" t="str">
        <f>IF(AND(Request!$K$38="",Request!$B$38=""),IF(DB!F6="","",DB!F6),IF(OR(Request!$K$38=$F$20,Request!$K$38=""),IF(DB!F6="","",DB!F6),IF(ISERROR(VLOOKUP(K5,$I$1:$J$20,2,FALSE)),"",VLOOKUP(K5,$I$1:$J$20,2,FALSE))))</f>
        <v>Lighting &amp; Signaling</v>
      </c>
      <c r="C7" s="67" t="s">
        <v>82</v>
      </c>
      <c r="D7" s="67" t="str">
        <f t="shared" si="0"/>
        <v>CE Buoys</v>
      </c>
      <c r="E7" s="67" t="str">
        <f t="shared" si="2"/>
        <v>Buoys</v>
      </c>
      <c r="F7" s="67" t="s">
        <v>55</v>
      </c>
      <c r="G7" s="67" t="str">
        <f t="shared" si="1"/>
        <v>CE Medical</v>
      </c>
      <c r="H7" s="67" t="str">
        <f t="shared" si="3"/>
        <v>Medical</v>
      </c>
      <c r="I7" s="67">
        <f t="shared" si="4"/>
        <v>0</v>
      </c>
      <c r="J7" s="67" t="str">
        <f>IF(ISERROR(HLOOKUP(Request!$K$38,DB!L7:$AE$106,$K$106-K6,FALSE)),"",HLOOKUP(Request!$K$38,DB!L7:$AE$106,$K$106-K6,FALSE))</f>
        <v/>
      </c>
      <c r="K7" s="67">
        <v>7</v>
      </c>
      <c r="L7" s="67" t="s">
        <v>144</v>
      </c>
      <c r="O7" s="67" t="s">
        <v>61</v>
      </c>
      <c r="P7" s="67" t="s">
        <v>145</v>
      </c>
      <c r="R7" s="67" t="s">
        <v>146</v>
      </c>
      <c r="S7" s="67" t="s">
        <v>147</v>
      </c>
      <c r="U7" s="67" t="s">
        <v>148</v>
      </c>
      <c r="V7" s="67" t="s">
        <v>149</v>
      </c>
      <c r="W7" s="67" t="str">
        <f>IF(Request!$B$38=DB!$W$1,"",C4)</f>
        <v>Asset Tracking</v>
      </c>
      <c r="X7" s="67" t="s">
        <v>61</v>
      </c>
      <c r="Y7" s="67" t="s">
        <v>150</v>
      </c>
      <c r="Z7" s="67" t="s">
        <v>151</v>
      </c>
      <c r="AA7" s="67" t="s">
        <v>152</v>
      </c>
      <c r="AC7" s="67" t="s">
        <v>153</v>
      </c>
      <c r="AE7" s="67" t="s">
        <v>154</v>
      </c>
      <c r="AF7" s="68" t="s">
        <v>199</v>
      </c>
      <c r="AJ7" s="67" t="s">
        <v>466</v>
      </c>
      <c r="AK7" s="67" t="s">
        <v>467</v>
      </c>
      <c r="AO7" s="67" t="s">
        <v>34</v>
      </c>
      <c r="AX7" s="67" t="s">
        <v>22</v>
      </c>
      <c r="AZ7" s="68"/>
      <c r="BA7" s="67" t="s">
        <v>690</v>
      </c>
      <c r="BC7" s="67" t="s">
        <v>520</v>
      </c>
      <c r="BE7" s="70">
        <v>2</v>
      </c>
      <c r="BF7" s="70">
        <v>0.15</v>
      </c>
      <c r="BG7" s="70">
        <v>5</v>
      </c>
      <c r="BH7" s="70">
        <v>0.06</v>
      </c>
      <c r="BL7" s="67" t="s">
        <v>22</v>
      </c>
      <c r="BM7" s="67" t="s">
        <v>558</v>
      </c>
      <c r="BO7" s="67" t="s">
        <v>191</v>
      </c>
      <c r="BU7" s="67" t="s">
        <v>35</v>
      </c>
      <c r="BV7" s="67">
        <v>1000</v>
      </c>
      <c r="BW7" s="67">
        <v>2</v>
      </c>
      <c r="BX7" s="67" t="s">
        <v>44</v>
      </c>
      <c r="BY7" s="67" t="s">
        <v>22</v>
      </c>
      <c r="BZ7" s="67">
        <v>86400</v>
      </c>
      <c r="CA7" s="67">
        <v>24</v>
      </c>
      <c r="CC7" s="67">
        <v>4</v>
      </c>
      <c r="CD7" s="67">
        <v>5</v>
      </c>
      <c r="CE7" s="67">
        <v>11</v>
      </c>
      <c r="CF7" s="67">
        <v>19.7</v>
      </c>
    </row>
    <row r="8" spans="1:88">
      <c r="A8" s="67" t="str">
        <f>IF(AND(Request!$K$38="",Request!$B$38=""),IF(DB!C7="","",DB!C7),IF(Request!$B$38="",IF(DB!C7="","",DB!C7),IF(ISERROR(HLOOKUP(Request!$B$38,$L$1:$AE$20,K7,FALSE)),"",IF(HLOOKUP(Request!$B$38,$L$1:$AE$105,K7,FALSE)="","",HLOOKUP(Request!$B$38,$L$1:$AE$105,K7,FALSE)))))</f>
        <v>Buoys</v>
      </c>
      <c r="B8" s="67" t="str">
        <f>IF(AND(Request!$K$38="",Request!$B$38=""),IF(DB!F7="","",DB!F7),IF(OR(Request!$K$38=$F$20,Request!$K$38=""),IF(DB!F7="","",DB!F7),IF(ISERROR(VLOOKUP(K6,$I$1:$J$20,2,FALSE)),"",VLOOKUP(K6,$I$1:$J$20,2,FALSE))))</f>
        <v>Medical</v>
      </c>
      <c r="C8" s="67" t="s">
        <v>78</v>
      </c>
      <c r="D8" s="67" t="str">
        <f t="shared" si="0"/>
        <v>CE Caddy</v>
      </c>
      <c r="E8" s="67" t="str">
        <f t="shared" si="2"/>
        <v>Caddy</v>
      </c>
      <c r="F8" s="67" t="s">
        <v>57</v>
      </c>
      <c r="G8" s="67" t="str">
        <f t="shared" si="1"/>
        <v>CE Military / Soldier System</v>
      </c>
      <c r="H8" s="67" t="str">
        <f t="shared" si="3"/>
        <v>Military / Soldier System</v>
      </c>
      <c r="I8" s="67">
        <f t="shared" si="4"/>
        <v>0</v>
      </c>
      <c r="J8" s="67" t="str">
        <f>IF(ISERROR(HLOOKUP(Request!$K$38,DB!L8:$AE$106,$K$106-K7,FALSE)),"",HLOOKUP(Request!$K$38,DB!L8:$AE$106,$K$106-K7,FALSE))</f>
        <v/>
      </c>
      <c r="K8" s="67">
        <v>8</v>
      </c>
      <c r="L8" s="67" t="s">
        <v>61</v>
      </c>
      <c r="P8" s="67" t="s">
        <v>155</v>
      </c>
      <c r="R8" s="67" t="s">
        <v>156</v>
      </c>
      <c r="S8" s="67" t="s">
        <v>157</v>
      </c>
      <c r="U8" s="67" t="s">
        <v>61</v>
      </c>
      <c r="V8" s="67" t="s">
        <v>158</v>
      </c>
      <c r="W8" s="67" t="str">
        <f>IF(Request!$B$38=DB!$W$1,"",C5)</f>
        <v>Automated External Defibrillators</v>
      </c>
      <c r="Y8" s="67" t="s">
        <v>159</v>
      </c>
      <c r="Z8" s="67" t="s">
        <v>160</v>
      </c>
      <c r="AA8" s="67" t="s">
        <v>161</v>
      </c>
      <c r="AC8" s="67" t="s">
        <v>61</v>
      </c>
      <c r="AE8" s="67" t="s">
        <v>162</v>
      </c>
      <c r="AF8" s="68" t="s">
        <v>200</v>
      </c>
      <c r="AJ8" s="67" t="s">
        <v>696</v>
      </c>
      <c r="AK8" s="67" t="s">
        <v>468</v>
      </c>
      <c r="AX8" s="67" t="s">
        <v>25</v>
      </c>
      <c r="AZ8" s="68"/>
      <c r="BC8" s="67" t="s">
        <v>517</v>
      </c>
      <c r="BE8" s="70">
        <v>17</v>
      </c>
      <c r="BF8" s="70">
        <v>0.15</v>
      </c>
      <c r="BG8" s="70">
        <v>6</v>
      </c>
      <c r="BH8" s="70">
        <v>0.06</v>
      </c>
      <c r="BL8" s="67" t="s">
        <v>25</v>
      </c>
      <c r="BM8" s="67" t="s">
        <v>563</v>
      </c>
      <c r="BO8" s="67" t="s">
        <v>648</v>
      </c>
      <c r="BT8" s="70"/>
      <c r="BU8" s="67" t="s">
        <v>36</v>
      </c>
      <c r="BV8" s="67">
        <v>1</v>
      </c>
      <c r="BW8" s="67">
        <v>3</v>
      </c>
      <c r="BX8" s="67" t="s">
        <v>45</v>
      </c>
      <c r="BY8" s="67" t="s">
        <v>25</v>
      </c>
      <c r="BZ8" s="67">
        <v>604800</v>
      </c>
      <c r="CA8" s="73">
        <f>7*24</f>
        <v>168</v>
      </c>
      <c r="CC8" s="67">
        <v>7</v>
      </c>
      <c r="CD8" s="67">
        <v>5</v>
      </c>
      <c r="CE8" s="67">
        <v>13</v>
      </c>
      <c r="CF8" s="67">
        <v>19.7</v>
      </c>
    </row>
    <row r="9" spans="1:88">
      <c r="A9" s="67" t="str">
        <f>IF(AND(Request!$K$38="",Request!$B$38=""),IF(DB!C8="","",DB!C8),IF(Request!$B$38="",IF(DB!C8="","",DB!C8),IF(ISERROR(HLOOKUP(Request!$B$38,$L$1:$AE$20,K8,FALSE)),"",IF(HLOOKUP(Request!$B$38,$L$1:$AE$105,K8,FALSE)="","",HLOOKUP(Request!$B$38,$L$1:$AE$105,K8,FALSE)))))</f>
        <v>Caddy</v>
      </c>
      <c r="B9" s="67" t="str">
        <f>IF(AND(Request!$K$38="",Request!$B$38=""),IF(DB!F8="","",DB!F8),IF(OR(Request!$K$38=$F$20,Request!$K$38=""),IF(DB!F8="","",DB!F8),IF(ISERROR(VLOOKUP(K7,$I$1:$J$20,2,FALSE)),"",VLOOKUP(K7,$I$1:$J$20,2,FALSE))))</f>
        <v>Military / Soldier System</v>
      </c>
      <c r="C9" s="67" t="s">
        <v>84</v>
      </c>
      <c r="D9" s="67" t="str">
        <f t="shared" si="0"/>
        <v>CE Cargos</v>
      </c>
      <c r="E9" s="67" t="str">
        <f t="shared" si="2"/>
        <v>Cargos</v>
      </c>
      <c r="F9" s="67" t="s">
        <v>58</v>
      </c>
      <c r="G9" s="67" t="str">
        <f t="shared" si="1"/>
        <v>CE Mining</v>
      </c>
      <c r="H9" s="67" t="str">
        <f t="shared" si="3"/>
        <v>Mining</v>
      </c>
      <c r="I9" s="67">
        <f t="shared" si="4"/>
        <v>0</v>
      </c>
      <c r="J9" s="67" t="str">
        <f>IF(ISERROR(HLOOKUP(Request!$K$38,DB!L9:$AE$106,$K$106-K8,FALSE)),"",HLOOKUP(Request!$K$38,DB!L9:$AE$106,$K$106-K8,FALSE))</f>
        <v/>
      </c>
      <c r="K9" s="67">
        <v>9</v>
      </c>
      <c r="P9" s="67" t="s">
        <v>61</v>
      </c>
      <c r="R9" s="67" t="s">
        <v>61</v>
      </c>
      <c r="S9" s="67" t="s">
        <v>163</v>
      </c>
      <c r="V9" s="67" t="s">
        <v>61</v>
      </c>
      <c r="W9" s="67" t="str">
        <f>IF(Request!$B$38=DB!$W$1,"",C6)</f>
        <v>Avionics Equipment</v>
      </c>
      <c r="Y9" s="67" t="s">
        <v>61</v>
      </c>
      <c r="Z9" s="67" t="s">
        <v>61</v>
      </c>
      <c r="AA9" s="67" t="s">
        <v>164</v>
      </c>
      <c r="AE9" s="67" t="s">
        <v>61</v>
      </c>
      <c r="AF9" s="68" t="s">
        <v>201</v>
      </c>
      <c r="AJ9" s="67" t="s">
        <v>697</v>
      </c>
      <c r="AK9" s="67" t="s">
        <v>469</v>
      </c>
      <c r="AX9" s="67" t="s">
        <v>23</v>
      </c>
      <c r="AZ9" s="68"/>
      <c r="BB9" s="67" t="s">
        <v>545</v>
      </c>
      <c r="BC9" s="67" t="s">
        <v>549</v>
      </c>
      <c r="BE9" s="70"/>
      <c r="BF9" s="70"/>
      <c r="BG9" s="70">
        <v>6</v>
      </c>
      <c r="BH9" s="70">
        <v>2</v>
      </c>
      <c r="BL9" s="67" t="s">
        <v>23</v>
      </c>
      <c r="BM9" s="67" t="s">
        <v>559</v>
      </c>
      <c r="BO9" s="67" t="s">
        <v>179</v>
      </c>
      <c r="BT9" s="70"/>
      <c r="BX9" s="67" t="s">
        <v>46</v>
      </c>
      <c r="BY9" s="67" t="s">
        <v>23</v>
      </c>
      <c r="BZ9" s="67">
        <v>2628000</v>
      </c>
      <c r="CA9" s="73">
        <f>365/12*24</f>
        <v>730</v>
      </c>
      <c r="CC9" s="67">
        <v>7</v>
      </c>
      <c r="CD9" s="67">
        <v>20</v>
      </c>
      <c r="CE9" s="67">
        <v>13</v>
      </c>
      <c r="CF9" s="67">
        <v>0</v>
      </c>
    </row>
    <row r="10" spans="1:88">
      <c r="A10" s="67" t="str">
        <f>IF(AND(Request!$K$38="",Request!$B$38=""),IF(DB!C9="","",DB!C9),IF(Request!$B$38="",IF(DB!C9="","",DB!C9),IF(ISERROR(HLOOKUP(Request!$B$38,$L$1:$AE$20,K9,FALSE)),"",IF(HLOOKUP(Request!$B$38,$L$1:$AE$105,K9,FALSE)="","",HLOOKUP(Request!$B$38,$L$1:$AE$105,K9,FALSE)))))</f>
        <v>Cargos</v>
      </c>
      <c r="B10" s="67" t="str">
        <f>IF(AND(Request!$K$38="",Request!$B$38=""),IF(DB!F9="","",DB!F9),IF(OR(Request!$K$38=$F$20,Request!$K$38=""),IF(DB!F9="","",DB!F9),IF(ISERROR(VLOOKUP(K8,$I$1:$J$20,2,FALSE)),"",VLOOKUP(K8,$I$1:$J$20,2,FALSE))))</f>
        <v>Mining</v>
      </c>
      <c r="C10" s="67" t="s">
        <v>101</v>
      </c>
      <c r="D10" s="67" t="str">
        <f t="shared" si="0"/>
        <v>CE Cash Protection Systems</v>
      </c>
      <c r="E10" s="67" t="str">
        <f t="shared" si="2"/>
        <v>Cash Protection Systems</v>
      </c>
      <c r="F10" s="67" t="s">
        <v>59</v>
      </c>
      <c r="G10" s="67" t="str">
        <f t="shared" si="1"/>
        <v>CE Mobility</v>
      </c>
      <c r="H10" s="67" t="str">
        <f t="shared" si="3"/>
        <v>Mobility</v>
      </c>
      <c r="I10" s="67">
        <f t="shared" si="4"/>
        <v>0</v>
      </c>
      <c r="J10" s="67" t="str">
        <f>IF(ISERROR(HLOOKUP(Request!$K$38,DB!L10:$AE$106,$K$106-K9,FALSE)),"",HLOOKUP(Request!$K$38,DB!L10:$AE$106,$K$106-K9,FALSE))</f>
        <v/>
      </c>
      <c r="K10" s="67">
        <v>10</v>
      </c>
      <c r="S10" s="67" t="s">
        <v>691</v>
      </c>
      <c r="W10" s="67" t="str">
        <f>IF(Request!$B$38=DB!$W$1,"",C7)</f>
        <v>Buoys</v>
      </c>
      <c r="AA10" s="67" t="s">
        <v>61</v>
      </c>
      <c r="AF10" s="68" t="s">
        <v>202</v>
      </c>
      <c r="AJ10" s="67" t="s">
        <v>470</v>
      </c>
      <c r="AK10" s="67" t="s">
        <v>471</v>
      </c>
      <c r="AX10" s="67" t="s">
        <v>24</v>
      </c>
      <c r="AZ10" s="68"/>
      <c r="BB10" s="67" t="s">
        <v>546</v>
      </c>
      <c r="BC10" s="67" t="s">
        <v>548</v>
      </c>
      <c r="BE10" s="70"/>
      <c r="BF10" s="70"/>
      <c r="BG10" s="70">
        <v>6.5</v>
      </c>
      <c r="BH10" s="70">
        <v>2</v>
      </c>
      <c r="BL10" s="67" t="s">
        <v>24</v>
      </c>
      <c r="BM10" s="67" t="s">
        <v>551</v>
      </c>
      <c r="BO10" s="67" t="s">
        <v>649</v>
      </c>
      <c r="BT10" s="70"/>
      <c r="BX10" s="67" t="s">
        <v>1</v>
      </c>
      <c r="BY10" s="67" t="s">
        <v>24</v>
      </c>
      <c r="BZ10" s="67">
        <v>31536000</v>
      </c>
      <c r="CA10" s="67">
        <f>24*365</f>
        <v>8760</v>
      </c>
      <c r="CC10" s="67">
        <v>17</v>
      </c>
      <c r="CD10" s="67">
        <v>20</v>
      </c>
      <c r="CE10" s="67">
        <v>15</v>
      </c>
      <c r="CF10" s="67">
        <v>0</v>
      </c>
    </row>
    <row r="11" spans="1:88">
      <c r="A11" s="67" t="str">
        <f>IF(AND(Request!$K$38="",Request!$B$38=""),IF(DB!C10="","",DB!C10),IF(Request!$B$38="",IF(DB!C10="","",DB!C10),IF(ISERROR(HLOOKUP(Request!$B$38,$L$1:$AE$20,K10,FALSE)),"",IF(HLOOKUP(Request!$B$38,$L$1:$AE$105,K10,FALSE)="","",HLOOKUP(Request!$B$38,$L$1:$AE$105,K10,FALSE)))))</f>
        <v>Cash Protection Systems</v>
      </c>
      <c r="B11" s="67" t="str">
        <f>IF(AND(Request!$K$38="",Request!$B$38=""),IF(DB!F10="","",DB!F10),IF(OR(Request!$K$38=$F$20,Request!$K$38=""),IF(DB!F10="","",DB!F10),IF(ISERROR(VLOOKUP(K9,$I$1:$J$20,2,FALSE)),"",VLOOKUP(K9,$I$1:$J$20,2,FALSE))))</f>
        <v>Mobility</v>
      </c>
      <c r="C11" s="67" t="s">
        <v>116</v>
      </c>
      <c r="D11" s="67" t="str">
        <f t="shared" si="0"/>
        <v>CE CCTV Surveillance</v>
      </c>
      <c r="E11" s="67" t="str">
        <f t="shared" si="2"/>
        <v>CCTV Surveillance</v>
      </c>
      <c r="F11" s="67" t="s">
        <v>60</v>
      </c>
      <c r="G11" s="67" t="str">
        <f t="shared" si="1"/>
        <v>CE Oil &amp; Gas</v>
      </c>
      <c r="H11" s="67" t="str">
        <f t="shared" si="3"/>
        <v>Oil &amp; Gas</v>
      </c>
      <c r="I11" s="67">
        <f t="shared" si="4"/>
        <v>0</v>
      </c>
      <c r="J11" s="67" t="str">
        <f>IF(ISERROR(HLOOKUP(Request!$K$38,DB!L11:$AE$106,$K$106-K10,FALSE)),"",HLOOKUP(Request!$K$38,DB!L11:$AE$106,$K$106-K10,FALSE))</f>
        <v/>
      </c>
      <c r="K11" s="67">
        <v>11</v>
      </c>
      <c r="S11" s="67" t="s">
        <v>165</v>
      </c>
      <c r="W11" s="67" t="str">
        <f>IF(Request!$B$38=DB!$W$1,"",C8)</f>
        <v>Caddy</v>
      </c>
      <c r="AF11" s="68" t="s">
        <v>203</v>
      </c>
      <c r="AJ11" s="67" t="s">
        <v>472</v>
      </c>
      <c r="AK11" s="67" t="s">
        <v>473</v>
      </c>
      <c r="AZ11" s="68"/>
      <c r="BB11" s="67" t="s">
        <v>547</v>
      </c>
      <c r="BC11" s="67" t="s">
        <v>514</v>
      </c>
      <c r="BE11" s="70"/>
      <c r="BF11" s="70"/>
      <c r="BG11" s="70">
        <v>6.5</v>
      </c>
      <c r="BH11" s="70">
        <v>0.06</v>
      </c>
      <c r="BM11" s="67" t="s">
        <v>550</v>
      </c>
      <c r="BO11" s="67" t="s">
        <v>192</v>
      </c>
      <c r="CC11" s="67">
        <v>17</v>
      </c>
      <c r="CD11" s="67">
        <v>0</v>
      </c>
      <c r="CE11" s="67">
        <v>15</v>
      </c>
      <c r="CF11" s="67">
        <v>19.7</v>
      </c>
    </row>
    <row r="12" spans="1:88">
      <c r="A12" s="67" t="str">
        <f>IF(AND(Request!$K$38="",Request!$B$38=""),IF(DB!C11="","",DB!C11),IF(Request!$B$38="",IF(DB!C11="","",DB!C11),IF(ISERROR(HLOOKUP(Request!$B$38,$L$1:$AE$20,K11,FALSE)),"",IF(HLOOKUP(Request!$B$38,$L$1:$AE$105,K11,FALSE)="","",HLOOKUP(Request!$B$38,$L$1:$AE$105,K11,FALSE)))))</f>
        <v>CCTV Surveillance</v>
      </c>
      <c r="B12" s="67" t="str">
        <f>IF(AND(Request!$K$38="",Request!$B$38=""),IF(DB!F11="","",DB!F11),IF(OR(Request!$K$38=$F$20,Request!$K$38=""),IF(DB!F11="","",DB!F11),IF(ISERROR(VLOOKUP(K10,$I$1:$J$20,2,FALSE)),"",VLOOKUP(K10,$I$1:$J$20,2,FALSE))))</f>
        <v>Oil &amp; Gas</v>
      </c>
      <c r="C12" s="67" t="s">
        <v>76</v>
      </c>
      <c r="D12" s="67" t="str">
        <f t="shared" si="0"/>
        <v>CE Chemical Agent Detectors</v>
      </c>
      <c r="E12" s="67" t="str">
        <f t="shared" si="2"/>
        <v>Chemical Agent Detectors</v>
      </c>
      <c r="F12" s="67" t="s">
        <v>62</v>
      </c>
      <c r="G12" s="67" t="str">
        <f t="shared" si="1"/>
        <v>CE Professional Power Tools</v>
      </c>
      <c r="H12" s="67" t="str">
        <f t="shared" si="3"/>
        <v>Professional Power Tools</v>
      </c>
      <c r="I12" s="67">
        <f t="shared" si="4"/>
        <v>0</v>
      </c>
      <c r="J12" s="67" t="str">
        <f>IF(ISERROR(HLOOKUP(Request!$K$38,DB!L12:$AE$106,$K$106-K11,FALSE)),"",HLOOKUP(Request!$K$38,DB!L12:$AE$106,$K$106-K11,FALSE))</f>
        <v/>
      </c>
      <c r="K12" s="67">
        <v>12</v>
      </c>
      <c r="S12" s="67" t="s">
        <v>166</v>
      </c>
      <c r="W12" s="67" t="str">
        <f>IF(Request!$B$38=DB!$W$1,"",C9)</f>
        <v>Cargos</v>
      </c>
      <c r="AF12" s="68" t="s">
        <v>204</v>
      </c>
      <c r="AJ12" s="67" t="s">
        <v>474</v>
      </c>
      <c r="AK12" s="67" t="s">
        <v>475</v>
      </c>
      <c r="AZ12" s="68"/>
      <c r="BC12" s="67" t="s">
        <v>702</v>
      </c>
      <c r="BE12" s="70"/>
      <c r="BF12" s="70"/>
      <c r="BG12" s="70">
        <v>7</v>
      </c>
      <c r="BH12" s="70">
        <v>0.06</v>
      </c>
      <c r="BM12" s="67" t="s">
        <v>552</v>
      </c>
      <c r="BO12" s="67" t="s">
        <v>188</v>
      </c>
      <c r="CE12" s="67">
        <v>17</v>
      </c>
      <c r="CF12" s="67">
        <v>19.7</v>
      </c>
    </row>
    <row r="13" spans="1:88">
      <c r="A13" s="67" t="str">
        <f>IF(AND(Request!$K$38="",Request!$B$38=""),IF(DB!C12="","",DB!C12),IF(Request!$B$38="",IF(DB!C12="","",DB!C12),IF(ISERROR(HLOOKUP(Request!$B$38,$L$1:$AE$20,K12,FALSE)),"",IF(HLOOKUP(Request!$B$38,$L$1:$AE$105,K12,FALSE)="","",HLOOKUP(Request!$B$38,$L$1:$AE$105,K12,FALSE)))))</f>
        <v>Chemical Agent Detectors</v>
      </c>
      <c r="B13" s="67" t="str">
        <f>IF(AND(Request!$K$38="",Request!$B$38=""),IF(DB!F12="","",DB!F12),IF(OR(Request!$K$38=$F$20,Request!$K$38=""),IF(DB!F12="","",DB!F12),IF(ISERROR(VLOOKUP(K11,$I$1:$J$20,2,FALSE)),"",VLOOKUP(K11,$I$1:$J$20,2,FALSE))))</f>
        <v>Professional Power Tools</v>
      </c>
      <c r="C13" s="67" t="s">
        <v>86</v>
      </c>
      <c r="D13" s="67" t="str">
        <f t="shared" si="0"/>
        <v>CE Communication Modules</v>
      </c>
      <c r="E13" s="67" t="str">
        <f t="shared" si="2"/>
        <v>Communication Modules</v>
      </c>
      <c r="F13" s="67" t="s">
        <v>63</v>
      </c>
      <c r="G13" s="67" t="str">
        <f t="shared" si="1"/>
        <v>CE Search &amp; Rescue</v>
      </c>
      <c r="H13" s="67" t="str">
        <f t="shared" si="3"/>
        <v>Search &amp; Rescue</v>
      </c>
      <c r="I13" s="67">
        <f t="shared" si="4"/>
        <v>0</v>
      </c>
      <c r="J13" s="67" t="str">
        <f>IF(ISERROR(HLOOKUP(Request!$K$38,DB!L13:$AE$106,$K$106-K12,FALSE)),"",HLOOKUP(Request!$K$38,DB!L13:$AE$106,$K$106-K12,FALSE))</f>
        <v/>
      </c>
      <c r="K13" s="67">
        <v>13</v>
      </c>
      <c r="S13" s="67" t="s">
        <v>167</v>
      </c>
      <c r="W13" s="67" t="str">
        <f>IF(Request!$B$38=DB!$W$1,"",C10)</f>
        <v>Cash Protection Systems</v>
      </c>
      <c r="AF13" s="68" t="s">
        <v>205</v>
      </c>
      <c r="AJ13" s="67" t="s">
        <v>476</v>
      </c>
      <c r="AK13" s="67" t="s">
        <v>477</v>
      </c>
      <c r="AZ13" s="68"/>
      <c r="BC13" s="67" t="s">
        <v>523</v>
      </c>
      <c r="BE13" s="70"/>
      <c r="BF13" s="70"/>
      <c r="BG13" s="70">
        <v>7</v>
      </c>
      <c r="BH13" s="70">
        <v>2</v>
      </c>
      <c r="BM13" s="67" t="s">
        <v>553</v>
      </c>
    </row>
    <row r="14" spans="1:88">
      <c r="A14" s="67" t="str">
        <f>IF(AND(Request!$K$38="",Request!$B$38=""),IF(DB!C13="","",DB!C13),IF(Request!$B$38="",IF(DB!C13="","",DB!C13),IF(ISERROR(HLOOKUP(Request!$B$38,$L$1:$AE$20,K13,FALSE)),"",IF(HLOOKUP(Request!$B$38,$L$1:$AE$105,K13,FALSE)="","",HLOOKUP(Request!$B$38,$L$1:$AE$105,K13,FALSE)))))</f>
        <v>Communication Modules</v>
      </c>
      <c r="B14" s="67" t="str">
        <f>IF(AND(Request!$K$38="",Request!$B$38=""),IF(DB!F13="","",DB!F13),IF(OR(Request!$K$38=$F$20,Request!$K$38=""),IF(DB!F13="","",DB!F13),IF(ISERROR(VLOOKUP(K12,$I$1:$J$20,2,FALSE)),"",VLOOKUP(K12,$I$1:$J$20,2,FALSE))))</f>
        <v>Search &amp; Rescue</v>
      </c>
      <c r="C14" s="67" t="s">
        <v>80</v>
      </c>
      <c r="D14" s="67" t="str">
        <f t="shared" si="0"/>
        <v>CE Consumer Electronics</v>
      </c>
      <c r="E14" s="67" t="str">
        <f t="shared" si="2"/>
        <v>Consumer Electronics</v>
      </c>
      <c r="F14" s="67" t="s">
        <v>64</v>
      </c>
      <c r="G14" s="67" t="str">
        <f t="shared" si="1"/>
        <v>CE Security</v>
      </c>
      <c r="H14" s="67" t="str">
        <f t="shared" si="3"/>
        <v>Security</v>
      </c>
      <c r="I14" s="67">
        <f t="shared" si="4"/>
        <v>0</v>
      </c>
      <c r="J14" s="67" t="str">
        <f>IF(ISERROR(HLOOKUP(Request!$K$38,DB!L14:$AE$106,$K$106-K13,FALSE)),"",HLOOKUP(Request!$K$38,DB!L14:$AE$106,$K$106-K13,FALSE))</f>
        <v/>
      </c>
      <c r="K14" s="67">
        <v>14</v>
      </c>
      <c r="S14" s="67" t="s">
        <v>61</v>
      </c>
      <c r="W14" s="67" t="str">
        <f>IF(Request!$B$38=DB!$W$1,"",C11)</f>
        <v>CCTV Surveillance</v>
      </c>
      <c r="AF14" s="68" t="s">
        <v>206</v>
      </c>
      <c r="AJ14" s="67" t="s">
        <v>478</v>
      </c>
      <c r="AK14" s="67" t="s">
        <v>479</v>
      </c>
      <c r="AZ14" s="68"/>
      <c r="BC14" s="67" t="s">
        <v>515</v>
      </c>
      <c r="BE14" s="70"/>
      <c r="BF14" s="70"/>
      <c r="BG14" s="70">
        <v>7.5</v>
      </c>
      <c r="BH14" s="70">
        <v>2</v>
      </c>
      <c r="BM14" s="67" t="s">
        <v>554</v>
      </c>
    </row>
    <row r="15" spans="1:88">
      <c r="A15" s="67" t="str">
        <f>IF(AND(Request!$K$38="",Request!$B$38=""),IF(DB!C14="","",DB!C14),IF(Request!$B$38="",IF(DB!C14="","",DB!C14),IF(ISERROR(HLOOKUP(Request!$B$38,$L$1:$AE$20,K14,FALSE)),"",IF(HLOOKUP(Request!$B$38,$L$1:$AE$105,K14,FALSE)="","",HLOOKUP(Request!$B$38,$L$1:$AE$105,K14,FALSE)))))</f>
        <v>Consumer Electronics</v>
      </c>
      <c r="B15" s="67" t="str">
        <f>IF(AND(Request!$K$38="",Request!$B$38=""),IF(DB!F14="","",DB!F14),IF(OR(Request!$K$38=$F$20,Request!$K$38=""),IF(DB!F14="","",DB!F14),IF(ISERROR(VLOOKUP(K13,$I$1:$J$20,2,FALSE)),"",VLOOKUP(K13,$I$1:$J$20,2,FALSE))))</f>
        <v>Security</v>
      </c>
      <c r="C15" s="67" t="s">
        <v>69</v>
      </c>
      <c r="D15" s="67" t="str">
        <f t="shared" si="0"/>
        <v>CE Controllers</v>
      </c>
      <c r="E15" s="67" t="str">
        <f t="shared" si="2"/>
        <v>Controllers</v>
      </c>
      <c r="F15" s="67" t="s">
        <v>65</v>
      </c>
      <c r="G15" s="67" t="str">
        <f t="shared" si="1"/>
        <v>CE Space</v>
      </c>
      <c r="H15" s="67" t="str">
        <f t="shared" si="3"/>
        <v>Space</v>
      </c>
      <c r="I15" s="67">
        <f t="shared" si="4"/>
        <v>0</v>
      </c>
      <c r="J15" s="67" t="str">
        <f>IF(ISERROR(HLOOKUP(Request!$K$38,DB!L15:$AE$106,$K$106-K14,FALSE)),"",HLOOKUP(Request!$K$38,DB!L15:$AE$106,$K$106-K14,FALSE))</f>
        <v/>
      </c>
      <c r="K15" s="67">
        <v>15</v>
      </c>
      <c r="W15" s="67" t="str">
        <f>IF(Request!$B$38=DB!$W$1,"",C12)</f>
        <v>Chemical Agent Detectors</v>
      </c>
      <c r="AF15" s="68" t="s">
        <v>207</v>
      </c>
      <c r="AJ15" s="67" t="s">
        <v>480</v>
      </c>
      <c r="AK15" s="67" t="s">
        <v>481</v>
      </c>
      <c r="AZ15" s="68"/>
      <c r="BC15" s="67" t="s">
        <v>344</v>
      </c>
      <c r="BE15" s="70"/>
      <c r="BF15" s="70"/>
      <c r="BG15" s="70">
        <v>7.5</v>
      </c>
      <c r="BH15" s="70">
        <v>0.06</v>
      </c>
      <c r="BM15" s="67" t="s">
        <v>560</v>
      </c>
    </row>
    <row r="16" spans="1:88">
      <c r="A16" s="67" t="str">
        <f>IF(AND(Request!$K$38="",Request!$B$38=""),IF(DB!C15="","",DB!C15),IF(Request!$B$38="",IF(DB!C15="","",DB!C15),IF(ISERROR(HLOOKUP(Request!$B$38,$L$1:$AE$20,K15,FALSE)),"",IF(HLOOKUP(Request!$B$38,$L$1:$AE$105,K15,FALSE)="","",HLOOKUP(Request!$B$38,$L$1:$AE$105,K15,FALSE)))))</f>
        <v>Controllers</v>
      </c>
      <c r="B16" s="67" t="str">
        <f>IF(AND(Request!$K$38="",Request!$B$38=""),IF(DB!F15="","",DB!F15),IF(OR(Request!$K$38=$F$20,Request!$K$38=""),IF(DB!F15="","",DB!F15),IF(ISERROR(VLOOKUP(K14,$I$1:$J$20,2,FALSE)),"",VLOOKUP(K14,$I$1:$J$20,2,FALSE))))</f>
        <v>Space</v>
      </c>
      <c r="C16" s="67" t="s">
        <v>103</v>
      </c>
      <c r="D16" s="67" t="str">
        <f t="shared" si="0"/>
        <v>CE Data Concentrators / Gateways</v>
      </c>
      <c r="E16" s="67" t="str">
        <f t="shared" si="2"/>
        <v>Data Concentrators / Gateways</v>
      </c>
      <c r="F16" s="67" t="s">
        <v>66</v>
      </c>
      <c r="G16" s="67" t="str">
        <f t="shared" si="1"/>
        <v>CE Telecom</v>
      </c>
      <c r="H16" s="67" t="str">
        <f t="shared" si="3"/>
        <v>Telecom</v>
      </c>
      <c r="I16" s="67">
        <f t="shared" si="4"/>
        <v>0</v>
      </c>
      <c r="J16" s="67" t="str">
        <f>IF(ISERROR(HLOOKUP(Request!$K$38,DB!L16:$AE$106,$K$106-K15,FALSE)),"",HLOOKUP(Request!$K$38,DB!L16:$AE$106,$K$106-K15,FALSE))</f>
        <v/>
      </c>
      <c r="K16" s="67">
        <v>16</v>
      </c>
      <c r="W16" s="67" t="str">
        <f>IF(Request!$B$38=DB!$W$1,"",C13)</f>
        <v>Communication Modules</v>
      </c>
      <c r="AF16" s="68" t="s">
        <v>208</v>
      </c>
      <c r="AJ16" s="67" t="s">
        <v>482</v>
      </c>
      <c r="AK16" s="67" t="s">
        <v>483</v>
      </c>
      <c r="AZ16" s="68"/>
      <c r="BC16" s="67" t="s">
        <v>516</v>
      </c>
      <c r="BE16" s="70"/>
      <c r="BF16" s="70"/>
      <c r="BG16" s="70">
        <v>8</v>
      </c>
      <c r="BH16" s="70">
        <v>0.06</v>
      </c>
      <c r="CC16" s="67">
        <v>0</v>
      </c>
      <c r="CD16" s="67">
        <v>0</v>
      </c>
      <c r="CE16" s="67">
        <v>17</v>
      </c>
      <c r="CF16" s="67">
        <v>20</v>
      </c>
    </row>
    <row r="17" spans="1:84">
      <c r="A17" s="67" t="str">
        <f>IF(AND(Request!$K$38="",Request!$B$38=""),IF(DB!C16="","",DB!C16),IF(Request!$B$38="",IF(DB!C16="","",DB!C16),IF(ISERROR(HLOOKUP(Request!$B$38,$L$1:$AE$20,K16,FALSE)),"",IF(HLOOKUP(Request!$B$38,$L$1:$AE$105,K16,FALSE)="","",HLOOKUP(Request!$B$38,$L$1:$AE$105,K16,FALSE)))))</f>
        <v>Data Concentrators / Gateways</v>
      </c>
      <c r="B17" s="67" t="str">
        <f>IF(AND(Request!$K$38="",Request!$B$38=""),IF(DB!F16="","",DB!F16),IF(OR(Request!$K$38=$F$20,Request!$K$38=""),IF(DB!F16="","",DB!F16),IF(ISERROR(VLOOKUP(K15,$I$1:$J$20,2,FALSE)),"",VLOOKUP(K15,$I$1:$J$20,2,FALSE))))</f>
        <v>Telecom</v>
      </c>
      <c r="C17" s="67" t="s">
        <v>79</v>
      </c>
      <c r="D17" s="67" t="str">
        <f t="shared" si="0"/>
        <v>CE Digital Oilfield Applications</v>
      </c>
      <c r="E17" s="67" t="str">
        <f t="shared" si="2"/>
        <v>Digital Oilfield Applications</v>
      </c>
      <c r="F17" s="67" t="s">
        <v>67</v>
      </c>
      <c r="G17" s="67" t="str">
        <f t="shared" si="1"/>
        <v>CE Tracking</v>
      </c>
      <c r="H17" s="67" t="str">
        <f t="shared" si="3"/>
        <v>Tracking</v>
      </c>
      <c r="I17" s="67">
        <f t="shared" si="4"/>
        <v>0</v>
      </c>
      <c r="J17" s="67" t="str">
        <f>IF(ISERROR(HLOOKUP(Request!$K$38,DB!L17:$AE$106,$K$106-K16,FALSE)),"",HLOOKUP(Request!$K$38,DB!L17:$AE$106,$K$106-K16,FALSE))</f>
        <v/>
      </c>
      <c r="K17" s="67">
        <v>17</v>
      </c>
      <c r="W17" s="67" t="str">
        <f>IF(Request!$B$38=DB!$W$1,"",C15)</f>
        <v>Controllers</v>
      </c>
      <c r="AF17" s="68" t="s">
        <v>209</v>
      </c>
      <c r="AJ17" s="67" t="s">
        <v>484</v>
      </c>
      <c r="AK17" s="67" t="s">
        <v>485</v>
      </c>
      <c r="AZ17" s="68"/>
      <c r="BC17" s="67" t="s">
        <v>524</v>
      </c>
      <c r="BE17" s="70"/>
      <c r="BF17" s="70"/>
      <c r="BG17" s="70">
        <v>8</v>
      </c>
      <c r="BH17" s="70">
        <v>2</v>
      </c>
      <c r="CC17" s="67">
        <v>1</v>
      </c>
      <c r="CD17" s="67">
        <v>0</v>
      </c>
      <c r="CE17" s="67">
        <v>17</v>
      </c>
      <c r="CF17" s="67">
        <v>24</v>
      </c>
    </row>
    <row r="18" spans="1:84">
      <c r="A18" s="67" t="str">
        <f>IF(AND(Request!$K$38="",Request!$B$38=""),IF(DB!C17="","",DB!C17),IF(Request!$B$38="",IF(DB!C17="","",DB!C17),IF(ISERROR(HLOOKUP(Request!$B$38,$L$1:$AE$20,K17,FALSE)),"",IF(HLOOKUP(Request!$B$38,$L$1:$AE$105,K17,FALSE)="","",HLOOKUP(Request!$B$38,$L$1:$AE$105,K17,FALSE)))))</f>
        <v>Digital Oilfield Applications</v>
      </c>
      <c r="B18" s="67" t="str">
        <f>IF(AND(Request!$K$38="",Request!$B$38=""),IF(DB!F17="","",DB!F17),IF(OR(Request!$K$38=$F$20,Request!$K$38=""),IF(DB!F17="","",DB!F17),IF(ISERROR(VLOOKUP(K16,$I$1:$J$20,2,FALSE)),"",VLOOKUP(K16,$I$1:$J$20,2,FALSE))))</f>
        <v>Tracking</v>
      </c>
      <c r="C18" s="67" t="s">
        <v>97</v>
      </c>
      <c r="D18" s="67" t="str">
        <f t="shared" si="0"/>
        <v>CE Downhole / Well Instrumentation</v>
      </c>
      <c r="E18" s="67" t="str">
        <f t="shared" si="2"/>
        <v>Downhole / Well Instrumentation</v>
      </c>
      <c r="F18" s="67" t="s">
        <v>68</v>
      </c>
      <c r="G18" s="67" t="str">
        <f t="shared" si="1"/>
        <v>CE Urban Infrastructures</v>
      </c>
      <c r="H18" s="67" t="str">
        <f t="shared" si="3"/>
        <v>Urban Infrastructures</v>
      </c>
      <c r="I18" s="67">
        <f t="shared" si="4"/>
        <v>0</v>
      </c>
      <c r="J18" s="67" t="str">
        <f>IF(ISERROR(HLOOKUP(Request!$K$38,DB!L18:$AE$106,$K$106-K17,FALSE)),"",HLOOKUP(Request!$K$38,DB!L18:$AE$106,$K$106-K17,FALSE))</f>
        <v/>
      </c>
      <c r="K18" s="67">
        <v>18</v>
      </c>
      <c r="W18" s="67" t="str">
        <f>IF(Request!$B$38=DB!$W$1,"",C16)</f>
        <v>Data Concentrators / Gateways</v>
      </c>
      <c r="AF18" s="68" t="s">
        <v>210</v>
      </c>
      <c r="AJ18" s="67" t="s">
        <v>486</v>
      </c>
      <c r="AK18" s="67" t="s">
        <v>487</v>
      </c>
      <c r="AZ18" s="68"/>
      <c r="BC18" s="67" t="s">
        <v>521</v>
      </c>
      <c r="BE18" s="70"/>
      <c r="BF18" s="70"/>
      <c r="BG18" s="70">
        <v>8.5</v>
      </c>
      <c r="BH18" s="70">
        <v>2</v>
      </c>
    </row>
    <row r="19" spans="1:84">
      <c r="A19" s="67" t="str">
        <f>IF(AND(Request!$K$38="",Request!$B$38=""),IF(DB!C18="","",DB!C18),IF(Request!$B$38="",IF(DB!C18="","",DB!C18),IF(ISERROR(HLOOKUP(Request!$B$38,$L$1:$AE$20,K18,FALSE)),"",IF(HLOOKUP(Request!$B$38,$L$1:$AE$105,K18,FALSE)="","",HLOOKUP(Request!$B$38,$L$1:$AE$105,K18,FALSE)))))</f>
        <v>Downhole / Well Instrumentation</v>
      </c>
      <c r="B19" s="67" t="str">
        <f>IF(AND(Request!$K$38="",Request!$B$38=""),IF(DB!F18="","",DB!F18),IF(OR(Request!$K$38=$F$20,Request!$K$38=""),IF(DB!F18="","",DB!F18),IF(ISERROR(VLOOKUP(K17,$I$1:$J$20,2,FALSE)),"",VLOOKUP(K17,$I$1:$J$20,2,FALSE))))</f>
        <v>Urban Infrastructures</v>
      </c>
      <c r="C19" s="67" t="s">
        <v>93</v>
      </c>
      <c r="D19" s="67" t="str">
        <f t="shared" si="0"/>
        <v>CE E Health Devices</v>
      </c>
      <c r="E19" s="67" t="str">
        <f t="shared" si="2"/>
        <v>E Health Devices</v>
      </c>
      <c r="F19" s="67" t="s">
        <v>56</v>
      </c>
      <c r="G19" s="67" t="str">
        <f t="shared" si="1"/>
        <v>CE Utility Metering</v>
      </c>
      <c r="H19" s="67" t="str">
        <f t="shared" si="3"/>
        <v>Utility Metering</v>
      </c>
      <c r="I19" s="67">
        <f t="shared" si="4"/>
        <v>0</v>
      </c>
      <c r="J19" s="67" t="str">
        <f>IF(ISERROR(HLOOKUP(Request!$K$38,DB!L19:$AE$106,$K$106-K18,FALSE)),"",HLOOKUP(Request!$K$38,DB!L19:$AE$106,$K$106-K18,FALSE))</f>
        <v/>
      </c>
      <c r="K19" s="67">
        <v>19</v>
      </c>
      <c r="W19" s="67" t="str">
        <f>IF(Request!$B$38=DB!$W$1,"",C17)</f>
        <v>Digital Oilfield Applications</v>
      </c>
      <c r="AF19" s="68" t="s">
        <v>211</v>
      </c>
      <c r="AJ19" s="67" t="s">
        <v>488</v>
      </c>
      <c r="AK19" s="67" t="s">
        <v>489</v>
      </c>
      <c r="AZ19" s="68"/>
      <c r="BC19" s="67" t="s">
        <v>518</v>
      </c>
      <c r="BE19" s="70"/>
      <c r="BF19" s="70"/>
      <c r="BG19" s="70">
        <v>8.5</v>
      </c>
      <c r="BH19" s="70">
        <v>0.06</v>
      </c>
      <c r="CC19" s="67">
        <v>0</v>
      </c>
      <c r="CD19" s="67">
        <v>5</v>
      </c>
      <c r="CE19" s="67">
        <v>4</v>
      </c>
      <c r="CF19" s="67">
        <v>5</v>
      </c>
    </row>
    <row r="20" spans="1:84">
      <c r="A20" s="67" t="str">
        <f>IF(AND(Request!$K$38="",Request!$B$38=""),IF(DB!C19="","",DB!C19),IF(Request!$B$38="",IF(DB!C19="","",DB!C19),IF(ISERROR(HLOOKUP(Request!$B$38,$L$1:$AE$20,K19,FALSE)),"",IF(HLOOKUP(Request!$B$38,$L$1:$AE$105,K19,FALSE)="","",HLOOKUP(Request!$B$38,$L$1:$AE$105,K19,FALSE)))))</f>
        <v>E Health Devices</v>
      </c>
      <c r="B20" s="67" t="str">
        <f>IF(AND(Request!$K$38="",Request!$B$38=""),IF(DB!F19="","",DB!F19),IF(OR(Request!$K$38=$F$20,Request!$K$38=""),IF(DB!F19="","",DB!F19),IF(ISERROR(VLOOKUP(K18,$I$1:$J$20,2,FALSE)),"",VLOOKUP(K18,$I$1:$J$20,2,FALSE))))</f>
        <v>Utility Metering</v>
      </c>
      <c r="C20" s="67" t="s">
        <v>96</v>
      </c>
      <c r="D20" s="67" t="str">
        <f t="shared" si="0"/>
        <v>CE E-Bike</v>
      </c>
      <c r="E20" s="67" t="str">
        <f t="shared" si="2"/>
        <v>E-Bike</v>
      </c>
      <c r="F20" s="67" t="s">
        <v>61</v>
      </c>
      <c r="G20" s="67" t="str">
        <f t="shared" si="1"/>
        <v>CE Other</v>
      </c>
      <c r="H20" s="67" t="str">
        <f t="shared" si="3"/>
        <v>Other</v>
      </c>
      <c r="I20" s="67">
        <f t="shared" si="4"/>
        <v>0</v>
      </c>
      <c r="J20" s="67" t="str">
        <f>IF(ISERROR(HLOOKUP(Request!$K$38,DB!L20:$AE$106,$K$106-K19,FALSE)),"",HLOOKUP(Request!$K$38,DB!L20:$AE$106,$K$106-K19,FALSE))</f>
        <v/>
      </c>
      <c r="K20" s="67">
        <v>20</v>
      </c>
      <c r="W20" s="67" t="str">
        <f>IF(Request!$B$38=DB!$W$1,"",C18)</f>
        <v>Downhole / Well Instrumentation</v>
      </c>
      <c r="AF20" s="68" t="s">
        <v>212</v>
      </c>
      <c r="AJ20" s="67" t="s">
        <v>490</v>
      </c>
      <c r="AK20" s="67" t="s">
        <v>491</v>
      </c>
      <c r="AZ20" s="68"/>
      <c r="BC20" s="67" t="s">
        <v>519</v>
      </c>
      <c r="BE20" s="70"/>
      <c r="BF20" s="70"/>
      <c r="BG20" s="70">
        <v>15</v>
      </c>
      <c r="BH20" s="70">
        <v>0.06</v>
      </c>
      <c r="CC20" s="67">
        <v>4</v>
      </c>
      <c r="CD20" s="67">
        <v>5</v>
      </c>
      <c r="CE20" s="67">
        <v>4</v>
      </c>
      <c r="CF20" s="67">
        <v>24</v>
      </c>
    </row>
    <row r="21" spans="1:84">
      <c r="A21" s="67" t="str">
        <f>IF(AND(Request!$K$38="",Request!$B$38=""),IF(DB!C20="","",DB!C20),IF(Request!$B$38="",IF(DB!C20="","",DB!C20),IF(ISERROR(HLOOKUP(Request!$B$38,$L$1:$AE$20,K20,FALSE)),"",IF(HLOOKUP(Request!$B$38,$L$1:$AE$105,K20,FALSE)="","",HLOOKUP(Request!$B$38,$L$1:$AE$105,K20,FALSE)))))</f>
        <v>E-Bike</v>
      </c>
      <c r="B21" s="67" t="str">
        <f>IF(AND(Request!$K$38="",Request!$B$38=""),IF(DB!F20="","",DB!F20),IF(OR(Request!$K$38=$F$20,Request!$K$38=""),IF(DB!F20="","",DB!F20),IF(ISERROR(VLOOKUP(K19,$I$1:$J$20,2,FALSE)),"",VLOOKUP(K19,$I$1:$J$20,2,FALSE))))</f>
        <v>Other</v>
      </c>
      <c r="C21" s="67" t="s">
        <v>70</v>
      </c>
      <c r="D21" s="67" t="str">
        <f t="shared" si="0"/>
        <v>CE E-Call</v>
      </c>
      <c r="E21" s="67" t="str">
        <f t="shared" si="2"/>
        <v>E-Call</v>
      </c>
      <c r="K21" s="67">
        <v>21</v>
      </c>
      <c r="W21" s="67" t="str">
        <f>IF(Request!$B$38=DB!$W$1,"",C19)</f>
        <v>E Health Devices</v>
      </c>
      <c r="AF21" s="68" t="s">
        <v>213</v>
      </c>
      <c r="AJ21" s="67" t="s">
        <v>492</v>
      </c>
      <c r="AK21" s="67" t="s">
        <v>493</v>
      </c>
      <c r="AZ21" s="68"/>
      <c r="BC21" s="67" t="s">
        <v>532</v>
      </c>
      <c r="BE21" s="70"/>
      <c r="BF21" s="70"/>
      <c r="BG21" s="70">
        <v>15</v>
      </c>
      <c r="BH21" s="70">
        <v>2</v>
      </c>
    </row>
    <row r="22" spans="1:84">
      <c r="A22" s="67" t="str">
        <f>IF(AND(Request!$K$38="",Request!$B$38=""),IF(DB!C21="","",DB!C21),IF(Request!$B$38="",IF(DB!C21="","",DB!C21),IF(ISERROR(HLOOKUP(Request!$B$38,$L$1:$AE$20,K21,FALSE)),"",IF(HLOOKUP(Request!$B$38,$L$1:$AE$105,K21,FALSE)="","",HLOOKUP(Request!$B$38,$L$1:$AE$105,K21,FALSE)))))</f>
        <v>E-Call</v>
      </c>
      <c r="C22" s="67" t="s">
        <v>119</v>
      </c>
      <c r="D22" s="67" t="str">
        <f t="shared" si="0"/>
        <v>CE Electricity Meters</v>
      </c>
      <c r="E22" s="67" t="str">
        <f t="shared" si="2"/>
        <v>Electricity Meters</v>
      </c>
      <c r="K22" s="67">
        <v>22</v>
      </c>
      <c r="W22" s="67" t="str">
        <f>IF(Request!$B$38=DB!$W$1,"",C20)</f>
        <v>E-Bike</v>
      </c>
      <c r="AF22" s="68" t="s">
        <v>214</v>
      </c>
      <c r="AZ22" s="68"/>
      <c r="BC22" s="67" t="s">
        <v>527</v>
      </c>
      <c r="BE22" s="70"/>
      <c r="BF22" s="70"/>
      <c r="BG22" s="70">
        <v>15.5</v>
      </c>
      <c r="BH22" s="70">
        <v>2</v>
      </c>
      <c r="CC22" s="67">
        <v>0</v>
      </c>
      <c r="CD22" s="67">
        <v>20</v>
      </c>
      <c r="CE22" s="67">
        <v>1</v>
      </c>
      <c r="CF22" s="67">
        <v>0</v>
      </c>
    </row>
    <row r="23" spans="1:84">
      <c r="A23" s="67" t="str">
        <f>IF(AND(Request!$K$38="",Request!$B$38=""),IF(DB!C22="","",DB!C22),IF(Request!$B$38="",IF(DB!C22="","",DB!C22),IF(ISERROR(HLOOKUP(Request!$B$38,$L$1:$AE$20,K22,FALSE)),"",IF(HLOOKUP(Request!$B$38,$L$1:$AE$105,K22,FALSE)="","",HLOOKUP(Request!$B$38,$L$1:$AE$105,K22,FALSE)))))</f>
        <v>Electricity Meters</v>
      </c>
      <c r="C23" s="67" t="s">
        <v>129</v>
      </c>
      <c r="D23" s="67" t="str">
        <f t="shared" si="0"/>
        <v>CE Electronic Safes</v>
      </c>
      <c r="E23" s="67" t="str">
        <f t="shared" si="2"/>
        <v>Electronic Safes</v>
      </c>
      <c r="K23" s="67">
        <v>23</v>
      </c>
      <c r="W23" s="67" t="str">
        <f>IF(Request!$B$38=DB!$W$1,"",C21)</f>
        <v>E-Call</v>
      </c>
      <c r="AF23" s="68" t="s">
        <v>215</v>
      </c>
      <c r="AZ23" s="68"/>
      <c r="BC23" s="67" t="s">
        <v>529</v>
      </c>
      <c r="BE23" s="70"/>
      <c r="BF23" s="70"/>
      <c r="BG23" s="70">
        <v>15.5</v>
      </c>
      <c r="BH23" s="70">
        <v>0.06</v>
      </c>
      <c r="CC23" s="67">
        <v>7</v>
      </c>
      <c r="CD23" s="67">
        <v>20</v>
      </c>
      <c r="CE23" s="67">
        <v>1</v>
      </c>
      <c r="CF23" s="67">
        <v>2</v>
      </c>
    </row>
    <row r="24" spans="1:84">
      <c r="A24" s="67" t="str">
        <f>IF(AND(Request!$K$38="",Request!$B$38=""),IF(DB!C23="","",DB!C23),IF(Request!$B$38="",IF(DB!C23="","",DB!C23),IF(ISERROR(HLOOKUP(Request!$B$38,$L$1:$AE$20,K23,FALSE)),"",IF(HLOOKUP(Request!$B$38,$L$1:$AE$105,K23,FALSE)="","",HLOOKUP(Request!$B$38,$L$1:$AE$105,K23,FALSE)))))</f>
        <v>Electronic Safes</v>
      </c>
      <c r="C24" s="67" t="s">
        <v>100</v>
      </c>
      <c r="D24" s="67" t="str">
        <f t="shared" si="0"/>
        <v>CE ELTs</v>
      </c>
      <c r="E24" s="67" t="str">
        <f t="shared" si="2"/>
        <v>ELTs</v>
      </c>
      <c r="K24" s="67">
        <v>24</v>
      </c>
      <c r="W24" s="67" t="str">
        <f>IF(Request!$B$38=DB!$W$1,"",C22)</f>
        <v>Electricity Meters</v>
      </c>
      <c r="AF24" s="68" t="s">
        <v>216</v>
      </c>
      <c r="AZ24" s="68"/>
      <c r="BC24" s="67" t="s">
        <v>401</v>
      </c>
      <c r="BE24" s="70"/>
      <c r="BF24" s="70"/>
      <c r="BG24" s="70">
        <v>16</v>
      </c>
      <c r="BH24" s="70">
        <v>0.06</v>
      </c>
    </row>
    <row r="25" spans="1:84">
      <c r="A25" s="67" t="str">
        <f>IF(AND(Request!$K$38="",Request!$B$38=""),IF(DB!C24="","",DB!C24),IF(Request!$B$38="",IF(DB!C24="","",DB!C24),IF(ISERROR(HLOOKUP(Request!$B$38,$L$1:$AE$20,K24,FALSE)),"",IF(HLOOKUP(Request!$B$38,$L$1:$AE$105,K24,FALSE)="","",HLOOKUP(Request!$B$38,$L$1:$AE$105,K24,FALSE)))))</f>
        <v>ELTs</v>
      </c>
      <c r="C25" s="67" t="s">
        <v>74</v>
      </c>
      <c r="D25" s="67" t="str">
        <f t="shared" si="0"/>
        <v>CE Emergency Lighting Unit</v>
      </c>
      <c r="E25" s="67" t="str">
        <f t="shared" si="2"/>
        <v>Emergency Lighting Unit</v>
      </c>
      <c r="F25" s="71"/>
      <c r="K25" s="67">
        <v>25</v>
      </c>
      <c r="W25" s="67" t="str">
        <f>IF(Request!$B$38=DB!$W$1,"",C23)</f>
        <v>Electronic Safes</v>
      </c>
      <c r="AF25" s="68" t="s">
        <v>217</v>
      </c>
      <c r="AZ25" s="68"/>
      <c r="BC25" s="67" t="s">
        <v>528</v>
      </c>
      <c r="BE25" s="70"/>
      <c r="BF25" s="70"/>
      <c r="BG25" s="70">
        <v>16</v>
      </c>
      <c r="BH25" s="70">
        <v>2</v>
      </c>
      <c r="CE25" s="67">
        <v>7</v>
      </c>
      <c r="CF25" s="67">
        <v>0</v>
      </c>
    </row>
    <row r="26" spans="1:84">
      <c r="A26" s="67" t="str">
        <f>IF(AND(Request!$K$38="",Request!$B$38=""),IF(DB!C25="","",DB!C25),IF(Request!$B$38="",IF(DB!C25="","",DB!C25),IF(ISERROR(HLOOKUP(Request!$B$38,$L$1:$AE$20,K25,FALSE)),"",IF(HLOOKUP(Request!$B$38,$L$1:$AE$105,K25,FALSE)="","",HLOOKUP(Request!$B$38,$L$1:$AE$105,K25,FALSE)))))</f>
        <v>Emergency Lighting Unit</v>
      </c>
      <c r="C26" s="67" t="s">
        <v>73</v>
      </c>
      <c r="D26" s="67" t="str">
        <f t="shared" si="0"/>
        <v>CE Environment Monitoring Application</v>
      </c>
      <c r="E26" s="67" t="str">
        <f t="shared" si="2"/>
        <v>Environment Monitoring Application</v>
      </c>
      <c r="F26" s="71"/>
      <c r="K26" s="67">
        <v>26</v>
      </c>
      <c r="W26" s="67" t="str">
        <f>IF(Request!$B$38=DB!$W$1,"",C24)</f>
        <v>ELTs</v>
      </c>
      <c r="AF26" s="68" t="s">
        <v>218</v>
      </c>
      <c r="AZ26" s="68"/>
      <c r="BC26" s="67" t="s">
        <v>531</v>
      </c>
      <c r="BE26" s="70"/>
      <c r="BF26" s="70"/>
      <c r="BG26" s="70">
        <v>16.5</v>
      </c>
      <c r="BH26" s="70">
        <v>2</v>
      </c>
      <c r="CE26" s="67">
        <v>7</v>
      </c>
      <c r="CF26" s="67">
        <v>22</v>
      </c>
    </row>
    <row r="27" spans="1:84">
      <c r="A27" s="67" t="str">
        <f>IF(AND(Request!$K$38="",Request!$B$38=""),IF(DB!C26="","",DB!C26),IF(Request!$B$38="",IF(DB!C26="","",DB!C26),IF(ISERROR(HLOOKUP(Request!$B$38,$L$1:$AE$20,K26,FALSE)),"",IF(HLOOKUP(Request!$B$38,$L$1:$AE$105,K26,FALSE)="","",HLOOKUP(Request!$B$38,$L$1:$AE$105,K26,FALSE)))))</f>
        <v>Environment Monitoring Application</v>
      </c>
      <c r="C27" s="67" t="s">
        <v>115</v>
      </c>
      <c r="D27" s="67" t="str">
        <f t="shared" si="0"/>
        <v>CE EPIRBS</v>
      </c>
      <c r="E27" s="67" t="str">
        <f t="shared" si="2"/>
        <v>EPIRBS</v>
      </c>
      <c r="F27" s="71"/>
      <c r="K27" s="67">
        <v>27</v>
      </c>
      <c r="W27" s="67" t="str">
        <f>IF(Request!$B$38=DB!$W$1,"",C25)</f>
        <v>Emergency Lighting Unit</v>
      </c>
      <c r="AF27" s="68" t="s">
        <v>219</v>
      </c>
      <c r="AZ27" s="68"/>
      <c r="BE27" s="70"/>
      <c r="BF27" s="70"/>
      <c r="BG27" s="70">
        <v>16.5</v>
      </c>
      <c r="BH27" s="70">
        <v>0.06</v>
      </c>
    </row>
    <row r="28" spans="1:84">
      <c r="A28" s="67" t="str">
        <f>IF(AND(Request!$K$38="",Request!$B$38=""),IF(DB!C27="","",DB!C27),IF(Request!$B$38="",IF(DB!C27="","",DB!C27),IF(ISERROR(HLOOKUP(Request!$B$38,$L$1:$AE$20,K27,FALSE)),"",IF(HLOOKUP(Request!$B$38,$L$1:$AE$105,K27,FALSE)="","",HLOOKUP(Request!$B$38,$L$1:$AE$105,K27,FALSE)))))</f>
        <v>EPIRBS</v>
      </c>
      <c r="C28" s="67" t="s">
        <v>118</v>
      </c>
      <c r="D28" s="67" t="str">
        <f t="shared" si="0"/>
        <v>CE ETC (Electronic Tollgate Collector)</v>
      </c>
      <c r="E28" s="67" t="str">
        <f t="shared" si="2"/>
        <v>ETC (Electronic Tollgate Collector)</v>
      </c>
      <c r="F28" s="71"/>
      <c r="K28" s="67">
        <v>28</v>
      </c>
      <c r="W28" s="67" t="str">
        <f>IF(Request!$B$38=DB!$W$1,"",C26)</f>
        <v>Environment Monitoring Application</v>
      </c>
      <c r="AF28" s="68" t="s">
        <v>220</v>
      </c>
      <c r="AZ28" s="68"/>
      <c r="BE28" s="70"/>
      <c r="BF28" s="70"/>
      <c r="BG28" s="70">
        <v>17</v>
      </c>
      <c r="BH28" s="70">
        <v>0.06</v>
      </c>
    </row>
    <row r="29" spans="1:84">
      <c r="A29" s="67" t="str">
        <f>IF(AND(Request!$K$38="",Request!$B$38=""),IF(DB!C28="","",DB!C28),IF(Request!$B$38="",IF(DB!C28="","",DB!C28),IF(ISERROR(HLOOKUP(Request!$B$38,$L$1:$AE$20,K28,FALSE)),"",IF(HLOOKUP(Request!$B$38,$L$1:$AE$105,K28,FALSE)="","",HLOOKUP(Request!$B$38,$L$1:$AE$105,K28,FALSE)))))</f>
        <v>ETC (Electronic Tollgate Collector)</v>
      </c>
      <c r="C29" s="67" t="s">
        <v>128</v>
      </c>
      <c r="D29" s="67" t="str">
        <f t="shared" si="0"/>
        <v>CE Firemen Equipment</v>
      </c>
      <c r="E29" s="67" t="str">
        <f t="shared" si="2"/>
        <v>Firemen Equipment</v>
      </c>
      <c r="K29" s="67">
        <v>29</v>
      </c>
      <c r="W29" s="67" t="str">
        <f>IF(Request!$B$38=DB!$W$1,"",C27)</f>
        <v>EPIRBS</v>
      </c>
      <c r="AF29" s="68" t="s">
        <v>221</v>
      </c>
      <c r="AZ29" s="68"/>
      <c r="BE29" s="70"/>
      <c r="BF29" s="70"/>
      <c r="BG29" s="70">
        <v>17</v>
      </c>
      <c r="BH29" s="70">
        <v>1E-3</v>
      </c>
    </row>
    <row r="30" spans="1:84">
      <c r="A30" s="67" t="str">
        <f>IF(AND(Request!$K$38="",Request!$B$38=""),IF(DB!C29="","",DB!C29),IF(Request!$B$38="",IF(DB!C29="","",DB!C29),IF(ISERROR(HLOOKUP(Request!$B$38,$L$1:$AE$20,K29,FALSE)),"",IF(HLOOKUP(Request!$B$38,$L$1:$AE$105,K29,FALSE)="","",HLOOKUP(Request!$B$38,$L$1:$AE$105,K29,FALSE)))))</f>
        <v>Firemen Equipment</v>
      </c>
      <c r="C30" s="67" t="s">
        <v>112</v>
      </c>
      <c r="D30" s="67" t="str">
        <f t="shared" si="0"/>
        <v>CE Forklifts</v>
      </c>
      <c r="E30" s="67" t="str">
        <f t="shared" si="2"/>
        <v>Forklifts</v>
      </c>
      <c r="K30" s="67">
        <v>30</v>
      </c>
      <c r="W30" s="67" t="str">
        <f>IF(Request!$B$38=DB!$W$1,"",C28)</f>
        <v>ETC (Electronic Tollgate Collector)</v>
      </c>
      <c r="AF30" s="68" t="s">
        <v>222</v>
      </c>
      <c r="AZ30" s="68"/>
      <c r="BE30" s="70"/>
      <c r="BF30" s="70"/>
      <c r="BG30" s="70">
        <v>20</v>
      </c>
      <c r="BH30" s="70">
        <v>1E-3</v>
      </c>
    </row>
    <row r="31" spans="1:84">
      <c r="A31" s="67" t="str">
        <f>IF(AND(Request!$K$38="",Request!$B$38=""),IF(DB!C30="","",DB!C30),IF(Request!$B$38="",IF(DB!C30="","",DB!C30),IF(ISERROR(HLOOKUP(Request!$B$38,$L$1:$AE$20,K30,FALSE)),"",IF(HLOOKUP(Request!$B$38,$L$1:$AE$105,K30,FALSE)="","",HLOOKUP(Request!$B$38,$L$1:$AE$105,K30,FALSE)))))</f>
        <v>Forklifts</v>
      </c>
      <c r="C31" s="67" t="s">
        <v>94</v>
      </c>
      <c r="D31" s="67" t="str">
        <f t="shared" si="0"/>
        <v>CE Future Soldier Combat Systems</v>
      </c>
      <c r="E31" s="67" t="str">
        <f t="shared" si="2"/>
        <v>Future Soldier Combat Systems</v>
      </c>
      <c r="K31" s="67">
        <v>31</v>
      </c>
      <c r="W31" s="67" t="str">
        <f>IF(Request!$B$38=DB!$W$1,"",C29)</f>
        <v>Firemen Equipment</v>
      </c>
      <c r="AF31" s="68" t="s">
        <v>223</v>
      </c>
      <c r="AZ31" s="68"/>
    </row>
    <row r="32" spans="1:84">
      <c r="A32" s="67" t="str">
        <f>IF(AND(Request!$K$38="",Request!$B$38=""),IF(DB!C31="","",DB!C31),IF(Request!$B$38="",IF(DB!C31="","",DB!C31),IF(ISERROR(HLOOKUP(Request!$B$38,$L$1:$AE$20,K31,FALSE)),"",IF(HLOOKUP(Request!$B$38,$L$1:$AE$105,K31,FALSE)="","",HLOOKUP(Request!$B$38,$L$1:$AE$105,K31,FALSE)))))</f>
        <v>Future Soldier Combat Systems</v>
      </c>
      <c r="C32" s="67" t="s">
        <v>130</v>
      </c>
      <c r="D32" s="67" t="str">
        <f t="shared" si="0"/>
        <v>CE Gas Meters</v>
      </c>
      <c r="E32" s="67" t="str">
        <f t="shared" si="2"/>
        <v>Gas Meters</v>
      </c>
      <c r="K32" s="67">
        <v>32</v>
      </c>
      <c r="W32" s="67" t="str">
        <f>IF(Request!$B$38=DB!$W$1,"",C30)</f>
        <v>Forklifts</v>
      </c>
      <c r="AF32" s="68" t="s">
        <v>224</v>
      </c>
      <c r="AZ32" s="68"/>
    </row>
    <row r="33" spans="1:52">
      <c r="A33" s="67" t="str">
        <f>IF(AND(Request!$K$38="",Request!$B$38=""),IF(DB!C32="","",DB!C32),IF(Request!$B$38="",IF(DB!C32="","",DB!C32),IF(ISERROR(HLOOKUP(Request!$B$38,$L$1:$AE$20,K32,FALSE)),"",IF(HLOOKUP(Request!$B$38,$L$1:$AE$105,K32,FALSE)="","",HLOOKUP(Request!$B$38,$L$1:$AE$105,K32,FALSE)))))</f>
        <v>Gas Meters</v>
      </c>
      <c r="C33" s="67" t="s">
        <v>110</v>
      </c>
      <c r="D33" s="67" t="str">
        <f t="shared" si="0"/>
        <v>CE GPS</v>
      </c>
      <c r="E33" s="67" t="str">
        <f t="shared" si="2"/>
        <v>GPS</v>
      </c>
      <c r="K33" s="67">
        <v>33</v>
      </c>
      <c r="W33" s="67" t="str">
        <f>IF(Request!$B$38=DB!$W$1,"",C31)</f>
        <v>Future Soldier Combat Systems</v>
      </c>
      <c r="AF33" s="68" t="s">
        <v>225</v>
      </c>
      <c r="AZ33" s="68"/>
    </row>
    <row r="34" spans="1:52">
      <c r="A34" s="67" t="str">
        <f>IF(AND(Request!$K$38="",Request!$B$38=""),IF(DB!C33="","",DB!C33),IF(Request!$B$38="",IF(DB!C33="","",DB!C33),IF(ISERROR(HLOOKUP(Request!$B$38,$L$1:$AE$20,K33,FALSE)),"",IF(HLOOKUP(Request!$B$38,$L$1:$AE$105,K33,FALSE)="","",HLOOKUP(Request!$B$38,$L$1:$AE$105,K33,FALSE)))))</f>
        <v>GPS</v>
      </c>
      <c r="C34" s="67" t="s">
        <v>124</v>
      </c>
      <c r="D34" s="67" t="str">
        <f t="shared" ref="D34:D65" si="5">CONCATENATE("CE ",C34)</f>
        <v>CE Ground Radars</v>
      </c>
      <c r="E34" s="67" t="str">
        <f t="shared" si="2"/>
        <v>Ground Radars</v>
      </c>
      <c r="K34" s="67">
        <v>34</v>
      </c>
      <c r="W34" s="67" t="str">
        <f>IF(Request!$B$38=DB!$W$1,"",C32)</f>
        <v>Gas Meters</v>
      </c>
      <c r="AF34" s="68" t="s">
        <v>226</v>
      </c>
      <c r="AZ34" s="68"/>
    </row>
    <row r="35" spans="1:52">
      <c r="A35" s="67" t="str">
        <f>IF(AND(Request!$K$38="",Request!$B$38=""),IF(DB!C34="","",DB!C34),IF(Request!$B$38="",IF(DB!C34="","",DB!C34),IF(ISERROR(HLOOKUP(Request!$B$38,$L$1:$AE$20,K34,FALSE)),"",IF(HLOOKUP(Request!$B$38,$L$1:$AE$105,K34,FALSE)="","",HLOOKUP(Request!$B$38,$L$1:$AE$105,K34,FALSE)))))</f>
        <v>Ground Radars</v>
      </c>
      <c r="C35" s="67" t="s">
        <v>91</v>
      </c>
      <c r="D35" s="67" t="str">
        <f t="shared" si="5"/>
        <v>CE Health &amp; Medical Application</v>
      </c>
      <c r="E35" s="67" t="str">
        <f t="shared" si="2"/>
        <v>Health &amp; Medical Application</v>
      </c>
      <c r="K35" s="67">
        <v>35</v>
      </c>
      <c r="W35" s="67" t="str">
        <f>IF(Request!$B$38=DB!$W$1,"",C33)</f>
        <v>GPS</v>
      </c>
      <c r="AF35" s="68" t="s">
        <v>227</v>
      </c>
      <c r="AZ35" s="68"/>
    </row>
    <row r="36" spans="1:52">
      <c r="A36" s="67" t="str">
        <f>IF(AND(Request!$K$38="",Request!$B$38=""),IF(DB!C35="","",DB!C35),IF(Request!$B$38="",IF(DB!C35="","",DB!C35),IF(ISERROR(HLOOKUP(Request!$B$38,$L$1:$AE$20,K35,FALSE)),"",IF(HLOOKUP(Request!$B$38,$L$1:$AE$105,K35,FALSE)="","",HLOOKUP(Request!$B$38,$L$1:$AE$105,K35,FALSE)))))</f>
        <v>Health &amp; Medical Application</v>
      </c>
      <c r="C36" s="67" t="s">
        <v>143</v>
      </c>
      <c r="D36" s="67" t="str">
        <f t="shared" si="5"/>
        <v>CE Heat Cost Allocators</v>
      </c>
      <c r="E36" s="67" t="str">
        <f t="shared" si="2"/>
        <v>Heat Cost Allocators</v>
      </c>
      <c r="K36" s="67">
        <v>36</v>
      </c>
      <c r="W36" s="67" t="str">
        <f>IF(Request!$B$38=DB!$W$1,"",C34)</f>
        <v>Ground Radars</v>
      </c>
      <c r="AF36" s="68" t="s">
        <v>228</v>
      </c>
      <c r="AZ36" s="68"/>
    </row>
    <row r="37" spans="1:52">
      <c r="A37" s="67" t="str">
        <f>IF(AND(Request!$K$38="",Request!$B$38=""),IF(DB!C36="","",DB!C36),IF(Request!$B$38="",IF(DB!C36="","",DB!C36),IF(ISERROR(HLOOKUP(Request!$B$38,$L$1:$AE$20,K36,FALSE)),"",IF(HLOOKUP(Request!$B$38,$L$1:$AE$105,K36,FALSE)="","",HLOOKUP(Request!$B$38,$L$1:$AE$105,K36,FALSE)))))</f>
        <v>Heat Cost Allocators</v>
      </c>
      <c r="C37" s="67" t="s">
        <v>107</v>
      </c>
      <c r="D37" s="67" t="str">
        <f t="shared" si="5"/>
        <v>CE Industrial Application</v>
      </c>
      <c r="E37" s="67" t="str">
        <f t="shared" si="2"/>
        <v>Industrial Application</v>
      </c>
      <c r="K37" s="67">
        <v>37</v>
      </c>
      <c r="W37" s="67" t="str">
        <f>IF(Request!$B$38=DB!$W$1,"",C35)</f>
        <v>Health &amp; Medical Application</v>
      </c>
      <c r="AF37" s="68" t="s">
        <v>229</v>
      </c>
      <c r="AZ37" s="68"/>
    </row>
    <row r="38" spans="1:52">
      <c r="A38" s="67" t="str">
        <f>IF(AND(Request!$K$38="",Request!$B$38=""),IF(DB!C37="","",DB!C37),IF(Request!$B$38="",IF(DB!C37="","",DB!C37),IF(ISERROR(HLOOKUP(Request!$B$38,$L$1:$AE$20,K37,FALSE)),"",IF(HLOOKUP(Request!$B$38,$L$1:$AE$105,K37,FALSE)="","",HLOOKUP(Request!$B$38,$L$1:$AE$105,K37,FALSE)))))</f>
        <v>Industrial Application</v>
      </c>
      <c r="C38" s="67" t="s">
        <v>87</v>
      </c>
      <c r="D38" s="67" t="str">
        <f t="shared" si="5"/>
        <v>CE Industrial Dataloggers</v>
      </c>
      <c r="E38" s="67" t="str">
        <f t="shared" si="2"/>
        <v>Industrial Dataloggers</v>
      </c>
      <c r="K38" s="67">
        <v>38</v>
      </c>
      <c r="W38" s="67" t="str">
        <f>IF(Request!$B$38=DB!$W$1,"",C36)</f>
        <v>Heat Cost Allocators</v>
      </c>
      <c r="AF38" s="68" t="s">
        <v>230</v>
      </c>
      <c r="AZ38" s="68"/>
    </row>
    <row r="39" spans="1:52">
      <c r="A39" s="67" t="str">
        <f>IF(AND(Request!$K$38="",Request!$B$38=""),IF(DB!C38="","",DB!C38),IF(Request!$B$38="",IF(DB!C38="","",DB!C38),IF(ISERROR(HLOOKUP(Request!$B$38,$L$1:$AE$20,K38,FALSE)),"",IF(HLOOKUP(Request!$B$38,$L$1:$AE$105,K38,FALSE)="","",HLOOKUP(Request!$B$38,$L$1:$AE$105,K38,FALSE)))))</f>
        <v>Industrial Dataloggers</v>
      </c>
      <c r="C39" s="67" t="s">
        <v>104</v>
      </c>
      <c r="D39" s="67" t="str">
        <f t="shared" si="5"/>
        <v>CE Industrial Robots</v>
      </c>
      <c r="E39" s="67" t="str">
        <f t="shared" si="2"/>
        <v>Industrial Robots</v>
      </c>
      <c r="K39" s="67">
        <v>39</v>
      </c>
      <c r="W39" s="67" t="str">
        <f>IF(Request!$B$38=DB!$W$1,"",C37)</f>
        <v>Industrial Application</v>
      </c>
      <c r="AF39" s="68" t="s">
        <v>231</v>
      </c>
      <c r="AZ39" s="68"/>
    </row>
    <row r="40" spans="1:52">
      <c r="A40" s="67" t="str">
        <f>IF(AND(Request!$K$38="",Request!$B$38=""),IF(DB!C39="","",DB!C39),IF(Request!$B$38="",IF(DB!C39="","",DB!C39),IF(ISERROR(HLOOKUP(Request!$B$38,$L$1:$AE$20,K39,FALSE)),"",IF(HLOOKUP(Request!$B$38,$L$1:$AE$105,K39,FALSE)="","",HLOOKUP(Request!$B$38,$L$1:$AE$105,K39,FALSE)))))</f>
        <v>Industrial Robots</v>
      </c>
      <c r="C40" s="67" t="s">
        <v>109</v>
      </c>
      <c r="D40" s="67" t="str">
        <f t="shared" si="5"/>
        <v>CE Infusion Pumps</v>
      </c>
      <c r="E40" s="67" t="str">
        <f t="shared" si="2"/>
        <v>Infusion Pumps</v>
      </c>
      <c r="K40" s="67">
        <v>40</v>
      </c>
      <c r="W40" s="67" t="str">
        <f>IF(Request!$B$38=DB!$W$1,"",C38)</f>
        <v>Industrial Dataloggers</v>
      </c>
      <c r="AF40" s="68" t="s">
        <v>232</v>
      </c>
      <c r="AZ40" s="68"/>
    </row>
    <row r="41" spans="1:52">
      <c r="A41" s="67" t="str">
        <f>IF(AND(Request!$K$38="",Request!$B$38=""),IF(DB!C40="","",DB!C40),IF(Request!$B$38="",IF(DB!C40="","",DB!C40),IF(ISERROR(HLOOKUP(Request!$B$38,$L$1:$AE$20,K40,FALSE)),"",IF(HLOOKUP(Request!$B$38,$L$1:$AE$105,K40,FALSE)="","",HLOOKUP(Request!$B$38,$L$1:$AE$105,K40,FALSE)))))</f>
        <v>Infusion Pumps</v>
      </c>
      <c r="C41" s="67" t="s">
        <v>692</v>
      </c>
      <c r="D41" s="67" t="str">
        <f t="shared" si="5"/>
        <v>CE International Space Station</v>
      </c>
      <c r="E41" s="67" t="str">
        <f t="shared" si="2"/>
        <v>International Space Station</v>
      </c>
      <c r="K41" s="67">
        <v>41</v>
      </c>
      <c r="W41" s="67" t="str">
        <f>IF(Request!$B$38=DB!$W$1,"",C39)</f>
        <v>Industrial Robots</v>
      </c>
      <c r="AF41" s="68" t="s">
        <v>233</v>
      </c>
      <c r="AZ41" s="68"/>
    </row>
    <row r="42" spans="1:52">
      <c r="A42" s="67" t="str">
        <f>IF(AND(Request!$K$38="",Request!$B$38=""),IF(DB!C41="","",DB!C41),IF(Request!$B$38="",IF(DB!C41="","",DB!C41),IF(ISERROR(HLOOKUP(Request!$B$38,$L$1:$AE$20,K41,FALSE)),"",IF(HLOOKUP(Request!$B$38,$L$1:$AE$105,K41,FALSE)="","",HLOOKUP(Request!$B$38,$L$1:$AE$105,K41,FALSE)))))</f>
        <v>International Space Station</v>
      </c>
      <c r="C42" s="67" t="s">
        <v>135</v>
      </c>
      <c r="D42" s="67" t="str">
        <f t="shared" si="5"/>
        <v>CE Lamps</v>
      </c>
      <c r="E42" s="67" t="str">
        <f t="shared" si="2"/>
        <v>Lamps</v>
      </c>
      <c r="K42" s="67">
        <v>42</v>
      </c>
      <c r="W42" s="67" t="str">
        <f>IF(Request!$B$38=DB!$W$1,"",C40)</f>
        <v>Infusion Pumps</v>
      </c>
      <c r="AF42" s="68" t="s">
        <v>234</v>
      </c>
      <c r="AZ42" s="68"/>
    </row>
    <row r="43" spans="1:52">
      <c r="A43" s="67" t="str">
        <f>IF(AND(Request!$K$38="",Request!$B$38=""),IF(DB!C42="","",DB!C42),IF(Request!$B$38="",IF(DB!C42="","",DB!C42),IF(ISERROR(HLOOKUP(Request!$B$38,$L$1:$AE$20,K42,FALSE)),"",IF(HLOOKUP(Request!$B$38,$L$1:$AE$105,K42,FALSE)="","",HLOOKUP(Request!$B$38,$L$1:$AE$105,K42,FALSE)))))</f>
        <v>Lamps</v>
      </c>
      <c r="C43" s="67" t="s">
        <v>113</v>
      </c>
      <c r="D43" s="67" t="str">
        <f t="shared" si="5"/>
        <v>CE Land Seismic Survey System</v>
      </c>
      <c r="E43" s="67" t="str">
        <f t="shared" si="2"/>
        <v>Land Seismic Survey System</v>
      </c>
      <c r="K43" s="67">
        <v>43</v>
      </c>
      <c r="W43" s="67" t="str">
        <f>IF(Request!$B$38=DB!$W$1,"",C41)</f>
        <v>International Space Station</v>
      </c>
      <c r="AF43" s="68" t="s">
        <v>235</v>
      </c>
      <c r="AZ43" s="68"/>
    </row>
    <row r="44" spans="1:52">
      <c r="A44" s="67" t="str">
        <f>IF(AND(Request!$K$38="",Request!$B$38=""),IF(DB!C43="","",DB!C43),IF(Request!$B$38="",IF(DB!C43="","",DB!C43),IF(ISERROR(HLOOKUP(Request!$B$38,$L$1:$AE$20,K43,FALSE)),"",IF(HLOOKUP(Request!$B$38,$L$1:$AE$105,K43,FALSE)="","",HLOOKUP(Request!$B$38,$L$1:$AE$105,K43,FALSE)))))</f>
        <v>Land Seismic Survey System</v>
      </c>
      <c r="C44" s="67" t="s">
        <v>147</v>
      </c>
      <c r="D44" s="67" t="str">
        <f t="shared" si="5"/>
        <v>CE Laser</v>
      </c>
      <c r="E44" s="67" t="str">
        <f t="shared" si="2"/>
        <v>Laser</v>
      </c>
      <c r="K44" s="67">
        <v>44</v>
      </c>
      <c r="W44" s="67" t="str">
        <f>IF(Request!$B$38=DB!$W$1,"",C42)</f>
        <v>Lamps</v>
      </c>
      <c r="AF44" s="68" t="s">
        <v>236</v>
      </c>
      <c r="AZ44" s="68"/>
    </row>
    <row r="45" spans="1:52">
      <c r="A45" s="67" t="str">
        <f>IF(AND(Request!$K$38="",Request!$B$38=""),IF(DB!C44="","",DB!C44),IF(Request!$B$38="",IF(DB!C44="","",DB!C44),IF(ISERROR(HLOOKUP(Request!$B$38,$L$1:$AE$20,K44,FALSE)),"",IF(HLOOKUP(Request!$B$38,$L$1:$AE$105,K44,FALSE)="","",HLOOKUP(Request!$B$38,$L$1:$AE$105,K44,FALSE)))))</f>
        <v>Laser</v>
      </c>
      <c r="C45" s="67" t="s">
        <v>117</v>
      </c>
      <c r="D45" s="67" t="str">
        <f t="shared" si="5"/>
        <v>CE Launchers</v>
      </c>
      <c r="E45" s="67" t="str">
        <f t="shared" si="2"/>
        <v>Launchers</v>
      </c>
      <c r="K45" s="67">
        <v>45</v>
      </c>
      <c r="W45" s="67" t="str">
        <f>IF(Request!$B$38=DB!$W$1,"",C43)</f>
        <v>Land Seismic Survey System</v>
      </c>
      <c r="AF45" s="68" t="s">
        <v>237</v>
      </c>
      <c r="AZ45" s="68"/>
    </row>
    <row r="46" spans="1:52">
      <c r="A46" s="67" t="str">
        <f>IF(AND(Request!$K$38="",Request!$B$38=""),IF(DB!C45="","",DB!C45),IF(Request!$B$38="",IF(DB!C45="","",DB!C45),IF(ISERROR(HLOOKUP(Request!$B$38,$L$1:$AE$20,K45,FALSE)),"",IF(HLOOKUP(Request!$B$38,$L$1:$AE$105,K45,FALSE)="","",HLOOKUP(Request!$B$38,$L$1:$AE$105,K45,FALSE)))))</f>
        <v>Launchers</v>
      </c>
      <c r="C46" s="67" t="s">
        <v>122</v>
      </c>
      <c r="D46" s="67" t="str">
        <f t="shared" si="5"/>
        <v>CE Life Analysis Service</v>
      </c>
      <c r="E46" s="67" t="str">
        <f t="shared" si="2"/>
        <v>Life Analysis Service</v>
      </c>
      <c r="K46" s="67">
        <v>46</v>
      </c>
      <c r="W46" s="67" t="str">
        <f>IF(Request!$B$38=DB!$W$1,"",C44)</f>
        <v>Laser</v>
      </c>
      <c r="AF46" s="68" t="s">
        <v>238</v>
      </c>
      <c r="AZ46" s="68"/>
    </row>
    <row r="47" spans="1:52">
      <c r="A47" s="67" t="str">
        <f>IF(AND(Request!$K$38="",Request!$B$38=""),IF(DB!C46="","",DB!C46),IF(Request!$B$38="",IF(DB!C46="","",DB!C46),IF(ISERROR(HLOOKUP(Request!$B$38,$L$1:$AE$20,K46,FALSE)),"",IF(HLOOKUP(Request!$B$38,$L$1:$AE$105,K46,FALSE)="","",HLOOKUP(Request!$B$38,$L$1:$AE$105,K46,FALSE)))))</f>
        <v>Life Analysis Service</v>
      </c>
      <c r="C47" s="67" t="s">
        <v>120</v>
      </c>
      <c r="D47" s="67" t="str">
        <f t="shared" si="5"/>
        <v>CE Measurement Devices</v>
      </c>
      <c r="E47" s="67" t="str">
        <f t="shared" si="2"/>
        <v>Measurement Devices</v>
      </c>
      <c r="K47" s="67">
        <v>47</v>
      </c>
      <c r="W47" s="67" t="str">
        <f>IF(Request!$B$38=DB!$W$1,"",C45)</f>
        <v>Launchers</v>
      </c>
      <c r="AF47" s="68" t="s">
        <v>239</v>
      </c>
      <c r="AZ47" s="68"/>
    </row>
    <row r="48" spans="1:52">
      <c r="A48" s="67" t="str">
        <f>IF(AND(Request!$K$38="",Request!$B$38=""),IF(DB!C47="","",DB!C47),IF(Request!$B$38="",IF(DB!C47="","",DB!C47),IF(ISERROR(HLOOKUP(Request!$B$38,$L$1:$AE$20,K47,FALSE)),"",IF(HLOOKUP(Request!$B$38,$L$1:$AE$105,K47,FALSE)="","",HLOOKUP(Request!$B$38,$L$1:$AE$105,K47,FALSE)))))</f>
        <v>Measurement Devices</v>
      </c>
      <c r="C48" s="67" t="s">
        <v>123</v>
      </c>
      <c r="D48" s="67" t="str">
        <f t="shared" si="5"/>
        <v>CE Medical Carts</v>
      </c>
      <c r="E48" s="67" t="str">
        <f t="shared" si="2"/>
        <v>Medical Carts</v>
      </c>
      <c r="K48" s="67">
        <v>48</v>
      </c>
      <c r="W48" s="67" t="str">
        <f>IF(Request!$B$38=DB!$W$1,"",C46)</f>
        <v>Life Analysis Service</v>
      </c>
      <c r="AF48" s="68" t="s">
        <v>240</v>
      </c>
      <c r="AZ48" s="68"/>
    </row>
    <row r="49" spans="1:52">
      <c r="A49" s="67" t="str">
        <f>IF(AND(Request!$K$38="",Request!$B$38=""),IF(DB!C48="","",DB!C48),IF(Request!$B$38="",IF(DB!C48="","",DB!C48),IF(ISERROR(HLOOKUP(Request!$B$38,$L$1:$AE$20,K48,FALSE)),"",IF(HLOOKUP(Request!$B$38,$L$1:$AE$105,K48,FALSE)="","",HLOOKUP(Request!$B$38,$L$1:$AE$105,K48,FALSE)))))</f>
        <v>Medical Carts</v>
      </c>
      <c r="C49" s="67" t="s">
        <v>72</v>
      </c>
      <c r="D49" s="67" t="str">
        <f t="shared" si="5"/>
        <v>CE Meteorology</v>
      </c>
      <c r="E49" s="67" t="str">
        <f t="shared" si="2"/>
        <v>Meteorology</v>
      </c>
      <c r="K49" s="67">
        <v>49</v>
      </c>
      <c r="W49" s="67" t="str">
        <f>IF(Request!$B$38=DB!$W$1,"",C47)</f>
        <v>Measurement Devices</v>
      </c>
      <c r="AF49" s="68" t="s">
        <v>241</v>
      </c>
      <c r="AZ49" s="68"/>
    </row>
    <row r="50" spans="1:52">
      <c r="A50" s="67" t="str">
        <f>IF(AND(Request!$K$38="",Request!$B$38=""),IF(DB!C49="","",DB!C49),IF(Request!$B$38="",IF(DB!C49="","",DB!C49),IF(ISERROR(HLOOKUP(Request!$B$38,$L$1:$AE$20,K49,FALSE)),"",IF(HLOOKUP(Request!$B$38,$L$1:$AE$105,K49,FALSE)="","",HLOOKUP(Request!$B$38,$L$1:$AE$105,K49,FALSE)))))</f>
        <v>Meteorology</v>
      </c>
      <c r="C50" s="67" t="s">
        <v>154</v>
      </c>
      <c r="D50" s="67" t="str">
        <f t="shared" si="5"/>
        <v>CE Meters' Life Analysis Service</v>
      </c>
      <c r="E50" s="67" t="str">
        <f t="shared" si="2"/>
        <v>Meters' Life Analysis Service</v>
      </c>
      <c r="K50" s="67">
        <v>50</v>
      </c>
      <c r="W50" s="67" t="str">
        <f>IF(Request!$B$38=DB!$W$1,"",C48)</f>
        <v>Medical Carts</v>
      </c>
      <c r="AF50" s="68" t="s">
        <v>242</v>
      </c>
      <c r="AZ50" s="68"/>
    </row>
    <row r="51" spans="1:52">
      <c r="A51" s="67" t="str">
        <f>IF(AND(Request!$K$38="",Request!$B$38=""),IF(DB!C50="","",DB!C50),IF(Request!$B$38="",IF(DB!C50="","",DB!C50),IF(ISERROR(HLOOKUP(Request!$B$38,$L$1:$AE$20,K50,FALSE)),"",IF(HLOOKUP(Request!$B$38,$L$1:$AE$105,K50,FALSE)="","",HLOOKUP(Request!$B$38,$L$1:$AE$105,K50,FALSE)))))</f>
        <v>Meters' Life Analysis Service</v>
      </c>
      <c r="C51" s="67" t="s">
        <v>157</v>
      </c>
      <c r="D51" s="67" t="str">
        <f t="shared" si="5"/>
        <v>CE Military Robots &amp; Remotely Operated Vehicles</v>
      </c>
      <c r="E51" s="67" t="str">
        <f t="shared" si="2"/>
        <v>Military Robots &amp; Remotely Operated Vehicles</v>
      </c>
      <c r="K51" s="67">
        <v>51</v>
      </c>
      <c r="W51" s="67" t="str">
        <f>IF(Request!$B$38=DB!$W$1,"",C49)</f>
        <v>Meteorology</v>
      </c>
      <c r="AF51" s="68" t="s">
        <v>243</v>
      </c>
      <c r="AZ51" s="68"/>
    </row>
    <row r="52" spans="1:52">
      <c r="A52" s="67" t="str">
        <f>IF(AND(Request!$K$38="",Request!$B$38=""),IF(DB!C51="","",DB!C51),IF(Request!$B$38="",IF(DB!C51="","",DB!C51),IF(ISERROR(HLOOKUP(Request!$B$38,$L$1:$AE$20,K51,FALSE)),"",IF(HLOOKUP(Request!$B$38,$L$1:$AE$105,K51,FALSE)="","",HLOOKUP(Request!$B$38,$L$1:$AE$105,K51,FALSE)))))</f>
        <v>Military Robots &amp; Remotely Operated Vehicles</v>
      </c>
      <c r="C52" s="67" t="s">
        <v>77</v>
      </c>
      <c r="D52" s="67" t="str">
        <f t="shared" si="5"/>
        <v>CE Miner Portable Devices</v>
      </c>
      <c r="E52" s="67" t="str">
        <f t="shared" si="2"/>
        <v>Miner Portable Devices</v>
      </c>
      <c r="K52" s="67">
        <v>52</v>
      </c>
      <c r="W52" s="67" t="str">
        <f>IF(Request!$B$38=DB!$W$1,"",C50)</f>
        <v>Meters' Life Analysis Service</v>
      </c>
      <c r="AF52" s="68" t="s">
        <v>244</v>
      </c>
      <c r="AZ52" s="68"/>
    </row>
    <row r="53" spans="1:52">
      <c r="A53" s="67" t="str">
        <f>IF(AND(Request!$K$38="",Request!$B$38=""),IF(DB!C52="","",DB!C52),IF(Request!$B$38="",IF(DB!C52="","",DB!C52),IF(ISERROR(HLOOKUP(Request!$B$38,$L$1:$AE$20,K52,FALSE)),"",IF(HLOOKUP(Request!$B$38,$L$1:$AE$105,K52,FALSE)="","",HLOOKUP(Request!$B$38,$L$1:$AE$105,K52,FALSE)))))</f>
        <v>Miner Portable Devices</v>
      </c>
      <c r="C53" s="67" t="s">
        <v>95</v>
      </c>
      <c r="D53" s="67" t="str">
        <f t="shared" si="5"/>
        <v>CE Mining Lamps</v>
      </c>
      <c r="E53" s="67" t="str">
        <f t="shared" si="2"/>
        <v>Mining Lamps</v>
      </c>
      <c r="K53" s="67">
        <v>53</v>
      </c>
      <c r="W53" s="67" t="str">
        <f>IF(Request!$B$38=DB!$W$1,"",C51)</f>
        <v>Military Robots &amp; Remotely Operated Vehicles</v>
      </c>
      <c r="AF53" s="68" t="s">
        <v>245</v>
      </c>
      <c r="AZ53" s="68"/>
    </row>
    <row r="54" spans="1:52">
      <c r="A54" s="67" t="str">
        <f>IF(AND(Request!$K$38="",Request!$B$38=""),IF(DB!C53="","",DB!C53),IF(Request!$B$38="",IF(DB!C53="","",DB!C53),IF(ISERROR(HLOOKUP(Request!$B$38,$L$1:$AE$20,K53,FALSE)),"",IF(HLOOKUP(Request!$B$38,$L$1:$AE$105,K53,FALSE)="","",HLOOKUP(Request!$B$38,$L$1:$AE$105,K53,FALSE)))))</f>
        <v>Mining Lamps</v>
      </c>
      <c r="C54" s="67" t="s">
        <v>134</v>
      </c>
      <c r="D54" s="67" t="str">
        <f t="shared" si="5"/>
        <v>CE Neuro-Stimulation</v>
      </c>
      <c r="E54" s="67" t="str">
        <f t="shared" si="2"/>
        <v>Neuro-Stimulation</v>
      </c>
      <c r="K54" s="67">
        <v>54</v>
      </c>
      <c r="W54" s="67" t="str">
        <f>IF(Request!$B$38=DB!$W$1,"",C52)</f>
        <v>Miner Portable Devices</v>
      </c>
      <c r="AF54" s="68" t="s">
        <v>246</v>
      </c>
      <c r="AZ54" s="68"/>
    </row>
    <row r="55" spans="1:52">
      <c r="A55" s="67" t="str">
        <f>IF(AND(Request!$K$38="",Request!$B$38=""),IF(DB!C54="","",DB!C54),IF(Request!$B$38="",IF(DB!C54="","",DB!C54),IF(ISERROR(HLOOKUP(Request!$B$38,$L$1:$AE$20,K54,FALSE)),"",IF(HLOOKUP(Request!$B$38,$L$1:$AE$105,K54,FALSE)="","",HLOOKUP(Request!$B$38,$L$1:$AE$105,K54,FALSE)))))</f>
        <v>Neuro-Stimulation</v>
      </c>
      <c r="C55" s="67" t="s">
        <v>163</v>
      </c>
      <c r="D55" s="67" t="str">
        <f t="shared" si="5"/>
        <v>CE Night Vision Googles</v>
      </c>
      <c r="E55" s="67" t="str">
        <f t="shared" si="2"/>
        <v>Night Vision Googles</v>
      </c>
      <c r="K55" s="67">
        <v>55</v>
      </c>
      <c r="W55" s="67" t="str">
        <f>IF(Request!$B$38=DB!$W$1,"",C53)</f>
        <v>Mining Lamps</v>
      </c>
      <c r="AF55" s="68" t="s">
        <v>247</v>
      </c>
      <c r="AZ55" s="68"/>
    </row>
    <row r="56" spans="1:52">
      <c r="A56" s="67" t="str">
        <f>IF(AND(Request!$K$38="",Request!$B$38=""),IF(DB!C55="","",DB!C55),IF(Request!$B$38="",IF(DB!C55="","",DB!C55),IF(ISERROR(HLOOKUP(Request!$B$38,$L$1:$AE$20,K55,FALSE)),"",IF(HLOOKUP(Request!$B$38,$L$1:$AE$105,K55,FALSE)="","",HLOOKUP(Request!$B$38,$L$1:$AE$105,K55,FALSE)))))</f>
        <v>Night Vision Googles</v>
      </c>
      <c r="C56" s="67" t="s">
        <v>126</v>
      </c>
      <c r="D56" s="67" t="str">
        <f t="shared" si="5"/>
        <v>CE Ocean Seismic Survey Equipment</v>
      </c>
      <c r="E56" s="67" t="str">
        <f t="shared" si="2"/>
        <v>Ocean Seismic Survey Equipment</v>
      </c>
      <c r="K56" s="67">
        <v>56</v>
      </c>
      <c r="W56" s="67" t="str">
        <f>IF(Request!$B$38=DB!$W$1,"",C54)</f>
        <v>Neuro-Stimulation</v>
      </c>
      <c r="AF56" s="68" t="s">
        <v>248</v>
      </c>
      <c r="AZ56" s="68"/>
    </row>
    <row r="57" spans="1:52">
      <c r="A57" s="67" t="str">
        <f>IF(AND(Request!$K$38="",Request!$B$38=""),IF(DB!C56="","",DB!C56),IF(Request!$B$38="",IF(DB!C56="","",DB!C56),IF(ISERROR(HLOOKUP(Request!$B$38,$L$1:$AE$20,K56,FALSE)),"",IF(HLOOKUP(Request!$B$38,$L$1:$AE$105,K56,FALSE)="","",HLOOKUP(Request!$B$38,$L$1:$AE$105,K56,FALSE)))))</f>
        <v>Ocean Seismic Survey Equipment</v>
      </c>
      <c r="C57" s="67" t="s">
        <v>90</v>
      </c>
      <c r="D57" s="67" t="str">
        <f t="shared" si="5"/>
        <v>CE Oceanography Equipment</v>
      </c>
      <c r="E57" s="67" t="str">
        <f t="shared" si="2"/>
        <v>Oceanography Equipment</v>
      </c>
      <c r="K57" s="67">
        <v>57</v>
      </c>
      <c r="W57" s="67" t="str">
        <f>IF(Request!$B$38=DB!$W$1,"",C55)</f>
        <v>Night Vision Googles</v>
      </c>
      <c r="AF57" s="68" t="s">
        <v>249</v>
      </c>
      <c r="AZ57" s="68"/>
    </row>
    <row r="58" spans="1:52">
      <c r="A58" s="67" t="str">
        <f>IF(AND(Request!$K$38="",Request!$B$38=""),IF(DB!C57="","",DB!C57),IF(Request!$B$38="",IF(DB!C57="","",DB!C57),IF(ISERROR(HLOOKUP(Request!$B$38,$L$1:$AE$20,K57,FALSE)),"",IF(HLOOKUP(Request!$B$38,$L$1:$AE$105,K57,FALSE)="","",HLOOKUP(Request!$B$38,$L$1:$AE$105,K57,FALSE)))))</f>
        <v>Oceanography Equipment</v>
      </c>
      <c r="C58" s="67" t="s">
        <v>137</v>
      </c>
      <c r="D58" s="67" t="str">
        <f t="shared" si="5"/>
        <v>CE Oil Drilling Monitoring Sensors (MWD / LWD)</v>
      </c>
      <c r="E58" s="67" t="str">
        <f t="shared" si="2"/>
        <v>Oil Drilling Monitoring Sensors (MWD / LWD)</v>
      </c>
      <c r="K58" s="67">
        <v>58</v>
      </c>
      <c r="W58" s="67" t="str">
        <f>IF(Request!$B$38=DB!$W$1,"",C56)</f>
        <v>Ocean Seismic Survey Equipment</v>
      </c>
      <c r="AF58" s="68" t="s">
        <v>250</v>
      </c>
      <c r="AZ58" s="68"/>
    </row>
    <row r="59" spans="1:52">
      <c r="A59" s="67" t="str">
        <f>IF(AND(Request!$K$38="",Request!$B$38=""),IF(DB!C58="","",DB!C58),IF(Request!$B$38="",IF(DB!C58="","",DB!C58),IF(ISERROR(HLOOKUP(Request!$B$38,$L$1:$AE$20,K58,FALSE)),"",IF(HLOOKUP(Request!$B$38,$L$1:$AE$105,K58,FALSE)="","",HLOOKUP(Request!$B$38,$L$1:$AE$105,K58,FALSE)))))</f>
        <v>Oil Drilling Monitoring Sensors (MWD / LWD)</v>
      </c>
      <c r="C59" s="67" t="s">
        <v>693</v>
      </c>
      <c r="D59" s="67" t="str">
        <f t="shared" si="5"/>
        <v>CE Outer Space Experiments</v>
      </c>
      <c r="E59" s="67" t="str">
        <f t="shared" si="2"/>
        <v>Outer Space Experiments</v>
      </c>
      <c r="K59" s="67">
        <v>59</v>
      </c>
      <c r="W59" s="67" t="str">
        <f>IF(Request!$B$38=DB!$W$1,"",C57)</f>
        <v>Oceanography Equipment</v>
      </c>
      <c r="AF59" s="68" t="s">
        <v>251</v>
      </c>
      <c r="AZ59" s="68"/>
    </row>
    <row r="60" spans="1:52">
      <c r="A60" s="67" t="str">
        <f>IF(AND(Request!$K$38="",Request!$B$38=""),IF(DB!C59="","",DB!C59),IF(Request!$B$38="",IF(DB!C59="","",DB!C59),IF(ISERROR(HLOOKUP(Request!$B$38,$L$1:$AE$20,K59,FALSE)),"",IF(HLOOKUP(Request!$B$38,$L$1:$AE$105,K59,FALSE)="","",HLOOKUP(Request!$B$38,$L$1:$AE$105,K59,FALSE)))))</f>
        <v>Outer Space Experiments</v>
      </c>
      <c r="C60" s="67" t="s">
        <v>139</v>
      </c>
      <c r="D60" s="67" t="str">
        <f t="shared" si="5"/>
        <v>CE Parachutes</v>
      </c>
      <c r="E60" s="67" t="str">
        <f t="shared" si="2"/>
        <v>Parachutes</v>
      </c>
      <c r="K60" s="67">
        <v>60</v>
      </c>
      <c r="W60" s="67" t="str">
        <f>IF(Request!$B$38=DB!$W$1,"",C58)</f>
        <v>Oil Drilling Monitoring Sensors (MWD / LWD)</v>
      </c>
      <c r="AF60" s="68" t="s">
        <v>252</v>
      </c>
      <c r="AZ60" s="68"/>
    </row>
    <row r="61" spans="1:52">
      <c r="A61" s="67" t="str">
        <f>IF(AND(Request!$K$38="",Request!$B$38=""),IF(DB!C60="","",DB!C60),IF(Request!$B$38="",IF(DB!C60="","",DB!C60),IF(ISERROR(HLOOKUP(Request!$B$38,$L$1:$AE$20,K60,FALSE)),"",IF(HLOOKUP(Request!$B$38,$L$1:$AE$105,K60,FALSE)="","",HLOOKUP(Request!$B$38,$L$1:$AE$105,K60,FALSE)))))</f>
        <v>Parachutes</v>
      </c>
      <c r="C61" s="67" t="s">
        <v>81</v>
      </c>
      <c r="D61" s="67" t="str">
        <f t="shared" si="5"/>
        <v>CE Payment Terminals</v>
      </c>
      <c r="E61" s="67" t="str">
        <f t="shared" si="2"/>
        <v>Payment Terminals</v>
      </c>
      <c r="K61" s="67">
        <v>61</v>
      </c>
      <c r="W61" s="67" t="str">
        <f>IF(Request!$B$38=DB!$W$1,"",C59)</f>
        <v>Outer Space Experiments</v>
      </c>
      <c r="AF61" s="68" t="s">
        <v>253</v>
      </c>
      <c r="AZ61" s="68"/>
    </row>
    <row r="62" spans="1:52">
      <c r="A62" s="67" t="str">
        <f>IF(AND(Request!$K$38="",Request!$B$38=""),IF(DB!C61="","",DB!C61),IF(Request!$B$38="",IF(DB!C61="","",DB!C61),IF(ISERROR(HLOOKUP(Request!$B$38,$L$1:$AE$20,K61,FALSE)),"",IF(HLOOKUP(Request!$B$38,$L$1:$AE$105,K61,FALSE)="","",HLOOKUP(Request!$B$38,$L$1:$AE$105,K61,FALSE)))))</f>
        <v>Payment Terminals</v>
      </c>
      <c r="C62" s="67" t="s">
        <v>149</v>
      </c>
      <c r="D62" s="67" t="str">
        <f t="shared" si="5"/>
        <v>CE Pipeline Inspection</v>
      </c>
      <c r="E62" s="67" t="str">
        <f t="shared" si="2"/>
        <v>Pipeline Inspection</v>
      </c>
      <c r="K62" s="67">
        <v>62</v>
      </c>
      <c r="W62" s="67" t="str">
        <f>IF(Request!$B$38=DB!$W$1,"",C60)</f>
        <v>Parachutes</v>
      </c>
      <c r="AF62" s="68" t="s">
        <v>254</v>
      </c>
      <c r="AZ62" s="68"/>
    </row>
    <row r="63" spans="1:52">
      <c r="A63" s="67" t="str">
        <f>IF(AND(Request!$K$38="",Request!$B$38=""),IF(DB!C62="","",DB!C62),IF(Request!$B$38="",IF(DB!C62="","",DB!C62),IF(ISERROR(HLOOKUP(Request!$B$38,$L$1:$AE$20,K62,FALSE)),"",IF(HLOOKUP(Request!$B$38,$L$1:$AE$105,K62,FALSE)="","",HLOOKUP(Request!$B$38,$L$1:$AE$105,K62,FALSE)))))</f>
        <v>Pipeline Inspection</v>
      </c>
      <c r="C63" s="67" t="s">
        <v>691</v>
      </c>
      <c r="D63" s="67" t="str">
        <f t="shared" si="5"/>
        <v>CE Police Equipment</v>
      </c>
      <c r="E63" s="67" t="str">
        <f t="shared" si="2"/>
        <v>Police Equipment</v>
      </c>
      <c r="K63" s="67">
        <v>63</v>
      </c>
      <c r="W63" s="67" t="str">
        <f>IF(Request!$B$38=DB!$W$1,"",C61)</f>
        <v>Payment Terminals</v>
      </c>
      <c r="AF63" s="68" t="s">
        <v>255</v>
      </c>
      <c r="AZ63" s="68"/>
    </row>
    <row r="64" spans="1:52">
      <c r="A64" s="67" t="str">
        <f>IF(AND(Request!$K$38="",Request!$B$38=""),IF(DB!C63="","",DB!C63),IF(Request!$B$38="",IF(DB!C63="","",DB!C63),IF(ISERROR(HLOOKUP(Request!$B$38,$L$1:$AE$20,K63,FALSE)),"",IF(HLOOKUP(Request!$B$38,$L$1:$AE$105,K63,FALSE)="","",HLOOKUP(Request!$B$38,$L$1:$AE$105,K63,FALSE)))))</f>
        <v>Police Equipment</v>
      </c>
      <c r="C64" s="67" t="s">
        <v>106</v>
      </c>
      <c r="D64" s="67" t="str">
        <f t="shared" si="5"/>
        <v>CE Pollution Monitoring</v>
      </c>
      <c r="E64" s="67" t="str">
        <f t="shared" si="2"/>
        <v>Pollution Monitoring</v>
      </c>
      <c r="K64" s="67">
        <v>64</v>
      </c>
      <c r="W64" s="67" t="str">
        <f>IF(Request!$B$38=DB!$W$1,"",C62)</f>
        <v>Pipeline Inspection</v>
      </c>
      <c r="AF64" s="68" t="s">
        <v>256</v>
      </c>
      <c r="AZ64" s="68"/>
    </row>
    <row r="65" spans="1:52">
      <c r="A65" s="67" t="str">
        <f>IF(AND(Request!$K$38="",Request!$B$38=""),IF(DB!C64="","",DB!C64),IF(Request!$B$38="",IF(DB!C64="","",DB!C64),IF(ISERROR(HLOOKUP(Request!$B$38,$L$1:$AE$20,K64,FALSE)),"",IF(HLOOKUP(Request!$B$38,$L$1:$AE$105,K64,FALSE)="","",HLOOKUP(Request!$B$38,$L$1:$AE$105,K64,FALSE)))))</f>
        <v>Pollution Monitoring</v>
      </c>
      <c r="C65" s="67" t="s">
        <v>131</v>
      </c>
      <c r="D65" s="67" t="str">
        <f t="shared" si="5"/>
        <v>CE Power Grid Transmission &amp; Distribution Devices</v>
      </c>
      <c r="E65" s="67" t="str">
        <f t="shared" si="2"/>
        <v>Power Grid Transmission &amp; Distribution Devices</v>
      </c>
      <c r="K65" s="67">
        <v>65</v>
      </c>
      <c r="W65" s="67" t="str">
        <f>IF(Request!$B$38=DB!$W$1,"",C63)</f>
        <v>Police Equipment</v>
      </c>
      <c r="AF65" s="68" t="s">
        <v>257</v>
      </c>
      <c r="AZ65" s="68"/>
    </row>
    <row r="66" spans="1:52">
      <c r="A66" s="67" t="str">
        <f>IF(AND(Request!$K$38="",Request!$B$38=""),IF(DB!C65="","",DB!C65),IF(Request!$B$38="",IF(DB!C65="","",DB!C65),IF(ISERROR(HLOOKUP(Request!$B$38,$L$1:$AE$20,K65,FALSE)),"",IF(HLOOKUP(Request!$B$38,$L$1:$AE$105,K65,FALSE)="","",HLOOKUP(Request!$B$38,$L$1:$AE$105,K65,FALSE)))))</f>
        <v>Power Grid Transmission &amp; Distribution Devices</v>
      </c>
      <c r="C66" s="67" t="s">
        <v>99</v>
      </c>
      <c r="D66" s="67" t="str">
        <f t="shared" ref="D66:D97" si="6">CONCATENATE("CE ",C66)</f>
        <v>CE Power Tools &amp; Professional Portable Devices</v>
      </c>
      <c r="E66" s="67" t="str">
        <f t="shared" si="2"/>
        <v>Power Tools &amp; Professional Portable Devices</v>
      </c>
      <c r="K66" s="67">
        <v>66</v>
      </c>
      <c r="W66" s="67" t="str">
        <f>IF(Request!$B$38=DB!$W$1,"",C64)</f>
        <v>Pollution Monitoring</v>
      </c>
      <c r="AF66" s="68" t="s">
        <v>258</v>
      </c>
      <c r="AZ66" s="68"/>
    </row>
    <row r="67" spans="1:52">
      <c r="A67" s="67" t="str">
        <f>IF(AND(Request!$K$38="",Request!$B$38=""),IF(DB!C66="","",DB!C66),IF(Request!$B$38="",IF(DB!C66="","",DB!C66),IF(ISERROR(HLOOKUP(Request!$B$38,$L$1:$AE$20,K66,FALSE)),"",IF(HLOOKUP(Request!$B$38,$L$1:$AE$105,K66,FALSE)="","",HLOOKUP(Request!$B$38,$L$1:$AE$105,K66,FALSE)))))</f>
        <v>Power Tools &amp; Professional Portable Devices</v>
      </c>
      <c r="C67" s="67" t="s">
        <v>141</v>
      </c>
      <c r="D67" s="67" t="str">
        <f t="shared" si="6"/>
        <v>CE Probes</v>
      </c>
      <c r="E67" s="67" t="str">
        <f t="shared" ref="E67:E103" si="7">C67</f>
        <v>Probes</v>
      </c>
      <c r="K67" s="67">
        <v>67</v>
      </c>
      <c r="W67" s="67" t="str">
        <f>IF(Request!$B$38=DB!$W$1,"",C65)</f>
        <v>Power Grid Transmission &amp; Distribution Devices</v>
      </c>
      <c r="AF67" s="68" t="s">
        <v>259</v>
      </c>
      <c r="AZ67" s="68"/>
    </row>
    <row r="68" spans="1:52">
      <c r="A68" s="67" t="str">
        <f>IF(AND(Request!$K$38="",Request!$B$38=""),IF(DB!C67="","",DB!C67),IF(Request!$B$38="",IF(DB!C67="","",DB!C67),IF(ISERROR(HLOOKUP(Request!$B$38,$L$1:$AE$20,K67,FALSE)),"",IF(HLOOKUP(Request!$B$38,$L$1:$AE$105,K67,FALSE)="","",HLOOKUP(Request!$B$38,$L$1:$AE$105,K67,FALSE)))))</f>
        <v>Probes</v>
      </c>
      <c r="C68" s="67" t="s">
        <v>114</v>
      </c>
      <c r="D68" s="67" t="str">
        <f t="shared" si="6"/>
        <v>CE Professional Computers</v>
      </c>
      <c r="E68" s="67" t="str">
        <f t="shared" si="7"/>
        <v>Professional Computers</v>
      </c>
      <c r="K68" s="67">
        <v>68</v>
      </c>
      <c r="W68" s="67" t="str">
        <f>IF(Request!$B$38=DB!$W$1,"",C66)</f>
        <v>Power Tools &amp; Professional Portable Devices</v>
      </c>
      <c r="AF68" s="68" t="s">
        <v>260</v>
      </c>
      <c r="AZ68" s="68"/>
    </row>
    <row r="69" spans="1:52">
      <c r="A69" s="67" t="str">
        <f>IF(AND(Request!$K$38="",Request!$B$38=""),IF(DB!C68="","",DB!C68),IF(Request!$B$38="",IF(DB!C68="","",DB!C68),IF(ISERROR(HLOOKUP(Request!$B$38,$L$1:$AE$20,K68,FALSE)),"",IF(HLOOKUP(Request!$B$38,$L$1:$AE$105,K68,FALSE)="","",HLOOKUP(Request!$B$38,$L$1:$AE$105,K68,FALSE)))))</f>
        <v>Professional Computers</v>
      </c>
      <c r="C69" s="67" t="s">
        <v>127</v>
      </c>
      <c r="D69" s="67" t="str">
        <f t="shared" si="6"/>
        <v>CE Professional Displays</v>
      </c>
      <c r="E69" s="67" t="str">
        <f t="shared" si="7"/>
        <v>Professional Displays</v>
      </c>
      <c r="K69" s="67">
        <v>69</v>
      </c>
      <c r="W69" s="67" t="str">
        <f>IF(Request!$B$38=DB!$W$1,"",C67)</f>
        <v>Probes</v>
      </c>
      <c r="AF69" s="68" t="s">
        <v>261</v>
      </c>
      <c r="AZ69" s="68"/>
    </row>
    <row r="70" spans="1:52">
      <c r="A70" s="67" t="str">
        <f>IF(AND(Request!$K$38="",Request!$B$38=""),IF(DB!C69="","",DB!C69),IF(Request!$B$38="",IF(DB!C69="","",DB!C69),IF(ISERROR(HLOOKUP(Request!$B$38,$L$1:$AE$20,K69,FALSE)),"",IF(HLOOKUP(Request!$B$38,$L$1:$AE$105,K69,FALSE)="","",HLOOKUP(Request!$B$38,$L$1:$AE$105,K69,FALSE)))))</f>
        <v>Professional Displays</v>
      </c>
      <c r="C70" s="67" t="s">
        <v>138</v>
      </c>
      <c r="D70" s="67" t="str">
        <f t="shared" si="6"/>
        <v>CE Professional Video</v>
      </c>
      <c r="E70" s="67" t="str">
        <f t="shared" si="7"/>
        <v>Professional Video</v>
      </c>
      <c r="K70" s="67">
        <v>70</v>
      </c>
      <c r="W70" s="67" t="str">
        <f>IF(Request!$B$38=DB!$W$1,"",C68)</f>
        <v>Professional Computers</v>
      </c>
      <c r="AF70" s="68" t="s">
        <v>262</v>
      </c>
      <c r="AZ70" s="68"/>
    </row>
    <row r="71" spans="1:52">
      <c r="A71" s="67" t="str">
        <f>IF(AND(Request!$K$38="",Request!$B$38=""),IF(DB!C70="","",DB!C70),IF(Request!$B$38="",IF(DB!C70="","",DB!C70),IF(ISERROR(HLOOKUP(Request!$B$38,$L$1:$AE$20,K70,FALSE)),"",IF(HLOOKUP(Request!$B$38,$L$1:$AE$105,K70,FALSE)="","",HLOOKUP(Request!$B$38,$L$1:$AE$105,K70,FALSE)))))</f>
        <v>Professional Video</v>
      </c>
      <c r="C71" s="67" t="s">
        <v>165</v>
      </c>
      <c r="D71" s="67" t="str">
        <f t="shared" si="6"/>
        <v>CE Radiocommunications</v>
      </c>
      <c r="E71" s="67" t="str">
        <f t="shared" si="7"/>
        <v>Radiocommunications</v>
      </c>
      <c r="K71" s="67">
        <v>71</v>
      </c>
      <c r="W71" s="67" t="str">
        <f>IF(Request!$B$38=DB!$W$1,"",C69)</f>
        <v>Professional Displays</v>
      </c>
      <c r="AF71" s="68" t="s">
        <v>263</v>
      </c>
      <c r="AZ71" s="68"/>
    </row>
    <row r="72" spans="1:52">
      <c r="A72" s="67" t="str">
        <f>IF(AND(Request!$K$38="",Request!$B$38=""),IF(DB!C71="","",DB!C71),IF(Request!$B$38="",IF(DB!C71="","",DB!C71),IF(ISERROR(HLOOKUP(Request!$B$38,$L$1:$AE$20,K71,FALSE)),"",IF(HLOOKUP(Request!$B$38,$L$1:$AE$105,K71,FALSE)="","",HLOOKUP(Request!$B$38,$L$1:$AE$105,K71,FALSE)))))</f>
        <v>Radiocommunications</v>
      </c>
      <c r="C72" s="67" t="s">
        <v>125</v>
      </c>
      <c r="D72" s="67" t="str">
        <f t="shared" si="6"/>
        <v>CE Railway</v>
      </c>
      <c r="E72" s="67" t="str">
        <f t="shared" si="7"/>
        <v>Railway</v>
      </c>
      <c r="K72" s="67">
        <v>72</v>
      </c>
      <c r="W72" s="67" t="str">
        <f>IF(Request!$B$38=DB!$W$1,"",C70)</f>
        <v>Professional Video</v>
      </c>
      <c r="AF72" s="68" t="s">
        <v>264</v>
      </c>
      <c r="AZ72" s="68"/>
    </row>
    <row r="73" spans="1:52">
      <c r="A73" s="67" t="str">
        <f>IF(AND(Request!$K$38="",Request!$B$38=""),IF(DB!C72="","",DB!C72),IF(Request!$B$38="",IF(DB!C72="","",DB!C72),IF(ISERROR(HLOOKUP(Request!$B$38,$L$1:$AE$20,K72,FALSE)),"",IF(HLOOKUP(Request!$B$38,$L$1:$AE$105,K72,FALSE)="","",HLOOKUP(Request!$B$38,$L$1:$AE$105,K72,FALSE)))))</f>
        <v>Railway</v>
      </c>
      <c r="C73" s="67" t="s">
        <v>98</v>
      </c>
      <c r="D73" s="67" t="str">
        <f t="shared" si="6"/>
        <v>CE Research Labs Universities</v>
      </c>
      <c r="E73" s="67" t="str">
        <f t="shared" si="7"/>
        <v>Research Labs Universities</v>
      </c>
      <c r="K73" s="67">
        <v>73</v>
      </c>
      <c r="W73" s="67" t="str">
        <f>IF(Request!$B$38=DB!$W$1,"",C71)</f>
        <v>Radiocommunications</v>
      </c>
      <c r="AF73" s="68" t="s">
        <v>265</v>
      </c>
      <c r="AZ73" s="68"/>
    </row>
    <row r="74" spans="1:52">
      <c r="A74" s="67" t="str">
        <f>IF(AND(Request!$K$38="",Request!$B$38=""),IF(DB!C73="","",DB!C73),IF(Request!$B$38="",IF(DB!C73="","",DB!C73),IF(ISERROR(HLOOKUP(Request!$B$38,$L$1:$AE$20,K73,FALSE)),"",IF(HLOOKUP(Request!$B$38,$L$1:$AE$105,K73,FALSE)="","",HLOOKUP(Request!$B$38,$L$1:$AE$105,K73,FALSE)))))</f>
        <v>Research Labs Universities</v>
      </c>
      <c r="C74" s="67" t="s">
        <v>146</v>
      </c>
      <c r="D74" s="67" t="str">
        <f t="shared" si="6"/>
        <v>CE Respiration &amp; Ventilation</v>
      </c>
      <c r="E74" s="67" t="str">
        <f t="shared" si="7"/>
        <v>Respiration &amp; Ventilation</v>
      </c>
      <c r="K74" s="67">
        <v>74</v>
      </c>
      <c r="W74" s="67" t="str">
        <f>IF(Request!$B$38=DB!$W$1,"",C72)</f>
        <v>Railway</v>
      </c>
      <c r="AF74" s="68" t="s">
        <v>266</v>
      </c>
      <c r="AZ74" s="68"/>
    </row>
    <row r="75" spans="1:52">
      <c r="A75" s="67" t="str">
        <f>IF(AND(Request!$K$38="",Request!$B$38=""),IF(DB!C74="","",DB!C74),IF(Request!$B$38="",IF(DB!C74="","",DB!C74),IF(ISERROR(HLOOKUP(Request!$B$38,$L$1:$AE$20,K74,FALSE)),"",IF(HLOOKUP(Request!$B$38,$L$1:$AE$105,K74,FALSE)="","",HLOOKUP(Request!$B$38,$L$1:$AE$105,K74,FALSE)))))</f>
        <v>Respiration &amp; Ventilation</v>
      </c>
      <c r="C75" s="67" t="s">
        <v>142</v>
      </c>
      <c r="D75" s="67" t="str">
        <f t="shared" si="6"/>
        <v>CE RFID</v>
      </c>
      <c r="E75" s="67" t="str">
        <f t="shared" si="7"/>
        <v>RFID</v>
      </c>
      <c r="K75" s="67">
        <v>75</v>
      </c>
      <c r="W75" s="67" t="str">
        <f>IF(Request!$B$38=DB!$W$1,"",C74)</f>
        <v>Respiration &amp; Ventilation</v>
      </c>
      <c r="AF75" s="68" t="s">
        <v>267</v>
      </c>
      <c r="AZ75" s="68"/>
    </row>
    <row r="76" spans="1:52">
      <c r="A76" s="67" t="str">
        <f>IF(AND(Request!$K$38="",Request!$B$38=""),IF(DB!C75="","",DB!C75),IF(Request!$B$38="",IF(DB!C75="","",DB!C75),IF(ISERROR(HLOOKUP(Request!$B$38,$L$1:$AE$20,K75,FALSE)),"",IF(HLOOKUP(Request!$B$38,$L$1:$AE$105,K75,FALSE)="","",HLOOKUP(Request!$B$38,$L$1:$AE$105,K75,FALSE)))))</f>
        <v>RFID</v>
      </c>
      <c r="C76" s="67" t="s">
        <v>153</v>
      </c>
      <c r="D76" s="67" t="str">
        <f t="shared" si="6"/>
        <v>CE Road Sensors</v>
      </c>
      <c r="E76" s="67" t="str">
        <f t="shared" si="7"/>
        <v>Road Sensors</v>
      </c>
      <c r="K76" s="67">
        <v>76</v>
      </c>
      <c r="W76" s="67" t="str">
        <f>IF(Request!$B$38=DB!$W$1,"",C75)</f>
        <v>RFID</v>
      </c>
      <c r="AF76" s="68" t="s">
        <v>268</v>
      </c>
      <c r="AZ76" s="68"/>
    </row>
    <row r="77" spans="1:52">
      <c r="A77" s="67" t="str">
        <f>IF(AND(Request!$K$38="",Request!$B$38=""),IF(DB!C76="","",DB!C76),IF(Request!$B$38="",IF(DB!C76="","",DB!C76),IF(ISERROR(HLOOKUP(Request!$B$38,$L$1:$AE$20,K76,FALSE)),"",IF(HLOOKUP(Request!$B$38,$L$1:$AE$105,K76,FALSE)="","",HLOOKUP(Request!$B$38,$L$1:$AE$105,K76,FALSE)))))</f>
        <v>Road Sensors</v>
      </c>
      <c r="C77" s="67" t="s">
        <v>152</v>
      </c>
      <c r="D77" s="67" t="str">
        <f t="shared" si="6"/>
        <v>CE Rovers</v>
      </c>
      <c r="E77" s="67" t="str">
        <f t="shared" si="7"/>
        <v>Rovers</v>
      </c>
      <c r="K77" s="67">
        <v>77</v>
      </c>
      <c r="W77" s="67" t="str">
        <f>IF(Request!$B$38=DB!$W$1,"",C76)</f>
        <v>Road Sensors</v>
      </c>
      <c r="AF77" s="68" t="s">
        <v>269</v>
      </c>
      <c r="AZ77" s="68"/>
    </row>
    <row r="78" spans="1:52">
      <c r="A78" s="67" t="str">
        <f>IF(AND(Request!$K$38="",Request!$B$38=""),IF(DB!C77="","",DB!C77),IF(Request!$B$38="",IF(DB!C77="","",DB!C77),IF(ISERROR(HLOOKUP(Request!$B$38,$L$1:$AE$20,K77,FALSE)),"",IF(HLOOKUP(Request!$B$38,$L$1:$AE$105,K77,FALSE)="","",HLOOKUP(Request!$B$38,$L$1:$AE$105,K77,FALSE)))))</f>
        <v>Rovers</v>
      </c>
      <c r="C78" s="67" t="s">
        <v>140</v>
      </c>
      <c r="D78" s="67" t="str">
        <f t="shared" si="6"/>
        <v>CE Safe Locks</v>
      </c>
      <c r="E78" s="67" t="str">
        <f t="shared" si="7"/>
        <v>Safe Locks</v>
      </c>
      <c r="K78" s="67">
        <v>78</v>
      </c>
      <c r="W78" s="67" t="str">
        <f>IF(Request!$B$38=DB!$W$1,"",C77)</f>
        <v>Rovers</v>
      </c>
      <c r="AF78" s="68" t="s">
        <v>270</v>
      </c>
      <c r="AZ78" s="68"/>
    </row>
    <row r="79" spans="1:52">
      <c r="A79" s="67" t="str">
        <f>IF(AND(Request!$K$38="",Request!$B$38=""),IF(DB!C78="","",DB!C78),IF(Request!$B$38="",IF(DB!C78="","",DB!C78),IF(ISERROR(HLOOKUP(Request!$B$38,$L$1:$AE$20,K78,FALSE)),"",IF(HLOOKUP(Request!$B$38,$L$1:$AE$105,K78,FALSE)="","",HLOOKUP(Request!$B$38,$L$1:$AE$105,K78,FALSE)))))</f>
        <v>Safe Locks</v>
      </c>
      <c r="C79" s="67" t="s">
        <v>150</v>
      </c>
      <c r="D79" s="67" t="str">
        <f t="shared" si="6"/>
        <v>CE Safety Jackets</v>
      </c>
      <c r="E79" s="67" t="str">
        <f t="shared" si="7"/>
        <v>Safety Jackets</v>
      </c>
      <c r="K79" s="67">
        <v>79</v>
      </c>
      <c r="W79" s="67" t="str">
        <f>IF(Request!$B$38=DB!$W$1,"",C78)</f>
        <v>Safe Locks</v>
      </c>
      <c r="AF79" s="68" t="s">
        <v>271</v>
      </c>
      <c r="AZ79" s="68"/>
    </row>
    <row r="80" spans="1:52">
      <c r="A80" s="67" t="str">
        <f>IF(AND(Request!$K$38="",Request!$B$38=""),IF(DB!C79="","",DB!C79),IF(Request!$B$38="",IF(DB!C79="","",DB!C79),IF(ISERROR(HLOOKUP(Request!$B$38,$L$1:$AE$20,K79,FALSE)),"",IF(HLOOKUP(Request!$B$38,$L$1:$AE$105,K79,FALSE)="","",HLOOKUP(Request!$B$38,$L$1:$AE$105,K79,FALSE)))))</f>
        <v>Safety Jackets</v>
      </c>
      <c r="C80" s="67" t="s">
        <v>159</v>
      </c>
      <c r="D80" s="67" t="str">
        <f t="shared" si="6"/>
        <v>CE Safety Pyrotechnics Devices</v>
      </c>
      <c r="E80" s="67" t="str">
        <f t="shared" si="7"/>
        <v>Safety Pyrotechnics Devices</v>
      </c>
      <c r="K80" s="67">
        <v>80</v>
      </c>
      <c r="W80" s="67" t="str">
        <f>IF(Request!$B$38=DB!$W$1,"",C79)</f>
        <v>Safety Jackets</v>
      </c>
      <c r="AF80" s="68" t="s">
        <v>272</v>
      </c>
      <c r="AZ80" s="68"/>
    </row>
    <row r="81" spans="1:52">
      <c r="A81" s="67" t="str">
        <f>IF(AND(Request!$K$38="",Request!$B$38=""),IF(DB!C80="","",DB!C80),IF(Request!$B$38="",IF(DB!C80="","",DB!C80),IF(ISERROR(HLOOKUP(Request!$B$38,$L$1:$AE$20,K80,FALSE)),"",IF(HLOOKUP(Request!$B$38,$L$1:$AE$105,K80,FALSE)="","",HLOOKUP(Request!$B$38,$L$1:$AE$105,K80,FALSE)))))</f>
        <v>Safety Pyrotechnics Devices</v>
      </c>
      <c r="C81" s="67" t="s">
        <v>161</v>
      </c>
      <c r="D81" s="67" t="str">
        <f t="shared" si="6"/>
        <v>CE Satellites</v>
      </c>
      <c r="E81" s="67" t="str">
        <f t="shared" si="7"/>
        <v>Satellites</v>
      </c>
      <c r="K81" s="67">
        <v>81</v>
      </c>
      <c r="W81" s="67" t="str">
        <f>IF(Request!$B$38=DB!$W$1,"",C80)</f>
        <v>Safety Pyrotechnics Devices</v>
      </c>
      <c r="AF81" s="68" t="s">
        <v>273</v>
      </c>
      <c r="AZ81" s="68"/>
    </row>
    <row r="82" spans="1:52">
      <c r="A82" s="67" t="str">
        <f>IF(AND(Request!$K$38="",Request!$B$38=""),IF(DB!C81="","",DB!C81),IF(Request!$B$38="",IF(DB!C81="","",DB!C81),IF(ISERROR(HLOOKUP(Request!$B$38,$L$1:$AE$20,K81,FALSE)),"",IF(HLOOKUP(Request!$B$38,$L$1:$AE$105,K81,FALSE)="","",HLOOKUP(Request!$B$38,$L$1:$AE$105,K81,FALSE)))))</f>
        <v>Satellites</v>
      </c>
      <c r="C82" s="67" t="s">
        <v>136</v>
      </c>
      <c r="D82" s="67" t="str">
        <f t="shared" si="6"/>
        <v>CE Scooters</v>
      </c>
      <c r="E82" s="67" t="str">
        <f t="shared" si="7"/>
        <v>Scooters</v>
      </c>
      <c r="K82" s="67">
        <v>82</v>
      </c>
      <c r="W82" s="67" t="str">
        <f>IF(Request!$B$38=DB!$W$1,"",C81)</f>
        <v>Satellites</v>
      </c>
      <c r="AF82" s="68" t="s">
        <v>274</v>
      </c>
      <c r="AZ82" s="68"/>
    </row>
    <row r="83" spans="1:52">
      <c r="A83" s="67" t="str">
        <f>IF(AND(Request!$K$38="",Request!$B$38=""),IF(DB!C82="","",DB!C82),IF(Request!$B$38="",IF(DB!C82="","",DB!C82),IF(ISERROR(HLOOKUP(Request!$B$38,$L$1:$AE$20,K82,FALSE)),"",IF(HLOOKUP(Request!$B$38,$L$1:$AE$105,K82,FALSE)="","",HLOOKUP(Request!$B$38,$L$1:$AE$105,K82,FALSE)))))</f>
        <v>Scooters</v>
      </c>
      <c r="C83" s="67" t="s">
        <v>121</v>
      </c>
      <c r="D83" s="67" t="str">
        <f t="shared" si="6"/>
        <v>CE Seismic Sensors</v>
      </c>
      <c r="E83" s="67" t="str">
        <f t="shared" si="7"/>
        <v>Seismic Sensors</v>
      </c>
      <c r="K83" s="67">
        <v>83</v>
      </c>
      <c r="W83" s="67" t="str">
        <f>IF(Request!$B$38=DB!$W$1,"",C82)</f>
        <v>Scooters</v>
      </c>
      <c r="AF83" s="68" t="s">
        <v>275</v>
      </c>
      <c r="AZ83" s="68"/>
    </row>
    <row r="84" spans="1:52">
      <c r="A84" s="67" t="str">
        <f>IF(AND(Request!$K$38="",Request!$B$38=""),IF(DB!C83="","",DB!C83),IF(Request!$B$38="",IF(DB!C83="","",DB!C83),IF(ISERROR(HLOOKUP(Request!$B$38,$L$1:$AE$20,K83,FALSE)),"",IF(HLOOKUP(Request!$B$38,$L$1:$AE$105,K83,FALSE)="","",HLOOKUP(Request!$B$38,$L$1:$AE$105,K83,FALSE)))))</f>
        <v>Seismic Sensors</v>
      </c>
      <c r="C84" s="67" t="s">
        <v>151</v>
      </c>
      <c r="D84" s="67" t="str">
        <f t="shared" si="6"/>
        <v>CE Sensors / Detectors</v>
      </c>
      <c r="E84" s="67" t="str">
        <f t="shared" si="7"/>
        <v>Sensors / Detectors</v>
      </c>
      <c r="K84" s="67">
        <v>84</v>
      </c>
      <c r="W84" s="67" t="str">
        <f>IF(Request!$B$38=DB!$W$1,"",C83)</f>
        <v>Seismic Sensors</v>
      </c>
      <c r="AF84" s="68" t="s">
        <v>276</v>
      </c>
      <c r="AZ84" s="68"/>
    </row>
    <row r="85" spans="1:52">
      <c r="A85" s="67" t="str">
        <f>IF(AND(Request!$K$38="",Request!$B$38=""),IF(DB!C84="","",DB!C84),IF(Request!$B$38="",IF(DB!C84="","",DB!C84),IF(ISERROR(HLOOKUP(Request!$B$38,$L$1:$AE$20,K84,FALSE)),"",IF(HLOOKUP(Request!$B$38,$L$1:$AE$105,K84,FALSE)="","",HLOOKUP(Request!$B$38,$L$1:$AE$105,K84,FALSE)))))</f>
        <v>Sensors / Detectors</v>
      </c>
      <c r="C85" s="67" t="s">
        <v>166</v>
      </c>
      <c r="D85" s="67" t="str">
        <f t="shared" si="6"/>
        <v>CE Simulators</v>
      </c>
      <c r="E85" s="67" t="str">
        <f t="shared" si="7"/>
        <v>Simulators</v>
      </c>
      <c r="K85" s="67">
        <v>85</v>
      </c>
      <c r="W85" s="67" t="str">
        <f>IF(Request!$B$38=DB!$W$1,"",C84)</f>
        <v>Sensors / Detectors</v>
      </c>
      <c r="AF85" s="68" t="s">
        <v>277</v>
      </c>
      <c r="AZ85" s="68"/>
    </row>
    <row r="86" spans="1:52">
      <c r="A86" s="67" t="str">
        <f>IF(AND(Request!$K$38="",Request!$B$38=""),IF(DB!C85="","",DB!C85),IF(Request!$B$38="",IF(DB!C85="","",DB!C85),IF(ISERROR(HLOOKUP(Request!$B$38,$L$1:$AE$20,K85,FALSE)),"",IF(HLOOKUP(Request!$B$38,$L$1:$AE$105,K85,FALSE)="","",HLOOKUP(Request!$B$38,$L$1:$AE$105,K85,FALSE)))))</f>
        <v>Simulators</v>
      </c>
      <c r="C86" s="67" t="s">
        <v>133</v>
      </c>
      <c r="D86" s="67" t="str">
        <f t="shared" si="6"/>
        <v>CE Smart Building</v>
      </c>
      <c r="E86" s="67" t="str">
        <f t="shared" si="7"/>
        <v>Smart Building</v>
      </c>
      <c r="K86" s="67">
        <v>86</v>
      </c>
      <c r="W86" s="67" t="str">
        <f>IF(Request!$B$38=DB!$W$1,"",C85)</f>
        <v>Simulators</v>
      </c>
      <c r="AF86" s="68" t="s">
        <v>278</v>
      </c>
      <c r="AZ86" s="68"/>
    </row>
    <row r="87" spans="1:52">
      <c r="A87" s="67" t="str">
        <f>IF(AND(Request!$K$38="",Request!$B$38=""),IF(DB!C86="","",DB!C86),IF(Request!$B$38="",IF(DB!C86="","",DB!C86),IF(ISERROR(HLOOKUP(Request!$B$38,$L$1:$AE$20,K86,FALSE)),"",IF(HLOOKUP(Request!$B$38,$L$1:$AE$105,K86,FALSE)="","",HLOOKUP(Request!$B$38,$L$1:$AE$105,K86,FALSE)))))</f>
        <v>Smart Building</v>
      </c>
      <c r="C87" s="67" t="s">
        <v>145</v>
      </c>
      <c r="D87" s="67" t="str">
        <f t="shared" si="6"/>
        <v>CE Smart Parking</v>
      </c>
      <c r="E87" s="67" t="str">
        <f t="shared" si="7"/>
        <v>Smart Parking</v>
      </c>
      <c r="K87" s="67">
        <v>87</v>
      </c>
      <c r="W87" s="67" t="str">
        <f>IF(Request!$B$38=DB!$W$1,"",C86)</f>
        <v>Smart Building</v>
      </c>
      <c r="AF87" s="68" t="s">
        <v>279</v>
      </c>
      <c r="AZ87" s="68"/>
    </row>
    <row r="88" spans="1:52">
      <c r="A88" s="67" t="str">
        <f>IF(AND(Request!$K$38="",Request!$B$38=""),IF(DB!C87="","",DB!C87),IF(Request!$B$38="",IF(DB!C87="","",DB!C87),IF(ISERROR(HLOOKUP(Request!$B$38,$L$1:$AE$20,K87,FALSE)),"",IF(HLOOKUP(Request!$B$38,$L$1:$AE$105,K87,FALSE)="","",HLOOKUP(Request!$B$38,$L$1:$AE$105,K87,FALSE)))))</f>
        <v>Smart Parking</v>
      </c>
      <c r="C88" s="67" t="s">
        <v>155</v>
      </c>
      <c r="D88" s="67" t="str">
        <f t="shared" si="6"/>
        <v>CE Smart Transportation</v>
      </c>
      <c r="E88" s="67" t="str">
        <f t="shared" si="7"/>
        <v>Smart Transportation</v>
      </c>
      <c r="K88" s="67">
        <v>88</v>
      </c>
      <c r="W88" s="67" t="str">
        <f>IF(Request!$B$38=DB!$W$1,"",C87)</f>
        <v>Smart Parking</v>
      </c>
      <c r="AF88" s="68" t="s">
        <v>280</v>
      </c>
      <c r="AZ88" s="68"/>
    </row>
    <row r="89" spans="1:52">
      <c r="A89" s="67" t="str">
        <f>IF(AND(Request!$K$38="",Request!$B$38=""),IF(DB!C88="","",DB!C88),IF(Request!$B$38="",IF(DB!C88="","",DB!C88),IF(ISERROR(HLOOKUP(Request!$B$38,$L$1:$AE$20,K88,FALSE)),"",IF(HLOOKUP(Request!$B$38,$L$1:$AE$105,K88,FALSE)="","",HLOOKUP(Request!$B$38,$L$1:$AE$105,K88,FALSE)))))</f>
        <v>Smart Transportation</v>
      </c>
      <c r="C89" s="67" t="s">
        <v>160</v>
      </c>
      <c r="D89" s="67" t="str">
        <f t="shared" si="6"/>
        <v>CE Smoke Detectors</v>
      </c>
      <c r="E89" s="67" t="str">
        <f t="shared" si="7"/>
        <v>Smoke Detectors</v>
      </c>
      <c r="K89" s="67">
        <v>89</v>
      </c>
      <c r="W89" s="67" t="str">
        <f>IF(Request!$B$38=DB!$W$1,"",C88)</f>
        <v>Smart Transportation</v>
      </c>
      <c r="AF89" s="68" t="s">
        <v>281</v>
      </c>
      <c r="AZ89" s="68"/>
    </row>
    <row r="90" spans="1:52">
      <c r="A90" s="67" t="str">
        <f>IF(AND(Request!$K$38="",Request!$B$38=""),IF(DB!C89="","",DB!C89),IF(Request!$B$38="",IF(DB!C89="","",DB!C89),IF(ISERROR(HLOOKUP(Request!$B$38,$L$1:$AE$20,K89,FALSE)),"",IF(HLOOKUP(Request!$B$38,$L$1:$AE$105,K89,FALSE)="","",HLOOKUP(Request!$B$38,$L$1:$AE$105,K89,FALSE)))))</f>
        <v>Smoke Detectors</v>
      </c>
      <c r="C90" s="67" t="s">
        <v>92</v>
      </c>
      <c r="D90" s="67" t="str">
        <f t="shared" si="6"/>
        <v>CE Street Lighting</v>
      </c>
      <c r="E90" s="67" t="str">
        <f t="shared" si="7"/>
        <v>Street Lighting</v>
      </c>
      <c r="K90" s="67">
        <v>90</v>
      </c>
      <c r="W90" s="67" t="str">
        <f>IF(Request!$B$38=DB!$W$1,"",C89)</f>
        <v>Smoke Detectors</v>
      </c>
      <c r="AF90" s="68" t="s">
        <v>282</v>
      </c>
      <c r="AZ90" s="68"/>
    </row>
    <row r="91" spans="1:52">
      <c r="A91" s="67" t="str">
        <f>IF(AND(Request!$K$38="",Request!$B$38=""),IF(DB!C90="","",DB!C90),IF(Request!$B$38="",IF(DB!C90="","",DB!C90),IF(ISERROR(HLOOKUP(Request!$B$38,$L$1:$AE$20,K90,FALSE)),"",IF(HLOOKUP(Request!$B$38,$L$1:$AE$105,K90,FALSE)="","",HLOOKUP(Request!$B$38,$L$1:$AE$105,K90,FALSE)))))</f>
        <v>Street Lighting</v>
      </c>
      <c r="C91" s="67" t="s">
        <v>156</v>
      </c>
      <c r="D91" s="67" t="str">
        <f t="shared" si="6"/>
        <v>CE Surgery Tools</v>
      </c>
      <c r="E91" s="67" t="str">
        <f t="shared" si="7"/>
        <v>Surgery Tools</v>
      </c>
      <c r="K91" s="67">
        <v>91</v>
      </c>
      <c r="W91" s="67" t="str">
        <f>IF(Request!$B$38=DB!$W$1,"",C90)</f>
        <v>Street Lighting</v>
      </c>
      <c r="AF91" s="68" t="s">
        <v>283</v>
      </c>
      <c r="AZ91" s="68"/>
    </row>
    <row r="92" spans="1:52">
      <c r="A92" s="67" t="str">
        <f>IF(AND(Request!$K$38="",Request!$B$38=""),IF(DB!C91="","",DB!C91),IF(Request!$B$38="",IF(DB!C91="","",DB!C91),IF(ISERROR(HLOOKUP(Request!$B$38,$L$1:$AE$20,K91,FALSE)),"",IF(HLOOKUP(Request!$B$38,$L$1:$AE$105,K91,FALSE)="","",HLOOKUP(Request!$B$38,$L$1:$AE$105,K91,FALSE)))))</f>
        <v>Surgery Tools</v>
      </c>
      <c r="C92" s="67" t="s">
        <v>144</v>
      </c>
      <c r="D92" s="67" t="str">
        <f t="shared" si="6"/>
        <v>CE Tank Monitoring</v>
      </c>
      <c r="E92" s="67" t="str">
        <f t="shared" si="7"/>
        <v>Tank Monitoring</v>
      </c>
      <c r="K92" s="67">
        <v>92</v>
      </c>
      <c r="W92" s="67" t="str">
        <f>IF(Request!$B$38=DB!$W$1,"",C91)</f>
        <v>Surgery Tools</v>
      </c>
      <c r="AF92" s="68" t="s">
        <v>284</v>
      </c>
      <c r="AZ92" s="68"/>
    </row>
    <row r="93" spans="1:52">
      <c r="A93" s="67" t="str">
        <f>IF(AND(Request!$K$38="",Request!$B$38=""),IF(DB!C92="","",DB!C92),IF(Request!$B$38="",IF(DB!C92="","",DB!C92),IF(ISERROR(HLOOKUP(Request!$B$38,$L$1:$AE$20,K92,FALSE)),"",IF(HLOOKUP(Request!$B$38,$L$1:$AE$105,K92,FALSE)="","",HLOOKUP(Request!$B$38,$L$1:$AE$105,K92,FALSE)))))</f>
        <v>Tank Monitoring</v>
      </c>
      <c r="C93" s="67" t="s">
        <v>88</v>
      </c>
      <c r="D93" s="67" t="str">
        <f t="shared" si="6"/>
        <v>CE Telematics</v>
      </c>
      <c r="E93" s="67" t="str">
        <f t="shared" si="7"/>
        <v>Telematics</v>
      </c>
      <c r="K93" s="67">
        <v>93</v>
      </c>
      <c r="W93" s="67" t="str">
        <f>IF(Request!$B$38=DB!$W$1,"",C92)</f>
        <v>Tank Monitoring</v>
      </c>
      <c r="AF93" s="68" t="s">
        <v>285</v>
      </c>
      <c r="AZ93" s="68"/>
    </row>
    <row r="94" spans="1:52">
      <c r="A94" s="67" t="str">
        <f>IF(AND(Request!$K$38="",Request!$B$38=""),IF(DB!C93="","",DB!C93),IF(Request!$B$38="",IF(DB!C93="","",DB!C93),IF(ISERROR(HLOOKUP(Request!$B$38,$L$1:$AE$20,K93,FALSE)),"",IF(HLOOKUP(Request!$B$38,$L$1:$AE$105,K93,FALSE)="","",HLOOKUP(Request!$B$38,$L$1:$AE$105,K93,FALSE)))))</f>
        <v>Telematics</v>
      </c>
      <c r="C94" s="67" t="s">
        <v>105</v>
      </c>
      <c r="D94" s="67" t="str">
        <f t="shared" si="6"/>
        <v>CE Tire Pressure Monitoring</v>
      </c>
      <c r="E94" s="67" t="str">
        <f t="shared" si="7"/>
        <v>Tire Pressure Monitoring</v>
      </c>
      <c r="K94" s="67">
        <v>94</v>
      </c>
      <c r="W94" s="67" t="str">
        <f>IF(Request!$B$38=DB!$W$1,"",C93)</f>
        <v>Telematics</v>
      </c>
      <c r="AF94" s="68" t="s">
        <v>286</v>
      </c>
      <c r="AZ94" s="68"/>
    </row>
    <row r="95" spans="1:52">
      <c r="A95" s="67" t="str">
        <f>IF(AND(Request!$K$38="",Request!$B$38=""),IF(DB!C94="","",DB!C94),IF(Request!$B$38="",IF(DB!C94="","",DB!C94),IF(ISERROR(HLOOKUP(Request!$B$38,$L$1:$AE$20,K94,FALSE)),"",IF(HLOOKUP(Request!$B$38,$L$1:$AE$105,K94,FALSE)="","",HLOOKUP(Request!$B$38,$L$1:$AE$105,K94,FALSE)))))</f>
        <v>Tire Pressure Monitoring</v>
      </c>
      <c r="C95" s="67" t="s">
        <v>108</v>
      </c>
      <c r="D95" s="67" t="str">
        <f t="shared" si="6"/>
        <v>CE Traffic Lighting</v>
      </c>
      <c r="E95" s="67" t="str">
        <f t="shared" si="7"/>
        <v>Traffic Lighting</v>
      </c>
      <c r="K95" s="67">
        <v>95</v>
      </c>
      <c r="W95" s="67" t="str">
        <f>IF(Request!$B$38=DB!$W$1,"",C94)</f>
        <v>Tire Pressure Monitoring</v>
      </c>
      <c r="AF95" s="68" t="s">
        <v>287</v>
      </c>
      <c r="AZ95" s="68"/>
    </row>
    <row r="96" spans="1:52">
      <c r="A96" s="67" t="str">
        <f>IF(AND(Request!$K$38="",Request!$B$38=""),IF(DB!C95="","",DB!C95),IF(Request!$B$38="",IF(DB!C95="","",DB!C95),IF(ISERROR(HLOOKUP(Request!$B$38,$L$1:$AE$20,K95,FALSE)),"",IF(HLOOKUP(Request!$B$38,$L$1:$AE$105,K95,FALSE)="","",HLOOKUP(Request!$B$38,$L$1:$AE$105,K95,FALSE)))))</f>
        <v>Traffic Lighting</v>
      </c>
      <c r="C96" s="67" t="s">
        <v>111</v>
      </c>
      <c r="D96" s="67" t="str">
        <f t="shared" si="6"/>
        <v>CE Underground Mining Machinery</v>
      </c>
      <c r="E96" s="67" t="str">
        <f t="shared" si="7"/>
        <v>Underground Mining Machinery</v>
      </c>
      <c r="K96" s="67">
        <v>96</v>
      </c>
      <c r="W96" s="67" t="str">
        <f>IF(Request!$B$38=DB!$W$1,"",C95)</f>
        <v>Traffic Lighting</v>
      </c>
      <c r="AF96" s="68" t="s">
        <v>288</v>
      </c>
      <c r="AZ96" s="68"/>
    </row>
    <row r="97" spans="1:52">
      <c r="A97" s="67" t="str">
        <f>IF(AND(Request!$K$38="",Request!$B$38=""),IF(DB!C96="","",DB!C96),IF(Request!$B$38="",IF(DB!C96="","",DB!C96),IF(ISERROR(HLOOKUP(Request!$B$38,$L$1:$AE$20,K96,FALSE)),"",IF(HLOOKUP(Request!$B$38,$L$1:$AE$105,K96,FALSE)="","",HLOOKUP(Request!$B$38,$L$1:$AE$105,K96,FALSE)))))</f>
        <v>Underground Mining Machinery</v>
      </c>
      <c r="C97" s="67" t="s">
        <v>89</v>
      </c>
      <c r="D97" s="67" t="str">
        <f t="shared" si="6"/>
        <v>CE Unmanned Aircraft Systems</v>
      </c>
      <c r="E97" s="67" t="str">
        <f t="shared" si="7"/>
        <v>Unmanned Aircraft Systems</v>
      </c>
      <c r="K97" s="67">
        <v>97</v>
      </c>
      <c r="W97" s="67" t="str">
        <f>IF(Request!$B$38=DB!$W$1,"",C96)</f>
        <v>Underground Mining Machinery</v>
      </c>
      <c r="AF97" s="68" t="s">
        <v>289</v>
      </c>
      <c r="AZ97" s="68"/>
    </row>
    <row r="98" spans="1:52">
      <c r="A98" s="67" t="str">
        <f>IF(AND(Request!$K$38="",Request!$B$38=""),IF(DB!C97="","",DB!C97),IF(Request!$B$38="",IF(DB!C97="","",DB!C97),IF(ISERROR(HLOOKUP(Request!$B$38,$L$1:$AE$20,K97,FALSE)),"",IF(HLOOKUP(Request!$B$38,$L$1:$AE$105,K97,FALSE)="","",HLOOKUP(Request!$B$38,$L$1:$AE$105,K97,FALSE)))))</f>
        <v>Unmanned Aircraft Systems</v>
      </c>
      <c r="C98" s="67" t="s">
        <v>167</v>
      </c>
      <c r="D98" s="67" t="str">
        <f t="shared" ref="D98:D103" si="8">CONCATENATE("CE ",C98)</f>
        <v>CE UPS Backup</v>
      </c>
      <c r="E98" s="67" t="str">
        <f t="shared" si="7"/>
        <v>UPS Backup</v>
      </c>
      <c r="K98" s="67">
        <v>98</v>
      </c>
      <c r="W98" s="67" t="str">
        <f>IF(Request!$B$38=DB!$W$1,"",C97)</f>
        <v>Unmanned Aircraft Systems</v>
      </c>
      <c r="AF98" s="68" t="s">
        <v>290</v>
      </c>
      <c r="AZ98" s="68"/>
    </row>
    <row r="99" spans="1:52">
      <c r="A99" s="67" t="str">
        <f>IF(AND(Request!$K$38="",Request!$B$38=""),IF(DB!C98="","",DB!C98),IF(Request!$B$38="",IF(DB!C98="","",DB!C98),IF(ISERROR(HLOOKUP(Request!$B$38,$L$1:$AE$20,K98,FALSE)),"",IF(HLOOKUP(Request!$B$38,$L$1:$AE$105,K98,FALSE)="","",HLOOKUP(Request!$B$38,$L$1:$AE$105,K98,FALSE)))))</f>
        <v>UPS Backup</v>
      </c>
      <c r="C99" s="67" t="s">
        <v>162</v>
      </c>
      <c r="D99" s="67" t="str">
        <f t="shared" si="8"/>
        <v>CE Water Meters</v>
      </c>
      <c r="E99" s="67" t="str">
        <f t="shared" si="7"/>
        <v>Water Meters</v>
      </c>
      <c r="K99" s="67">
        <v>99</v>
      </c>
      <c r="W99" s="67" t="str">
        <f>IF(Request!$B$38=DB!$W$1,"",C98)</f>
        <v>UPS Backup</v>
      </c>
      <c r="AF99" s="68" t="s">
        <v>291</v>
      </c>
      <c r="AZ99" s="68"/>
    </row>
    <row r="100" spans="1:52">
      <c r="A100" s="67" t="str">
        <f>IF(AND(Request!$K$38="",Request!$B$38=""),IF(DB!C99="","",DB!C99),IF(Request!$B$38="",IF(DB!C99="","",DB!C99),IF(ISERROR(HLOOKUP(Request!$B$38,$L$1:$AE$20,K99,FALSE)),"",IF(HLOOKUP(Request!$B$38,$L$1:$AE$105,K99,FALSE)="","",HLOOKUP(Request!$B$38,$L$1:$AE$105,K99,FALSE)))))</f>
        <v>Water Meters</v>
      </c>
      <c r="C100" s="67" t="s">
        <v>158</v>
      </c>
      <c r="D100" s="67" t="str">
        <f t="shared" si="8"/>
        <v>CE Well Completion Tool</v>
      </c>
      <c r="E100" s="67" t="str">
        <f t="shared" si="7"/>
        <v>Well Completion Tool</v>
      </c>
      <c r="K100" s="67">
        <v>100</v>
      </c>
      <c r="W100" s="67" t="str">
        <f>IF(Request!$B$38=DB!$W$1,"",C99)</f>
        <v>Water Meters</v>
      </c>
      <c r="AF100" s="68" t="s">
        <v>292</v>
      </c>
      <c r="AZ100" s="68"/>
    </row>
    <row r="101" spans="1:52">
      <c r="A101" s="67" t="str">
        <f>IF(AND(Request!$K$38="",Request!$B$38=""),IF(DB!C100="","",DB!C100),IF(Request!$B$38="",IF(DB!C100="","",DB!C100),IF(ISERROR(HLOOKUP(Request!$B$38,$L$1:$AE$20,K100,FALSE)),"",IF(HLOOKUP(Request!$B$38,$L$1:$AE$105,K100,FALSE)="","",HLOOKUP(Request!$B$38,$L$1:$AE$105,K100,FALSE)))))</f>
        <v>Well Completion Tool</v>
      </c>
      <c r="C101" s="67" t="s">
        <v>148</v>
      </c>
      <c r="D101" s="67" t="str">
        <f t="shared" si="8"/>
        <v>CE Wheelchairs</v>
      </c>
      <c r="E101" s="67" t="str">
        <f t="shared" si="7"/>
        <v>Wheelchairs</v>
      </c>
      <c r="K101" s="67">
        <v>101</v>
      </c>
      <c r="W101" s="67" t="str">
        <f>IF(Request!$B$38=DB!$W$1,"",C100)</f>
        <v>Well Completion Tool</v>
      </c>
      <c r="AF101" s="68" t="s">
        <v>293</v>
      </c>
      <c r="AZ101" s="68"/>
    </row>
    <row r="102" spans="1:52">
      <c r="A102" s="67" t="str">
        <f>IF(AND(Request!$K$38="",Request!$B$38=""),IF(DB!C101="","",DB!C101),IF(Request!$B$38="",IF(DB!C101="","",DB!C101),IF(ISERROR(HLOOKUP(Request!$B$38,$L$1:$AE$20,K101,FALSE)),"",IF(HLOOKUP(Request!$B$38,$L$1:$AE$105,K101,FALSE)="","",HLOOKUP(Request!$B$38,$L$1:$AE$105,K101,FALSE)))))</f>
        <v>Wheelchairs</v>
      </c>
      <c r="C102" s="67" t="s">
        <v>132</v>
      </c>
      <c r="D102" s="67" t="str">
        <f t="shared" si="8"/>
        <v>CE Woodfire Monitoring</v>
      </c>
      <c r="E102" s="67" t="str">
        <f t="shared" si="7"/>
        <v>Woodfire Monitoring</v>
      </c>
      <c r="K102" s="67">
        <v>102</v>
      </c>
      <c r="W102" s="67" t="str">
        <f>IF(Request!$B$38=DB!$W$1,"",C101)</f>
        <v>Wheelchairs</v>
      </c>
      <c r="AF102" s="68" t="s">
        <v>294</v>
      </c>
      <c r="AZ102" s="68"/>
    </row>
    <row r="103" spans="1:52">
      <c r="A103" s="67" t="str">
        <f>IF(AND(Request!$K$38="",Request!$B$38=""),IF(DB!C102="","",DB!C102),IF(Request!$B$38="",IF(DB!C102="","",DB!C102),IF(ISERROR(HLOOKUP(Request!$B$38,$L$1:$AE$20,K102,FALSE)),"",IF(HLOOKUP(Request!$B$38,$L$1:$AE$105,K102,FALSE)="","",HLOOKUP(Request!$B$38,$L$1:$AE$105,K102,FALSE)))))</f>
        <v>Woodfire Monitoring</v>
      </c>
      <c r="C103" s="67" t="s">
        <v>61</v>
      </c>
      <c r="D103" s="67" t="str">
        <f t="shared" si="8"/>
        <v>CE Other</v>
      </c>
      <c r="E103" s="67" t="str">
        <f t="shared" si="7"/>
        <v>Other</v>
      </c>
      <c r="K103" s="67">
        <v>103</v>
      </c>
      <c r="W103" s="67" t="str">
        <f>IF(Request!$B$38=DB!$W$1,"",C102)</f>
        <v>Woodfire Monitoring</v>
      </c>
      <c r="AF103" s="68" t="s">
        <v>295</v>
      </c>
      <c r="AZ103" s="68"/>
    </row>
    <row r="104" spans="1:52">
      <c r="A104" s="67" t="str">
        <f>IF(AND(Request!$K$38="",Request!$B$38=""),IF(DB!C103="","",DB!C103),IF(Request!$B$38="",IF(DB!C103="","",DB!C103),IF(ISERROR(HLOOKUP(Request!$B$38,$L$1:$AE$20,K103,FALSE)),"",IF(HLOOKUP(Request!$B$38,$L$1:$AE$105,K103,FALSE)="","",HLOOKUP(Request!$B$38,$L$1:$AE$105,K103,FALSE)))))</f>
        <v>Other</v>
      </c>
      <c r="K104" s="67">
        <v>104</v>
      </c>
      <c r="AF104" s="68" t="s">
        <v>296</v>
      </c>
      <c r="AZ104" s="68"/>
    </row>
    <row r="105" spans="1:52">
      <c r="A105" s="67" t="str">
        <f>IF(AND(Request!$K$38="",Request!$B$38=""),IF(DB!C104="","",DB!C104),IF(Request!$B$38="",IF(DB!C104="","",DB!C104),IF(ISERROR(HLOOKUP(Request!$B$38,$L$1:$AE$20,K104,FALSE)),"",IF(HLOOKUP(Request!$B$38,$L$1:$AE$105,K104,FALSE)="","",HLOOKUP(Request!$B$38,$L$1:$AE$105,K104,FALSE)))))</f>
        <v/>
      </c>
      <c r="K105" s="67">
        <v>105</v>
      </c>
      <c r="AF105" s="68" t="s">
        <v>297</v>
      </c>
      <c r="AZ105" s="68"/>
    </row>
    <row r="106" spans="1:52">
      <c r="K106" s="67">
        <v>106</v>
      </c>
      <c r="L106" s="67" t="str">
        <f>L1</f>
        <v>Automation &amp; Instrumentation</v>
      </c>
      <c r="M106" s="67" t="str">
        <f t="shared" ref="M106:AE106" si="9">M1</f>
        <v>Automotive</v>
      </c>
      <c r="N106" s="67" t="str">
        <f t="shared" si="9"/>
        <v>Aviation</v>
      </c>
      <c r="O106" s="67" t="str">
        <f t="shared" si="9"/>
        <v>Environment Monitoring</v>
      </c>
      <c r="P106" s="67" t="str">
        <f t="shared" si="9"/>
        <v>Internet Of Things</v>
      </c>
      <c r="Q106" s="67" t="str">
        <f t="shared" si="9"/>
        <v>Lighting &amp; Signaling</v>
      </c>
      <c r="R106" s="67" t="str">
        <f t="shared" si="9"/>
        <v>Medical</v>
      </c>
      <c r="S106" s="67" t="str">
        <f t="shared" si="9"/>
        <v>Military / Soldier System</v>
      </c>
      <c r="T106" s="67" t="str">
        <f t="shared" si="9"/>
        <v>Mining</v>
      </c>
      <c r="U106" s="67" t="str">
        <f t="shared" si="9"/>
        <v>Mobility</v>
      </c>
      <c r="V106" s="67" t="str">
        <f t="shared" si="9"/>
        <v>Oil &amp; Gas</v>
      </c>
      <c r="W106" s="67" t="str">
        <f t="shared" si="9"/>
        <v>Other</v>
      </c>
      <c r="X106" s="67" t="str">
        <f t="shared" si="9"/>
        <v>Professional Power Tools</v>
      </c>
      <c r="Y106" s="67" t="str">
        <f t="shared" si="9"/>
        <v>Search &amp; Rescue</v>
      </c>
      <c r="Z106" s="67" t="str">
        <f t="shared" si="9"/>
        <v>Security</v>
      </c>
      <c r="AA106" s="67" t="str">
        <f t="shared" si="9"/>
        <v>Space</v>
      </c>
      <c r="AB106" s="67" t="str">
        <f t="shared" si="9"/>
        <v>Telecom</v>
      </c>
      <c r="AC106" s="67" t="str">
        <f t="shared" si="9"/>
        <v>Tracking</v>
      </c>
      <c r="AD106" s="67" t="str">
        <f t="shared" si="9"/>
        <v>Urban Infrastructures</v>
      </c>
      <c r="AE106" s="67" t="str">
        <f t="shared" si="9"/>
        <v>Utility Metering</v>
      </c>
      <c r="AF106" s="68" t="s">
        <v>298</v>
      </c>
      <c r="AZ106" s="68"/>
    </row>
    <row r="107" spans="1:52">
      <c r="AF107" s="68" t="s">
        <v>299</v>
      </c>
      <c r="AZ107" s="68"/>
    </row>
    <row r="108" spans="1:52">
      <c r="AF108" s="68" t="s">
        <v>300</v>
      </c>
      <c r="AZ108" s="68"/>
    </row>
    <row r="109" spans="1:52">
      <c r="AF109" s="68" t="s">
        <v>301</v>
      </c>
      <c r="AZ109" s="68"/>
    </row>
    <row r="110" spans="1:52">
      <c r="AF110" s="68" t="s">
        <v>302</v>
      </c>
      <c r="AZ110" s="68"/>
    </row>
    <row r="111" spans="1:52">
      <c r="AF111" s="68" t="s">
        <v>303</v>
      </c>
      <c r="AZ111" s="68"/>
    </row>
    <row r="112" spans="1:52">
      <c r="AF112" s="68" t="s">
        <v>304</v>
      </c>
      <c r="AZ112" s="68"/>
    </row>
    <row r="113" spans="32:52">
      <c r="AF113" s="68" t="s">
        <v>305</v>
      </c>
      <c r="AZ113" s="68"/>
    </row>
    <row r="114" spans="32:52">
      <c r="AF114" s="68" t="s">
        <v>306</v>
      </c>
      <c r="AZ114" s="68"/>
    </row>
    <row r="115" spans="32:52">
      <c r="AF115" s="68" t="s">
        <v>307</v>
      </c>
      <c r="AZ115" s="68"/>
    </row>
    <row r="116" spans="32:52">
      <c r="AF116" s="68" t="s">
        <v>308</v>
      </c>
      <c r="AZ116" s="68"/>
    </row>
    <row r="117" spans="32:52">
      <c r="AF117" s="68" t="s">
        <v>309</v>
      </c>
      <c r="AZ117" s="68"/>
    </row>
    <row r="118" spans="32:52">
      <c r="AF118" s="68" t="s">
        <v>310</v>
      </c>
      <c r="AZ118" s="68"/>
    </row>
    <row r="119" spans="32:52">
      <c r="AF119" s="68" t="s">
        <v>311</v>
      </c>
      <c r="AZ119" s="68"/>
    </row>
    <row r="120" spans="32:52">
      <c r="AF120" s="68" t="s">
        <v>312</v>
      </c>
      <c r="AZ120" s="68"/>
    </row>
    <row r="121" spans="32:52">
      <c r="AF121" s="68" t="s">
        <v>313</v>
      </c>
      <c r="AZ121" s="68"/>
    </row>
    <row r="122" spans="32:52">
      <c r="AF122" s="68" t="s">
        <v>314</v>
      </c>
      <c r="AZ122" s="68"/>
    </row>
    <row r="123" spans="32:52">
      <c r="AF123" s="68" t="s">
        <v>315</v>
      </c>
      <c r="AZ123" s="68"/>
    </row>
    <row r="124" spans="32:52">
      <c r="AF124" s="68" t="s">
        <v>316</v>
      </c>
      <c r="AZ124" s="68"/>
    </row>
    <row r="125" spans="32:52">
      <c r="AF125" s="68" t="s">
        <v>317</v>
      </c>
      <c r="AZ125" s="68"/>
    </row>
    <row r="126" spans="32:52">
      <c r="AF126" s="68" t="s">
        <v>318</v>
      </c>
      <c r="AZ126" s="68"/>
    </row>
    <row r="127" spans="32:52">
      <c r="AF127" s="68" t="s">
        <v>319</v>
      </c>
      <c r="AZ127" s="68"/>
    </row>
    <row r="128" spans="32:52">
      <c r="AF128" s="68" t="s">
        <v>320</v>
      </c>
      <c r="AZ128" s="68"/>
    </row>
    <row r="129" spans="32:52">
      <c r="AF129" s="68" t="s">
        <v>321</v>
      </c>
      <c r="AZ129" s="68"/>
    </row>
    <row r="130" spans="32:52">
      <c r="AF130" s="68" t="s">
        <v>322</v>
      </c>
      <c r="AZ130" s="68"/>
    </row>
    <row r="131" spans="32:52">
      <c r="AF131" s="68" t="s">
        <v>323</v>
      </c>
      <c r="AZ131" s="68"/>
    </row>
    <row r="132" spans="32:52">
      <c r="AF132" s="68" t="s">
        <v>324</v>
      </c>
      <c r="AZ132" s="68"/>
    </row>
    <row r="133" spans="32:52">
      <c r="AF133" s="68" t="s">
        <v>325</v>
      </c>
      <c r="AZ133" s="68"/>
    </row>
    <row r="134" spans="32:52">
      <c r="AF134" s="68" t="s">
        <v>326</v>
      </c>
      <c r="AZ134" s="68"/>
    </row>
    <row r="135" spans="32:52">
      <c r="AF135" s="68" t="s">
        <v>327</v>
      </c>
      <c r="AZ135" s="68"/>
    </row>
    <row r="136" spans="32:52">
      <c r="AF136" s="68" t="s">
        <v>328</v>
      </c>
      <c r="AZ136" s="68"/>
    </row>
    <row r="137" spans="32:52">
      <c r="AF137" s="68" t="s">
        <v>329</v>
      </c>
      <c r="AZ137" s="68"/>
    </row>
    <row r="138" spans="32:52">
      <c r="AF138" s="68" t="s">
        <v>330</v>
      </c>
      <c r="AZ138" s="68"/>
    </row>
    <row r="139" spans="32:52">
      <c r="AF139" s="68" t="s">
        <v>331</v>
      </c>
      <c r="AZ139" s="68"/>
    </row>
    <row r="140" spans="32:52">
      <c r="AF140" s="68" t="s">
        <v>332</v>
      </c>
      <c r="AZ140" s="68"/>
    </row>
    <row r="141" spans="32:52">
      <c r="AF141" s="68" t="s">
        <v>333</v>
      </c>
      <c r="AZ141" s="68"/>
    </row>
    <row r="142" spans="32:52">
      <c r="AF142" s="68" t="s">
        <v>334</v>
      </c>
      <c r="AZ142" s="68"/>
    </row>
    <row r="143" spans="32:52">
      <c r="AF143" s="68" t="s">
        <v>335</v>
      </c>
      <c r="AZ143" s="68"/>
    </row>
    <row r="144" spans="32:52">
      <c r="AF144" s="68" t="s">
        <v>336</v>
      </c>
      <c r="AZ144" s="68"/>
    </row>
    <row r="145" spans="32:52">
      <c r="AF145" s="68" t="s">
        <v>337</v>
      </c>
      <c r="AZ145" s="68"/>
    </row>
    <row r="146" spans="32:52">
      <c r="AF146" s="68" t="s">
        <v>338</v>
      </c>
      <c r="AZ146" s="68"/>
    </row>
    <row r="147" spans="32:52">
      <c r="AF147" s="68" t="s">
        <v>339</v>
      </c>
      <c r="AZ147" s="68"/>
    </row>
    <row r="148" spans="32:52">
      <c r="AF148" s="68" t="s">
        <v>340</v>
      </c>
      <c r="AZ148" s="68"/>
    </row>
    <row r="149" spans="32:52">
      <c r="AF149" s="68" t="s">
        <v>341</v>
      </c>
      <c r="AZ149" s="68"/>
    </row>
    <row r="150" spans="32:52">
      <c r="AF150" s="68" t="s">
        <v>342</v>
      </c>
      <c r="AZ150" s="68"/>
    </row>
    <row r="151" spans="32:52">
      <c r="AF151" s="68" t="s">
        <v>343</v>
      </c>
      <c r="AZ151" s="68"/>
    </row>
    <row r="152" spans="32:52">
      <c r="AF152" s="68" t="s">
        <v>344</v>
      </c>
      <c r="AZ152" s="68"/>
    </row>
    <row r="153" spans="32:52">
      <c r="AF153" s="68" t="s">
        <v>345</v>
      </c>
      <c r="AZ153" s="68"/>
    </row>
    <row r="154" spans="32:52">
      <c r="AF154" s="68" t="s">
        <v>346</v>
      </c>
      <c r="AZ154" s="68"/>
    </row>
    <row r="155" spans="32:52">
      <c r="AF155" s="68" t="s">
        <v>347</v>
      </c>
      <c r="AZ155" s="68"/>
    </row>
    <row r="156" spans="32:52">
      <c r="AF156" s="68" t="s">
        <v>348</v>
      </c>
      <c r="AZ156" s="68"/>
    </row>
    <row r="157" spans="32:52">
      <c r="AF157" s="68" t="s">
        <v>349</v>
      </c>
      <c r="AZ157" s="68"/>
    </row>
    <row r="158" spans="32:52">
      <c r="AF158" s="68" t="s">
        <v>350</v>
      </c>
      <c r="AZ158" s="68"/>
    </row>
    <row r="159" spans="32:52">
      <c r="AF159" s="68" t="s">
        <v>351</v>
      </c>
      <c r="AZ159" s="68"/>
    </row>
    <row r="160" spans="32:52">
      <c r="AF160" s="68" t="s">
        <v>352</v>
      </c>
      <c r="AZ160" s="68"/>
    </row>
    <row r="161" spans="32:52">
      <c r="AF161" s="68" t="s">
        <v>353</v>
      </c>
      <c r="AZ161" s="68"/>
    </row>
    <row r="162" spans="32:52">
      <c r="AF162" s="68" t="s">
        <v>354</v>
      </c>
      <c r="AZ162" s="68"/>
    </row>
    <row r="163" spans="32:52">
      <c r="AF163" s="68" t="s">
        <v>355</v>
      </c>
      <c r="AZ163" s="68"/>
    </row>
    <row r="164" spans="32:52">
      <c r="AF164" s="68" t="s">
        <v>356</v>
      </c>
      <c r="AZ164" s="68"/>
    </row>
    <row r="165" spans="32:52">
      <c r="AF165" s="68" t="s">
        <v>357</v>
      </c>
      <c r="AZ165" s="68"/>
    </row>
    <row r="166" spans="32:52">
      <c r="AF166" s="68" t="s">
        <v>358</v>
      </c>
      <c r="AZ166" s="68"/>
    </row>
    <row r="167" spans="32:52">
      <c r="AF167" s="68" t="s">
        <v>359</v>
      </c>
      <c r="AZ167" s="68"/>
    </row>
    <row r="168" spans="32:52">
      <c r="AF168" s="68" t="s">
        <v>360</v>
      </c>
      <c r="AZ168" s="68"/>
    </row>
    <row r="169" spans="32:52">
      <c r="AF169" s="68" t="s">
        <v>361</v>
      </c>
      <c r="AZ169" s="68"/>
    </row>
    <row r="170" spans="32:52">
      <c r="AF170" s="68" t="s">
        <v>362</v>
      </c>
      <c r="AZ170" s="68"/>
    </row>
    <row r="171" spans="32:52">
      <c r="AF171" s="68" t="s">
        <v>363</v>
      </c>
      <c r="AZ171" s="68"/>
    </row>
    <row r="172" spans="32:52">
      <c r="AF172" s="68" t="s">
        <v>364</v>
      </c>
      <c r="AZ172" s="68"/>
    </row>
    <row r="173" spans="32:52">
      <c r="AF173" s="68" t="s">
        <v>365</v>
      </c>
      <c r="AZ173" s="68"/>
    </row>
    <row r="174" spans="32:52">
      <c r="AF174" s="68" t="s">
        <v>366</v>
      </c>
      <c r="AZ174" s="68"/>
    </row>
    <row r="175" spans="32:52">
      <c r="AF175" s="68" t="s">
        <v>367</v>
      </c>
      <c r="AZ175" s="68"/>
    </row>
    <row r="176" spans="32:52">
      <c r="AF176" s="68" t="s">
        <v>368</v>
      </c>
      <c r="AZ176" s="68"/>
    </row>
    <row r="177" spans="32:52">
      <c r="AF177" s="68" t="s">
        <v>369</v>
      </c>
      <c r="AZ177" s="68"/>
    </row>
    <row r="178" spans="32:52">
      <c r="AF178" s="68" t="s">
        <v>370</v>
      </c>
      <c r="AZ178" s="68"/>
    </row>
    <row r="179" spans="32:52">
      <c r="AF179" s="68" t="s">
        <v>371</v>
      </c>
      <c r="AZ179" s="68"/>
    </row>
    <row r="180" spans="32:52">
      <c r="AF180" s="68" t="s">
        <v>372</v>
      </c>
      <c r="AZ180" s="68"/>
    </row>
    <row r="181" spans="32:52">
      <c r="AF181" s="68" t="s">
        <v>373</v>
      </c>
      <c r="AZ181" s="68"/>
    </row>
    <row r="182" spans="32:52">
      <c r="AF182" s="68" t="s">
        <v>374</v>
      </c>
      <c r="AZ182" s="68"/>
    </row>
    <row r="183" spans="32:52">
      <c r="AF183" s="68" t="s">
        <v>375</v>
      </c>
      <c r="AZ183" s="68"/>
    </row>
    <row r="184" spans="32:52">
      <c r="AF184" s="68" t="s">
        <v>376</v>
      </c>
      <c r="AZ184" s="68"/>
    </row>
    <row r="185" spans="32:52">
      <c r="AF185" s="68" t="s">
        <v>377</v>
      </c>
      <c r="AZ185" s="68"/>
    </row>
    <row r="186" spans="32:52">
      <c r="AF186" s="68" t="s">
        <v>378</v>
      </c>
      <c r="AZ186" s="68"/>
    </row>
    <row r="187" spans="32:52">
      <c r="AF187" s="68" t="s">
        <v>379</v>
      </c>
      <c r="AZ187" s="68"/>
    </row>
    <row r="188" spans="32:52">
      <c r="AF188" s="68" t="s">
        <v>380</v>
      </c>
      <c r="AZ188" s="68"/>
    </row>
    <row r="189" spans="32:52">
      <c r="AF189" s="68" t="s">
        <v>381</v>
      </c>
      <c r="AZ189" s="68"/>
    </row>
    <row r="190" spans="32:52">
      <c r="AF190" s="68" t="s">
        <v>382</v>
      </c>
      <c r="AZ190" s="68"/>
    </row>
    <row r="191" spans="32:52">
      <c r="AF191" s="68" t="s">
        <v>383</v>
      </c>
      <c r="AZ191" s="68"/>
    </row>
    <row r="192" spans="32:52">
      <c r="AF192" s="68" t="s">
        <v>384</v>
      </c>
      <c r="AZ192" s="68"/>
    </row>
    <row r="193" spans="32:52">
      <c r="AF193" s="68" t="s">
        <v>385</v>
      </c>
      <c r="AZ193" s="68"/>
    </row>
    <row r="194" spans="32:52">
      <c r="AF194" s="68" t="s">
        <v>386</v>
      </c>
      <c r="AZ194" s="68"/>
    </row>
    <row r="195" spans="32:52">
      <c r="AF195" s="68" t="s">
        <v>387</v>
      </c>
      <c r="AZ195" s="68"/>
    </row>
    <row r="196" spans="32:52">
      <c r="AF196" s="68" t="s">
        <v>388</v>
      </c>
      <c r="AZ196" s="68"/>
    </row>
    <row r="197" spans="32:52">
      <c r="AF197" s="68" t="s">
        <v>389</v>
      </c>
      <c r="AZ197" s="68"/>
    </row>
    <row r="198" spans="32:52">
      <c r="AF198" s="68" t="s">
        <v>390</v>
      </c>
      <c r="AZ198" s="68"/>
    </row>
    <row r="199" spans="32:52">
      <c r="AF199" s="68" t="s">
        <v>391</v>
      </c>
      <c r="AZ199" s="68"/>
    </row>
    <row r="200" spans="32:52">
      <c r="AF200" s="68" t="s">
        <v>392</v>
      </c>
      <c r="AZ200" s="68"/>
    </row>
    <row r="201" spans="32:52">
      <c r="AF201" s="68" t="s">
        <v>393</v>
      </c>
      <c r="AZ201" s="68"/>
    </row>
    <row r="202" spans="32:52">
      <c r="AF202" s="68" t="s">
        <v>394</v>
      </c>
      <c r="AZ202" s="68"/>
    </row>
    <row r="203" spans="32:52">
      <c r="AF203" s="68" t="s">
        <v>395</v>
      </c>
      <c r="AZ203" s="68"/>
    </row>
    <row r="204" spans="32:52">
      <c r="AF204" s="68" t="s">
        <v>396</v>
      </c>
      <c r="AZ204" s="68"/>
    </row>
    <row r="205" spans="32:52">
      <c r="AF205" s="68" t="s">
        <v>397</v>
      </c>
      <c r="AZ205" s="68"/>
    </row>
    <row r="206" spans="32:52">
      <c r="AF206" s="68" t="s">
        <v>398</v>
      </c>
      <c r="AZ206" s="68"/>
    </row>
    <row r="207" spans="32:52">
      <c r="AF207" s="68" t="s">
        <v>399</v>
      </c>
      <c r="AZ207" s="68"/>
    </row>
    <row r="208" spans="32:52">
      <c r="AF208" s="68" t="s">
        <v>400</v>
      </c>
      <c r="AZ208" s="68"/>
    </row>
    <row r="209" spans="32:52">
      <c r="AF209" s="68" t="s">
        <v>401</v>
      </c>
      <c r="AZ209" s="68"/>
    </row>
    <row r="210" spans="32:52">
      <c r="AF210" s="68" t="s">
        <v>402</v>
      </c>
      <c r="AZ210" s="68"/>
    </row>
    <row r="211" spans="32:52">
      <c r="AF211" s="68" t="s">
        <v>403</v>
      </c>
      <c r="AZ211" s="68"/>
    </row>
    <row r="212" spans="32:52">
      <c r="AF212" s="68" t="s">
        <v>404</v>
      </c>
      <c r="AZ212" s="68"/>
    </row>
    <row r="213" spans="32:52">
      <c r="AF213" s="68" t="s">
        <v>405</v>
      </c>
      <c r="AZ213" s="68"/>
    </row>
    <row r="214" spans="32:52">
      <c r="AF214" s="68" t="s">
        <v>406</v>
      </c>
      <c r="AZ214" s="68"/>
    </row>
    <row r="215" spans="32:52">
      <c r="AF215" s="68" t="s">
        <v>407</v>
      </c>
      <c r="AZ215" s="68"/>
    </row>
    <row r="216" spans="32:52">
      <c r="AF216" s="68" t="s">
        <v>408</v>
      </c>
      <c r="AZ216" s="68"/>
    </row>
    <row r="217" spans="32:52">
      <c r="AF217" s="68" t="s">
        <v>409</v>
      </c>
      <c r="AZ217" s="68"/>
    </row>
    <row r="218" spans="32:52">
      <c r="AF218" s="68" t="s">
        <v>410</v>
      </c>
      <c r="AZ218" s="68"/>
    </row>
    <row r="219" spans="32:52">
      <c r="AF219" s="68" t="s">
        <v>411</v>
      </c>
      <c r="AZ219" s="68"/>
    </row>
    <row r="220" spans="32:52">
      <c r="AF220" s="68" t="s">
        <v>412</v>
      </c>
      <c r="AZ220" s="68"/>
    </row>
    <row r="221" spans="32:52">
      <c r="AF221" s="68" t="s">
        <v>413</v>
      </c>
      <c r="AZ221" s="68"/>
    </row>
    <row r="222" spans="32:52">
      <c r="AF222" s="68" t="s">
        <v>414</v>
      </c>
      <c r="AZ222" s="68"/>
    </row>
    <row r="223" spans="32:52">
      <c r="AF223" s="68" t="s">
        <v>415</v>
      </c>
      <c r="AZ223" s="68"/>
    </row>
    <row r="224" spans="32:52">
      <c r="AF224" s="68" t="s">
        <v>416</v>
      </c>
      <c r="AZ224" s="68"/>
    </row>
    <row r="225" spans="32:52">
      <c r="AF225" s="68" t="s">
        <v>417</v>
      </c>
      <c r="AZ225" s="68"/>
    </row>
    <row r="226" spans="32:52">
      <c r="AF226" s="68" t="s">
        <v>418</v>
      </c>
      <c r="AZ226" s="68"/>
    </row>
    <row r="227" spans="32:52">
      <c r="AF227" s="68" t="s">
        <v>419</v>
      </c>
      <c r="AZ227" s="68"/>
    </row>
    <row r="228" spans="32:52">
      <c r="AF228" s="68" t="s">
        <v>420</v>
      </c>
      <c r="AZ228" s="68"/>
    </row>
    <row r="229" spans="32:52">
      <c r="AF229" s="68" t="s">
        <v>421</v>
      </c>
      <c r="AZ229" s="68"/>
    </row>
    <row r="230" spans="32:52">
      <c r="AF230" s="68" t="s">
        <v>422</v>
      </c>
      <c r="AZ230" s="68"/>
    </row>
    <row r="231" spans="32:52">
      <c r="AF231" s="68" t="s">
        <v>423</v>
      </c>
      <c r="AZ231" s="68"/>
    </row>
    <row r="232" spans="32:52">
      <c r="AF232" s="68" t="s">
        <v>424</v>
      </c>
      <c r="AZ232" s="68"/>
    </row>
    <row r="233" spans="32:52">
      <c r="AF233" s="68" t="s">
        <v>425</v>
      </c>
      <c r="AZ233" s="68"/>
    </row>
    <row r="234" spans="32:52">
      <c r="AF234" s="68" t="s">
        <v>426</v>
      </c>
      <c r="AZ234" s="68"/>
    </row>
    <row r="235" spans="32:52">
      <c r="AF235" s="68" t="s">
        <v>427</v>
      </c>
      <c r="AZ235" s="68"/>
    </row>
    <row r="236" spans="32:52">
      <c r="AF236" s="68" t="s">
        <v>428</v>
      </c>
      <c r="AZ236" s="68"/>
    </row>
    <row r="237" spans="32:52">
      <c r="AF237" s="68" t="s">
        <v>429</v>
      </c>
      <c r="AZ237" s="68"/>
    </row>
    <row r="238" spans="32:52">
      <c r="AF238" s="68" t="s">
        <v>430</v>
      </c>
      <c r="AZ238" s="68"/>
    </row>
    <row r="239" spans="32:52">
      <c r="AF239" s="68" t="s">
        <v>431</v>
      </c>
      <c r="AZ239" s="68"/>
    </row>
    <row r="240" spans="32:52">
      <c r="AF240" s="68" t="s">
        <v>432</v>
      </c>
      <c r="AZ240" s="68"/>
    </row>
    <row r="241" spans="32:52">
      <c r="AF241" s="68" t="s">
        <v>433</v>
      </c>
      <c r="AZ241" s="68"/>
    </row>
    <row r="242" spans="32:52">
      <c r="AF242" s="68" t="s">
        <v>434</v>
      </c>
      <c r="AZ242" s="68"/>
    </row>
    <row r="243" spans="32:52">
      <c r="AF243" s="68" t="s">
        <v>435</v>
      </c>
      <c r="AZ243" s="68"/>
    </row>
    <row r="244" spans="32:52">
      <c r="AF244" s="68" t="s">
        <v>436</v>
      </c>
      <c r="AZ244" s="68"/>
    </row>
    <row r="245" spans="32:52">
      <c r="AF245" s="68" t="s">
        <v>437</v>
      </c>
      <c r="AZ245" s="68"/>
    </row>
    <row r="246" spans="32:52">
      <c r="AF246" s="68" t="s">
        <v>438</v>
      </c>
      <c r="AZ246" s="68"/>
    </row>
    <row r="247" spans="32:52">
      <c r="AF247" s="68" t="s">
        <v>439</v>
      </c>
      <c r="AZ247" s="68"/>
    </row>
    <row r="248" spans="32:52">
      <c r="AF248" s="68" t="s">
        <v>440</v>
      </c>
      <c r="AZ248" s="68"/>
    </row>
    <row r="249" spans="32:52">
      <c r="AF249" s="68" t="s">
        <v>441</v>
      </c>
      <c r="AZ249" s="68"/>
    </row>
    <row r="250" spans="32:52">
      <c r="AF250" s="68" t="s">
        <v>442</v>
      </c>
      <c r="AZ250" s="68"/>
    </row>
    <row r="251" spans="32:52">
      <c r="AF251" s="68" t="s">
        <v>443</v>
      </c>
      <c r="AZ251" s="68"/>
    </row>
    <row r="252" spans="32:52">
      <c r="AF252" s="68" t="s">
        <v>444</v>
      </c>
      <c r="AZ252" s="68"/>
    </row>
    <row r="253" spans="32:52">
      <c r="AF253" s="68" t="s">
        <v>445</v>
      </c>
      <c r="AZ253" s="68"/>
    </row>
    <row r="254" spans="32:52">
      <c r="AF254" s="68" t="s">
        <v>446</v>
      </c>
      <c r="AZ254" s="68"/>
    </row>
    <row r="255" spans="32:52">
      <c r="AF255" s="68" t="s">
        <v>447</v>
      </c>
      <c r="AZ255" s="68"/>
    </row>
    <row r="256" spans="32:52">
      <c r="AF256" s="68" t="s">
        <v>448</v>
      </c>
      <c r="AZ256" s="68"/>
    </row>
    <row r="257" spans="32:52">
      <c r="AF257" s="68" t="s">
        <v>449</v>
      </c>
      <c r="AZ257" s="68"/>
    </row>
    <row r="258" spans="32:52">
      <c r="AF258" s="68" t="s">
        <v>450</v>
      </c>
      <c r="AZ258" s="68"/>
    </row>
    <row r="259" spans="32:52">
      <c r="AF259" s="68" t="s">
        <v>451</v>
      </c>
      <c r="AZ259" s="68"/>
    </row>
    <row r="260" spans="32:52">
      <c r="AF260" s="68" t="s">
        <v>452</v>
      </c>
      <c r="AZ260" s="68"/>
    </row>
  </sheetData>
  <sheetProtection algorithmName="SHA-512" hashValue="yMPQLMtI1KHdjKq1dA7m69RW3bu4k2Zr2+Nnpu1yJf74lKU6VvRTmZJLi2moKuk+1aXqRTiI7fE6JmfZwWrFZQ==" saltValue="5WEaLKlbRUkjNoF5W22O2Q==" spinCount="100000" sheet="1" objects="1" scenarios="1" selectLockedCells="1" selectUnlockedCells="1"/>
  <mergeCells count="5">
    <mergeCell ref="BU1:BV1"/>
    <mergeCell ref="BX1:BY1"/>
    <mergeCell ref="BU5:BV5"/>
    <mergeCell ref="CH2:CI2"/>
    <mergeCell ref="CH1:CI1"/>
  </mergeCells>
  <conditionalFormatting sqref="M49:P49">
    <cfRule type="expression" priority="2">
      <formula>OR($J$49=$AL$1,$J$49=$AL$3)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A2" sqref="A2"/>
    </sheetView>
  </sheetViews>
  <sheetFormatPr defaultColWidth="10.6328125" defaultRowHeight="15"/>
  <cols>
    <col min="1" max="1" width="11.7265625" style="89" bestFit="1" customWidth="1"/>
    <col min="2" max="2" width="7.36328125" style="89" bestFit="1" customWidth="1"/>
    <col min="3" max="3" width="9.7265625" style="89" bestFit="1" customWidth="1"/>
    <col min="4" max="4" width="8.81640625" style="89" bestFit="1" customWidth="1"/>
    <col min="5" max="5" width="12.36328125" style="89" bestFit="1" customWidth="1"/>
    <col min="6" max="6" width="8.1796875" style="89" bestFit="1" customWidth="1"/>
    <col min="7" max="7" width="8.6328125" style="89" bestFit="1" customWidth="1"/>
    <col min="8" max="8" width="12.26953125" style="89" bestFit="1" customWidth="1"/>
    <col min="9" max="9" width="11.1796875" style="89" bestFit="1" customWidth="1"/>
    <col min="10" max="10" width="11.54296875" style="89" bestFit="1" customWidth="1"/>
    <col min="11" max="11" width="11.08984375" style="89" bestFit="1" customWidth="1"/>
    <col min="12" max="12" width="11" style="89" bestFit="1" customWidth="1"/>
    <col min="13" max="13" width="10.1796875" style="89" bestFit="1" customWidth="1"/>
    <col min="14" max="14" width="21.81640625" style="89" bestFit="1" customWidth="1"/>
    <col min="15" max="16384" width="10.6328125" style="89"/>
  </cols>
  <sheetData>
    <row r="1" spans="1:14">
      <c r="A1" s="89" t="s">
        <v>710</v>
      </c>
      <c r="B1" s="89" t="s">
        <v>711</v>
      </c>
      <c r="C1" s="89" t="s">
        <v>712</v>
      </c>
      <c r="D1" s="89" t="s">
        <v>713</v>
      </c>
      <c r="E1" s="89" t="s">
        <v>714</v>
      </c>
      <c r="F1" s="89" t="s">
        <v>706</v>
      </c>
      <c r="G1" s="89" t="s">
        <v>189</v>
      </c>
      <c r="H1" s="89" t="s">
        <v>715</v>
      </c>
      <c r="I1" s="89" t="s">
        <v>716</v>
      </c>
      <c r="J1" s="89" t="s">
        <v>717</v>
      </c>
      <c r="K1" s="89" t="s">
        <v>718</v>
      </c>
      <c r="L1" s="89" t="s">
        <v>709</v>
      </c>
      <c r="M1" s="89" t="s">
        <v>707</v>
      </c>
      <c r="N1" s="89" t="s">
        <v>708</v>
      </c>
    </row>
    <row r="2" spans="1:14">
      <c r="A2" s="89">
        <f>IF('Calculation tool'!$I$27=0,"",'Calculation tool'!$I$27)</f>
        <v>73.547055555555559</v>
      </c>
      <c r="B2" s="89" t="str">
        <f>IF('Calculation tool'!$I$27=0,"",'Calculation tool'!$J$27)</f>
        <v>µA</v>
      </c>
      <c r="C2" s="89">
        <f>IF('Calculation tool'!D21=0,"",'Calculation tool'!D21)</f>
        <v>25</v>
      </c>
      <c r="D2" s="89" t="str">
        <f>IF('Calculation tool'!D21=0,"",'Calculation tool'!E21)</f>
        <v>mA</v>
      </c>
      <c r="E2" s="89">
        <f>IF('Calculation tool'!G5=0,"",'Calculation tool'!G5)</f>
        <v>2.6</v>
      </c>
      <c r="F2" s="89" t="str">
        <f>IF('Calculation tool'!G5=0,"",'Calculation tool'!H5)</f>
        <v>V</v>
      </c>
      <c r="G2" s="89">
        <f>IF(OR(Request!G71="",Request!G71="Duration"),"",Request!G71)</f>
        <v>2</v>
      </c>
      <c r="H2" s="89" t="str">
        <f>IF(OR(Request!G71="",Request!G71="Duration"),"",Request!J71)</f>
        <v>year</v>
      </c>
      <c r="I2" s="89">
        <f>IF(OR(Request!L47="",Request!L47="Min"),"",Request!L47)</f>
        <v>0</v>
      </c>
      <c r="J2" s="89" t="str">
        <f>IF(OR(Request!L47="",Request!L47="Min"),"",Request!M47)</f>
        <v>°C</v>
      </c>
      <c r="K2" s="89">
        <f>IF(OR(Request!N47="",Request!N47="Max"),"",Request!N47)</f>
        <v>45</v>
      </c>
      <c r="L2" s="89">
        <f>IF(OR(Request!N6="",Request!N6="dd/mm/yyyy"),"",Request!N6)</f>
        <v>43711</v>
      </c>
      <c r="M2" s="89" t="str">
        <f>IF(OR(Request!B24="",Request!B24="Price"),"",Request!B24)</f>
        <v/>
      </c>
      <c r="N2" s="89" t="str">
        <f>IF(OR(Request!B22="",Request!B22="Total"),"",Request!B22)</f>
        <v/>
      </c>
    </row>
    <row r="3" spans="1:14">
      <c r="B3" s="90"/>
    </row>
    <row r="4" spans="1:14">
      <c r="B4" s="90"/>
    </row>
  </sheetData>
  <sheetProtection algorithmName="SHA-512" hashValue="RwUjlPyU51q7RS9iqG+ldTUW0UxC0Eu07uR39cULl+kV1Q3klR3KaxKifEaF0FW80IL0WC/QM01lefFKh0OUVw==" saltValue="ZK6Nip2BflhjXW4+FNw0pw==" spinCount="100000" sheet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Delovni listi</vt:lpstr>
      </vt:variant>
      <vt:variant>
        <vt:i4>6</vt:i4>
      </vt:variant>
      <vt:variant>
        <vt:lpstr>Grafikoni</vt:lpstr>
      </vt:variant>
      <vt:variant>
        <vt:i4>2</vt:i4>
      </vt:variant>
      <vt:variant>
        <vt:lpstr>Imenovani obsegi</vt:lpstr>
      </vt:variant>
      <vt:variant>
        <vt:i4>4</vt:i4>
      </vt:variant>
    </vt:vector>
  </HeadingPairs>
  <TitlesOfParts>
    <vt:vector size="12" baseType="lpstr">
      <vt:lpstr>Request</vt:lpstr>
      <vt:lpstr>Calculation tool</vt:lpstr>
      <vt:lpstr>Market-Application</vt:lpstr>
      <vt:lpstr>Cell Tabbing</vt:lpstr>
      <vt:lpstr>DB</vt:lpstr>
      <vt:lpstr>CRM</vt:lpstr>
      <vt:lpstr>Life</vt:lpstr>
      <vt:lpstr>Function</vt:lpstr>
      <vt:lpstr>'Calculation tool'!Področje_tiskanja</vt:lpstr>
      <vt:lpstr>'Market-Application'!Področje_tiskanja</vt:lpstr>
      <vt:lpstr>Request!Področje_tiskanja</vt:lpstr>
      <vt:lpstr>Request!Tiskanje_naslovov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2019-05-29T13:53:25Z</cp:lastPrinted>
  <dcterms:created xsi:type="dcterms:W3CDTF">2000-07-03T12:06:34Z</dcterms:created>
  <dcterms:modified xsi:type="dcterms:W3CDTF">2019-09-03T12:09:41Z</dcterms:modified>
</cp:coreProperties>
</file>