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/>
  <xr:revisionPtr revIDLastSave="2313" documentId="8_{D571FD12-9737-4E9C-AE3A-D9DD8257EC79}" xr6:coauthVersionLast="46" xr6:coauthVersionMax="46" xr10:uidLastSave="{BE52F211-242B-48BB-ACF1-0D2CD0923D2A}"/>
  <bookViews>
    <workbookView xWindow="-120" yWindow="-120" windowWidth="29040" windowHeight="15840" tabRatio="944" activeTab="2" xr2:uid="{00000000-000D-0000-FFFF-FFFF00000000}"/>
  </bookViews>
  <sheets>
    <sheet name="КП1" sheetId="125" r:id="rId1"/>
    <sheet name="12" sheetId="126" r:id="rId2"/>
    <sheet name="ДДС кп1" sheetId="127" r:id="rId3"/>
  </sheets>
  <definedNames>
    <definedName name="_xlnm.Print_Area" localSheetId="0">КП1!$A$1:$Q$63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126" l="1"/>
  <c r="D39" i="127" l="1"/>
  <c r="E9" i="127" s="1"/>
  <c r="E39" i="127" s="1"/>
  <c r="F9" i="127" s="1"/>
  <c r="F39" i="127" s="1"/>
  <c r="C39" i="127"/>
  <c r="C30" i="127"/>
  <c r="F26" i="127"/>
  <c r="E26" i="127"/>
  <c r="D26" i="127"/>
  <c r="D18" i="127" s="1"/>
  <c r="C26" i="127"/>
  <c r="F18" i="127"/>
  <c r="E18" i="127"/>
  <c r="C18" i="127"/>
  <c r="F15" i="127"/>
  <c r="D15" i="127"/>
  <c r="F10" i="127"/>
  <c r="E10" i="127"/>
  <c r="D10" i="127"/>
  <c r="C10" i="127"/>
  <c r="C38" i="127" s="1"/>
  <c r="D9" i="127"/>
  <c r="C7" i="127"/>
  <c r="O40" i="125"/>
  <c r="O39" i="125"/>
  <c r="O38" i="125" s="1"/>
  <c r="O61" i="125"/>
  <c r="O60" i="125"/>
  <c r="O59" i="125"/>
  <c r="O58" i="125"/>
  <c r="O57" i="125"/>
  <c r="O56" i="125"/>
  <c r="O55" i="125"/>
  <c r="O54" i="125"/>
  <c r="O53" i="125"/>
  <c r="O52" i="125"/>
  <c r="O51" i="125"/>
  <c r="O50" i="125"/>
  <c r="O49" i="125"/>
  <c r="O48" i="125"/>
  <c r="O47" i="125"/>
  <c r="O46" i="125"/>
  <c r="O45" i="125"/>
  <c r="O44" i="125"/>
  <c r="O43" i="125"/>
  <c r="O42" i="125"/>
  <c r="O37" i="125"/>
  <c r="O36" i="125"/>
  <c r="O34" i="125"/>
  <c r="O33" i="125"/>
  <c r="O32" i="125"/>
  <c r="O31" i="125"/>
  <c r="O27" i="125"/>
  <c r="O26" i="125"/>
  <c r="O25" i="125"/>
  <c r="O24" i="125"/>
  <c r="O22" i="125"/>
  <c r="O21" i="125"/>
  <c r="O19" i="125"/>
  <c r="O18" i="125"/>
  <c r="O17" i="125" s="1"/>
  <c r="O16" i="125"/>
  <c r="O13" i="125" s="1"/>
  <c r="O15" i="125"/>
  <c r="O14" i="125"/>
  <c r="O12" i="125"/>
  <c r="O11" i="125"/>
  <c r="O10" i="125"/>
  <c r="P9" i="125"/>
  <c r="O9" i="125"/>
  <c r="X61" i="125"/>
  <c r="P61" i="125"/>
  <c r="N61" i="125"/>
  <c r="K61" i="125"/>
  <c r="H61" i="125"/>
  <c r="E61" i="125"/>
  <c r="X60" i="125"/>
  <c r="P60" i="125"/>
  <c r="N60" i="125"/>
  <c r="K60" i="125"/>
  <c r="H60" i="125"/>
  <c r="E60" i="125"/>
  <c r="P59" i="125"/>
  <c r="N59" i="125"/>
  <c r="K59" i="125"/>
  <c r="P58" i="125"/>
  <c r="N58" i="125"/>
  <c r="K58" i="125"/>
  <c r="H58" i="125"/>
  <c r="E58" i="125"/>
  <c r="N57" i="125"/>
  <c r="J57" i="125"/>
  <c r="P57" i="125" s="1"/>
  <c r="E57" i="125"/>
  <c r="X56" i="125"/>
  <c r="M56" i="125"/>
  <c r="N56" i="125" s="1"/>
  <c r="K56" i="125"/>
  <c r="H56" i="125"/>
  <c r="E56" i="125"/>
  <c r="X55" i="125"/>
  <c r="M55" i="125"/>
  <c r="P55" i="125" s="1"/>
  <c r="K55" i="125"/>
  <c r="H55" i="125"/>
  <c r="D55" i="125"/>
  <c r="E55" i="125" s="1"/>
  <c r="X54" i="125"/>
  <c r="N54" i="125"/>
  <c r="K54" i="125"/>
  <c r="H54" i="125"/>
  <c r="G54" i="125"/>
  <c r="G41" i="125" s="1"/>
  <c r="D54" i="125"/>
  <c r="E54" i="125" s="1"/>
  <c r="X53" i="125"/>
  <c r="P53" i="125"/>
  <c r="N53" i="125"/>
  <c r="K53" i="125"/>
  <c r="H53" i="125"/>
  <c r="E53" i="125"/>
  <c r="X52" i="125"/>
  <c r="P52" i="125"/>
  <c r="N52" i="125"/>
  <c r="K52" i="125"/>
  <c r="H52" i="125"/>
  <c r="E52" i="125"/>
  <c r="X51" i="125"/>
  <c r="P51" i="125"/>
  <c r="Q51" i="125" s="1"/>
  <c r="N51" i="125"/>
  <c r="K51" i="125"/>
  <c r="H51" i="125"/>
  <c r="E51" i="125"/>
  <c r="X50" i="125"/>
  <c r="N50" i="125"/>
  <c r="K50" i="125"/>
  <c r="H50" i="125"/>
  <c r="D50" i="125"/>
  <c r="E50" i="125" s="1"/>
  <c r="X49" i="125"/>
  <c r="P49" i="125"/>
  <c r="N49" i="125"/>
  <c r="K49" i="125"/>
  <c r="H49" i="125"/>
  <c r="E49" i="125"/>
  <c r="X48" i="125"/>
  <c r="N48" i="125"/>
  <c r="K48" i="125"/>
  <c r="H48" i="125"/>
  <c r="D48" i="125"/>
  <c r="P48" i="125" s="1"/>
  <c r="X47" i="125"/>
  <c r="N47" i="125"/>
  <c r="K47" i="125"/>
  <c r="H47" i="125"/>
  <c r="D47" i="125"/>
  <c r="E47" i="125" s="1"/>
  <c r="P46" i="125"/>
  <c r="N46" i="125"/>
  <c r="K46" i="125"/>
  <c r="H46" i="125"/>
  <c r="E46" i="125"/>
  <c r="X45" i="125"/>
  <c r="P45" i="125"/>
  <c r="N45" i="125"/>
  <c r="K45" i="125"/>
  <c r="H45" i="125"/>
  <c r="E45" i="125"/>
  <c r="X44" i="125"/>
  <c r="N44" i="125"/>
  <c r="K44" i="125"/>
  <c r="H44" i="125"/>
  <c r="D44" i="125"/>
  <c r="E44" i="125" s="1"/>
  <c r="X43" i="125"/>
  <c r="P43" i="125"/>
  <c r="N43" i="125"/>
  <c r="K43" i="125"/>
  <c r="H43" i="125"/>
  <c r="E43" i="125"/>
  <c r="X42" i="125"/>
  <c r="P42" i="125"/>
  <c r="N42" i="125"/>
  <c r="K42" i="125"/>
  <c r="H42" i="125"/>
  <c r="E42" i="125"/>
  <c r="W41" i="125"/>
  <c r="V41" i="125"/>
  <c r="U41" i="125"/>
  <c r="T41" i="125"/>
  <c r="L41" i="125"/>
  <c r="J41" i="125"/>
  <c r="I41" i="125"/>
  <c r="F41" i="125"/>
  <c r="D41" i="125"/>
  <c r="C41" i="125"/>
  <c r="X40" i="125"/>
  <c r="P40" i="125"/>
  <c r="Q40" i="125" s="1"/>
  <c r="N40" i="125"/>
  <c r="K40" i="125"/>
  <c r="H40" i="125"/>
  <c r="E40" i="125"/>
  <c r="X39" i="125"/>
  <c r="X38" i="125" s="1"/>
  <c r="N39" i="125"/>
  <c r="K39" i="125"/>
  <c r="G39" i="125"/>
  <c r="P39" i="125" s="1"/>
  <c r="P38" i="125" s="1"/>
  <c r="E39" i="125"/>
  <c r="W38" i="125"/>
  <c r="V38" i="125"/>
  <c r="U38" i="125"/>
  <c r="T38" i="125"/>
  <c r="M38" i="125"/>
  <c r="L38" i="125"/>
  <c r="J38" i="125"/>
  <c r="I38" i="125"/>
  <c r="G38" i="125"/>
  <c r="F38" i="125"/>
  <c r="D38" i="125"/>
  <c r="C38" i="125"/>
  <c r="X37" i="125"/>
  <c r="Q37" i="125"/>
  <c r="N37" i="125"/>
  <c r="K37" i="125"/>
  <c r="H37" i="125"/>
  <c r="E37" i="125"/>
  <c r="X36" i="125"/>
  <c r="P36" i="125"/>
  <c r="P35" i="125" s="1"/>
  <c r="O35" i="125"/>
  <c r="N36" i="125"/>
  <c r="K36" i="125"/>
  <c r="H36" i="125"/>
  <c r="E36" i="125"/>
  <c r="W35" i="125"/>
  <c r="V35" i="125"/>
  <c r="U35" i="125"/>
  <c r="T35" i="125"/>
  <c r="M35" i="125"/>
  <c r="L35" i="125"/>
  <c r="J35" i="125"/>
  <c r="I35" i="125"/>
  <c r="G35" i="125"/>
  <c r="F35" i="125"/>
  <c r="D35" i="125"/>
  <c r="C35" i="125"/>
  <c r="X34" i="125"/>
  <c r="P34" i="125"/>
  <c r="Q34" i="125" s="1"/>
  <c r="N34" i="125"/>
  <c r="K34" i="125"/>
  <c r="H34" i="125"/>
  <c r="E34" i="125"/>
  <c r="X33" i="125"/>
  <c r="N33" i="125"/>
  <c r="K33" i="125"/>
  <c r="G33" i="125"/>
  <c r="P33" i="125" s="1"/>
  <c r="P30" i="125" s="1"/>
  <c r="E33" i="125"/>
  <c r="X32" i="125"/>
  <c r="P32" i="125"/>
  <c r="N32" i="125"/>
  <c r="K32" i="125"/>
  <c r="H32" i="125"/>
  <c r="E32" i="125"/>
  <c r="X31" i="125"/>
  <c r="P31" i="125"/>
  <c r="N31" i="125"/>
  <c r="K31" i="125"/>
  <c r="H31" i="125"/>
  <c r="E31" i="125"/>
  <c r="W30" i="125"/>
  <c r="V30" i="125"/>
  <c r="U30" i="125"/>
  <c r="T30" i="125"/>
  <c r="M30" i="125"/>
  <c r="L30" i="125"/>
  <c r="J30" i="125"/>
  <c r="J62" i="125" s="1"/>
  <c r="I30" i="125"/>
  <c r="F30" i="125"/>
  <c r="D30" i="125"/>
  <c r="C30" i="125"/>
  <c r="P27" i="125"/>
  <c r="N27" i="125"/>
  <c r="K27" i="125"/>
  <c r="H27" i="125"/>
  <c r="E27" i="125"/>
  <c r="P26" i="125"/>
  <c r="N26" i="125"/>
  <c r="J26" i="125"/>
  <c r="K26" i="125" s="1"/>
  <c r="H26" i="125"/>
  <c r="E26" i="125"/>
  <c r="X25" i="125"/>
  <c r="P25" i="125"/>
  <c r="Q25" i="125" s="1"/>
  <c r="N25" i="125"/>
  <c r="K25" i="125"/>
  <c r="H25" i="125"/>
  <c r="E25" i="125"/>
  <c r="X24" i="125"/>
  <c r="X23" i="125" s="1"/>
  <c r="P24" i="125"/>
  <c r="N24" i="125"/>
  <c r="K24" i="125"/>
  <c r="H24" i="125"/>
  <c r="E24" i="125"/>
  <c r="W23" i="125"/>
  <c r="V23" i="125"/>
  <c r="U23" i="125"/>
  <c r="T23" i="125"/>
  <c r="M23" i="125"/>
  <c r="L23" i="125"/>
  <c r="J23" i="125"/>
  <c r="I23" i="125"/>
  <c r="G23" i="125"/>
  <c r="F23" i="125"/>
  <c r="D23" i="125"/>
  <c r="C23" i="125"/>
  <c r="X22" i="125"/>
  <c r="M22" i="125"/>
  <c r="N22" i="125" s="1"/>
  <c r="J22" i="125"/>
  <c r="K22" i="125" s="1"/>
  <c r="G22" i="125"/>
  <c r="G21" i="125" s="1"/>
  <c r="G20" i="125" s="1"/>
  <c r="E22" i="125"/>
  <c r="X21" i="125"/>
  <c r="O20" i="125"/>
  <c r="M21" i="125"/>
  <c r="M20" i="125" s="1"/>
  <c r="D21" i="125"/>
  <c r="W20" i="125"/>
  <c r="V20" i="125"/>
  <c r="U20" i="125"/>
  <c r="T20" i="125"/>
  <c r="L20" i="125"/>
  <c r="I20" i="125"/>
  <c r="F20" i="125"/>
  <c r="D20" i="125"/>
  <c r="C20" i="125"/>
  <c r="X19" i="125"/>
  <c r="P19" i="125"/>
  <c r="Q19" i="125" s="1"/>
  <c r="N19" i="125"/>
  <c r="K19" i="125"/>
  <c r="H19" i="125"/>
  <c r="E19" i="125"/>
  <c r="X18" i="125"/>
  <c r="X17" i="125" s="1"/>
  <c r="P18" i="125"/>
  <c r="N18" i="125"/>
  <c r="K18" i="125"/>
  <c r="H18" i="125"/>
  <c r="E18" i="125"/>
  <c r="W17" i="125"/>
  <c r="V17" i="125"/>
  <c r="U17" i="125"/>
  <c r="T17" i="125"/>
  <c r="M17" i="125"/>
  <c r="L17" i="125"/>
  <c r="J17" i="125"/>
  <c r="I17" i="125"/>
  <c r="G17" i="125"/>
  <c r="F17" i="125"/>
  <c r="D17" i="125"/>
  <c r="C17" i="125"/>
  <c r="X16" i="125"/>
  <c r="P16" i="125"/>
  <c r="N16" i="125"/>
  <c r="K16" i="125"/>
  <c r="H16" i="125"/>
  <c r="E16" i="125"/>
  <c r="P15" i="125"/>
  <c r="Q15" i="125" s="1"/>
  <c r="N15" i="125"/>
  <c r="K15" i="125"/>
  <c r="H15" i="125"/>
  <c r="E15" i="125"/>
  <c r="X14" i="125"/>
  <c r="P14" i="125"/>
  <c r="N14" i="125"/>
  <c r="K14" i="125"/>
  <c r="H14" i="125"/>
  <c r="E14" i="125"/>
  <c r="W13" i="125"/>
  <c r="V13" i="125"/>
  <c r="U13" i="125"/>
  <c r="T13" i="125"/>
  <c r="M13" i="125"/>
  <c r="L13" i="125"/>
  <c r="L28" i="125" s="1"/>
  <c r="J13" i="125"/>
  <c r="I13" i="125"/>
  <c r="G13" i="125"/>
  <c r="F13" i="125"/>
  <c r="D13" i="125"/>
  <c r="C13" i="125"/>
  <c r="X12" i="125"/>
  <c r="Q12" i="125"/>
  <c r="P12" i="125"/>
  <c r="N12" i="125"/>
  <c r="K12" i="125"/>
  <c r="H12" i="125"/>
  <c r="E12" i="125"/>
  <c r="X11" i="125"/>
  <c r="P11" i="125"/>
  <c r="N11" i="125"/>
  <c r="K11" i="125"/>
  <c r="H11" i="125"/>
  <c r="E11" i="125"/>
  <c r="X10" i="125"/>
  <c r="P10" i="125"/>
  <c r="N10" i="125"/>
  <c r="K10" i="125"/>
  <c r="H10" i="125"/>
  <c r="E10" i="125"/>
  <c r="X9" i="125"/>
  <c r="N9" i="125"/>
  <c r="K9" i="125"/>
  <c r="H9" i="125"/>
  <c r="E9" i="125"/>
  <c r="W8" i="125"/>
  <c r="V8" i="125"/>
  <c r="U8" i="125"/>
  <c r="T8" i="125"/>
  <c r="M8" i="125"/>
  <c r="L8" i="125"/>
  <c r="J8" i="125"/>
  <c r="I8" i="125"/>
  <c r="I28" i="125" s="1"/>
  <c r="G8" i="125"/>
  <c r="F8" i="125"/>
  <c r="D8" i="125"/>
  <c r="C8" i="125"/>
  <c r="X13" i="125" l="1"/>
  <c r="L62" i="125"/>
  <c r="L63" i="125" s="1"/>
  <c r="N55" i="125"/>
  <c r="P8" i="125"/>
  <c r="Q32" i="125"/>
  <c r="Q45" i="125"/>
  <c r="Q53" i="125"/>
  <c r="Q61" i="125"/>
  <c r="X20" i="125"/>
  <c r="T62" i="125"/>
  <c r="P54" i="125"/>
  <c r="Q54" i="125" s="1"/>
  <c r="U62" i="125"/>
  <c r="E48" i="125"/>
  <c r="U28" i="125"/>
  <c r="U63" i="125" s="1"/>
  <c r="D62" i="125"/>
  <c r="V28" i="125"/>
  <c r="X8" i="125"/>
  <c r="P22" i="125"/>
  <c r="Q22" i="125" s="1"/>
  <c r="F62" i="125"/>
  <c r="V62" i="125"/>
  <c r="H33" i="125"/>
  <c r="Q10" i="125"/>
  <c r="Q46" i="125"/>
  <c r="T28" i="125"/>
  <c r="P17" i="125"/>
  <c r="G30" i="125"/>
  <c r="G62" i="125" s="1"/>
  <c r="W62" i="125"/>
  <c r="K57" i="125"/>
  <c r="O8" i="125"/>
  <c r="Q55" i="125"/>
  <c r="I62" i="125"/>
  <c r="P44" i="125"/>
  <c r="Q44" i="125" s="1"/>
  <c r="Q24" i="125"/>
  <c r="Q48" i="125"/>
  <c r="F28" i="125"/>
  <c r="F63" i="125" s="1"/>
  <c r="H22" i="125"/>
  <c r="P23" i="125"/>
  <c r="X30" i="125"/>
  <c r="H39" i="125"/>
  <c r="X41" i="125"/>
  <c r="Q49" i="125"/>
  <c r="C28" i="125"/>
  <c r="X35" i="125"/>
  <c r="P47" i="125"/>
  <c r="Q47" i="125" s="1"/>
  <c r="Q42" i="125"/>
  <c r="Q58" i="125"/>
  <c r="D28" i="125"/>
  <c r="D63" i="125" s="1"/>
  <c r="J21" i="125"/>
  <c r="P21" i="125" s="1"/>
  <c r="Q43" i="125"/>
  <c r="Q59" i="125"/>
  <c r="C62" i="125"/>
  <c r="Q9" i="125"/>
  <c r="Q52" i="125"/>
  <c r="Q60" i="125"/>
  <c r="D8" i="127"/>
  <c r="C37" i="127"/>
  <c r="Q57" i="125"/>
  <c r="O41" i="125"/>
  <c r="O30" i="125"/>
  <c r="Q27" i="125"/>
  <c r="Q16" i="125"/>
  <c r="Q14" i="125"/>
  <c r="Q11" i="125"/>
  <c r="G28" i="125"/>
  <c r="Q33" i="125"/>
  <c r="I63" i="125"/>
  <c r="V63" i="125"/>
  <c r="X28" i="125"/>
  <c r="M28" i="125"/>
  <c r="P13" i="125"/>
  <c r="P56" i="125"/>
  <c r="Q56" i="125" s="1"/>
  <c r="Q18" i="125"/>
  <c r="N21" i="125"/>
  <c r="O23" i="125"/>
  <c r="O28" i="125" s="1"/>
  <c r="Q39" i="125"/>
  <c r="Q31" i="125"/>
  <c r="Q36" i="125"/>
  <c r="M41" i="125"/>
  <c r="M62" i="125" s="1"/>
  <c r="P50" i="125"/>
  <c r="E21" i="125"/>
  <c r="W28" i="125"/>
  <c r="H21" i="125"/>
  <c r="T63" i="125" l="1"/>
  <c r="W63" i="125"/>
  <c r="C63" i="125"/>
  <c r="X62" i="125"/>
  <c r="G63" i="125"/>
  <c r="Q21" i="125"/>
  <c r="P20" i="125"/>
  <c r="P28" i="125"/>
  <c r="P41" i="125"/>
  <c r="P62" i="125" s="1"/>
  <c r="Q50" i="125"/>
  <c r="K21" i="125"/>
  <c r="J20" i="125"/>
  <c r="J28" i="125" s="1"/>
  <c r="J63" i="125" s="1"/>
  <c r="X63" i="125"/>
  <c r="D7" i="127"/>
  <c r="D38" i="127"/>
  <c r="O62" i="125"/>
  <c r="O63" i="125" s="1"/>
  <c r="M63" i="125"/>
  <c r="P63" i="125" l="1"/>
  <c r="D37" i="127"/>
  <c r="E8" i="127"/>
  <c r="E7" i="127" l="1"/>
  <c r="E38" i="127"/>
  <c r="E37" i="127" l="1"/>
  <c r="F8" i="127"/>
  <c r="F7" i="127" l="1"/>
  <c r="F38" i="127"/>
  <c r="F37" i="127" s="1"/>
</calcChain>
</file>

<file path=xl/sharedStrings.xml><?xml version="1.0" encoding="utf-8"?>
<sst xmlns="http://schemas.openxmlformats.org/spreadsheetml/2006/main" count="256" uniqueCount="177">
  <si>
    <t>№ п/п</t>
  </si>
  <si>
    <t>Наименование статей</t>
  </si>
  <si>
    <t>ДОХОДЫ</t>
  </si>
  <si>
    <t>Техническое обслуживание</t>
  </si>
  <si>
    <t>Прочие:</t>
  </si>
  <si>
    <t>Аренда велопарковок</t>
  </si>
  <si>
    <t>ВСЕГО ДОХОДОВ</t>
  </si>
  <si>
    <t>5</t>
  </si>
  <si>
    <t>Водоснабжение МОП</t>
  </si>
  <si>
    <t>План</t>
  </si>
  <si>
    <t>Факт</t>
  </si>
  <si>
    <t>РАСХОДЫ</t>
  </si>
  <si>
    <t>ВСЕГО РАСХОДОВ</t>
  </si>
  <si>
    <t>4</t>
  </si>
  <si>
    <t>Отклонение</t>
  </si>
  <si>
    <t xml:space="preserve"> I квартал 2020г.</t>
  </si>
  <si>
    <t xml:space="preserve"> II квартал 2020г.</t>
  </si>
  <si>
    <t xml:space="preserve"> III квартал 2020г.</t>
  </si>
  <si>
    <t xml:space="preserve"> IV квартал 2020г.</t>
  </si>
  <si>
    <t>Основные жилищно-коммунальные услуги:</t>
  </si>
  <si>
    <t>Санитарное содержание вспомогательных помещений</t>
  </si>
  <si>
    <t>Техническое обслуживание лифта</t>
  </si>
  <si>
    <t>Обращение с твёрдыми коммунальными отходами</t>
  </si>
  <si>
    <t>Возмещаемые жилищно-коммунальные услуги:</t>
  </si>
  <si>
    <t>Возмещение расходов на электроэнергию, потребляемую на освещение вспомогательных помещений и работу оборудования, кроме лифта</t>
  </si>
  <si>
    <t>Возмещение расходов на электроэнергию, потребляемую на работу лифта</t>
  </si>
  <si>
    <t>Дополнительные жилищно-коммунальные услуги:</t>
  </si>
  <si>
    <t>Техническое обслуживание запорно-переговорных устройств</t>
  </si>
  <si>
    <t>Техническое обслуживание системы видеонаблюдения</t>
  </si>
  <si>
    <t>Членский взнос:</t>
  </si>
  <si>
    <t>Ставка обслуживающей организации</t>
  </si>
  <si>
    <t>Возмещение экономически обоснованных затрат</t>
  </si>
  <si>
    <t>3</t>
  </si>
  <si>
    <t>Прочие расходы:</t>
  </si>
  <si>
    <t>Услуги обслуживающей организации</t>
  </si>
  <si>
    <t xml:space="preserve">Фонд оплаты труда </t>
  </si>
  <si>
    <t>Отчисления из заработной платы (ФСЗН и Белгосстрах)</t>
  </si>
  <si>
    <t>Аренда помещения</t>
  </si>
  <si>
    <t>Водоснабжение МОП, в том числе сезонный полив</t>
  </si>
  <si>
    <t>Налог при УСН</t>
  </si>
  <si>
    <t>ПРИБЫЛЬ/УБЫТОК</t>
  </si>
  <si>
    <t>Сальдо на начало периода, в т.ч.:</t>
  </si>
  <si>
    <t>- на расчетном счете</t>
  </si>
  <si>
    <t>- на депозитном счете</t>
  </si>
  <si>
    <t>ИТОГО ПРИХОД</t>
  </si>
  <si>
    <t>Вступительный взнос</t>
  </si>
  <si>
    <t>Основные ЖКУ</t>
  </si>
  <si>
    <t>Прочие</t>
  </si>
  <si>
    <t>Полученные проценты</t>
  </si>
  <si>
    <t>Возврат с депозита</t>
  </si>
  <si>
    <t>ИТОГО РАСХОД</t>
  </si>
  <si>
    <t>Электроэнергия</t>
  </si>
  <si>
    <t>Фонд оплаты труда председателя</t>
  </si>
  <si>
    <t>Комиссия банка</t>
  </si>
  <si>
    <t>Комиссия ЕРИП</t>
  </si>
  <si>
    <t>Отправлено на депозит</t>
  </si>
  <si>
    <t>Сальдо на конец периода. В т.ч.:</t>
  </si>
  <si>
    <t>на расчетном счете</t>
  </si>
  <si>
    <t>на депозитном счете</t>
  </si>
  <si>
    <t>1 квартал</t>
  </si>
  <si>
    <t>ООО "Астокомфорт"</t>
  </si>
  <si>
    <t>Аренда помещения и к/у</t>
  </si>
  <si>
    <t>Видеонаблюдение</t>
  </si>
  <si>
    <t>Обращение с ТКО</t>
  </si>
  <si>
    <t>Выплата налога с ФОТ (ФСЗН и Белгосстрах)</t>
  </si>
  <si>
    <t>Подоходный налог</t>
  </si>
  <si>
    <t>Услуга ЕРИП (обслуживание лицевого счета)</t>
  </si>
  <si>
    <t>Тех.обслуживание домофона</t>
  </si>
  <si>
    <t>Тех.обслуживание лифта</t>
  </si>
  <si>
    <t>Оплата прочих товаров и услуг*</t>
  </si>
  <si>
    <t>2 квартал</t>
  </si>
  <si>
    <t>Почтовые расходы</t>
  </si>
  <si>
    <t>3 квартал</t>
  </si>
  <si>
    <t>Пени</t>
  </si>
  <si>
    <t>4 квартал</t>
  </si>
  <si>
    <t>Кисть плоская</t>
  </si>
  <si>
    <t>Техническое обслуживание лифта с учетом технического освидетельствования с электрофмзическими измерениями и стоимостью расходного материала</t>
  </si>
  <si>
    <t>Отчет от движении денежных средств за 2020 г.</t>
  </si>
  <si>
    <t xml:space="preserve"> 2020г.</t>
  </si>
  <si>
    <t>Проценты по вкладам вступительного взноса и прочим</t>
  </si>
  <si>
    <t>ЗА 2020 год</t>
  </si>
  <si>
    <t>1.1.</t>
  </si>
  <si>
    <t>1.2.</t>
  </si>
  <si>
    <t>1.3.</t>
  </si>
  <si>
    <t>Дополнительные ЖКУ</t>
  </si>
  <si>
    <t>1.4.</t>
  </si>
  <si>
    <t>1.5.</t>
  </si>
  <si>
    <t>1.6.</t>
  </si>
  <si>
    <t>1.7.</t>
  </si>
  <si>
    <t>2</t>
  </si>
  <si>
    <t>6</t>
  </si>
  <si>
    <t>8</t>
  </si>
  <si>
    <t>10</t>
  </si>
  <si>
    <t>Полусфера</t>
  </si>
  <si>
    <t xml:space="preserve">СМЕТА  ДОХОДОВ И РАСХОДОВ ТОВАРИЩЕСТВА СОБСТВЕННИКОВ "КВАРТАЛ ПИРС-1" </t>
  </si>
  <si>
    <t>Электроэнергия уличного отвещения</t>
  </si>
  <si>
    <t>Материалы и услуги за счет вступительного взноса</t>
  </si>
  <si>
    <t>Электроэнергия уличного отвещения за счет членского взноса</t>
  </si>
  <si>
    <t>Электроэнергия уличного отвещения за счет возмещения собственниками</t>
  </si>
  <si>
    <t>Комиссия банка (абон плата,зачисление на к/счет, п/п)</t>
  </si>
  <si>
    <t>Комиссия АИС Расчет ЖКУ</t>
  </si>
  <si>
    <t>Комиссия банка по расчетам за членский взнос и доп.услуги (2%)</t>
  </si>
  <si>
    <t>Техническое обслуживание АСКУЭ</t>
  </si>
  <si>
    <t>Интернет для работы видеонаблюдения и СКУД (РУП Белтелеком,А1)</t>
  </si>
  <si>
    <t>Обслуживание точек Wi-fi (обслуживание и подключение)</t>
  </si>
  <si>
    <t>Материалы для технического обслуживания и эксплуатации зданий, дворовой территории и элементов благоустройства</t>
  </si>
  <si>
    <t>Материалы для обеспечения деятельности товарищества собственников</t>
  </si>
  <si>
    <t>Услуга по обеспечению начислений за ЖКУ с исп. системы "Комплат"</t>
  </si>
  <si>
    <t>Расходы на подготовка к отопительному сезону</t>
  </si>
  <si>
    <t>Изготовление стоек для табличек</t>
  </si>
  <si>
    <t>Установка номерков</t>
  </si>
  <si>
    <t>ТС "ПИРС-1"</t>
  </si>
  <si>
    <t>Налоги</t>
  </si>
  <si>
    <t>13</t>
  </si>
  <si>
    <t>Перевод в валюту</t>
  </si>
  <si>
    <t>Хим.вода для заполнения т/сетей</t>
  </si>
  <si>
    <t>Огнетушитель ОП-4 (з)АВСЕ-01, РФ</t>
  </si>
  <si>
    <t>табличка 300*150*30</t>
  </si>
  <si>
    <t>Дорожный знак 5,38 (1-3т.р)</t>
  </si>
  <si>
    <t>Опора оц. ОМ-3,5</t>
  </si>
  <si>
    <t>Почтовый ящик 310*360*100мм с окошком</t>
  </si>
  <si>
    <t>Дорожный знак 3.1 (2т.р)</t>
  </si>
  <si>
    <t>Дорожный знак 7.4.1 (2 т.р.)</t>
  </si>
  <si>
    <t>Табличка 700*500*3</t>
  </si>
  <si>
    <t>Замок врезной</t>
  </si>
  <si>
    <t>Растворитель Р-12 1л</t>
  </si>
  <si>
    <t>Круг шлифовальный 125мм Р 36 5шт</t>
  </si>
  <si>
    <t>Шлифлист 125мм</t>
  </si>
  <si>
    <t>Круг шлифовальный 125мм Р 60 5шт</t>
  </si>
  <si>
    <t>Круг шлифовальный 125мм Р 80 5шт</t>
  </si>
  <si>
    <t>Состав деревозащитный 10л</t>
  </si>
  <si>
    <t>Эмаль ПФ-115 зеленая 2л</t>
  </si>
  <si>
    <t>Эмаль ПФ-115 серая 2л</t>
  </si>
  <si>
    <t>Растровитель В-646 5л</t>
  </si>
  <si>
    <t>Лента для маркировки 48мм*33м*912*0370-123348</t>
  </si>
  <si>
    <t>Валик 18см</t>
  </si>
  <si>
    <t>Валик 10см</t>
  </si>
  <si>
    <t>Кисть круглая</t>
  </si>
  <si>
    <t>Ванночка малярная</t>
  </si>
  <si>
    <t>Лиственница 25л, защитное масло лазурь</t>
  </si>
  <si>
    <t>Комплект ручек д/узкопроф замков без пружины</t>
  </si>
  <si>
    <t>Аэрозольная краска с металлик-эффектом 400мл</t>
  </si>
  <si>
    <t>Корпус замка</t>
  </si>
  <si>
    <t>Поверка манометров*</t>
  </si>
  <si>
    <t>Альгитинн, канистра 10л</t>
  </si>
  <si>
    <t>ИДН500 средний элемент</t>
  </si>
  <si>
    <t>ИДН500 крайний элемент</t>
  </si>
  <si>
    <t>Полипласт 100, ведро мет 5 кг</t>
  </si>
  <si>
    <t>номерки прорезные</t>
  </si>
  <si>
    <t>Анкер с болтом М8*10*100мм</t>
  </si>
  <si>
    <t>Анкер с болтом М8*10*110мм</t>
  </si>
  <si>
    <t>Табличка 210*297*3</t>
  </si>
  <si>
    <t>Регулировка дверей ал.входных механизмами фурнитуры</t>
  </si>
  <si>
    <t>Гирлянда led/тайм компакт мкрц 34м 1500л</t>
  </si>
  <si>
    <t>Гирлянда led/свечи 6м зел/кл</t>
  </si>
  <si>
    <t>гирлянда нг ягодки снег ппл кр 5*23*60</t>
  </si>
  <si>
    <t>украшение ветка ягодки</t>
  </si>
  <si>
    <t>украшение ветка хвоя грибки асс микс 100*150</t>
  </si>
  <si>
    <t>проволока для декор крепл мет зел</t>
  </si>
  <si>
    <t>проволока для декор ролик мет зол 2 шт</t>
  </si>
  <si>
    <t>гирлянда z1 бисер лента xxl кр пласт 20мм*270см</t>
  </si>
  <si>
    <t>Пакет полиэт майка 26/</t>
  </si>
  <si>
    <t>Цветок новогодний 10шт</t>
  </si>
  <si>
    <t>Шары из пластика TG18944-18</t>
  </si>
  <si>
    <t>Замок навесной</t>
  </si>
  <si>
    <t>Набор украшений ел. 14см (4шт)</t>
  </si>
  <si>
    <t>Табличка 300*430*3 (уголок)</t>
  </si>
  <si>
    <t>Табличка 600*400</t>
  </si>
  <si>
    <t>Замена и установка усплотнителя</t>
  </si>
  <si>
    <t>Эмаль АК 511 белая 31 464</t>
  </si>
  <si>
    <t>Эмаль АК 511 белая 31 511</t>
  </si>
  <si>
    <t xml:space="preserve">номерки прорезные </t>
  </si>
  <si>
    <t>Астокомфорт ООО</t>
  </si>
  <si>
    <t xml:space="preserve">Астокомфорт ООО </t>
  </si>
  <si>
    <t>Замена и установка шпингалета</t>
  </si>
  <si>
    <t>АСТОКОМФОРТ прочие расходы (дог на экспл/услуги)</t>
  </si>
  <si>
    <t>АСТОКОМФОРТ прочие расходы (дог на экспл/услуги) замена доводчиков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</si>
</sst>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\-0.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color indexed="8"/>
      <name val="Calibri"/>
      <family val="2"/>
    </font>
    <font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Arial"/>
      <family val="2"/>
    </font>
    <font>
      <sz val="14"/>
      <color rgb="FFFF0000"/>
      <name val="Times New Roman"/>
      <family val="1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2">
    <xf numFmtId="0" fontId="0" fillId="0" borderId="0"/>
    <xf numFmtId="0" fontId="5" fillId="0" borderId="0"/>
    <xf numFmtId="0" fontId="11" fillId="0" borderId="0" applyNumberFormat="0" applyFill="0" applyBorder="0" applyAlignment="0" applyProtection="0"/>
    <xf numFmtId="0" fontId="12" fillId="0" borderId="19" applyNumberFormat="0" applyFill="0" applyAlignment="0" applyProtection="0"/>
    <xf numFmtId="0" fontId="13" fillId="0" borderId="20" applyNumberFormat="0" applyFill="0" applyAlignment="0" applyProtection="0"/>
    <xf numFmtId="0" fontId="14" fillId="0" borderId="21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22" applyNumberFormat="0" applyAlignment="0" applyProtection="0"/>
    <xf numFmtId="0" fontId="19" fillId="7" borderId="23" applyNumberFormat="0" applyAlignment="0" applyProtection="0"/>
    <xf numFmtId="0" fontId="20" fillId="7" borderId="22" applyNumberFormat="0" applyAlignment="0" applyProtection="0"/>
    <xf numFmtId="0" fontId="21" fillId="0" borderId="24" applyNumberFormat="0" applyFill="0" applyAlignment="0" applyProtection="0"/>
    <xf numFmtId="0" fontId="22" fillId="8" borderId="25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27" applyNumberFormat="0" applyFill="0" applyAlignment="0" applyProtection="0"/>
    <xf numFmtId="0" fontId="26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9" borderId="26" applyNumberFormat="0" applyFont="0" applyAlignment="0" applyProtection="0"/>
    <xf numFmtId="0" fontId="27" fillId="0" borderId="0"/>
    <xf numFmtId="0" fontId="28" fillId="0" borderId="0"/>
    <xf numFmtId="0" fontId="29" fillId="0" borderId="0"/>
    <xf numFmtId="0" fontId="3" fillId="0" borderId="0"/>
    <xf numFmtId="0" fontId="2" fillId="0" borderId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26" applyNumberFormat="0" applyFont="0" applyAlignment="0" applyProtection="0"/>
    <xf numFmtId="0" fontId="1" fillId="0" borderId="0"/>
    <xf numFmtId="0" fontId="1" fillId="0" borderId="0"/>
    <xf numFmtId="0" fontId="32" fillId="0" borderId="0"/>
  </cellStyleXfs>
  <cellXfs count="233">
    <xf numFmtId="0" fontId="0" fillId="0" borderId="0" xfId="0"/>
    <xf numFmtId="0" fontId="6" fillId="2" borderId="0" xfId="1" applyFont="1" applyFill="1" applyAlignment="1">
      <alignment vertical="center"/>
    </xf>
    <xf numFmtId="4" fontId="6" fillId="2" borderId="7" xfId="1" applyNumberFormat="1" applyFont="1" applyFill="1" applyBorder="1" applyAlignment="1">
      <alignment horizontal="right" vertical="center"/>
    </xf>
    <xf numFmtId="0" fontId="7" fillId="2" borderId="0" xfId="1" applyFont="1" applyFill="1" applyAlignment="1">
      <alignment vertical="center"/>
    </xf>
    <xf numFmtId="0" fontId="6" fillId="2" borderId="4" xfId="1" applyFont="1" applyFill="1" applyBorder="1" applyAlignment="1">
      <alignment horizontal="center" vertical="center" wrapText="1"/>
    </xf>
    <xf numFmtId="4" fontId="6" fillId="2" borderId="4" xfId="1" applyNumberFormat="1" applyFont="1" applyFill="1" applyBorder="1" applyAlignment="1">
      <alignment horizontal="right" vertical="center"/>
    </xf>
    <xf numFmtId="0" fontId="6" fillId="0" borderId="0" xfId="1" applyFont="1" applyAlignment="1">
      <alignment vertical="center"/>
    </xf>
    <xf numFmtId="4" fontId="6" fillId="0" borderId="0" xfId="1" applyNumberFormat="1" applyFont="1" applyAlignment="1">
      <alignment vertical="center"/>
    </xf>
    <xf numFmtId="0" fontId="7" fillId="0" borderId="0" xfId="1" applyFont="1" applyAlignment="1">
      <alignment vertical="center"/>
    </xf>
    <xf numFmtId="0" fontId="7" fillId="0" borderId="29" xfId="1" applyFont="1" applyBorder="1" applyAlignment="1">
      <alignment horizontal="left" vertical="center" wrapText="1"/>
    </xf>
    <xf numFmtId="4" fontId="7" fillId="0" borderId="29" xfId="1" applyNumberFormat="1" applyFont="1" applyBorder="1" applyAlignment="1">
      <alignment horizontal="right" vertical="center" wrapText="1"/>
    </xf>
    <xf numFmtId="4" fontId="7" fillId="2" borderId="0" xfId="1" applyNumberFormat="1" applyFont="1" applyFill="1" applyAlignment="1">
      <alignment vertical="center"/>
    </xf>
    <xf numFmtId="4" fontId="6" fillId="2" borderId="29" xfId="1" applyNumberFormat="1" applyFont="1" applyFill="1" applyBorder="1" applyAlignment="1">
      <alignment horizontal="right" vertical="center"/>
    </xf>
    <xf numFmtId="4" fontId="6" fillId="2" borderId="29" xfId="1" applyNumberFormat="1" applyFont="1" applyFill="1" applyBorder="1" applyAlignment="1">
      <alignment horizontal="right" vertical="center" wrapText="1"/>
    </xf>
    <xf numFmtId="0" fontId="6" fillId="0" borderId="29" xfId="1" applyFont="1" applyBorder="1" applyAlignment="1">
      <alignment horizontal="left" vertical="center" wrapText="1"/>
    </xf>
    <xf numFmtId="4" fontId="6" fillId="0" borderId="29" xfId="1" applyNumberFormat="1" applyFont="1" applyBorder="1" applyAlignment="1">
      <alignment horizontal="right" vertical="center"/>
    </xf>
    <xf numFmtId="1" fontId="7" fillId="2" borderId="39" xfId="1" applyNumberFormat="1" applyFont="1" applyFill="1" applyBorder="1" applyAlignment="1">
      <alignment horizontal="center" vertical="center" wrapText="1"/>
    </xf>
    <xf numFmtId="1" fontId="7" fillId="2" borderId="38" xfId="1" applyNumberFormat="1" applyFont="1" applyFill="1" applyBorder="1" applyAlignment="1">
      <alignment horizontal="center" vertical="center" wrapText="1"/>
    </xf>
    <xf numFmtId="4" fontId="7" fillId="2" borderId="2" xfId="1" applyNumberFormat="1" applyFont="1" applyFill="1" applyBorder="1" applyAlignment="1">
      <alignment horizontal="right" vertical="center"/>
    </xf>
    <xf numFmtId="4" fontId="7" fillId="2" borderId="3" xfId="1" applyNumberFormat="1" applyFont="1" applyFill="1" applyBorder="1" applyAlignment="1">
      <alignment horizontal="right" vertical="center"/>
    </xf>
    <xf numFmtId="1" fontId="6" fillId="2" borderId="4" xfId="1" applyNumberFormat="1" applyFont="1" applyFill="1" applyBorder="1" applyAlignment="1">
      <alignment horizontal="center" vertical="center" wrapText="1"/>
    </xf>
    <xf numFmtId="0" fontId="6" fillId="2" borderId="37" xfId="1" applyFont="1" applyFill="1" applyBorder="1" applyAlignment="1">
      <alignment horizontal="center" vertical="center" wrapText="1"/>
    </xf>
    <xf numFmtId="4" fontId="6" fillId="2" borderId="39" xfId="1" applyNumberFormat="1" applyFont="1" applyFill="1" applyBorder="1" applyAlignment="1">
      <alignment horizontal="right" vertical="center"/>
    </xf>
    <xf numFmtId="4" fontId="6" fillId="2" borderId="29" xfId="1" applyNumberFormat="1" applyFont="1" applyFill="1" applyBorder="1" applyAlignment="1">
      <alignment horizontal="right"/>
    </xf>
    <xf numFmtId="49" fontId="7" fillId="2" borderId="1" xfId="1" applyNumberFormat="1" applyFont="1" applyFill="1" applyBorder="1" applyAlignment="1">
      <alignment horizontal="center" vertical="center" wrapText="1"/>
    </xf>
    <xf numFmtId="49" fontId="6" fillId="2" borderId="4" xfId="1" applyNumberFormat="1" applyFont="1" applyFill="1" applyBorder="1" applyAlignment="1">
      <alignment horizontal="center" vertical="center" wrapText="1"/>
    </xf>
    <xf numFmtId="4" fontId="7" fillId="2" borderId="10" xfId="1" applyNumberFormat="1" applyFont="1" applyFill="1" applyBorder="1" applyAlignment="1">
      <alignment horizontal="center" vertical="center" wrapText="1"/>
    </xf>
    <xf numFmtId="4" fontId="7" fillId="2" borderId="41" xfId="1" applyNumberFormat="1" applyFont="1" applyFill="1" applyBorder="1" applyAlignment="1">
      <alignment horizontal="center" vertical="center" wrapText="1"/>
    </xf>
    <xf numFmtId="4" fontId="7" fillId="2" borderId="2" xfId="1" applyNumberFormat="1" applyFont="1" applyFill="1" applyBorder="1" applyAlignment="1">
      <alignment vertical="center"/>
    </xf>
    <xf numFmtId="49" fontId="30" fillId="0" borderId="4" xfId="1" applyNumberFormat="1" applyFont="1" applyBorder="1" applyAlignment="1">
      <alignment horizontal="center" vertical="center" wrapText="1"/>
    </xf>
    <xf numFmtId="4" fontId="6" fillId="2" borderId="29" xfId="1" applyNumberFormat="1" applyFont="1" applyFill="1" applyBorder="1" applyAlignment="1">
      <alignment vertical="center"/>
    </xf>
    <xf numFmtId="0" fontId="31" fillId="0" borderId="37" xfId="1" applyFont="1" applyBorder="1" applyAlignment="1">
      <alignment vertical="center"/>
    </xf>
    <xf numFmtId="4" fontId="6" fillId="2" borderId="39" xfId="1" applyNumberFormat="1" applyFont="1" applyFill="1" applyBorder="1" applyAlignment="1">
      <alignment vertical="center"/>
    </xf>
    <xf numFmtId="4" fontId="7" fillId="2" borderId="3" xfId="1" applyNumberFormat="1" applyFont="1" applyFill="1" applyBorder="1" applyAlignment="1">
      <alignment vertical="center"/>
    </xf>
    <xf numFmtId="0" fontId="31" fillId="0" borderId="4" xfId="1" applyFont="1" applyBorder="1" applyAlignment="1">
      <alignment vertical="center"/>
    </xf>
    <xf numFmtId="49" fontId="31" fillId="0" borderId="4" xfId="1" applyNumberFormat="1" applyFont="1" applyBorder="1" applyAlignment="1">
      <alignment horizontal="center" vertical="center" wrapText="1"/>
    </xf>
    <xf numFmtId="4" fontId="6" fillId="0" borderId="29" xfId="1" applyNumberFormat="1" applyFont="1" applyBorder="1" applyAlignment="1">
      <alignment vertical="center"/>
    </xf>
    <xf numFmtId="4" fontId="7" fillId="0" borderId="29" xfId="1" applyNumberFormat="1" applyFont="1" applyBorder="1" applyAlignment="1">
      <alignment vertical="center"/>
    </xf>
    <xf numFmtId="0" fontId="30" fillId="0" borderId="4" xfId="1" applyFont="1" applyBorder="1" applyAlignment="1">
      <alignment horizontal="left" vertical="center" wrapText="1"/>
    </xf>
    <xf numFmtId="0" fontId="31" fillId="0" borderId="4" xfId="1" applyFont="1" applyBorder="1" applyAlignment="1">
      <alignment vertical="center" wrapText="1"/>
    </xf>
    <xf numFmtId="0" fontId="30" fillId="0" borderId="37" xfId="1" applyFont="1" applyBorder="1" applyAlignment="1">
      <alignment horizontal="left" vertical="center" wrapText="1"/>
    </xf>
    <xf numFmtId="4" fontId="10" fillId="2" borderId="9" xfId="1" applyNumberFormat="1" applyFont="1" applyFill="1" applyBorder="1" applyAlignment="1">
      <alignment horizontal="right" vertical="center"/>
    </xf>
    <xf numFmtId="4" fontId="10" fillId="2" borderId="36" xfId="1" applyNumberFormat="1" applyFont="1" applyFill="1" applyBorder="1" applyAlignment="1">
      <alignment horizontal="right" vertical="center"/>
    </xf>
    <xf numFmtId="4" fontId="6" fillId="2" borderId="11" xfId="1" applyNumberFormat="1" applyFont="1" applyFill="1" applyBorder="1" applyAlignment="1">
      <alignment horizontal="right" vertical="center" wrapText="1"/>
    </xf>
    <xf numFmtId="49" fontId="6" fillId="2" borderId="6" xfId="1" applyNumberFormat="1" applyFont="1" applyFill="1" applyBorder="1" applyAlignment="1">
      <alignment horizontal="center" vertical="center" wrapText="1"/>
    </xf>
    <xf numFmtId="4" fontId="7" fillId="2" borderId="2" xfId="1" applyNumberFormat="1" applyFont="1" applyFill="1" applyBorder="1" applyAlignment="1">
      <alignment horizontal="right" vertical="center" wrapText="1"/>
    </xf>
    <xf numFmtId="4" fontId="7" fillId="2" borderId="1" xfId="1" applyNumberFormat="1" applyFont="1" applyFill="1" applyBorder="1" applyAlignment="1">
      <alignment horizontal="right" vertical="center"/>
    </xf>
    <xf numFmtId="4" fontId="6" fillId="2" borderId="5" xfId="1" applyNumberFormat="1" applyFont="1" applyFill="1" applyBorder="1" applyAlignment="1">
      <alignment horizontal="right" vertical="center" wrapText="1"/>
    </xf>
    <xf numFmtId="49" fontId="6" fillId="2" borderId="37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4" fontId="10" fillId="2" borderId="28" xfId="1" applyNumberFormat="1" applyFont="1" applyFill="1" applyBorder="1" applyAlignment="1">
      <alignment horizontal="right" vertical="center"/>
    </xf>
    <xf numFmtId="4" fontId="7" fillId="2" borderId="0" xfId="1" applyNumberFormat="1" applyFont="1" applyFill="1" applyAlignment="1">
      <alignment horizontal="right" vertical="center"/>
    </xf>
    <xf numFmtId="0" fontId="7" fillId="2" borderId="37" xfId="1" applyFont="1" applyFill="1" applyBorder="1" applyAlignment="1">
      <alignment horizontal="center" vertical="center" wrapText="1"/>
    </xf>
    <xf numFmtId="4" fontId="10" fillId="2" borderId="41" xfId="1" applyNumberFormat="1" applyFont="1" applyFill="1" applyBorder="1" applyAlignment="1">
      <alignment horizontal="right" vertical="center"/>
    </xf>
    <xf numFmtId="4" fontId="9" fillId="2" borderId="29" xfId="1" applyNumberFormat="1" applyFont="1" applyFill="1" applyBorder="1" applyAlignment="1">
      <alignment vertical="center"/>
    </xf>
    <xf numFmtId="4" fontId="7" fillId="2" borderId="30" xfId="1" applyNumberFormat="1" applyFont="1" applyFill="1" applyBorder="1" applyAlignment="1">
      <alignment vertical="center"/>
    </xf>
    <xf numFmtId="4" fontId="7" fillId="2" borderId="3" xfId="1" applyNumberFormat="1" applyFont="1" applyFill="1" applyBorder="1" applyAlignment="1">
      <alignment horizontal="right" vertical="center" wrapText="1"/>
    </xf>
    <xf numFmtId="0" fontId="6" fillId="0" borderId="29" xfId="1" applyFont="1" applyBorder="1" applyAlignment="1">
      <alignment vertical="center"/>
    </xf>
    <xf numFmtId="4" fontId="6" fillId="2" borderId="38" xfId="1" applyNumberFormat="1" applyFont="1" applyFill="1" applyBorder="1" applyAlignment="1">
      <alignment horizontal="right" vertical="center" wrapText="1"/>
    </xf>
    <xf numFmtId="49" fontId="7" fillId="0" borderId="29" xfId="1" applyNumberFormat="1" applyFont="1" applyBorder="1" applyAlignment="1">
      <alignment horizontal="left" vertical="center" wrapText="1"/>
    </xf>
    <xf numFmtId="4" fontId="8" fillId="0" borderId="29" xfId="1" applyNumberFormat="1" applyFont="1" applyBorder="1" applyAlignment="1">
      <alignment horizontal="right" vertical="center" wrapText="1"/>
    </xf>
    <xf numFmtId="4" fontId="7" fillId="0" borderId="29" xfId="1" applyNumberFormat="1" applyFont="1" applyBorder="1" applyAlignment="1">
      <alignment vertical="center" wrapText="1"/>
    </xf>
    <xf numFmtId="0" fontId="7" fillId="0" borderId="29" xfId="1" applyFont="1" applyBorder="1" applyAlignment="1">
      <alignment horizontal="left" wrapText="1"/>
    </xf>
    <xf numFmtId="0" fontId="6" fillId="0" borderId="29" xfId="1" applyFont="1" applyBorder="1" applyAlignment="1">
      <alignment horizontal="center" vertical="center"/>
    </xf>
    <xf numFmtId="0" fontId="6" fillId="0" borderId="29" xfId="1" applyFont="1" applyBorder="1" applyAlignment="1">
      <alignment horizontal="left" vertical="center"/>
    </xf>
    <xf numFmtId="4" fontId="6" fillId="0" borderId="29" xfId="1" applyNumberFormat="1" applyFont="1" applyBorder="1" applyAlignment="1">
      <alignment horizontal="right" vertical="center" wrapText="1"/>
    </xf>
    <xf numFmtId="0" fontId="6" fillId="0" borderId="29" xfId="1" applyFont="1" applyBorder="1" applyAlignment="1">
      <alignment horizontal="center" vertical="center" wrapText="1"/>
    </xf>
    <xf numFmtId="49" fontId="6" fillId="0" borderId="29" xfId="1" applyNumberFormat="1" applyFont="1" applyBorder="1" applyAlignment="1">
      <alignment horizontal="center" vertical="center" wrapText="1"/>
    </xf>
    <xf numFmtId="4" fontId="7" fillId="0" borderId="29" xfId="1" applyNumberFormat="1" applyFont="1" applyBorder="1" applyAlignment="1">
      <alignment horizontal="right" vertical="center"/>
    </xf>
    <xf numFmtId="0" fontId="9" fillId="0" borderId="29" xfId="1" applyFont="1" applyBorder="1" applyAlignment="1">
      <alignment horizontal="left" vertical="center" wrapText="1"/>
    </xf>
    <xf numFmtId="0" fontId="7" fillId="0" borderId="29" xfId="1" applyFont="1" applyBorder="1" applyAlignment="1">
      <alignment vertical="center"/>
    </xf>
    <xf numFmtId="1" fontId="7" fillId="2" borderId="37" xfId="1" applyNumberFormat="1" applyFont="1" applyFill="1" applyBorder="1" applyAlignment="1">
      <alignment horizontal="center" vertical="center" wrapText="1"/>
    </xf>
    <xf numFmtId="4" fontId="6" fillId="2" borderId="4" xfId="1" applyNumberFormat="1" applyFont="1" applyFill="1" applyBorder="1" applyAlignment="1">
      <alignment horizontal="right" vertical="center" wrapText="1"/>
    </xf>
    <xf numFmtId="4" fontId="7" fillId="2" borderId="1" xfId="1" applyNumberFormat="1" applyFont="1" applyFill="1" applyBorder="1" applyAlignment="1">
      <alignment horizontal="right" vertical="center" wrapText="1"/>
    </xf>
    <xf numFmtId="4" fontId="6" fillId="2" borderId="37" xfId="1" applyNumberFormat="1" applyFont="1" applyFill="1" applyBorder="1" applyAlignment="1">
      <alignment horizontal="right" vertical="center"/>
    </xf>
    <xf numFmtId="4" fontId="6" fillId="2" borderId="4" xfId="1" applyNumberFormat="1" applyFont="1" applyFill="1" applyBorder="1" applyAlignment="1">
      <alignment horizontal="right"/>
    </xf>
    <xf numFmtId="4" fontId="6" fillId="2" borderId="6" xfId="1" applyNumberFormat="1" applyFont="1" applyFill="1" applyBorder="1" applyAlignment="1">
      <alignment horizontal="right" vertical="center"/>
    </xf>
    <xf numFmtId="4" fontId="10" fillId="2" borderId="35" xfId="1" applyNumberFormat="1" applyFont="1" applyFill="1" applyBorder="1" applyAlignment="1">
      <alignment horizontal="right" vertical="center"/>
    </xf>
    <xf numFmtId="4" fontId="7" fillId="2" borderId="1" xfId="1" applyNumberFormat="1" applyFont="1" applyFill="1" applyBorder="1" applyAlignment="1">
      <alignment vertical="center"/>
    </xf>
    <xf numFmtId="4" fontId="6" fillId="2" borderId="4" xfId="1" applyNumberFormat="1" applyFont="1" applyFill="1" applyBorder="1" applyAlignment="1">
      <alignment vertical="center"/>
    </xf>
    <xf numFmtId="4" fontId="6" fillId="2" borderId="37" xfId="1" applyNumberFormat="1" applyFont="1" applyFill="1" applyBorder="1" applyAlignment="1">
      <alignment vertical="center"/>
    </xf>
    <xf numFmtId="4" fontId="7" fillId="2" borderId="33" xfId="1" applyNumberFormat="1" applyFont="1" applyFill="1" applyBorder="1" applyAlignment="1">
      <alignment horizontal="center" vertical="center" wrapText="1"/>
    </xf>
    <xf numFmtId="4" fontId="7" fillId="2" borderId="40" xfId="1" applyNumberFormat="1" applyFont="1" applyFill="1" applyBorder="1" applyAlignment="1">
      <alignment horizontal="center" vertical="center" wrapText="1"/>
    </xf>
    <xf numFmtId="4" fontId="6" fillId="2" borderId="32" xfId="1" applyNumberFormat="1" applyFont="1" applyFill="1" applyBorder="1" applyAlignment="1">
      <alignment horizontal="right" vertical="center" wrapText="1"/>
    </xf>
    <xf numFmtId="4" fontId="6" fillId="2" borderId="8" xfId="1" applyNumberFormat="1" applyFont="1" applyFill="1" applyBorder="1" applyAlignment="1">
      <alignment horizontal="right" vertical="center" wrapText="1"/>
    </xf>
    <xf numFmtId="4" fontId="10" fillId="2" borderId="13" xfId="1" applyNumberFormat="1" applyFont="1" applyFill="1" applyBorder="1" applyAlignment="1">
      <alignment horizontal="right" vertical="center"/>
    </xf>
    <xf numFmtId="4" fontId="9" fillId="0" borderId="29" xfId="1" applyNumberFormat="1" applyFont="1" applyBorder="1" applyAlignment="1">
      <alignment vertical="center"/>
    </xf>
    <xf numFmtId="0" fontId="6" fillId="2" borderId="38" xfId="1" applyFont="1" applyFill="1" applyBorder="1" applyAlignment="1">
      <alignment horizontal="left" vertical="center" wrapText="1"/>
    </xf>
    <xf numFmtId="4" fontId="6" fillId="2" borderId="0" xfId="1" applyNumberFormat="1" applyFont="1" applyFill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0" borderId="29" xfId="1" applyFont="1" applyBorder="1" applyAlignment="1">
      <alignment horizontal="center" vertical="center" wrapText="1"/>
    </xf>
    <xf numFmtId="4" fontId="7" fillId="2" borderId="7" xfId="1" applyNumberFormat="1" applyFont="1" applyFill="1" applyBorder="1" applyAlignment="1">
      <alignment horizontal="center" vertical="center" wrapText="1"/>
    </xf>
    <xf numFmtId="1" fontId="7" fillId="2" borderId="0" xfId="1" applyNumberFormat="1" applyFont="1" applyFill="1" applyAlignment="1">
      <alignment horizontal="center" vertical="center" wrapText="1"/>
    </xf>
    <xf numFmtId="4" fontId="7" fillId="2" borderId="0" xfId="1" applyNumberFormat="1" applyFont="1" applyFill="1" applyAlignment="1">
      <alignment horizontal="center" vertical="center" wrapText="1"/>
    </xf>
    <xf numFmtId="1" fontId="6" fillId="2" borderId="37" xfId="1" applyNumberFormat="1" applyFont="1" applyFill="1" applyBorder="1" applyAlignment="1">
      <alignment horizontal="center" vertical="center" wrapText="1"/>
    </xf>
    <xf numFmtId="4" fontId="7" fillId="2" borderId="0" xfId="1" applyNumberFormat="1" applyFont="1" applyFill="1" applyAlignment="1">
      <alignment horizontal="right" vertical="center" wrapText="1"/>
    </xf>
    <xf numFmtId="4" fontId="10" fillId="2" borderId="0" xfId="1" applyNumberFormat="1" applyFont="1" applyFill="1" applyAlignment="1">
      <alignment horizontal="right" vertical="center"/>
    </xf>
    <xf numFmtId="49" fontId="30" fillId="0" borderId="37" xfId="1" applyNumberFormat="1" applyFont="1" applyBorder="1" applyAlignment="1">
      <alignment horizontal="center" vertical="center" wrapText="1"/>
    </xf>
    <xf numFmtId="4" fontId="6" fillId="0" borderId="39" xfId="1" applyNumberFormat="1" applyFont="1" applyBorder="1" applyAlignment="1">
      <alignment vertical="center"/>
    </xf>
    <xf numFmtId="4" fontId="7" fillId="0" borderId="2" xfId="1" applyNumberFormat="1" applyFont="1" applyBorder="1" applyAlignment="1">
      <alignment vertical="center"/>
    </xf>
    <xf numFmtId="4" fontId="10" fillId="2" borderId="14" xfId="1" applyNumberFormat="1" applyFont="1" applyFill="1" applyBorder="1" applyAlignment="1">
      <alignment horizontal="right" vertical="center"/>
    </xf>
    <xf numFmtId="0" fontId="6" fillId="0" borderId="14" xfId="1" applyFont="1" applyBorder="1" applyAlignment="1">
      <alignment horizontal="left" vertical="center" wrapText="1"/>
    </xf>
    <xf numFmtId="4" fontId="6" fillId="2" borderId="0" xfId="1" applyNumberFormat="1" applyFont="1" applyFill="1" applyAlignment="1">
      <alignment horizontal="right" vertical="center" wrapText="1"/>
    </xf>
    <xf numFmtId="4" fontId="7" fillId="0" borderId="2" xfId="1" applyNumberFormat="1" applyFont="1" applyBorder="1" applyAlignment="1">
      <alignment horizontal="right" vertical="center" wrapText="1"/>
    </xf>
    <xf numFmtId="4" fontId="6" fillId="2" borderId="6" xfId="1" applyNumberFormat="1" applyFont="1" applyFill="1" applyBorder="1" applyAlignment="1">
      <alignment vertical="center"/>
    </xf>
    <xf numFmtId="4" fontId="6" fillId="2" borderId="7" xfId="1" applyNumberFormat="1" applyFont="1" applyFill="1" applyBorder="1" applyAlignment="1">
      <alignment vertical="center"/>
    </xf>
    <xf numFmtId="4" fontId="6" fillId="0" borderId="5" xfId="1" applyNumberFormat="1" applyFont="1" applyBorder="1" applyAlignment="1">
      <alignment horizontal="right" vertical="center" wrapText="1"/>
    </xf>
    <xf numFmtId="4" fontId="6" fillId="0" borderId="11" xfId="1" applyNumberFormat="1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7" fillId="2" borderId="14" xfId="1" applyFont="1" applyFill="1" applyBorder="1" applyAlignment="1">
      <alignment horizontal="left" vertical="center" wrapText="1"/>
    </xf>
    <xf numFmtId="4" fontId="10" fillId="2" borderId="43" xfId="1" applyNumberFormat="1" applyFont="1" applyFill="1" applyBorder="1" applyAlignment="1">
      <alignment horizontal="right" vertical="center"/>
    </xf>
    <xf numFmtId="4" fontId="7" fillId="2" borderId="43" xfId="1" applyNumberFormat="1" applyFont="1" applyFill="1" applyBorder="1" applyAlignment="1">
      <alignment horizontal="center" vertical="center" wrapText="1"/>
    </xf>
    <xf numFmtId="4" fontId="6" fillId="0" borderId="0" xfId="1" applyNumberFormat="1" applyFont="1" applyAlignment="1">
      <alignment horizontal="right" vertical="center" wrapText="1"/>
    </xf>
    <xf numFmtId="4" fontId="33" fillId="0" borderId="0" xfId="1" applyNumberFormat="1" applyFont="1" applyAlignment="1">
      <alignment vertical="center"/>
    </xf>
    <xf numFmtId="4" fontId="6" fillId="2" borderId="15" xfId="1" applyNumberFormat="1" applyFont="1" applyFill="1" applyBorder="1" applyAlignment="1">
      <alignment horizontal="right" vertical="center"/>
    </xf>
    <xf numFmtId="4" fontId="9" fillId="2" borderId="4" xfId="1" applyNumberFormat="1" applyFont="1" applyFill="1" applyBorder="1" applyAlignment="1">
      <alignment vertical="center"/>
    </xf>
    <xf numFmtId="4" fontId="6" fillId="2" borderId="54" xfId="1" applyNumberFormat="1" applyFont="1" applyFill="1" applyBorder="1" applyAlignment="1">
      <alignment vertical="center"/>
    </xf>
    <xf numFmtId="4" fontId="7" fillId="2" borderId="57" xfId="1" applyNumberFormat="1" applyFont="1" applyFill="1" applyBorder="1" applyAlignment="1">
      <alignment vertical="center"/>
    </xf>
    <xf numFmtId="4" fontId="6" fillId="2" borderId="56" xfId="1" applyNumberFormat="1" applyFont="1" applyFill="1" applyBorder="1" applyAlignment="1">
      <alignment vertical="center"/>
    </xf>
    <xf numFmtId="4" fontId="10" fillId="0" borderId="12" xfId="1" applyNumberFormat="1" applyFont="1" applyBorder="1" applyAlignment="1">
      <alignment horizontal="right" vertical="center"/>
    </xf>
    <xf numFmtId="0" fontId="0" fillId="2" borderId="0" xfId="0" applyFill="1" applyAlignment="1">
      <alignment horizontal="center" vertical="center" wrapText="1"/>
    </xf>
    <xf numFmtId="0" fontId="7" fillId="2" borderId="38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left" vertical="center" wrapText="1"/>
    </xf>
    <xf numFmtId="4" fontId="7" fillId="2" borderId="45" xfId="1" applyNumberFormat="1" applyFont="1" applyFill="1" applyBorder="1" applyAlignment="1">
      <alignment horizontal="right" vertical="center"/>
    </xf>
    <xf numFmtId="0" fontId="6" fillId="2" borderId="5" xfId="1" applyFont="1" applyFill="1" applyBorder="1" applyAlignment="1">
      <alignment horizontal="left" vertical="center" wrapText="1"/>
    </xf>
    <xf numFmtId="4" fontId="6" fillId="2" borderId="49" xfId="1" applyNumberFormat="1" applyFont="1" applyFill="1" applyBorder="1" applyAlignment="1">
      <alignment horizontal="right" vertical="center" wrapText="1"/>
    </xf>
    <xf numFmtId="4" fontId="6" fillId="2" borderId="15" xfId="1" applyNumberFormat="1" applyFont="1" applyFill="1" applyBorder="1" applyAlignment="1">
      <alignment horizontal="right" vertical="center" wrapText="1"/>
    </xf>
    <xf numFmtId="4" fontId="6" fillId="2" borderId="46" xfId="1" applyNumberFormat="1" applyFont="1" applyFill="1" applyBorder="1" applyAlignment="1">
      <alignment horizontal="right" vertical="center" wrapText="1"/>
    </xf>
    <xf numFmtId="4" fontId="6" fillId="2" borderId="46" xfId="1" applyNumberFormat="1" applyFont="1" applyFill="1" applyBorder="1" applyAlignment="1">
      <alignment horizontal="right" vertical="center"/>
    </xf>
    <xf numFmtId="4" fontId="6" fillId="2" borderId="31" xfId="1" applyNumberFormat="1" applyFont="1" applyFill="1" applyBorder="1" applyAlignment="1">
      <alignment horizontal="right" vertical="center"/>
    </xf>
    <xf numFmtId="0" fontId="7" fillId="2" borderId="3" xfId="1" applyFont="1" applyFill="1" applyBorder="1" applyAlignment="1">
      <alignment horizontal="left" vertical="center" wrapText="1"/>
    </xf>
    <xf numFmtId="4" fontId="7" fillId="2" borderId="45" xfId="1" applyNumberFormat="1" applyFont="1" applyFill="1" applyBorder="1" applyAlignment="1">
      <alignment horizontal="right" vertical="center" wrapText="1"/>
    </xf>
    <xf numFmtId="4" fontId="6" fillId="2" borderId="49" xfId="1" applyNumberFormat="1" applyFont="1" applyFill="1" applyBorder="1" applyAlignment="1">
      <alignment horizontal="right" vertical="center"/>
    </xf>
    <xf numFmtId="0" fontId="6" fillId="2" borderId="8" xfId="1" applyFont="1" applyFill="1" applyBorder="1" applyAlignment="1">
      <alignment horizontal="left" vertical="center" wrapText="1"/>
    </xf>
    <xf numFmtId="4" fontId="6" fillId="2" borderId="59" xfId="1" applyNumberFormat="1" applyFont="1" applyFill="1" applyBorder="1" applyAlignment="1">
      <alignment horizontal="right" vertical="center"/>
    </xf>
    <xf numFmtId="4" fontId="6" fillId="2" borderId="33" xfId="1" applyNumberFormat="1" applyFont="1" applyFill="1" applyBorder="1" applyAlignment="1">
      <alignment horizontal="right" vertical="center"/>
    </xf>
    <xf numFmtId="4" fontId="6" fillId="2" borderId="49" xfId="1" applyNumberFormat="1" applyFont="1" applyFill="1" applyBorder="1" applyAlignment="1">
      <alignment horizontal="right"/>
    </xf>
    <xf numFmtId="4" fontId="6" fillId="2" borderId="15" xfId="1" applyNumberFormat="1" applyFont="1" applyFill="1" applyBorder="1" applyAlignment="1">
      <alignment horizontal="right"/>
    </xf>
    <xf numFmtId="0" fontId="6" fillId="0" borderId="5" xfId="1" applyFont="1" applyBorder="1" applyAlignment="1">
      <alignment horizontal="left" vertical="center" wrapText="1"/>
    </xf>
    <xf numFmtId="0" fontId="6" fillId="0" borderId="8" xfId="1" applyFont="1" applyBorder="1" applyAlignment="1">
      <alignment horizontal="left" vertical="center" wrapText="1"/>
    </xf>
    <xf numFmtId="4" fontId="6" fillId="2" borderId="59" xfId="1" applyNumberFormat="1" applyFont="1" applyFill="1" applyBorder="1" applyAlignment="1">
      <alignment horizontal="right" vertical="center" wrapText="1"/>
    </xf>
    <xf numFmtId="4" fontId="6" fillId="2" borderId="52" xfId="1" applyNumberFormat="1" applyFont="1" applyFill="1" applyBorder="1" applyAlignment="1">
      <alignment vertical="center"/>
    </xf>
    <xf numFmtId="4" fontId="6" fillId="2" borderId="15" xfId="1" applyNumberFormat="1" applyFont="1" applyFill="1" applyBorder="1" applyAlignment="1">
      <alignment vertical="center"/>
    </xf>
    <xf numFmtId="0" fontId="6" fillId="0" borderId="38" xfId="1" applyFont="1" applyBorder="1" applyAlignment="1">
      <alignment horizontal="left" vertical="center" wrapText="1"/>
    </xf>
    <xf numFmtId="4" fontId="6" fillId="2" borderId="60" xfId="1" applyNumberFormat="1" applyFont="1" applyFill="1" applyBorder="1" applyAlignment="1">
      <alignment vertical="center"/>
    </xf>
    <xf numFmtId="4" fontId="6" fillId="2" borderId="49" xfId="1" applyNumberFormat="1" applyFont="1" applyFill="1" applyBorder="1" applyAlignment="1">
      <alignment vertical="center"/>
    </xf>
    <xf numFmtId="4" fontId="6" fillId="2" borderId="47" xfId="1" applyNumberFormat="1" applyFont="1" applyFill="1" applyBorder="1" applyAlignment="1">
      <alignment vertical="center"/>
    </xf>
    <xf numFmtId="0" fontId="9" fillId="2" borderId="5" xfId="1" applyFont="1" applyFill="1" applyBorder="1" applyAlignment="1">
      <alignment horizontal="left" vertical="center" wrapText="1"/>
    </xf>
    <xf numFmtId="4" fontId="9" fillId="2" borderId="54" xfId="1" applyNumberFormat="1" applyFont="1" applyFill="1" applyBorder="1" applyAlignment="1">
      <alignment vertical="center"/>
    </xf>
    <xf numFmtId="0" fontId="6" fillId="2" borderId="5" xfId="1" applyFont="1" applyFill="1" applyBorder="1" applyAlignment="1">
      <alignment vertical="center" wrapText="1"/>
    </xf>
    <xf numFmtId="4" fontId="10" fillId="0" borderId="13" xfId="1" applyNumberFormat="1" applyFont="1" applyBorder="1" applyAlignment="1">
      <alignment horizontal="right" vertical="center"/>
    </xf>
    <xf numFmtId="4" fontId="10" fillId="2" borderId="53" xfId="1" applyNumberFormat="1" applyFont="1" applyFill="1" applyBorder="1" applyAlignment="1">
      <alignment horizontal="right" vertical="center"/>
    </xf>
    <xf numFmtId="4" fontId="10" fillId="0" borderId="55" xfId="1" applyNumberFormat="1" applyFont="1" applyBorder="1" applyAlignment="1">
      <alignment horizontal="right" vertical="center"/>
    </xf>
    <xf numFmtId="4" fontId="10" fillId="2" borderId="55" xfId="1" applyNumberFormat="1" applyFont="1" applyFill="1" applyBorder="1" applyAlignment="1">
      <alignment horizontal="right" vertical="center"/>
    </xf>
    <xf numFmtId="4" fontId="10" fillId="0" borderId="35" xfId="1" applyNumberFormat="1" applyFont="1" applyBorder="1" applyAlignment="1">
      <alignment horizontal="right" vertical="center"/>
    </xf>
    <xf numFmtId="4" fontId="7" fillId="2" borderId="42" xfId="1" applyNumberFormat="1" applyFont="1" applyFill="1" applyBorder="1" applyAlignment="1">
      <alignment horizontal="right" vertical="center"/>
    </xf>
    <xf numFmtId="4" fontId="6" fillId="2" borderId="51" xfId="1" applyNumberFormat="1" applyFont="1" applyFill="1" applyBorder="1" applyAlignment="1">
      <alignment horizontal="right" vertical="center" wrapText="1"/>
    </xf>
    <xf numFmtId="4" fontId="6" fillId="2" borderId="18" xfId="1" applyNumberFormat="1" applyFont="1" applyFill="1" applyBorder="1" applyAlignment="1">
      <alignment horizontal="right" vertical="center" wrapText="1"/>
    </xf>
    <xf numFmtId="4" fontId="6" fillId="2" borderId="18" xfId="1" applyNumberFormat="1" applyFont="1" applyFill="1" applyBorder="1" applyAlignment="1">
      <alignment horizontal="right" vertical="center"/>
    </xf>
    <xf numFmtId="4" fontId="6" fillId="2" borderId="44" xfId="1" applyNumberFormat="1" applyFont="1" applyFill="1" applyBorder="1" applyAlignment="1">
      <alignment horizontal="right" vertical="center"/>
    </xf>
    <xf numFmtId="4" fontId="7" fillId="2" borderId="42" xfId="1" applyNumberFormat="1" applyFont="1" applyFill="1" applyBorder="1" applyAlignment="1">
      <alignment horizontal="right" vertical="center" wrapText="1"/>
    </xf>
    <xf numFmtId="4" fontId="6" fillId="2" borderId="51" xfId="1" applyNumberFormat="1" applyFont="1" applyFill="1" applyBorder="1" applyAlignment="1">
      <alignment horizontal="right" vertical="center"/>
    </xf>
    <xf numFmtId="4" fontId="6" fillId="2" borderId="48" xfId="1" applyNumberFormat="1" applyFont="1" applyFill="1" applyBorder="1" applyAlignment="1">
      <alignment horizontal="right" vertical="center"/>
    </xf>
    <xf numFmtId="4" fontId="6" fillId="2" borderId="51" xfId="1" applyNumberFormat="1" applyFont="1" applyFill="1" applyBorder="1" applyAlignment="1">
      <alignment horizontal="right"/>
    </xf>
    <xf numFmtId="4" fontId="7" fillId="2" borderId="50" xfId="1" applyNumberFormat="1" applyFont="1" applyFill="1" applyBorder="1" applyAlignment="1">
      <alignment horizontal="center" vertical="center" wrapText="1"/>
    </xf>
    <xf numFmtId="4" fontId="6" fillId="2" borderId="34" xfId="1" applyNumberFormat="1" applyFont="1" applyFill="1" applyBorder="1" applyAlignment="1">
      <alignment vertical="center"/>
    </xf>
    <xf numFmtId="4" fontId="6" fillId="2" borderId="51" xfId="1" applyNumberFormat="1" applyFont="1" applyFill="1" applyBorder="1" applyAlignment="1">
      <alignment vertical="center"/>
    </xf>
    <xf numFmtId="4" fontId="9" fillId="2" borderId="56" xfId="1" applyNumberFormat="1" applyFont="1" applyFill="1" applyBorder="1" applyAlignment="1">
      <alignment vertical="center"/>
    </xf>
    <xf numFmtId="4" fontId="10" fillId="2" borderId="16" xfId="1" applyNumberFormat="1" applyFont="1" applyFill="1" applyBorder="1" applyAlignment="1">
      <alignment horizontal="right" vertical="center"/>
    </xf>
    <xf numFmtId="4" fontId="7" fillId="2" borderId="17" xfId="1" applyNumberFormat="1" applyFont="1" applyFill="1" applyBorder="1" applyAlignment="1">
      <alignment vertical="center"/>
    </xf>
    <xf numFmtId="4" fontId="7" fillId="2" borderId="42" xfId="1" applyNumberFormat="1" applyFont="1" applyFill="1" applyBorder="1" applyAlignment="1">
      <alignment vertical="center"/>
    </xf>
    <xf numFmtId="4" fontId="6" fillId="2" borderId="44" xfId="1" applyNumberFormat="1" applyFont="1" applyFill="1" applyBorder="1" applyAlignment="1">
      <alignment vertical="center"/>
    </xf>
    <xf numFmtId="4" fontId="6" fillId="2" borderId="58" xfId="1" applyNumberFormat="1" applyFont="1" applyFill="1" applyBorder="1" applyAlignment="1">
      <alignment vertical="center"/>
    </xf>
    <xf numFmtId="4" fontId="7" fillId="2" borderId="15" xfId="1" applyNumberFormat="1" applyFont="1" applyFill="1" applyBorder="1" applyAlignment="1">
      <alignment vertical="center"/>
    </xf>
    <xf numFmtId="4" fontId="7" fillId="0" borderId="14" xfId="1" applyNumberFormat="1" applyFont="1" applyBorder="1" applyAlignment="1">
      <alignment vertical="center"/>
    </xf>
    <xf numFmtId="4" fontId="7" fillId="2" borderId="43" xfId="1" applyNumberFormat="1" applyFont="1" applyFill="1" applyBorder="1" applyAlignment="1">
      <alignment vertical="center"/>
    </xf>
    <xf numFmtId="4" fontId="7" fillId="2" borderId="10" xfId="1" applyNumberFormat="1" applyFont="1" applyFill="1" applyBorder="1" applyAlignment="1">
      <alignment vertical="center"/>
    </xf>
    <xf numFmtId="4" fontId="7" fillId="2" borderId="41" xfId="1" applyNumberFormat="1" applyFont="1" applyFill="1" applyBorder="1" applyAlignment="1">
      <alignment vertical="center"/>
    </xf>
    <xf numFmtId="4" fontId="6" fillId="2" borderId="1" xfId="1" applyNumberFormat="1" applyFont="1" applyFill="1" applyBorder="1" applyAlignment="1">
      <alignment vertical="center"/>
    </xf>
    <xf numFmtId="4" fontId="6" fillId="2" borderId="2" xfId="1" applyNumberFormat="1" applyFont="1" applyFill="1" applyBorder="1" applyAlignment="1">
      <alignment vertical="center"/>
    </xf>
    <xf numFmtId="4" fontId="6" fillId="0" borderId="3" xfId="1" applyNumberFormat="1" applyFont="1" applyBorder="1" applyAlignment="1">
      <alignment horizontal="right" vertical="center" wrapText="1"/>
    </xf>
    <xf numFmtId="4" fontId="10" fillId="2" borderId="61" xfId="1" applyNumberFormat="1" applyFont="1" applyFill="1" applyBorder="1" applyAlignment="1">
      <alignment horizontal="right" vertical="center"/>
    </xf>
    <xf numFmtId="0" fontId="0" fillId="0" borderId="0" xfId="0"/>
    <xf numFmtId="0" fontId="0" fillId="0" borderId="0" xfId="0" applyBorder="1"/>
    <xf numFmtId="0" fontId="35" fillId="0" borderId="29" xfId="0" applyFont="1" applyBorder="1"/>
    <xf numFmtId="0" fontId="35" fillId="0" borderId="29" xfId="0" applyFont="1" applyBorder="1" applyAlignment="1">
      <alignment horizontal="left"/>
    </xf>
    <xf numFmtId="0" fontId="35" fillId="34" borderId="29" xfId="1" applyFont="1" applyFill="1" applyBorder="1" applyAlignment="1">
      <alignment horizontal="left" vertical="center" wrapText="1"/>
    </xf>
    <xf numFmtId="4" fontId="35" fillId="34" borderId="29" xfId="1" applyNumberFormat="1" applyFont="1" applyFill="1" applyBorder="1" applyAlignment="1">
      <alignment vertical="center"/>
    </xf>
    <xf numFmtId="0" fontId="34" fillId="0" borderId="29" xfId="71" applyNumberFormat="1" applyFont="1" applyBorder="1" applyAlignment="1">
      <alignment vertical="top" wrapText="1"/>
    </xf>
    <xf numFmtId="164" fontId="34" fillId="0" borderId="29" xfId="71" applyNumberFormat="1" applyFont="1" applyBorder="1" applyAlignment="1">
      <alignment horizontal="right" vertical="top" wrapText="1"/>
    </xf>
    <xf numFmtId="0" fontId="34" fillId="0" borderId="29" xfId="71" applyNumberFormat="1" applyFont="1" applyBorder="1" applyAlignment="1">
      <alignment horizontal="left" vertical="top" wrapText="1"/>
    </xf>
    <xf numFmtId="40" fontId="34" fillId="0" borderId="29" xfId="71" applyNumberFormat="1" applyFont="1" applyBorder="1" applyAlignment="1">
      <alignment horizontal="right" vertical="top" wrapText="1"/>
    </xf>
    <xf numFmtId="0" fontId="35" fillId="34" borderId="29" xfId="1" applyFont="1" applyFill="1" applyBorder="1" applyAlignment="1">
      <alignment vertical="center" wrapText="1"/>
    </xf>
    <xf numFmtId="4" fontId="35" fillId="2" borderId="29" xfId="1" applyNumberFormat="1" applyFont="1" applyFill="1" applyBorder="1" applyAlignment="1">
      <alignment vertical="center"/>
    </xf>
    <xf numFmtId="2" fontId="34" fillId="0" borderId="29" xfId="71" applyNumberFormat="1" applyFont="1" applyBorder="1" applyAlignment="1">
      <alignment horizontal="right" vertical="top" wrapText="1"/>
    </xf>
    <xf numFmtId="0" fontId="35" fillId="2" borderId="29" xfId="1" applyFont="1" applyFill="1" applyBorder="1" applyAlignment="1">
      <alignment horizontal="left" vertical="center" wrapText="1"/>
    </xf>
    <xf numFmtId="0" fontId="7" fillId="2" borderId="41" xfId="1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7" fillId="2" borderId="0" xfId="1" applyFont="1" applyFill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2" borderId="13" xfId="1" applyFont="1" applyFill="1" applyBorder="1" applyAlignment="1">
      <alignment vertical="center" wrapText="1"/>
    </xf>
    <xf numFmtId="0" fontId="0" fillId="2" borderId="28" xfId="0" applyFill="1" applyBorder="1" applyAlignment="1">
      <alignment vertical="center" wrapText="1"/>
    </xf>
    <xf numFmtId="0" fontId="7" fillId="2" borderId="43" xfId="1" applyFont="1" applyFill="1" applyBorder="1" applyAlignment="1">
      <alignment horizontal="center" vertical="center" wrapText="1"/>
    </xf>
    <xf numFmtId="0" fontId="7" fillId="2" borderId="35" xfId="1" applyFont="1" applyFill="1" applyBorder="1" applyAlignment="1">
      <alignment horizontal="left" vertical="center" wrapText="1"/>
    </xf>
    <xf numFmtId="0" fontId="0" fillId="2" borderId="36" xfId="0" applyFill="1" applyBorder="1" applyAlignment="1">
      <alignment vertical="center" wrapText="1"/>
    </xf>
    <xf numFmtId="0" fontId="7" fillId="2" borderId="35" xfId="1" applyFont="1" applyFill="1" applyBorder="1" applyAlignment="1">
      <alignment horizontal="center" vertical="center" wrapText="1"/>
    </xf>
    <xf numFmtId="0" fontId="7" fillId="2" borderId="36" xfId="1" applyFont="1" applyFill="1" applyBorder="1" applyAlignment="1">
      <alignment horizontal="center" vertical="center" wrapText="1"/>
    </xf>
    <xf numFmtId="4" fontId="6" fillId="2" borderId="29" xfId="1" applyNumberFormat="1" applyFont="1" applyFill="1" applyBorder="1" applyAlignment="1">
      <alignment horizontal="center" vertical="center"/>
    </xf>
    <xf numFmtId="4" fontId="6" fillId="2" borderId="39" xfId="1" applyNumberFormat="1" applyFont="1" applyFill="1" applyBorder="1" applyAlignment="1">
      <alignment horizontal="center" vertical="center"/>
    </xf>
    <xf numFmtId="4" fontId="9" fillId="2" borderId="7" xfId="1" applyNumberFormat="1" applyFont="1" applyFill="1" applyBorder="1" applyAlignment="1">
      <alignment horizontal="center" vertical="center"/>
    </xf>
    <xf numFmtId="4" fontId="9" fillId="2" borderId="12" xfId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7" fillId="2" borderId="50" xfId="1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35" fillId="0" borderId="29" xfId="0" applyFont="1" applyBorder="1" applyAlignment="1">
      <alignment horizontal="center"/>
    </xf>
    <xf numFmtId="0" fontId="7" fillId="0" borderId="29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</cellXfs>
  <cellStyles count="72">
    <cellStyle name="20% — акцент1" xfId="19" builtinId="30" customBuiltin="1"/>
    <cellStyle name="20% — акцент1 2" xfId="49" xr:uid="{129816CA-5334-4468-B34F-3672AE85FE22}"/>
    <cellStyle name="20% — акцент2" xfId="23" builtinId="34" customBuiltin="1"/>
    <cellStyle name="20% — акцент2 2" xfId="52" xr:uid="{03B78EFA-FEAC-4AED-BB6C-F306EB2FBC50}"/>
    <cellStyle name="20% — акцент3" xfId="27" builtinId="38" customBuiltin="1"/>
    <cellStyle name="20% — акцент3 2" xfId="55" xr:uid="{B430EE09-2BEE-44F8-B030-D9F7CCD4E3B4}"/>
    <cellStyle name="20% — акцент4" xfId="31" builtinId="42" customBuiltin="1"/>
    <cellStyle name="20% — акцент4 2" xfId="58" xr:uid="{B234048C-8498-466A-B5D5-1F98D0E443EE}"/>
    <cellStyle name="20% — акцент5" xfId="35" builtinId="46" customBuiltin="1"/>
    <cellStyle name="20% — акцент5 2" xfId="61" xr:uid="{94B25B00-AF3A-4952-9D13-3C7B0573C389}"/>
    <cellStyle name="20% — акцент6" xfId="39" builtinId="50" customBuiltin="1"/>
    <cellStyle name="20% — акцент6 2" xfId="64" xr:uid="{432253BB-0FB5-449D-B99C-0B1E538A7480}"/>
    <cellStyle name="40% — акцент1" xfId="20" builtinId="31" customBuiltin="1"/>
    <cellStyle name="40% — акцент1 2" xfId="50" xr:uid="{806F8E35-F8AE-469F-929B-CF4862906FAE}"/>
    <cellStyle name="40% — акцент2" xfId="24" builtinId="35" customBuiltin="1"/>
    <cellStyle name="40% — акцент2 2" xfId="53" xr:uid="{BC569AC9-FEBA-41DF-B5A0-A784001C2C3D}"/>
    <cellStyle name="40% — акцент3" xfId="28" builtinId="39" customBuiltin="1"/>
    <cellStyle name="40% — акцент3 2" xfId="56" xr:uid="{1D90829B-0AB9-4BE7-A94A-0ABB3D0DC510}"/>
    <cellStyle name="40% — акцент4" xfId="32" builtinId="43" customBuiltin="1"/>
    <cellStyle name="40% — акцент4 2" xfId="59" xr:uid="{12D63BAC-ACBF-45C7-A5EA-B29C80959A4F}"/>
    <cellStyle name="40% — акцент5" xfId="36" builtinId="47" customBuiltin="1"/>
    <cellStyle name="40% — акцент5 2" xfId="62" xr:uid="{27E72985-D2FA-419F-98B5-735879D60FDE}"/>
    <cellStyle name="40% — акцент6" xfId="40" builtinId="51" customBuiltin="1"/>
    <cellStyle name="40% — акцент6 2" xfId="65" xr:uid="{0072537E-5A56-4F33-BBE8-A44B8CFCF1C9}"/>
    <cellStyle name="60% — акцент1" xfId="21" builtinId="32" customBuiltin="1"/>
    <cellStyle name="60% — акцент1 2" xfId="51" xr:uid="{ED9FA5BF-1E8E-481F-8962-FDD97216A3D0}"/>
    <cellStyle name="60% — акцент2" xfId="25" builtinId="36" customBuiltin="1"/>
    <cellStyle name="60% — акцент2 2" xfId="54" xr:uid="{91983316-2E4E-41F8-AFEC-3E73A9EE0393}"/>
    <cellStyle name="60% — акцент3" xfId="29" builtinId="40" customBuiltin="1"/>
    <cellStyle name="60% — акцент3 2" xfId="57" xr:uid="{5F5402BE-971D-4E80-AA20-C93D287ABBCC}"/>
    <cellStyle name="60% — акцент4" xfId="33" builtinId="44" customBuiltin="1"/>
    <cellStyle name="60% — акцент4 2" xfId="60" xr:uid="{AA8465E5-3E31-4F82-9661-4D47F25CB860}"/>
    <cellStyle name="60% — акцент5" xfId="37" builtinId="48" customBuiltin="1"/>
    <cellStyle name="60% — акцент5 2" xfId="63" xr:uid="{20AE31A3-4F6B-4FD3-90D8-60095FAB0485}"/>
    <cellStyle name="60% — акцент6" xfId="41" builtinId="52" customBuiltin="1"/>
    <cellStyle name="60% — акцент6 2" xfId="66" xr:uid="{90DBD04C-73C6-4F75-A56E-B0FBB58A57B5}"/>
    <cellStyle name="Normal" xfId="45" xr:uid="{659137CD-3943-4139-AC4C-B18E1441787E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7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Обычный 10" xfId="48" xr:uid="{6C8E3175-618C-4D0D-9214-251D8A8A5A7E}"/>
    <cellStyle name="Обычный 10 2" xfId="70" xr:uid="{EBBA8989-1A7B-43C8-AC30-4559A529FEC6}"/>
    <cellStyle name="Обычный 2" xfId="1" xr:uid="{00000000-0005-0000-0000-000001000000}"/>
    <cellStyle name="Обычный 3" xfId="42" xr:uid="{8DF518EB-2C68-4609-A81F-6ADC846899D0}"/>
    <cellStyle name="Обычный 3 2" xfId="67" xr:uid="{C98F8BA1-72DD-4C6C-AA7E-0B4079F36B7F}"/>
    <cellStyle name="Обычный 4" xfId="44" xr:uid="{53DE2654-AF92-4A8C-8F01-ABC2844E1AC9}"/>
    <cellStyle name="Обычный 5" xfId="46" xr:uid="{D1E6B386-E91F-41C6-8CC3-D5399CA4BFCC}"/>
    <cellStyle name="Обычный 8" xfId="47" xr:uid="{6E69E28C-4345-4249-875B-A57085C0F405}"/>
    <cellStyle name="Обычный 8 2" xfId="69" xr:uid="{D280DC03-2AC4-420F-9B76-5845A4177EC1}"/>
    <cellStyle name="Обычный_12" xfId="71" xr:uid="{FEB37A96-D331-4801-A9D5-23F17E894BEF}"/>
    <cellStyle name="Плохой" xfId="8" builtinId="27" customBuiltin="1"/>
    <cellStyle name="Пояснение" xfId="16" builtinId="53" customBuiltin="1"/>
    <cellStyle name="Примечание 2" xfId="43" xr:uid="{AD3F9400-9619-4C82-987C-EAF6678E20F4}"/>
    <cellStyle name="Примечание 2 2" xfId="68" xr:uid="{94115BC5-4350-4BDE-AF81-870648977946}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9C22-D625-4847-BE64-47A024C8DF70}">
  <sheetPr>
    <tabColor theme="4" tint="0.79998168889431442"/>
  </sheetPr>
  <dimension ref="A1:X63"/>
  <sheetViews>
    <sheetView view="pageBreakPreview" topLeftCell="A31" zoomScale="50" zoomScaleNormal="50" zoomScaleSheetLayoutView="50" workbookViewId="0">
      <selection activeCell="S1" sqref="S1:AE1048576"/>
    </sheetView>
  </sheetViews>
  <sheetFormatPr defaultColWidth="10.140625" defaultRowHeight="18.75" outlineLevelRow="1" x14ac:dyDescent="0.25"/>
  <cols>
    <col min="1" max="1" width="8" style="1" customWidth="1"/>
    <col min="2" max="2" width="84.5703125" style="1" customWidth="1"/>
    <col min="3" max="15" width="20.7109375" style="88" hidden="1" customWidth="1"/>
    <col min="16" max="16" width="20.7109375" style="88" customWidth="1"/>
    <col min="17" max="17" width="20.7109375" style="88" hidden="1" customWidth="1"/>
    <col min="18" max="18" width="20.7109375" style="88" customWidth="1"/>
    <col min="19" max="24" width="20.7109375" style="88" hidden="1" customWidth="1"/>
    <col min="25" max="31" width="0" style="1" hidden="1" customWidth="1"/>
    <col min="32" max="254" width="10.140625" style="1"/>
    <col min="255" max="255" width="8" style="1" customWidth="1"/>
    <col min="256" max="256" width="84.5703125" style="1" customWidth="1"/>
    <col min="257" max="265" width="20.7109375" style="1" customWidth="1"/>
    <col min="266" max="266" width="10.140625" style="1"/>
    <col min="267" max="267" width="15" style="1" customWidth="1"/>
    <col min="268" max="268" width="14.28515625" style="1" customWidth="1"/>
    <col min="269" max="269" width="15.28515625" style="1" customWidth="1"/>
    <col min="270" max="270" width="15.85546875" style="1" customWidth="1"/>
    <col min="271" max="271" width="15.28515625" style="1" customWidth="1"/>
    <col min="272" max="510" width="10.140625" style="1"/>
    <col min="511" max="511" width="8" style="1" customWidth="1"/>
    <col min="512" max="512" width="84.5703125" style="1" customWidth="1"/>
    <col min="513" max="521" width="20.7109375" style="1" customWidth="1"/>
    <col min="522" max="522" width="10.140625" style="1"/>
    <col min="523" max="523" width="15" style="1" customWidth="1"/>
    <col min="524" max="524" width="14.28515625" style="1" customWidth="1"/>
    <col min="525" max="525" width="15.28515625" style="1" customWidth="1"/>
    <col min="526" max="526" width="15.85546875" style="1" customWidth="1"/>
    <col min="527" max="527" width="15.28515625" style="1" customWidth="1"/>
    <col min="528" max="766" width="10.140625" style="1"/>
    <col min="767" max="767" width="8" style="1" customWidth="1"/>
    <col min="768" max="768" width="84.5703125" style="1" customWidth="1"/>
    <col min="769" max="777" width="20.7109375" style="1" customWidth="1"/>
    <col min="778" max="778" width="10.140625" style="1"/>
    <col min="779" max="779" width="15" style="1" customWidth="1"/>
    <col min="780" max="780" width="14.28515625" style="1" customWidth="1"/>
    <col min="781" max="781" width="15.28515625" style="1" customWidth="1"/>
    <col min="782" max="782" width="15.85546875" style="1" customWidth="1"/>
    <col min="783" max="783" width="15.28515625" style="1" customWidth="1"/>
    <col min="784" max="1022" width="10.140625" style="1"/>
    <col min="1023" max="1023" width="8" style="1" customWidth="1"/>
    <col min="1024" max="1024" width="84.5703125" style="1" customWidth="1"/>
    <col min="1025" max="1033" width="20.7109375" style="1" customWidth="1"/>
    <col min="1034" max="1034" width="10.140625" style="1"/>
    <col min="1035" max="1035" width="15" style="1" customWidth="1"/>
    <col min="1036" max="1036" width="14.28515625" style="1" customWidth="1"/>
    <col min="1037" max="1037" width="15.28515625" style="1" customWidth="1"/>
    <col min="1038" max="1038" width="15.85546875" style="1" customWidth="1"/>
    <col min="1039" max="1039" width="15.28515625" style="1" customWidth="1"/>
    <col min="1040" max="1278" width="10.140625" style="1"/>
    <col min="1279" max="1279" width="8" style="1" customWidth="1"/>
    <col min="1280" max="1280" width="84.5703125" style="1" customWidth="1"/>
    <col min="1281" max="1289" width="20.7109375" style="1" customWidth="1"/>
    <col min="1290" max="1290" width="10.140625" style="1"/>
    <col min="1291" max="1291" width="15" style="1" customWidth="1"/>
    <col min="1292" max="1292" width="14.28515625" style="1" customWidth="1"/>
    <col min="1293" max="1293" width="15.28515625" style="1" customWidth="1"/>
    <col min="1294" max="1294" width="15.85546875" style="1" customWidth="1"/>
    <col min="1295" max="1295" width="15.28515625" style="1" customWidth="1"/>
    <col min="1296" max="1534" width="10.140625" style="1"/>
    <col min="1535" max="1535" width="8" style="1" customWidth="1"/>
    <col min="1536" max="1536" width="84.5703125" style="1" customWidth="1"/>
    <col min="1537" max="1545" width="20.7109375" style="1" customWidth="1"/>
    <col min="1546" max="1546" width="10.140625" style="1"/>
    <col min="1547" max="1547" width="15" style="1" customWidth="1"/>
    <col min="1548" max="1548" width="14.28515625" style="1" customWidth="1"/>
    <col min="1549" max="1549" width="15.28515625" style="1" customWidth="1"/>
    <col min="1550" max="1550" width="15.85546875" style="1" customWidth="1"/>
    <col min="1551" max="1551" width="15.28515625" style="1" customWidth="1"/>
    <col min="1552" max="1790" width="10.140625" style="1"/>
    <col min="1791" max="1791" width="8" style="1" customWidth="1"/>
    <col min="1792" max="1792" width="84.5703125" style="1" customWidth="1"/>
    <col min="1793" max="1801" width="20.7109375" style="1" customWidth="1"/>
    <col min="1802" max="1802" width="10.140625" style="1"/>
    <col min="1803" max="1803" width="15" style="1" customWidth="1"/>
    <col min="1804" max="1804" width="14.28515625" style="1" customWidth="1"/>
    <col min="1805" max="1805" width="15.28515625" style="1" customWidth="1"/>
    <col min="1806" max="1806" width="15.85546875" style="1" customWidth="1"/>
    <col min="1807" max="1807" width="15.28515625" style="1" customWidth="1"/>
    <col min="1808" max="2046" width="10.140625" style="1"/>
    <col min="2047" max="2047" width="8" style="1" customWidth="1"/>
    <col min="2048" max="2048" width="84.5703125" style="1" customWidth="1"/>
    <col min="2049" max="2057" width="20.7109375" style="1" customWidth="1"/>
    <col min="2058" max="2058" width="10.140625" style="1"/>
    <col min="2059" max="2059" width="15" style="1" customWidth="1"/>
    <col min="2060" max="2060" width="14.28515625" style="1" customWidth="1"/>
    <col min="2061" max="2061" width="15.28515625" style="1" customWidth="1"/>
    <col min="2062" max="2062" width="15.85546875" style="1" customWidth="1"/>
    <col min="2063" max="2063" width="15.28515625" style="1" customWidth="1"/>
    <col min="2064" max="2302" width="10.140625" style="1"/>
    <col min="2303" max="2303" width="8" style="1" customWidth="1"/>
    <col min="2304" max="2304" width="84.5703125" style="1" customWidth="1"/>
    <col min="2305" max="2313" width="20.7109375" style="1" customWidth="1"/>
    <col min="2314" max="2314" width="10.140625" style="1"/>
    <col min="2315" max="2315" width="15" style="1" customWidth="1"/>
    <col min="2316" max="2316" width="14.28515625" style="1" customWidth="1"/>
    <col min="2317" max="2317" width="15.28515625" style="1" customWidth="1"/>
    <col min="2318" max="2318" width="15.85546875" style="1" customWidth="1"/>
    <col min="2319" max="2319" width="15.28515625" style="1" customWidth="1"/>
    <col min="2320" max="2558" width="10.140625" style="1"/>
    <col min="2559" max="2559" width="8" style="1" customWidth="1"/>
    <col min="2560" max="2560" width="84.5703125" style="1" customWidth="1"/>
    <col min="2561" max="2569" width="20.7109375" style="1" customWidth="1"/>
    <col min="2570" max="2570" width="10.140625" style="1"/>
    <col min="2571" max="2571" width="15" style="1" customWidth="1"/>
    <col min="2572" max="2572" width="14.28515625" style="1" customWidth="1"/>
    <col min="2573" max="2573" width="15.28515625" style="1" customWidth="1"/>
    <col min="2574" max="2574" width="15.85546875" style="1" customWidth="1"/>
    <col min="2575" max="2575" width="15.28515625" style="1" customWidth="1"/>
    <col min="2576" max="2814" width="10.140625" style="1"/>
    <col min="2815" max="2815" width="8" style="1" customWidth="1"/>
    <col min="2816" max="2816" width="84.5703125" style="1" customWidth="1"/>
    <col min="2817" max="2825" width="20.7109375" style="1" customWidth="1"/>
    <col min="2826" max="2826" width="10.140625" style="1"/>
    <col min="2827" max="2827" width="15" style="1" customWidth="1"/>
    <col min="2828" max="2828" width="14.28515625" style="1" customWidth="1"/>
    <col min="2829" max="2829" width="15.28515625" style="1" customWidth="1"/>
    <col min="2830" max="2830" width="15.85546875" style="1" customWidth="1"/>
    <col min="2831" max="2831" width="15.28515625" style="1" customWidth="1"/>
    <col min="2832" max="3070" width="10.140625" style="1"/>
    <col min="3071" max="3071" width="8" style="1" customWidth="1"/>
    <col min="3072" max="3072" width="84.5703125" style="1" customWidth="1"/>
    <col min="3073" max="3081" width="20.7109375" style="1" customWidth="1"/>
    <col min="3082" max="3082" width="10.140625" style="1"/>
    <col min="3083" max="3083" width="15" style="1" customWidth="1"/>
    <col min="3084" max="3084" width="14.28515625" style="1" customWidth="1"/>
    <col min="3085" max="3085" width="15.28515625" style="1" customWidth="1"/>
    <col min="3086" max="3086" width="15.85546875" style="1" customWidth="1"/>
    <col min="3087" max="3087" width="15.28515625" style="1" customWidth="1"/>
    <col min="3088" max="3326" width="10.140625" style="1"/>
    <col min="3327" max="3327" width="8" style="1" customWidth="1"/>
    <col min="3328" max="3328" width="84.5703125" style="1" customWidth="1"/>
    <col min="3329" max="3337" width="20.7109375" style="1" customWidth="1"/>
    <col min="3338" max="3338" width="10.140625" style="1"/>
    <col min="3339" max="3339" width="15" style="1" customWidth="1"/>
    <col min="3340" max="3340" width="14.28515625" style="1" customWidth="1"/>
    <col min="3341" max="3341" width="15.28515625" style="1" customWidth="1"/>
    <col min="3342" max="3342" width="15.85546875" style="1" customWidth="1"/>
    <col min="3343" max="3343" width="15.28515625" style="1" customWidth="1"/>
    <col min="3344" max="3582" width="10.140625" style="1"/>
    <col min="3583" max="3583" width="8" style="1" customWidth="1"/>
    <col min="3584" max="3584" width="84.5703125" style="1" customWidth="1"/>
    <col min="3585" max="3593" width="20.7109375" style="1" customWidth="1"/>
    <col min="3594" max="3594" width="10.140625" style="1"/>
    <col min="3595" max="3595" width="15" style="1" customWidth="1"/>
    <col min="3596" max="3596" width="14.28515625" style="1" customWidth="1"/>
    <col min="3597" max="3597" width="15.28515625" style="1" customWidth="1"/>
    <col min="3598" max="3598" width="15.85546875" style="1" customWidth="1"/>
    <col min="3599" max="3599" width="15.28515625" style="1" customWidth="1"/>
    <col min="3600" max="3838" width="10.140625" style="1"/>
    <col min="3839" max="3839" width="8" style="1" customWidth="1"/>
    <col min="3840" max="3840" width="84.5703125" style="1" customWidth="1"/>
    <col min="3841" max="3849" width="20.7109375" style="1" customWidth="1"/>
    <col min="3850" max="3850" width="10.140625" style="1"/>
    <col min="3851" max="3851" width="15" style="1" customWidth="1"/>
    <col min="3852" max="3852" width="14.28515625" style="1" customWidth="1"/>
    <col min="3853" max="3853" width="15.28515625" style="1" customWidth="1"/>
    <col min="3854" max="3854" width="15.85546875" style="1" customWidth="1"/>
    <col min="3855" max="3855" width="15.28515625" style="1" customWidth="1"/>
    <col min="3856" max="4094" width="10.140625" style="1"/>
    <col min="4095" max="4095" width="8" style="1" customWidth="1"/>
    <col min="4096" max="4096" width="84.5703125" style="1" customWidth="1"/>
    <col min="4097" max="4105" width="20.7109375" style="1" customWidth="1"/>
    <col min="4106" max="4106" width="10.140625" style="1"/>
    <col min="4107" max="4107" width="15" style="1" customWidth="1"/>
    <col min="4108" max="4108" width="14.28515625" style="1" customWidth="1"/>
    <col min="4109" max="4109" width="15.28515625" style="1" customWidth="1"/>
    <col min="4110" max="4110" width="15.85546875" style="1" customWidth="1"/>
    <col min="4111" max="4111" width="15.28515625" style="1" customWidth="1"/>
    <col min="4112" max="4350" width="10.140625" style="1"/>
    <col min="4351" max="4351" width="8" style="1" customWidth="1"/>
    <col min="4352" max="4352" width="84.5703125" style="1" customWidth="1"/>
    <col min="4353" max="4361" width="20.7109375" style="1" customWidth="1"/>
    <col min="4362" max="4362" width="10.140625" style="1"/>
    <col min="4363" max="4363" width="15" style="1" customWidth="1"/>
    <col min="4364" max="4364" width="14.28515625" style="1" customWidth="1"/>
    <col min="4365" max="4365" width="15.28515625" style="1" customWidth="1"/>
    <col min="4366" max="4366" width="15.85546875" style="1" customWidth="1"/>
    <col min="4367" max="4367" width="15.28515625" style="1" customWidth="1"/>
    <col min="4368" max="4606" width="10.140625" style="1"/>
    <col min="4607" max="4607" width="8" style="1" customWidth="1"/>
    <col min="4608" max="4608" width="84.5703125" style="1" customWidth="1"/>
    <col min="4609" max="4617" width="20.7109375" style="1" customWidth="1"/>
    <col min="4618" max="4618" width="10.140625" style="1"/>
    <col min="4619" max="4619" width="15" style="1" customWidth="1"/>
    <col min="4620" max="4620" width="14.28515625" style="1" customWidth="1"/>
    <col min="4621" max="4621" width="15.28515625" style="1" customWidth="1"/>
    <col min="4622" max="4622" width="15.85546875" style="1" customWidth="1"/>
    <col min="4623" max="4623" width="15.28515625" style="1" customWidth="1"/>
    <col min="4624" max="4862" width="10.140625" style="1"/>
    <col min="4863" max="4863" width="8" style="1" customWidth="1"/>
    <col min="4864" max="4864" width="84.5703125" style="1" customWidth="1"/>
    <col min="4865" max="4873" width="20.7109375" style="1" customWidth="1"/>
    <col min="4874" max="4874" width="10.140625" style="1"/>
    <col min="4875" max="4875" width="15" style="1" customWidth="1"/>
    <col min="4876" max="4876" width="14.28515625" style="1" customWidth="1"/>
    <col min="4877" max="4877" width="15.28515625" style="1" customWidth="1"/>
    <col min="4878" max="4878" width="15.85546875" style="1" customWidth="1"/>
    <col min="4879" max="4879" width="15.28515625" style="1" customWidth="1"/>
    <col min="4880" max="5118" width="10.140625" style="1"/>
    <col min="5119" max="5119" width="8" style="1" customWidth="1"/>
    <col min="5120" max="5120" width="84.5703125" style="1" customWidth="1"/>
    <col min="5121" max="5129" width="20.7109375" style="1" customWidth="1"/>
    <col min="5130" max="5130" width="10.140625" style="1"/>
    <col min="5131" max="5131" width="15" style="1" customWidth="1"/>
    <col min="5132" max="5132" width="14.28515625" style="1" customWidth="1"/>
    <col min="5133" max="5133" width="15.28515625" style="1" customWidth="1"/>
    <col min="5134" max="5134" width="15.85546875" style="1" customWidth="1"/>
    <col min="5135" max="5135" width="15.28515625" style="1" customWidth="1"/>
    <col min="5136" max="5374" width="10.140625" style="1"/>
    <col min="5375" max="5375" width="8" style="1" customWidth="1"/>
    <col min="5376" max="5376" width="84.5703125" style="1" customWidth="1"/>
    <col min="5377" max="5385" width="20.7109375" style="1" customWidth="1"/>
    <col min="5386" max="5386" width="10.140625" style="1"/>
    <col min="5387" max="5387" width="15" style="1" customWidth="1"/>
    <col min="5388" max="5388" width="14.28515625" style="1" customWidth="1"/>
    <col min="5389" max="5389" width="15.28515625" style="1" customWidth="1"/>
    <col min="5390" max="5390" width="15.85546875" style="1" customWidth="1"/>
    <col min="5391" max="5391" width="15.28515625" style="1" customWidth="1"/>
    <col min="5392" max="5630" width="10.140625" style="1"/>
    <col min="5631" max="5631" width="8" style="1" customWidth="1"/>
    <col min="5632" max="5632" width="84.5703125" style="1" customWidth="1"/>
    <col min="5633" max="5641" width="20.7109375" style="1" customWidth="1"/>
    <col min="5642" max="5642" width="10.140625" style="1"/>
    <col min="5643" max="5643" width="15" style="1" customWidth="1"/>
    <col min="5644" max="5644" width="14.28515625" style="1" customWidth="1"/>
    <col min="5645" max="5645" width="15.28515625" style="1" customWidth="1"/>
    <col min="5646" max="5646" width="15.85546875" style="1" customWidth="1"/>
    <col min="5647" max="5647" width="15.28515625" style="1" customWidth="1"/>
    <col min="5648" max="5886" width="10.140625" style="1"/>
    <col min="5887" max="5887" width="8" style="1" customWidth="1"/>
    <col min="5888" max="5888" width="84.5703125" style="1" customWidth="1"/>
    <col min="5889" max="5897" width="20.7109375" style="1" customWidth="1"/>
    <col min="5898" max="5898" width="10.140625" style="1"/>
    <col min="5899" max="5899" width="15" style="1" customWidth="1"/>
    <col min="5900" max="5900" width="14.28515625" style="1" customWidth="1"/>
    <col min="5901" max="5901" width="15.28515625" style="1" customWidth="1"/>
    <col min="5902" max="5902" width="15.85546875" style="1" customWidth="1"/>
    <col min="5903" max="5903" width="15.28515625" style="1" customWidth="1"/>
    <col min="5904" max="6142" width="10.140625" style="1"/>
    <col min="6143" max="6143" width="8" style="1" customWidth="1"/>
    <col min="6144" max="6144" width="84.5703125" style="1" customWidth="1"/>
    <col min="6145" max="6153" width="20.7109375" style="1" customWidth="1"/>
    <col min="6154" max="6154" width="10.140625" style="1"/>
    <col min="6155" max="6155" width="15" style="1" customWidth="1"/>
    <col min="6156" max="6156" width="14.28515625" style="1" customWidth="1"/>
    <col min="6157" max="6157" width="15.28515625" style="1" customWidth="1"/>
    <col min="6158" max="6158" width="15.85546875" style="1" customWidth="1"/>
    <col min="6159" max="6159" width="15.28515625" style="1" customWidth="1"/>
    <col min="6160" max="6398" width="10.140625" style="1"/>
    <col min="6399" max="6399" width="8" style="1" customWidth="1"/>
    <col min="6400" max="6400" width="84.5703125" style="1" customWidth="1"/>
    <col min="6401" max="6409" width="20.7109375" style="1" customWidth="1"/>
    <col min="6410" max="6410" width="10.140625" style="1"/>
    <col min="6411" max="6411" width="15" style="1" customWidth="1"/>
    <col min="6412" max="6412" width="14.28515625" style="1" customWidth="1"/>
    <col min="6413" max="6413" width="15.28515625" style="1" customWidth="1"/>
    <col min="6414" max="6414" width="15.85546875" style="1" customWidth="1"/>
    <col min="6415" max="6415" width="15.28515625" style="1" customWidth="1"/>
    <col min="6416" max="6654" width="10.140625" style="1"/>
    <col min="6655" max="6655" width="8" style="1" customWidth="1"/>
    <col min="6656" max="6656" width="84.5703125" style="1" customWidth="1"/>
    <col min="6657" max="6665" width="20.7109375" style="1" customWidth="1"/>
    <col min="6666" max="6666" width="10.140625" style="1"/>
    <col min="6667" max="6667" width="15" style="1" customWidth="1"/>
    <col min="6668" max="6668" width="14.28515625" style="1" customWidth="1"/>
    <col min="6669" max="6669" width="15.28515625" style="1" customWidth="1"/>
    <col min="6670" max="6670" width="15.85546875" style="1" customWidth="1"/>
    <col min="6671" max="6671" width="15.28515625" style="1" customWidth="1"/>
    <col min="6672" max="6910" width="10.140625" style="1"/>
    <col min="6911" max="6911" width="8" style="1" customWidth="1"/>
    <col min="6912" max="6912" width="84.5703125" style="1" customWidth="1"/>
    <col min="6913" max="6921" width="20.7109375" style="1" customWidth="1"/>
    <col min="6922" max="6922" width="10.140625" style="1"/>
    <col min="6923" max="6923" width="15" style="1" customWidth="1"/>
    <col min="6924" max="6924" width="14.28515625" style="1" customWidth="1"/>
    <col min="6925" max="6925" width="15.28515625" style="1" customWidth="1"/>
    <col min="6926" max="6926" width="15.85546875" style="1" customWidth="1"/>
    <col min="6927" max="6927" width="15.28515625" style="1" customWidth="1"/>
    <col min="6928" max="7166" width="10.140625" style="1"/>
    <col min="7167" max="7167" width="8" style="1" customWidth="1"/>
    <col min="7168" max="7168" width="84.5703125" style="1" customWidth="1"/>
    <col min="7169" max="7177" width="20.7109375" style="1" customWidth="1"/>
    <col min="7178" max="7178" width="10.140625" style="1"/>
    <col min="7179" max="7179" width="15" style="1" customWidth="1"/>
    <col min="7180" max="7180" width="14.28515625" style="1" customWidth="1"/>
    <col min="7181" max="7181" width="15.28515625" style="1" customWidth="1"/>
    <col min="7182" max="7182" width="15.85546875" style="1" customWidth="1"/>
    <col min="7183" max="7183" width="15.28515625" style="1" customWidth="1"/>
    <col min="7184" max="7422" width="10.140625" style="1"/>
    <col min="7423" max="7423" width="8" style="1" customWidth="1"/>
    <col min="7424" max="7424" width="84.5703125" style="1" customWidth="1"/>
    <col min="7425" max="7433" width="20.7109375" style="1" customWidth="1"/>
    <col min="7434" max="7434" width="10.140625" style="1"/>
    <col min="7435" max="7435" width="15" style="1" customWidth="1"/>
    <col min="7436" max="7436" width="14.28515625" style="1" customWidth="1"/>
    <col min="7437" max="7437" width="15.28515625" style="1" customWidth="1"/>
    <col min="7438" max="7438" width="15.85546875" style="1" customWidth="1"/>
    <col min="7439" max="7439" width="15.28515625" style="1" customWidth="1"/>
    <col min="7440" max="7678" width="10.140625" style="1"/>
    <col min="7679" max="7679" width="8" style="1" customWidth="1"/>
    <col min="7680" max="7680" width="84.5703125" style="1" customWidth="1"/>
    <col min="7681" max="7689" width="20.7109375" style="1" customWidth="1"/>
    <col min="7690" max="7690" width="10.140625" style="1"/>
    <col min="7691" max="7691" width="15" style="1" customWidth="1"/>
    <col min="7692" max="7692" width="14.28515625" style="1" customWidth="1"/>
    <col min="7693" max="7693" width="15.28515625" style="1" customWidth="1"/>
    <col min="7694" max="7694" width="15.85546875" style="1" customWidth="1"/>
    <col min="7695" max="7695" width="15.28515625" style="1" customWidth="1"/>
    <col min="7696" max="7934" width="10.140625" style="1"/>
    <col min="7935" max="7935" width="8" style="1" customWidth="1"/>
    <col min="7936" max="7936" width="84.5703125" style="1" customWidth="1"/>
    <col min="7937" max="7945" width="20.7109375" style="1" customWidth="1"/>
    <col min="7946" max="7946" width="10.140625" style="1"/>
    <col min="7947" max="7947" width="15" style="1" customWidth="1"/>
    <col min="7948" max="7948" width="14.28515625" style="1" customWidth="1"/>
    <col min="7949" max="7949" width="15.28515625" style="1" customWidth="1"/>
    <col min="7950" max="7950" width="15.85546875" style="1" customWidth="1"/>
    <col min="7951" max="7951" width="15.28515625" style="1" customWidth="1"/>
    <col min="7952" max="8190" width="10.140625" style="1"/>
    <col min="8191" max="8191" width="8" style="1" customWidth="1"/>
    <col min="8192" max="8192" width="84.5703125" style="1" customWidth="1"/>
    <col min="8193" max="8201" width="20.7109375" style="1" customWidth="1"/>
    <col min="8202" max="8202" width="10.140625" style="1"/>
    <col min="8203" max="8203" width="15" style="1" customWidth="1"/>
    <col min="8204" max="8204" width="14.28515625" style="1" customWidth="1"/>
    <col min="8205" max="8205" width="15.28515625" style="1" customWidth="1"/>
    <col min="8206" max="8206" width="15.85546875" style="1" customWidth="1"/>
    <col min="8207" max="8207" width="15.28515625" style="1" customWidth="1"/>
    <col min="8208" max="8446" width="10.140625" style="1"/>
    <col min="8447" max="8447" width="8" style="1" customWidth="1"/>
    <col min="8448" max="8448" width="84.5703125" style="1" customWidth="1"/>
    <col min="8449" max="8457" width="20.7109375" style="1" customWidth="1"/>
    <col min="8458" max="8458" width="10.140625" style="1"/>
    <col min="8459" max="8459" width="15" style="1" customWidth="1"/>
    <col min="8460" max="8460" width="14.28515625" style="1" customWidth="1"/>
    <col min="8461" max="8461" width="15.28515625" style="1" customWidth="1"/>
    <col min="8462" max="8462" width="15.85546875" style="1" customWidth="1"/>
    <col min="8463" max="8463" width="15.28515625" style="1" customWidth="1"/>
    <col min="8464" max="8702" width="10.140625" style="1"/>
    <col min="8703" max="8703" width="8" style="1" customWidth="1"/>
    <col min="8704" max="8704" width="84.5703125" style="1" customWidth="1"/>
    <col min="8705" max="8713" width="20.7109375" style="1" customWidth="1"/>
    <col min="8714" max="8714" width="10.140625" style="1"/>
    <col min="8715" max="8715" width="15" style="1" customWidth="1"/>
    <col min="8716" max="8716" width="14.28515625" style="1" customWidth="1"/>
    <col min="8717" max="8717" width="15.28515625" style="1" customWidth="1"/>
    <col min="8718" max="8718" width="15.85546875" style="1" customWidth="1"/>
    <col min="8719" max="8719" width="15.28515625" style="1" customWidth="1"/>
    <col min="8720" max="8958" width="10.140625" style="1"/>
    <col min="8959" max="8959" width="8" style="1" customWidth="1"/>
    <col min="8960" max="8960" width="84.5703125" style="1" customWidth="1"/>
    <col min="8961" max="8969" width="20.7109375" style="1" customWidth="1"/>
    <col min="8970" max="8970" width="10.140625" style="1"/>
    <col min="8971" max="8971" width="15" style="1" customWidth="1"/>
    <col min="8972" max="8972" width="14.28515625" style="1" customWidth="1"/>
    <col min="8973" max="8973" width="15.28515625" style="1" customWidth="1"/>
    <col min="8974" max="8974" width="15.85546875" style="1" customWidth="1"/>
    <col min="8975" max="8975" width="15.28515625" style="1" customWidth="1"/>
    <col min="8976" max="9214" width="10.140625" style="1"/>
    <col min="9215" max="9215" width="8" style="1" customWidth="1"/>
    <col min="9216" max="9216" width="84.5703125" style="1" customWidth="1"/>
    <col min="9217" max="9225" width="20.7109375" style="1" customWidth="1"/>
    <col min="9226" max="9226" width="10.140625" style="1"/>
    <col min="9227" max="9227" width="15" style="1" customWidth="1"/>
    <col min="9228" max="9228" width="14.28515625" style="1" customWidth="1"/>
    <col min="9229" max="9229" width="15.28515625" style="1" customWidth="1"/>
    <col min="9230" max="9230" width="15.85546875" style="1" customWidth="1"/>
    <col min="9231" max="9231" width="15.28515625" style="1" customWidth="1"/>
    <col min="9232" max="9470" width="10.140625" style="1"/>
    <col min="9471" max="9471" width="8" style="1" customWidth="1"/>
    <col min="9472" max="9472" width="84.5703125" style="1" customWidth="1"/>
    <col min="9473" max="9481" width="20.7109375" style="1" customWidth="1"/>
    <col min="9482" max="9482" width="10.140625" style="1"/>
    <col min="9483" max="9483" width="15" style="1" customWidth="1"/>
    <col min="9484" max="9484" width="14.28515625" style="1" customWidth="1"/>
    <col min="9485" max="9485" width="15.28515625" style="1" customWidth="1"/>
    <col min="9486" max="9486" width="15.85546875" style="1" customWidth="1"/>
    <col min="9487" max="9487" width="15.28515625" style="1" customWidth="1"/>
    <col min="9488" max="9726" width="10.140625" style="1"/>
    <col min="9727" max="9727" width="8" style="1" customWidth="1"/>
    <col min="9728" max="9728" width="84.5703125" style="1" customWidth="1"/>
    <col min="9729" max="9737" width="20.7109375" style="1" customWidth="1"/>
    <col min="9738" max="9738" width="10.140625" style="1"/>
    <col min="9739" max="9739" width="15" style="1" customWidth="1"/>
    <col min="9740" max="9740" width="14.28515625" style="1" customWidth="1"/>
    <col min="9741" max="9741" width="15.28515625" style="1" customWidth="1"/>
    <col min="9742" max="9742" width="15.85546875" style="1" customWidth="1"/>
    <col min="9743" max="9743" width="15.28515625" style="1" customWidth="1"/>
    <col min="9744" max="9982" width="10.140625" style="1"/>
    <col min="9983" max="9983" width="8" style="1" customWidth="1"/>
    <col min="9984" max="9984" width="84.5703125" style="1" customWidth="1"/>
    <col min="9985" max="9993" width="20.7109375" style="1" customWidth="1"/>
    <col min="9994" max="9994" width="10.140625" style="1"/>
    <col min="9995" max="9995" width="15" style="1" customWidth="1"/>
    <col min="9996" max="9996" width="14.28515625" style="1" customWidth="1"/>
    <col min="9997" max="9997" width="15.28515625" style="1" customWidth="1"/>
    <col min="9998" max="9998" width="15.85546875" style="1" customWidth="1"/>
    <col min="9999" max="9999" width="15.28515625" style="1" customWidth="1"/>
    <col min="10000" max="10238" width="10.140625" style="1"/>
    <col min="10239" max="10239" width="8" style="1" customWidth="1"/>
    <col min="10240" max="10240" width="84.5703125" style="1" customWidth="1"/>
    <col min="10241" max="10249" width="20.7109375" style="1" customWidth="1"/>
    <col min="10250" max="10250" width="10.140625" style="1"/>
    <col min="10251" max="10251" width="15" style="1" customWidth="1"/>
    <col min="10252" max="10252" width="14.28515625" style="1" customWidth="1"/>
    <col min="10253" max="10253" width="15.28515625" style="1" customWidth="1"/>
    <col min="10254" max="10254" width="15.85546875" style="1" customWidth="1"/>
    <col min="10255" max="10255" width="15.28515625" style="1" customWidth="1"/>
    <col min="10256" max="10494" width="10.140625" style="1"/>
    <col min="10495" max="10495" width="8" style="1" customWidth="1"/>
    <col min="10496" max="10496" width="84.5703125" style="1" customWidth="1"/>
    <col min="10497" max="10505" width="20.7109375" style="1" customWidth="1"/>
    <col min="10506" max="10506" width="10.140625" style="1"/>
    <col min="10507" max="10507" width="15" style="1" customWidth="1"/>
    <col min="10508" max="10508" width="14.28515625" style="1" customWidth="1"/>
    <col min="10509" max="10509" width="15.28515625" style="1" customWidth="1"/>
    <col min="10510" max="10510" width="15.85546875" style="1" customWidth="1"/>
    <col min="10511" max="10511" width="15.28515625" style="1" customWidth="1"/>
    <col min="10512" max="10750" width="10.140625" style="1"/>
    <col min="10751" max="10751" width="8" style="1" customWidth="1"/>
    <col min="10752" max="10752" width="84.5703125" style="1" customWidth="1"/>
    <col min="10753" max="10761" width="20.7109375" style="1" customWidth="1"/>
    <col min="10762" max="10762" width="10.140625" style="1"/>
    <col min="10763" max="10763" width="15" style="1" customWidth="1"/>
    <col min="10764" max="10764" width="14.28515625" style="1" customWidth="1"/>
    <col min="10765" max="10765" width="15.28515625" style="1" customWidth="1"/>
    <col min="10766" max="10766" width="15.85546875" style="1" customWidth="1"/>
    <col min="10767" max="10767" width="15.28515625" style="1" customWidth="1"/>
    <col min="10768" max="11006" width="10.140625" style="1"/>
    <col min="11007" max="11007" width="8" style="1" customWidth="1"/>
    <col min="11008" max="11008" width="84.5703125" style="1" customWidth="1"/>
    <col min="11009" max="11017" width="20.7109375" style="1" customWidth="1"/>
    <col min="11018" max="11018" width="10.140625" style="1"/>
    <col min="11019" max="11019" width="15" style="1" customWidth="1"/>
    <col min="11020" max="11020" width="14.28515625" style="1" customWidth="1"/>
    <col min="11021" max="11021" width="15.28515625" style="1" customWidth="1"/>
    <col min="11022" max="11022" width="15.85546875" style="1" customWidth="1"/>
    <col min="11023" max="11023" width="15.28515625" style="1" customWidth="1"/>
    <col min="11024" max="11262" width="10.140625" style="1"/>
    <col min="11263" max="11263" width="8" style="1" customWidth="1"/>
    <col min="11264" max="11264" width="84.5703125" style="1" customWidth="1"/>
    <col min="11265" max="11273" width="20.7109375" style="1" customWidth="1"/>
    <col min="11274" max="11274" width="10.140625" style="1"/>
    <col min="11275" max="11275" width="15" style="1" customWidth="1"/>
    <col min="11276" max="11276" width="14.28515625" style="1" customWidth="1"/>
    <col min="11277" max="11277" width="15.28515625" style="1" customWidth="1"/>
    <col min="11278" max="11278" width="15.85546875" style="1" customWidth="1"/>
    <col min="11279" max="11279" width="15.28515625" style="1" customWidth="1"/>
    <col min="11280" max="11518" width="10.140625" style="1"/>
    <col min="11519" max="11519" width="8" style="1" customWidth="1"/>
    <col min="11520" max="11520" width="84.5703125" style="1" customWidth="1"/>
    <col min="11521" max="11529" width="20.7109375" style="1" customWidth="1"/>
    <col min="11530" max="11530" width="10.140625" style="1"/>
    <col min="11531" max="11531" width="15" style="1" customWidth="1"/>
    <col min="11532" max="11532" width="14.28515625" style="1" customWidth="1"/>
    <col min="11533" max="11533" width="15.28515625" style="1" customWidth="1"/>
    <col min="11534" max="11534" width="15.85546875" style="1" customWidth="1"/>
    <col min="11535" max="11535" width="15.28515625" style="1" customWidth="1"/>
    <col min="11536" max="11774" width="10.140625" style="1"/>
    <col min="11775" max="11775" width="8" style="1" customWidth="1"/>
    <col min="11776" max="11776" width="84.5703125" style="1" customWidth="1"/>
    <col min="11777" max="11785" width="20.7109375" style="1" customWidth="1"/>
    <col min="11786" max="11786" width="10.140625" style="1"/>
    <col min="11787" max="11787" width="15" style="1" customWidth="1"/>
    <col min="11788" max="11788" width="14.28515625" style="1" customWidth="1"/>
    <col min="11789" max="11789" width="15.28515625" style="1" customWidth="1"/>
    <col min="11790" max="11790" width="15.85546875" style="1" customWidth="1"/>
    <col min="11791" max="11791" width="15.28515625" style="1" customWidth="1"/>
    <col min="11792" max="12030" width="10.140625" style="1"/>
    <col min="12031" max="12031" width="8" style="1" customWidth="1"/>
    <col min="12032" max="12032" width="84.5703125" style="1" customWidth="1"/>
    <col min="12033" max="12041" width="20.7109375" style="1" customWidth="1"/>
    <col min="12042" max="12042" width="10.140625" style="1"/>
    <col min="12043" max="12043" width="15" style="1" customWidth="1"/>
    <col min="12044" max="12044" width="14.28515625" style="1" customWidth="1"/>
    <col min="12045" max="12045" width="15.28515625" style="1" customWidth="1"/>
    <col min="12046" max="12046" width="15.85546875" style="1" customWidth="1"/>
    <col min="12047" max="12047" width="15.28515625" style="1" customWidth="1"/>
    <col min="12048" max="12286" width="10.140625" style="1"/>
    <col min="12287" max="12287" width="8" style="1" customWidth="1"/>
    <col min="12288" max="12288" width="84.5703125" style="1" customWidth="1"/>
    <col min="12289" max="12297" width="20.7109375" style="1" customWidth="1"/>
    <col min="12298" max="12298" width="10.140625" style="1"/>
    <col min="12299" max="12299" width="15" style="1" customWidth="1"/>
    <col min="12300" max="12300" width="14.28515625" style="1" customWidth="1"/>
    <col min="12301" max="12301" width="15.28515625" style="1" customWidth="1"/>
    <col min="12302" max="12302" width="15.85546875" style="1" customWidth="1"/>
    <col min="12303" max="12303" width="15.28515625" style="1" customWidth="1"/>
    <col min="12304" max="12542" width="10.140625" style="1"/>
    <col min="12543" max="12543" width="8" style="1" customWidth="1"/>
    <col min="12544" max="12544" width="84.5703125" style="1" customWidth="1"/>
    <col min="12545" max="12553" width="20.7109375" style="1" customWidth="1"/>
    <col min="12554" max="12554" width="10.140625" style="1"/>
    <col min="12555" max="12555" width="15" style="1" customWidth="1"/>
    <col min="12556" max="12556" width="14.28515625" style="1" customWidth="1"/>
    <col min="12557" max="12557" width="15.28515625" style="1" customWidth="1"/>
    <col min="12558" max="12558" width="15.85546875" style="1" customWidth="1"/>
    <col min="12559" max="12559" width="15.28515625" style="1" customWidth="1"/>
    <col min="12560" max="12798" width="10.140625" style="1"/>
    <col min="12799" max="12799" width="8" style="1" customWidth="1"/>
    <col min="12800" max="12800" width="84.5703125" style="1" customWidth="1"/>
    <col min="12801" max="12809" width="20.7109375" style="1" customWidth="1"/>
    <col min="12810" max="12810" width="10.140625" style="1"/>
    <col min="12811" max="12811" width="15" style="1" customWidth="1"/>
    <col min="12812" max="12812" width="14.28515625" style="1" customWidth="1"/>
    <col min="12813" max="12813" width="15.28515625" style="1" customWidth="1"/>
    <col min="12814" max="12814" width="15.85546875" style="1" customWidth="1"/>
    <col min="12815" max="12815" width="15.28515625" style="1" customWidth="1"/>
    <col min="12816" max="13054" width="10.140625" style="1"/>
    <col min="13055" max="13055" width="8" style="1" customWidth="1"/>
    <col min="13056" max="13056" width="84.5703125" style="1" customWidth="1"/>
    <col min="13057" max="13065" width="20.7109375" style="1" customWidth="1"/>
    <col min="13066" max="13066" width="10.140625" style="1"/>
    <col min="13067" max="13067" width="15" style="1" customWidth="1"/>
    <col min="13068" max="13068" width="14.28515625" style="1" customWidth="1"/>
    <col min="13069" max="13069" width="15.28515625" style="1" customWidth="1"/>
    <col min="13070" max="13070" width="15.85546875" style="1" customWidth="1"/>
    <col min="13071" max="13071" width="15.28515625" style="1" customWidth="1"/>
    <col min="13072" max="13310" width="10.140625" style="1"/>
    <col min="13311" max="13311" width="8" style="1" customWidth="1"/>
    <col min="13312" max="13312" width="84.5703125" style="1" customWidth="1"/>
    <col min="13313" max="13321" width="20.7109375" style="1" customWidth="1"/>
    <col min="13322" max="13322" width="10.140625" style="1"/>
    <col min="13323" max="13323" width="15" style="1" customWidth="1"/>
    <col min="13324" max="13324" width="14.28515625" style="1" customWidth="1"/>
    <col min="13325" max="13325" width="15.28515625" style="1" customWidth="1"/>
    <col min="13326" max="13326" width="15.85546875" style="1" customWidth="1"/>
    <col min="13327" max="13327" width="15.28515625" style="1" customWidth="1"/>
    <col min="13328" max="13566" width="10.140625" style="1"/>
    <col min="13567" max="13567" width="8" style="1" customWidth="1"/>
    <col min="13568" max="13568" width="84.5703125" style="1" customWidth="1"/>
    <col min="13569" max="13577" width="20.7109375" style="1" customWidth="1"/>
    <col min="13578" max="13578" width="10.140625" style="1"/>
    <col min="13579" max="13579" width="15" style="1" customWidth="1"/>
    <col min="13580" max="13580" width="14.28515625" style="1" customWidth="1"/>
    <col min="13581" max="13581" width="15.28515625" style="1" customWidth="1"/>
    <col min="13582" max="13582" width="15.85546875" style="1" customWidth="1"/>
    <col min="13583" max="13583" width="15.28515625" style="1" customWidth="1"/>
    <col min="13584" max="13822" width="10.140625" style="1"/>
    <col min="13823" max="13823" width="8" style="1" customWidth="1"/>
    <col min="13824" max="13824" width="84.5703125" style="1" customWidth="1"/>
    <col min="13825" max="13833" width="20.7109375" style="1" customWidth="1"/>
    <col min="13834" max="13834" width="10.140625" style="1"/>
    <col min="13835" max="13835" width="15" style="1" customWidth="1"/>
    <col min="13836" max="13836" width="14.28515625" style="1" customWidth="1"/>
    <col min="13837" max="13837" width="15.28515625" style="1" customWidth="1"/>
    <col min="13838" max="13838" width="15.85546875" style="1" customWidth="1"/>
    <col min="13839" max="13839" width="15.28515625" style="1" customWidth="1"/>
    <col min="13840" max="14078" width="10.140625" style="1"/>
    <col min="14079" max="14079" width="8" style="1" customWidth="1"/>
    <col min="14080" max="14080" width="84.5703125" style="1" customWidth="1"/>
    <col min="14081" max="14089" width="20.7109375" style="1" customWidth="1"/>
    <col min="14090" max="14090" width="10.140625" style="1"/>
    <col min="14091" max="14091" width="15" style="1" customWidth="1"/>
    <col min="14092" max="14092" width="14.28515625" style="1" customWidth="1"/>
    <col min="14093" max="14093" width="15.28515625" style="1" customWidth="1"/>
    <col min="14094" max="14094" width="15.85546875" style="1" customWidth="1"/>
    <col min="14095" max="14095" width="15.28515625" style="1" customWidth="1"/>
    <col min="14096" max="14334" width="10.140625" style="1"/>
    <col min="14335" max="14335" width="8" style="1" customWidth="1"/>
    <col min="14336" max="14336" width="84.5703125" style="1" customWidth="1"/>
    <col min="14337" max="14345" width="20.7109375" style="1" customWidth="1"/>
    <col min="14346" max="14346" width="10.140625" style="1"/>
    <col min="14347" max="14347" width="15" style="1" customWidth="1"/>
    <col min="14348" max="14348" width="14.28515625" style="1" customWidth="1"/>
    <col min="14349" max="14349" width="15.28515625" style="1" customWidth="1"/>
    <col min="14350" max="14350" width="15.85546875" style="1" customWidth="1"/>
    <col min="14351" max="14351" width="15.28515625" style="1" customWidth="1"/>
    <col min="14352" max="14590" width="10.140625" style="1"/>
    <col min="14591" max="14591" width="8" style="1" customWidth="1"/>
    <col min="14592" max="14592" width="84.5703125" style="1" customWidth="1"/>
    <col min="14593" max="14601" width="20.7109375" style="1" customWidth="1"/>
    <col min="14602" max="14602" width="10.140625" style="1"/>
    <col min="14603" max="14603" width="15" style="1" customWidth="1"/>
    <col min="14604" max="14604" width="14.28515625" style="1" customWidth="1"/>
    <col min="14605" max="14605" width="15.28515625" style="1" customWidth="1"/>
    <col min="14606" max="14606" width="15.85546875" style="1" customWidth="1"/>
    <col min="14607" max="14607" width="15.28515625" style="1" customWidth="1"/>
    <col min="14608" max="14846" width="10.140625" style="1"/>
    <col min="14847" max="14847" width="8" style="1" customWidth="1"/>
    <col min="14848" max="14848" width="84.5703125" style="1" customWidth="1"/>
    <col min="14849" max="14857" width="20.7109375" style="1" customWidth="1"/>
    <col min="14858" max="14858" width="10.140625" style="1"/>
    <col min="14859" max="14859" width="15" style="1" customWidth="1"/>
    <col min="14860" max="14860" width="14.28515625" style="1" customWidth="1"/>
    <col min="14861" max="14861" width="15.28515625" style="1" customWidth="1"/>
    <col min="14862" max="14862" width="15.85546875" style="1" customWidth="1"/>
    <col min="14863" max="14863" width="15.28515625" style="1" customWidth="1"/>
    <col min="14864" max="15102" width="10.140625" style="1"/>
    <col min="15103" max="15103" width="8" style="1" customWidth="1"/>
    <col min="15104" max="15104" width="84.5703125" style="1" customWidth="1"/>
    <col min="15105" max="15113" width="20.7109375" style="1" customWidth="1"/>
    <col min="15114" max="15114" width="10.140625" style="1"/>
    <col min="15115" max="15115" width="15" style="1" customWidth="1"/>
    <col min="15116" max="15116" width="14.28515625" style="1" customWidth="1"/>
    <col min="15117" max="15117" width="15.28515625" style="1" customWidth="1"/>
    <col min="15118" max="15118" width="15.85546875" style="1" customWidth="1"/>
    <col min="15119" max="15119" width="15.28515625" style="1" customWidth="1"/>
    <col min="15120" max="15358" width="10.140625" style="1"/>
    <col min="15359" max="15359" width="8" style="1" customWidth="1"/>
    <col min="15360" max="15360" width="84.5703125" style="1" customWidth="1"/>
    <col min="15361" max="15369" width="20.7109375" style="1" customWidth="1"/>
    <col min="15370" max="15370" width="10.140625" style="1"/>
    <col min="15371" max="15371" width="15" style="1" customWidth="1"/>
    <col min="15372" max="15372" width="14.28515625" style="1" customWidth="1"/>
    <col min="15373" max="15373" width="15.28515625" style="1" customWidth="1"/>
    <col min="15374" max="15374" width="15.85546875" style="1" customWidth="1"/>
    <col min="15375" max="15375" width="15.28515625" style="1" customWidth="1"/>
    <col min="15376" max="15614" width="10.140625" style="1"/>
    <col min="15615" max="15615" width="8" style="1" customWidth="1"/>
    <col min="15616" max="15616" width="84.5703125" style="1" customWidth="1"/>
    <col min="15617" max="15625" width="20.7109375" style="1" customWidth="1"/>
    <col min="15626" max="15626" width="10.140625" style="1"/>
    <col min="15627" max="15627" width="15" style="1" customWidth="1"/>
    <col min="15628" max="15628" width="14.28515625" style="1" customWidth="1"/>
    <col min="15629" max="15629" width="15.28515625" style="1" customWidth="1"/>
    <col min="15630" max="15630" width="15.85546875" style="1" customWidth="1"/>
    <col min="15631" max="15631" width="15.28515625" style="1" customWidth="1"/>
    <col min="15632" max="15870" width="10.140625" style="1"/>
    <col min="15871" max="15871" width="8" style="1" customWidth="1"/>
    <col min="15872" max="15872" width="84.5703125" style="1" customWidth="1"/>
    <col min="15873" max="15881" width="20.7109375" style="1" customWidth="1"/>
    <col min="15882" max="15882" width="10.140625" style="1"/>
    <col min="15883" max="15883" width="15" style="1" customWidth="1"/>
    <col min="15884" max="15884" width="14.28515625" style="1" customWidth="1"/>
    <col min="15885" max="15885" width="15.28515625" style="1" customWidth="1"/>
    <col min="15886" max="15886" width="15.85546875" style="1" customWidth="1"/>
    <col min="15887" max="15887" width="15.28515625" style="1" customWidth="1"/>
    <col min="15888" max="16126" width="10.140625" style="1"/>
    <col min="16127" max="16127" width="8" style="1" customWidth="1"/>
    <col min="16128" max="16128" width="84.5703125" style="1" customWidth="1"/>
    <col min="16129" max="16137" width="20.7109375" style="1" customWidth="1"/>
    <col min="16138" max="16138" width="10.140625" style="1"/>
    <col min="16139" max="16139" width="15" style="1" customWidth="1"/>
    <col min="16140" max="16140" width="14.28515625" style="1" customWidth="1"/>
    <col min="16141" max="16141" width="15.28515625" style="1" customWidth="1"/>
    <col min="16142" max="16142" width="15.85546875" style="1" customWidth="1"/>
    <col min="16143" max="16143" width="15.28515625" style="1" customWidth="1"/>
    <col min="16144" max="16384" width="10.140625" style="1"/>
  </cols>
  <sheetData>
    <row r="1" spans="1:24" x14ac:dyDescent="0.25">
      <c r="A1" s="201" t="s">
        <v>94</v>
      </c>
      <c r="B1" s="201"/>
      <c r="C1" s="201"/>
      <c r="D1" s="201"/>
      <c r="E1" s="201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1"/>
      <c r="U1" s="89"/>
      <c r="V1" s="89"/>
      <c r="W1" s="89"/>
      <c r="X1" s="89"/>
    </row>
    <row r="2" spans="1:24" ht="19.5" thickBot="1" x14ac:dyDescent="0.3">
      <c r="A2" s="201" t="s">
        <v>80</v>
      </c>
      <c r="B2" s="201"/>
      <c r="C2" s="201"/>
      <c r="D2" s="201"/>
      <c r="E2" s="201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1"/>
      <c r="U2" s="89"/>
      <c r="V2" s="89"/>
      <c r="W2" s="89"/>
      <c r="X2" s="89"/>
    </row>
    <row r="3" spans="1:24" ht="18" customHeight="1" x14ac:dyDescent="0.25">
      <c r="A3" s="202" t="s">
        <v>0</v>
      </c>
      <c r="B3" s="204" t="s">
        <v>1</v>
      </c>
      <c r="C3" s="202" t="s">
        <v>15</v>
      </c>
      <c r="D3" s="206"/>
      <c r="E3" s="207"/>
      <c r="F3" s="202" t="s">
        <v>16</v>
      </c>
      <c r="G3" s="206"/>
      <c r="H3" s="207"/>
      <c r="I3" s="202" t="s">
        <v>17</v>
      </c>
      <c r="J3" s="206"/>
      <c r="K3" s="207"/>
      <c r="L3" s="202" t="s">
        <v>18</v>
      </c>
      <c r="M3" s="206"/>
      <c r="N3" s="207"/>
      <c r="O3" s="202" t="s">
        <v>78</v>
      </c>
      <c r="P3" s="222"/>
      <c r="Q3" s="223"/>
      <c r="R3" s="122"/>
      <c r="S3" s="110"/>
      <c r="T3" s="227" t="s">
        <v>15</v>
      </c>
      <c r="U3" s="198" t="s">
        <v>16</v>
      </c>
      <c r="V3" s="198" t="s">
        <v>17</v>
      </c>
      <c r="W3" s="198" t="s">
        <v>18</v>
      </c>
      <c r="X3" s="198" t="s">
        <v>78</v>
      </c>
    </row>
    <row r="4" spans="1:24" ht="18" customHeight="1" x14ac:dyDescent="0.25">
      <c r="A4" s="203"/>
      <c r="B4" s="205"/>
      <c r="C4" s="208"/>
      <c r="D4" s="209"/>
      <c r="E4" s="210"/>
      <c r="F4" s="208"/>
      <c r="G4" s="209"/>
      <c r="H4" s="210"/>
      <c r="I4" s="208"/>
      <c r="J4" s="209"/>
      <c r="K4" s="210"/>
      <c r="L4" s="208"/>
      <c r="M4" s="209"/>
      <c r="N4" s="210"/>
      <c r="O4" s="224"/>
      <c r="P4" s="225"/>
      <c r="Q4" s="226"/>
      <c r="R4" s="122"/>
      <c r="S4" s="110"/>
      <c r="T4" s="228"/>
      <c r="U4" s="199"/>
      <c r="V4" s="199"/>
      <c r="W4" s="199"/>
      <c r="X4" s="199"/>
    </row>
    <row r="5" spans="1:24" x14ac:dyDescent="0.25">
      <c r="A5" s="203"/>
      <c r="B5" s="205"/>
      <c r="C5" s="208"/>
      <c r="D5" s="209"/>
      <c r="E5" s="210"/>
      <c r="F5" s="208"/>
      <c r="G5" s="209"/>
      <c r="H5" s="210"/>
      <c r="I5" s="208"/>
      <c r="J5" s="209"/>
      <c r="K5" s="210"/>
      <c r="L5" s="208"/>
      <c r="M5" s="209"/>
      <c r="N5" s="210"/>
      <c r="O5" s="224"/>
      <c r="P5" s="225"/>
      <c r="Q5" s="226"/>
      <c r="R5" s="122"/>
      <c r="S5" s="110"/>
      <c r="T5" s="229"/>
      <c r="U5" s="200"/>
      <c r="V5" s="200"/>
      <c r="W5" s="200"/>
      <c r="X5" s="200"/>
    </row>
    <row r="6" spans="1:24" ht="19.5" thickBot="1" x14ac:dyDescent="0.3">
      <c r="A6" s="52">
        <v>1</v>
      </c>
      <c r="B6" s="123">
        <v>2</v>
      </c>
      <c r="C6" s="71">
        <v>3</v>
      </c>
      <c r="D6" s="16">
        <v>4</v>
      </c>
      <c r="E6" s="17">
        <v>5</v>
      </c>
      <c r="F6" s="71">
        <v>3</v>
      </c>
      <c r="G6" s="16">
        <v>4</v>
      </c>
      <c r="H6" s="17">
        <v>5</v>
      </c>
      <c r="I6" s="71">
        <v>3</v>
      </c>
      <c r="J6" s="16">
        <v>4</v>
      </c>
      <c r="K6" s="17">
        <v>5</v>
      </c>
      <c r="L6" s="71">
        <v>3</v>
      </c>
      <c r="M6" s="16">
        <v>4</v>
      </c>
      <c r="N6" s="17">
        <v>5</v>
      </c>
      <c r="O6" s="71">
        <v>3</v>
      </c>
      <c r="P6" s="16">
        <v>4</v>
      </c>
      <c r="Q6" s="17">
        <v>5</v>
      </c>
      <c r="R6" s="94"/>
      <c r="S6" s="94"/>
      <c r="T6" s="71">
        <v>3</v>
      </c>
      <c r="U6" s="17">
        <v>3</v>
      </c>
      <c r="V6" s="17">
        <v>4</v>
      </c>
      <c r="W6" s="17">
        <v>5</v>
      </c>
      <c r="X6" s="17">
        <v>6</v>
      </c>
    </row>
    <row r="7" spans="1:24" ht="26.1" customHeight="1" thickBot="1" x14ac:dyDescent="0.3">
      <c r="A7" s="213" t="s">
        <v>2</v>
      </c>
      <c r="B7" s="198"/>
      <c r="C7" s="113" t="s">
        <v>9</v>
      </c>
      <c r="D7" s="26" t="s">
        <v>10</v>
      </c>
      <c r="E7" s="27" t="s">
        <v>14</v>
      </c>
      <c r="F7" s="113" t="s">
        <v>9</v>
      </c>
      <c r="G7" s="26" t="s">
        <v>10</v>
      </c>
      <c r="H7" s="27" t="s">
        <v>14</v>
      </c>
      <c r="I7" s="113" t="s">
        <v>9</v>
      </c>
      <c r="J7" s="26" t="s">
        <v>10</v>
      </c>
      <c r="K7" s="27" t="s">
        <v>14</v>
      </c>
      <c r="L7" s="82" t="s">
        <v>9</v>
      </c>
      <c r="M7" s="26" t="s">
        <v>10</v>
      </c>
      <c r="N7" s="27" t="s">
        <v>14</v>
      </c>
      <c r="O7" s="113" t="s">
        <v>9</v>
      </c>
      <c r="P7" s="26" t="s">
        <v>10</v>
      </c>
      <c r="Q7" s="27" t="s">
        <v>14</v>
      </c>
      <c r="R7" s="95"/>
      <c r="S7" s="95"/>
      <c r="T7" s="81" t="s">
        <v>9</v>
      </c>
      <c r="U7" s="82" t="s">
        <v>9</v>
      </c>
      <c r="V7" s="82" t="s">
        <v>9</v>
      </c>
      <c r="W7" s="82" t="s">
        <v>9</v>
      </c>
      <c r="X7" s="82" t="s">
        <v>9</v>
      </c>
    </row>
    <row r="8" spans="1:24" ht="20.100000000000001" customHeight="1" x14ac:dyDescent="0.25">
      <c r="A8" s="90">
        <v>1</v>
      </c>
      <c r="B8" s="124" t="s">
        <v>19</v>
      </c>
      <c r="C8" s="46">
        <f t="shared" ref="C8:P8" si="0">SUM(C9:C12)</f>
        <v>10890.86</v>
      </c>
      <c r="D8" s="18">
        <f t="shared" si="0"/>
        <v>10678.12</v>
      </c>
      <c r="E8" s="19"/>
      <c r="F8" s="46">
        <f t="shared" ref="F8" si="1">SUM(F9:F12)</f>
        <v>10890.86</v>
      </c>
      <c r="G8" s="18">
        <f t="shared" si="0"/>
        <v>10562.18</v>
      </c>
      <c r="H8" s="19"/>
      <c r="I8" s="46">
        <f t="shared" ref="I8:J8" si="2">SUM(I9:I12)</f>
        <v>10890.86</v>
      </c>
      <c r="J8" s="18">
        <f t="shared" si="2"/>
        <v>10505.369999999999</v>
      </c>
      <c r="K8" s="19"/>
      <c r="L8" s="157">
        <f t="shared" ref="L8:M8" si="3">SUM(L9:L12)</f>
        <v>10890.86</v>
      </c>
      <c r="M8" s="18">
        <f t="shared" si="3"/>
        <v>10485.900000000001</v>
      </c>
      <c r="N8" s="19"/>
      <c r="O8" s="46">
        <f>SUM(O9:O12)</f>
        <v>43563.44</v>
      </c>
      <c r="P8" s="18">
        <f t="shared" si="0"/>
        <v>42231.569999999992</v>
      </c>
      <c r="Q8" s="19"/>
      <c r="R8" s="51"/>
      <c r="S8" s="51"/>
      <c r="T8" s="46">
        <f t="shared" ref="T8:W8" si="4">SUM(T9:T12)</f>
        <v>10890.86</v>
      </c>
      <c r="U8" s="125">
        <f t="shared" si="4"/>
        <v>10890.86</v>
      </c>
      <c r="V8" s="125">
        <f t="shared" si="4"/>
        <v>10890.86</v>
      </c>
      <c r="W8" s="125">
        <f t="shared" si="4"/>
        <v>10890.86</v>
      </c>
      <c r="X8" s="125">
        <f>T8+U8+V8+W8</f>
        <v>43563.44</v>
      </c>
    </row>
    <row r="9" spans="1:24" ht="20.100000000000001" customHeight="1" x14ac:dyDescent="0.25">
      <c r="A9" s="91"/>
      <c r="B9" s="126" t="s">
        <v>3</v>
      </c>
      <c r="C9" s="72">
        <v>6436.38</v>
      </c>
      <c r="D9" s="13">
        <v>6392.12</v>
      </c>
      <c r="E9" s="47">
        <f>D9-C9</f>
        <v>-44.260000000000218</v>
      </c>
      <c r="F9" s="72">
        <v>6436.38</v>
      </c>
      <c r="G9" s="13">
        <v>6379.1</v>
      </c>
      <c r="H9" s="47">
        <f>G9-F9</f>
        <v>-57.279999999999745</v>
      </c>
      <c r="I9" s="72">
        <v>6436.38</v>
      </c>
      <c r="J9" s="13">
        <v>6359.87</v>
      </c>
      <c r="K9" s="47">
        <f>J9-I9</f>
        <v>-76.510000000000218</v>
      </c>
      <c r="L9" s="158">
        <v>6436.38</v>
      </c>
      <c r="M9" s="13">
        <v>6349.37</v>
      </c>
      <c r="N9" s="47">
        <f>M9-L9</f>
        <v>-87.010000000000218</v>
      </c>
      <c r="O9" s="72">
        <f>C9+F9+I9+L9</f>
        <v>25745.52</v>
      </c>
      <c r="P9" s="13">
        <f>SUM(D9+G9+J9+M9)</f>
        <v>25480.46</v>
      </c>
      <c r="Q9" s="47">
        <f>P9-O9</f>
        <v>-265.06000000000131</v>
      </c>
      <c r="R9" s="104"/>
      <c r="S9" s="104"/>
      <c r="T9" s="128">
        <v>6436.38</v>
      </c>
      <c r="U9" s="127">
        <v>6436.38</v>
      </c>
      <c r="V9" s="127">
        <v>6436.38</v>
      </c>
      <c r="W9" s="127">
        <v>6436.38</v>
      </c>
      <c r="X9" s="127">
        <f>SUM(T9:W9)</f>
        <v>25745.52</v>
      </c>
    </row>
    <row r="10" spans="1:24" ht="20.100000000000001" customHeight="1" x14ac:dyDescent="0.25">
      <c r="A10" s="91"/>
      <c r="B10" s="126" t="s">
        <v>20</v>
      </c>
      <c r="C10" s="72">
        <v>984.48</v>
      </c>
      <c r="D10" s="13">
        <v>931.39</v>
      </c>
      <c r="E10" s="47">
        <f>D10-C10</f>
        <v>-53.090000000000032</v>
      </c>
      <c r="F10" s="72">
        <v>984.48</v>
      </c>
      <c r="G10" s="13">
        <v>873.66</v>
      </c>
      <c r="H10" s="47">
        <f>G10-F10</f>
        <v>-110.82000000000005</v>
      </c>
      <c r="I10" s="72">
        <v>984.48</v>
      </c>
      <c r="J10" s="13">
        <v>856.89</v>
      </c>
      <c r="K10" s="47">
        <f>J10-I10</f>
        <v>-127.59000000000003</v>
      </c>
      <c r="L10" s="159">
        <v>984.48</v>
      </c>
      <c r="M10" s="13">
        <v>841.43</v>
      </c>
      <c r="N10" s="47">
        <f>M10-L10</f>
        <v>-143.05000000000007</v>
      </c>
      <c r="O10" s="72">
        <f>C10+F10+I10+L10</f>
        <v>3937.92</v>
      </c>
      <c r="P10" s="13">
        <f t="shared" ref="P10:P22" si="5">SUM(D10+G10+J10+M10)</f>
        <v>3503.37</v>
      </c>
      <c r="Q10" s="47">
        <f>P10-O10</f>
        <v>-434.55000000000018</v>
      </c>
      <c r="R10" s="104"/>
      <c r="S10" s="104"/>
      <c r="T10" s="72">
        <v>984.48</v>
      </c>
      <c r="U10" s="129">
        <v>984.48</v>
      </c>
      <c r="V10" s="129">
        <v>984.48</v>
      </c>
      <c r="W10" s="129">
        <v>984.48</v>
      </c>
      <c r="X10" s="127">
        <f>SUM(T10:W10)</f>
        <v>3937.92</v>
      </c>
    </row>
    <row r="11" spans="1:24" ht="20.100000000000001" customHeight="1" outlineLevel="1" x14ac:dyDescent="0.25">
      <c r="A11" s="20"/>
      <c r="B11" s="126" t="s">
        <v>21</v>
      </c>
      <c r="C11" s="5">
        <v>1700</v>
      </c>
      <c r="D11" s="12">
        <v>1566.17</v>
      </c>
      <c r="E11" s="47">
        <f>D11-C11</f>
        <v>-133.82999999999993</v>
      </c>
      <c r="F11" s="5">
        <v>1700</v>
      </c>
      <c r="G11" s="12">
        <v>1458.42</v>
      </c>
      <c r="H11" s="47">
        <f>G11-F11</f>
        <v>-241.57999999999993</v>
      </c>
      <c r="I11" s="5">
        <v>1700</v>
      </c>
      <c r="J11" s="12">
        <v>1431.57</v>
      </c>
      <c r="K11" s="47">
        <f>J11-I11</f>
        <v>-268.43000000000006</v>
      </c>
      <c r="L11" s="160">
        <v>1700</v>
      </c>
      <c r="M11" s="12">
        <v>1410.49</v>
      </c>
      <c r="N11" s="47">
        <f>M11-L11</f>
        <v>-289.51</v>
      </c>
      <c r="O11" s="72">
        <f>C11+F11+I11+L11</f>
        <v>6800</v>
      </c>
      <c r="P11" s="13">
        <f t="shared" si="5"/>
        <v>5866.65</v>
      </c>
      <c r="Q11" s="47">
        <f>P11-O11</f>
        <v>-933.35000000000036</v>
      </c>
      <c r="R11" s="104"/>
      <c r="S11" s="104"/>
      <c r="T11" s="5">
        <v>1700</v>
      </c>
      <c r="U11" s="130">
        <v>1700</v>
      </c>
      <c r="V11" s="130">
        <v>1700</v>
      </c>
      <c r="W11" s="130">
        <v>1700</v>
      </c>
      <c r="X11" s="127">
        <f>SUM(T11:W11)</f>
        <v>6800</v>
      </c>
    </row>
    <row r="12" spans="1:24" ht="20.100000000000001" customHeight="1" outlineLevel="1" thickBot="1" x14ac:dyDescent="0.3">
      <c r="A12" s="96"/>
      <c r="B12" s="87" t="s">
        <v>22</v>
      </c>
      <c r="C12" s="74">
        <v>1770</v>
      </c>
      <c r="D12" s="22">
        <v>1788.44</v>
      </c>
      <c r="E12" s="58">
        <f>D12-C12</f>
        <v>18.440000000000055</v>
      </c>
      <c r="F12" s="74">
        <v>1770</v>
      </c>
      <c r="G12" s="22">
        <v>1851</v>
      </c>
      <c r="H12" s="58">
        <f>G12-F12</f>
        <v>81</v>
      </c>
      <c r="I12" s="74">
        <v>1770</v>
      </c>
      <c r="J12" s="22">
        <v>1857.04</v>
      </c>
      <c r="K12" s="58">
        <f>J12-I12</f>
        <v>87.039999999999964</v>
      </c>
      <c r="L12" s="161">
        <v>1770</v>
      </c>
      <c r="M12" s="22">
        <v>1884.61</v>
      </c>
      <c r="N12" s="58">
        <f>M12-L12</f>
        <v>114.6099999999999</v>
      </c>
      <c r="O12" s="72">
        <f>C12+F12+I12+L12</f>
        <v>7080</v>
      </c>
      <c r="P12" s="13">
        <f t="shared" si="5"/>
        <v>7381.0899999999992</v>
      </c>
      <c r="Q12" s="58">
        <f>P12-O12</f>
        <v>301.08999999999924</v>
      </c>
      <c r="R12" s="104"/>
      <c r="S12" s="104"/>
      <c r="T12" s="74">
        <v>1770</v>
      </c>
      <c r="U12" s="131">
        <v>1770</v>
      </c>
      <c r="V12" s="131">
        <v>1770</v>
      </c>
      <c r="W12" s="131">
        <v>1770</v>
      </c>
      <c r="X12" s="127">
        <f>SUM(T12:W12)</f>
        <v>7080</v>
      </c>
    </row>
    <row r="13" spans="1:24" ht="20.100000000000001" customHeight="1" x14ac:dyDescent="0.25">
      <c r="A13" s="90">
        <v>2</v>
      </c>
      <c r="B13" s="132" t="s">
        <v>23</v>
      </c>
      <c r="C13" s="73">
        <f>SUM(C14:C16)</f>
        <v>1745.97</v>
      </c>
      <c r="D13" s="105">
        <f>SUM(D14:D16)</f>
        <v>1651.65</v>
      </c>
      <c r="E13" s="56"/>
      <c r="F13" s="73">
        <f t="shared" ref="F13" si="6">SUM(F14:F16)</f>
        <v>1745.97</v>
      </c>
      <c r="G13" s="105">
        <f>SUM(G14:G16)</f>
        <v>3574.58</v>
      </c>
      <c r="H13" s="56"/>
      <c r="I13" s="73">
        <f t="shared" ref="I13" si="7">SUM(I14:I16)</f>
        <v>1745.97</v>
      </c>
      <c r="J13" s="105">
        <f>SUM(J14:J16)</f>
        <v>4498.93</v>
      </c>
      <c r="K13" s="56"/>
      <c r="L13" s="162">
        <f t="shared" ref="L13" si="8">SUM(L14:L16)</f>
        <v>1745.97</v>
      </c>
      <c r="M13" s="45">
        <f>SUM(M14:M16)</f>
        <v>3856.42</v>
      </c>
      <c r="N13" s="56"/>
      <c r="O13" s="73">
        <f>SUM(O14:O16)</f>
        <v>6983.880000000001</v>
      </c>
      <c r="P13" s="45">
        <f>SUM(P14:P16)</f>
        <v>13581.58</v>
      </c>
      <c r="Q13" s="56"/>
      <c r="R13" s="97"/>
      <c r="S13" s="97"/>
      <c r="T13" s="73">
        <f t="shared" ref="T13:X13" si="9">SUM(T14:T16)</f>
        <v>1745.97</v>
      </c>
      <c r="U13" s="133">
        <f t="shared" si="9"/>
        <v>1745.97</v>
      </c>
      <c r="V13" s="133">
        <f t="shared" si="9"/>
        <v>1745.97</v>
      </c>
      <c r="W13" s="133">
        <f t="shared" si="9"/>
        <v>1745.97</v>
      </c>
      <c r="X13" s="133">
        <f t="shared" si="9"/>
        <v>6983.88</v>
      </c>
    </row>
    <row r="14" spans="1:24" ht="39" customHeight="1" outlineLevel="1" x14ac:dyDescent="0.25">
      <c r="A14" s="4"/>
      <c r="B14" s="126" t="s">
        <v>24</v>
      </c>
      <c r="C14" s="5">
        <v>929.37</v>
      </c>
      <c r="D14" s="12">
        <v>879.37</v>
      </c>
      <c r="E14" s="47">
        <f>D14-C14</f>
        <v>-50</v>
      </c>
      <c r="F14" s="5">
        <v>929.37</v>
      </c>
      <c r="G14" s="12">
        <v>824.97</v>
      </c>
      <c r="H14" s="47">
        <f>G14-F14</f>
        <v>-104.39999999999998</v>
      </c>
      <c r="I14" s="5">
        <v>929.37</v>
      </c>
      <c r="J14" s="12">
        <v>809.16</v>
      </c>
      <c r="K14" s="47">
        <f>J14-I14</f>
        <v>-120.21000000000004</v>
      </c>
      <c r="L14" s="163">
        <v>929.37</v>
      </c>
      <c r="M14" s="12">
        <v>794.61</v>
      </c>
      <c r="N14" s="47">
        <f>M14-L14</f>
        <v>-134.76</v>
      </c>
      <c r="O14" s="72">
        <f>C14+F14+I14+L14</f>
        <v>3717.48</v>
      </c>
      <c r="P14" s="13">
        <f t="shared" si="5"/>
        <v>3308.11</v>
      </c>
      <c r="Q14" s="47">
        <f>P14-O14</f>
        <v>-409.36999999999989</v>
      </c>
      <c r="R14" s="104"/>
      <c r="S14" s="104"/>
      <c r="T14" s="116">
        <v>929.37</v>
      </c>
      <c r="U14" s="134">
        <v>929.37</v>
      </c>
      <c r="V14" s="134">
        <v>929.37</v>
      </c>
      <c r="W14" s="134">
        <v>929.37</v>
      </c>
      <c r="X14" s="127">
        <f>SUM(T14:W14)</f>
        <v>3717.48</v>
      </c>
    </row>
    <row r="15" spans="1:24" ht="34.15" customHeight="1" outlineLevel="1" x14ac:dyDescent="0.25">
      <c r="A15" s="49"/>
      <c r="B15" s="135" t="s">
        <v>25</v>
      </c>
      <c r="C15" s="76">
        <v>816.6</v>
      </c>
      <c r="D15" s="2">
        <v>772.28</v>
      </c>
      <c r="E15" s="84">
        <f>D15-C15</f>
        <v>-44.32000000000005</v>
      </c>
      <c r="F15" s="76">
        <v>816.6</v>
      </c>
      <c r="G15" s="2">
        <v>717.92</v>
      </c>
      <c r="H15" s="84">
        <f>G15-F15</f>
        <v>-98.680000000000064</v>
      </c>
      <c r="I15" s="76">
        <v>816.6</v>
      </c>
      <c r="J15" s="2">
        <v>702.83</v>
      </c>
      <c r="K15" s="84">
        <f>J15-I15</f>
        <v>-113.76999999999998</v>
      </c>
      <c r="L15" s="164"/>
      <c r="M15" s="12">
        <v>18.309999999999999</v>
      </c>
      <c r="N15" s="84">
        <f>M15-L15</f>
        <v>18.309999999999999</v>
      </c>
      <c r="O15" s="72">
        <f>C15+F15+I15+L15</f>
        <v>2449.8000000000002</v>
      </c>
      <c r="P15" s="13">
        <f t="shared" si="5"/>
        <v>2211.3399999999997</v>
      </c>
      <c r="Q15" s="84">
        <f>P15-O15</f>
        <v>-238.46000000000049</v>
      </c>
      <c r="R15" s="104"/>
      <c r="S15" s="104"/>
      <c r="T15" s="137"/>
      <c r="U15" s="136"/>
      <c r="V15" s="136"/>
      <c r="W15" s="136"/>
      <c r="X15" s="127"/>
    </row>
    <row r="16" spans="1:24" ht="33.6" customHeight="1" outlineLevel="1" thickBot="1" x14ac:dyDescent="0.3">
      <c r="A16" s="21"/>
      <c r="B16" s="87" t="s">
        <v>95</v>
      </c>
      <c r="C16" s="74">
        <v>0</v>
      </c>
      <c r="D16" s="22">
        <v>0</v>
      </c>
      <c r="E16" s="58">
        <f>D16-C16</f>
        <v>0</v>
      </c>
      <c r="F16" s="74">
        <v>0</v>
      </c>
      <c r="G16" s="22">
        <v>2031.69</v>
      </c>
      <c r="H16" s="58">
        <f>G16-F16</f>
        <v>2031.69</v>
      </c>
      <c r="I16" s="74">
        <v>0</v>
      </c>
      <c r="J16" s="22">
        <v>2986.94</v>
      </c>
      <c r="K16" s="58">
        <f>J16-I16</f>
        <v>2986.94</v>
      </c>
      <c r="L16" s="161">
        <v>816.6</v>
      </c>
      <c r="M16" s="22">
        <v>3043.5</v>
      </c>
      <c r="N16" s="58">
        <f>M16-L16</f>
        <v>2226.9</v>
      </c>
      <c r="O16" s="72">
        <f>C16+F16+I16+L16</f>
        <v>816.6</v>
      </c>
      <c r="P16" s="13">
        <f t="shared" si="5"/>
        <v>8062.13</v>
      </c>
      <c r="Q16" s="58">
        <f>P16-O16</f>
        <v>7245.53</v>
      </c>
      <c r="R16" s="104"/>
      <c r="S16" s="104"/>
      <c r="T16" s="74">
        <v>816.6</v>
      </c>
      <c r="U16" s="131">
        <v>816.6</v>
      </c>
      <c r="V16" s="131">
        <v>816.6</v>
      </c>
      <c r="W16" s="131">
        <v>816.6</v>
      </c>
      <c r="X16" s="127">
        <f>SUM(T16:W16)</f>
        <v>3266.4</v>
      </c>
    </row>
    <row r="17" spans="1:24" ht="20.100000000000001" customHeight="1" outlineLevel="1" x14ac:dyDescent="0.25">
      <c r="A17" s="90">
        <v>3</v>
      </c>
      <c r="B17" s="132" t="s">
        <v>26</v>
      </c>
      <c r="C17" s="46">
        <f t="shared" ref="C17:P17" si="10">SUM(C18:C19)</f>
        <v>2083.23</v>
      </c>
      <c r="D17" s="18">
        <f t="shared" si="10"/>
        <v>2083.23</v>
      </c>
      <c r="E17" s="19"/>
      <c r="F17" s="46">
        <f t="shared" ref="F17" si="11">SUM(F18:F19)</f>
        <v>2083.23</v>
      </c>
      <c r="G17" s="18">
        <f t="shared" si="10"/>
        <v>2069.5100000000002</v>
      </c>
      <c r="H17" s="19"/>
      <c r="I17" s="46">
        <f t="shared" ref="I17:J17" si="12">SUM(I18:I19)</f>
        <v>2083.23</v>
      </c>
      <c r="J17" s="18">
        <f t="shared" si="12"/>
        <v>2065.65</v>
      </c>
      <c r="K17" s="19"/>
      <c r="L17" s="157">
        <f t="shared" ref="L17:M17" si="13">SUM(L18:L19)</f>
        <v>2083.23</v>
      </c>
      <c r="M17" s="18">
        <f t="shared" si="13"/>
        <v>2065.65</v>
      </c>
      <c r="N17" s="19"/>
      <c r="O17" s="46">
        <f t="shared" si="10"/>
        <v>8332.92</v>
      </c>
      <c r="P17" s="18">
        <f t="shared" si="10"/>
        <v>8284.0400000000009</v>
      </c>
      <c r="Q17" s="19"/>
      <c r="R17" s="51"/>
      <c r="S17" s="51"/>
      <c r="T17" s="46">
        <f t="shared" ref="T17:X17" si="14">SUM(T18:T19)</f>
        <v>2083.23</v>
      </c>
      <c r="U17" s="125">
        <f t="shared" si="14"/>
        <v>2083.23</v>
      </c>
      <c r="V17" s="125">
        <f t="shared" si="14"/>
        <v>2083.23</v>
      </c>
      <c r="W17" s="125">
        <f t="shared" si="14"/>
        <v>2083.23</v>
      </c>
      <c r="X17" s="125">
        <f t="shared" si="14"/>
        <v>8332.92</v>
      </c>
    </row>
    <row r="18" spans="1:24" ht="20.100000000000001" customHeight="1" outlineLevel="1" x14ac:dyDescent="0.3">
      <c r="A18" s="4"/>
      <c r="B18" s="126" t="s">
        <v>27</v>
      </c>
      <c r="C18" s="75">
        <v>661.23</v>
      </c>
      <c r="D18" s="23">
        <v>661.23</v>
      </c>
      <c r="E18" s="47">
        <f>D18-C18</f>
        <v>0</v>
      </c>
      <c r="F18" s="75">
        <v>661.23</v>
      </c>
      <c r="G18" s="23">
        <v>657.51</v>
      </c>
      <c r="H18" s="47">
        <f>G18-F18</f>
        <v>-3.7200000000000273</v>
      </c>
      <c r="I18" s="75">
        <v>661.23</v>
      </c>
      <c r="J18" s="23">
        <v>655.65</v>
      </c>
      <c r="K18" s="47">
        <f>J18-I18</f>
        <v>-5.5800000000000409</v>
      </c>
      <c r="L18" s="165">
        <v>661.23</v>
      </c>
      <c r="M18" s="23">
        <v>655.65</v>
      </c>
      <c r="N18" s="47">
        <f>M18-L18</f>
        <v>-5.5800000000000409</v>
      </c>
      <c r="O18" s="72">
        <f>C18+F18+I18+L18</f>
        <v>2644.92</v>
      </c>
      <c r="P18" s="13">
        <f t="shared" si="5"/>
        <v>2630.04</v>
      </c>
      <c r="Q18" s="47">
        <f>P18-O18</f>
        <v>-14.880000000000109</v>
      </c>
      <c r="R18" s="104"/>
      <c r="S18" s="104"/>
      <c r="T18" s="139">
        <v>661.23</v>
      </c>
      <c r="U18" s="138">
        <v>661.23</v>
      </c>
      <c r="V18" s="138">
        <v>661.23</v>
      </c>
      <c r="W18" s="138">
        <v>661.23</v>
      </c>
      <c r="X18" s="127">
        <f>SUM(T18:W18)</f>
        <v>2644.92</v>
      </c>
    </row>
    <row r="19" spans="1:24" ht="20.100000000000001" customHeight="1" outlineLevel="1" thickBot="1" x14ac:dyDescent="0.3">
      <c r="A19" s="21"/>
      <c r="B19" s="87" t="s">
        <v>28</v>
      </c>
      <c r="C19" s="74">
        <v>1422</v>
      </c>
      <c r="D19" s="22">
        <v>1422</v>
      </c>
      <c r="E19" s="58">
        <f>D19-C19</f>
        <v>0</v>
      </c>
      <c r="F19" s="74">
        <v>1422</v>
      </c>
      <c r="G19" s="22">
        <v>1412</v>
      </c>
      <c r="H19" s="58">
        <f>G19-F19</f>
        <v>-10</v>
      </c>
      <c r="I19" s="74">
        <v>1422</v>
      </c>
      <c r="J19" s="22">
        <v>1410</v>
      </c>
      <c r="K19" s="58">
        <f>J19-I19</f>
        <v>-12</v>
      </c>
      <c r="L19" s="161">
        <v>1422</v>
      </c>
      <c r="M19" s="22">
        <v>1410</v>
      </c>
      <c r="N19" s="58">
        <f>M19-L19</f>
        <v>-12</v>
      </c>
      <c r="O19" s="72">
        <f>C19+F19+I19+L19</f>
        <v>5688</v>
      </c>
      <c r="P19" s="13">
        <f t="shared" si="5"/>
        <v>5654</v>
      </c>
      <c r="Q19" s="58">
        <f>P19-O19</f>
        <v>-34</v>
      </c>
      <c r="R19" s="104"/>
      <c r="S19" s="104"/>
      <c r="T19" s="74">
        <v>1422</v>
      </c>
      <c r="U19" s="131">
        <v>1422</v>
      </c>
      <c r="V19" s="131">
        <v>1422</v>
      </c>
      <c r="W19" s="131">
        <v>1422</v>
      </c>
      <c r="X19" s="127">
        <f>SUM(T19:W19)</f>
        <v>5688</v>
      </c>
    </row>
    <row r="20" spans="1:24" ht="20.100000000000001" customHeight="1" x14ac:dyDescent="0.25">
      <c r="A20" s="24" t="s">
        <v>13</v>
      </c>
      <c r="B20" s="132" t="s">
        <v>29</v>
      </c>
      <c r="C20" s="46">
        <f t="shared" ref="C20:P20" si="15">SUM(C21:C22)</f>
        <v>38586.6</v>
      </c>
      <c r="D20" s="18">
        <f t="shared" si="15"/>
        <v>39719.599999999999</v>
      </c>
      <c r="E20" s="19"/>
      <c r="F20" s="46">
        <f t="shared" ref="F20" si="16">SUM(F21:F22)</f>
        <v>38586.6</v>
      </c>
      <c r="G20" s="18">
        <f t="shared" si="15"/>
        <v>37721.370000000003</v>
      </c>
      <c r="H20" s="19"/>
      <c r="I20" s="46">
        <f t="shared" ref="I20:J20" si="17">SUM(I21:I22)</f>
        <v>38586.6</v>
      </c>
      <c r="J20" s="18">
        <f t="shared" si="17"/>
        <v>37714.67</v>
      </c>
      <c r="K20" s="19"/>
      <c r="L20" s="157">
        <f t="shared" ref="L20:M20" si="18">SUM(L21:L22)</f>
        <v>38586.6</v>
      </c>
      <c r="M20" s="18">
        <f t="shared" si="18"/>
        <v>37723.279999999999</v>
      </c>
      <c r="N20" s="19"/>
      <c r="O20" s="46">
        <f t="shared" si="15"/>
        <v>154346.4</v>
      </c>
      <c r="P20" s="18">
        <f t="shared" si="15"/>
        <v>152878.91999999998</v>
      </c>
      <c r="Q20" s="19"/>
      <c r="R20" s="51"/>
      <c r="S20" s="51"/>
      <c r="T20" s="46">
        <f t="shared" ref="T20:X20" si="19">SUM(T21:T22)</f>
        <v>38586.6</v>
      </c>
      <c r="U20" s="125">
        <f t="shared" si="19"/>
        <v>38586.6</v>
      </c>
      <c r="V20" s="125">
        <f t="shared" si="19"/>
        <v>38586.6</v>
      </c>
      <c r="W20" s="125">
        <f t="shared" si="19"/>
        <v>38586.6</v>
      </c>
      <c r="X20" s="125">
        <f t="shared" si="19"/>
        <v>154346.4</v>
      </c>
    </row>
    <row r="21" spans="1:24" ht="20.100000000000001" customHeight="1" outlineLevel="1" x14ac:dyDescent="0.25">
      <c r="A21" s="25"/>
      <c r="B21" s="126" t="s">
        <v>30</v>
      </c>
      <c r="C21" s="5">
        <v>32817.25</v>
      </c>
      <c r="D21" s="12">
        <f>39719.6-D22</f>
        <v>33950.25</v>
      </c>
      <c r="E21" s="47">
        <f>D21-C21</f>
        <v>1133</v>
      </c>
      <c r="F21" s="5">
        <v>32817.25</v>
      </c>
      <c r="G21" s="12">
        <f>37721.37-G22</f>
        <v>31952.022000000004</v>
      </c>
      <c r="H21" s="47">
        <f>G21-F21</f>
        <v>-865.22799999999552</v>
      </c>
      <c r="I21" s="5">
        <v>32817.25</v>
      </c>
      <c r="J21" s="12">
        <f>37714.67-J22</f>
        <v>31945.322</v>
      </c>
      <c r="K21" s="47">
        <f>J21-I21</f>
        <v>-871.92799999999988</v>
      </c>
      <c r="L21" s="163">
        <v>32817.25</v>
      </c>
      <c r="M21" s="12">
        <f>37723.28-M22</f>
        <v>31953.932000000001</v>
      </c>
      <c r="N21" s="47">
        <f>M21-L21</f>
        <v>-863.3179999999993</v>
      </c>
      <c r="O21" s="72">
        <f>C21+F21+I21+L21</f>
        <v>131269</v>
      </c>
      <c r="P21" s="13">
        <f t="shared" si="5"/>
        <v>129801.526</v>
      </c>
      <c r="Q21" s="47">
        <f>P21-O21</f>
        <v>-1467.474000000002</v>
      </c>
      <c r="R21" s="104"/>
      <c r="S21" s="104"/>
      <c r="T21" s="116">
        <v>32817.25</v>
      </c>
      <c r="U21" s="134">
        <v>32817.25</v>
      </c>
      <c r="V21" s="134">
        <v>32817.25</v>
      </c>
      <c r="W21" s="134">
        <v>32817.25</v>
      </c>
      <c r="X21" s="127">
        <f>SUM(T21:W21)</f>
        <v>131269</v>
      </c>
    </row>
    <row r="22" spans="1:24" ht="20.100000000000001" customHeight="1" outlineLevel="1" thickBot="1" x14ac:dyDescent="0.3">
      <c r="A22" s="48"/>
      <c r="B22" s="87" t="s">
        <v>31</v>
      </c>
      <c r="C22" s="74">
        <v>5769.35</v>
      </c>
      <c r="D22" s="22">
        <v>5769.35</v>
      </c>
      <c r="E22" s="58">
        <f>D22-C22</f>
        <v>0</v>
      </c>
      <c r="F22" s="74">
        <v>5769.35</v>
      </c>
      <c r="G22" s="22">
        <f>((0.11*14990.3)+(0.07*(2324.5+1592.4)))*3</f>
        <v>5769.348</v>
      </c>
      <c r="H22" s="58">
        <f>G22-F22</f>
        <v>-2.0000000004074536E-3</v>
      </c>
      <c r="I22" s="74">
        <v>5769.35</v>
      </c>
      <c r="J22" s="22">
        <f>((0.11*14990.3)+(0.07*(2324.5+1592.4)))*3</f>
        <v>5769.348</v>
      </c>
      <c r="K22" s="58">
        <f>J22-I22</f>
        <v>-2.0000000004074536E-3</v>
      </c>
      <c r="L22" s="161">
        <v>5769.35</v>
      </c>
      <c r="M22" s="22">
        <f>((0.11*14990.3)+(0.07*(2324.5+1592.4)))*3</f>
        <v>5769.348</v>
      </c>
      <c r="N22" s="58">
        <f>M22-L22</f>
        <v>-2.0000000004074536E-3</v>
      </c>
      <c r="O22" s="72">
        <f>C22+F22+I22+L22</f>
        <v>23077.4</v>
      </c>
      <c r="P22" s="13">
        <f t="shared" si="5"/>
        <v>23077.394</v>
      </c>
      <c r="Q22" s="58">
        <f>P22-O22</f>
        <v>-6.0000000012223609E-3</v>
      </c>
      <c r="R22" s="104"/>
      <c r="S22" s="104"/>
      <c r="T22" s="74">
        <v>5769.35</v>
      </c>
      <c r="U22" s="131">
        <v>5769.35</v>
      </c>
      <c r="V22" s="131">
        <v>5769.35</v>
      </c>
      <c r="W22" s="131">
        <v>5769.35</v>
      </c>
      <c r="X22" s="127">
        <f>SUM(T22:W22)</f>
        <v>23077.4</v>
      </c>
    </row>
    <row r="23" spans="1:24" ht="20.100000000000001" customHeight="1" outlineLevel="1" x14ac:dyDescent="0.25">
      <c r="A23" s="24" t="s">
        <v>7</v>
      </c>
      <c r="B23" s="132" t="s">
        <v>4</v>
      </c>
      <c r="C23" s="46">
        <f>SUM(C24:C27)</f>
        <v>1600</v>
      </c>
      <c r="D23" s="18">
        <f>SUM(D24:D27)</f>
        <v>1871.8</v>
      </c>
      <c r="E23" s="19"/>
      <c r="F23" s="46">
        <f>SUM(F24:F27)</f>
        <v>3100</v>
      </c>
      <c r="G23" s="18">
        <f>SUM(G24:G27)</f>
        <v>5177.6000000000004</v>
      </c>
      <c r="H23" s="19"/>
      <c r="I23" s="46">
        <f>SUM(I24:I27)</f>
        <v>3100</v>
      </c>
      <c r="J23" s="18">
        <f>SUM(J24:J27)</f>
        <v>5198.53</v>
      </c>
      <c r="K23" s="19"/>
      <c r="L23" s="157">
        <f t="shared" ref="L23" si="20">SUM(L24:L27)</f>
        <v>3100</v>
      </c>
      <c r="M23" s="18">
        <f>SUM(M24:M27)</f>
        <v>3650.3900000000003</v>
      </c>
      <c r="N23" s="19"/>
      <c r="O23" s="46">
        <f>SUM(O24:O27)</f>
        <v>10900</v>
      </c>
      <c r="P23" s="18">
        <f>SUM(P24:P27)</f>
        <v>15898.32</v>
      </c>
      <c r="Q23" s="19"/>
      <c r="R23" s="51"/>
      <c r="S23" s="51"/>
      <c r="T23" s="46">
        <f>SUM(T24:T27)</f>
        <v>1600</v>
      </c>
      <c r="U23" s="125">
        <f>SUM(U24:U27)</f>
        <v>3100</v>
      </c>
      <c r="V23" s="125">
        <f t="shared" ref="V23:X23" si="21">SUM(V24:V27)</f>
        <v>3100</v>
      </c>
      <c r="W23" s="125">
        <f t="shared" si="21"/>
        <v>3100</v>
      </c>
      <c r="X23" s="125">
        <f t="shared" si="21"/>
        <v>10900</v>
      </c>
    </row>
    <row r="24" spans="1:24" s="6" customFormat="1" ht="20.100000000000001" customHeight="1" outlineLevel="1" x14ac:dyDescent="0.25">
      <c r="A24" s="25"/>
      <c r="B24" s="140" t="s">
        <v>5</v>
      </c>
      <c r="C24" s="5">
        <v>1000</v>
      </c>
      <c r="D24" s="12">
        <v>440.34</v>
      </c>
      <c r="E24" s="47">
        <f>D24-C24</f>
        <v>-559.66000000000008</v>
      </c>
      <c r="F24" s="5">
        <v>2500</v>
      </c>
      <c r="G24" s="12">
        <v>649.19000000000005</v>
      </c>
      <c r="H24" s="47">
        <f>G24-F24</f>
        <v>-1850.81</v>
      </c>
      <c r="I24" s="5">
        <v>2500</v>
      </c>
      <c r="J24" s="12">
        <v>680.32</v>
      </c>
      <c r="K24" s="47">
        <f>J24-I24</f>
        <v>-1819.6799999999998</v>
      </c>
      <c r="L24" s="163">
        <v>2500</v>
      </c>
      <c r="M24" s="12">
        <v>719.33</v>
      </c>
      <c r="N24" s="47">
        <f>M24-L24</f>
        <v>-1780.67</v>
      </c>
      <c r="O24" s="72">
        <f>C24+F24+I24+L24</f>
        <v>8500</v>
      </c>
      <c r="P24" s="13">
        <f>SUM(D24+G24+J24+M24)</f>
        <v>2489.1799999999998</v>
      </c>
      <c r="Q24" s="47">
        <f>P24-O24</f>
        <v>-6010.82</v>
      </c>
      <c r="R24" s="104"/>
      <c r="S24" s="104"/>
      <c r="T24" s="116">
        <v>1000</v>
      </c>
      <c r="U24" s="134">
        <v>2500</v>
      </c>
      <c r="V24" s="134">
        <v>2500</v>
      </c>
      <c r="W24" s="134">
        <v>2500</v>
      </c>
      <c r="X24" s="127">
        <f>SUM(T24:W24)</f>
        <v>8500</v>
      </c>
    </row>
    <row r="25" spans="1:24" s="6" customFormat="1" ht="20.100000000000001" customHeight="1" outlineLevel="1" x14ac:dyDescent="0.25">
      <c r="A25" s="25"/>
      <c r="B25" s="140" t="s">
        <v>79</v>
      </c>
      <c r="C25" s="5">
        <v>600</v>
      </c>
      <c r="D25" s="12">
        <v>824.43</v>
      </c>
      <c r="E25" s="47">
        <f>D25-C25</f>
        <v>224.42999999999995</v>
      </c>
      <c r="F25" s="5">
        <v>600</v>
      </c>
      <c r="G25" s="12">
        <v>639.70000000000005</v>
      </c>
      <c r="H25" s="47">
        <f>G25-F25</f>
        <v>39.700000000000045</v>
      </c>
      <c r="I25" s="5">
        <v>600</v>
      </c>
      <c r="J25" s="12">
        <v>661.88</v>
      </c>
      <c r="K25" s="47">
        <f>J25-I25</f>
        <v>61.879999999999995</v>
      </c>
      <c r="L25" s="163">
        <v>600</v>
      </c>
      <c r="M25" s="12">
        <v>686.95</v>
      </c>
      <c r="N25" s="47">
        <f>M25-L25</f>
        <v>86.950000000000045</v>
      </c>
      <c r="O25" s="72">
        <f>C25+F25+I25+L25</f>
        <v>2400</v>
      </c>
      <c r="P25" s="13">
        <f>SUM(D25+G25+J25+M25)</f>
        <v>2812.96</v>
      </c>
      <c r="Q25" s="47">
        <f>P25-O25</f>
        <v>412.96000000000004</v>
      </c>
      <c r="R25" s="104"/>
      <c r="S25" s="104"/>
      <c r="T25" s="116">
        <v>600</v>
      </c>
      <c r="U25" s="134">
        <v>600</v>
      </c>
      <c r="V25" s="134">
        <v>600</v>
      </c>
      <c r="W25" s="134">
        <v>600</v>
      </c>
      <c r="X25" s="127">
        <f>SUM(T25:W25)</f>
        <v>2400</v>
      </c>
    </row>
    <row r="26" spans="1:24" s="6" customFormat="1" ht="20.100000000000001" customHeight="1" outlineLevel="1" x14ac:dyDescent="0.25">
      <c r="A26" s="44"/>
      <c r="B26" s="141" t="s">
        <v>96</v>
      </c>
      <c r="C26" s="76">
        <v>0</v>
      </c>
      <c r="D26" s="2">
        <v>0</v>
      </c>
      <c r="E26" s="84">
        <f>D26-C26</f>
        <v>0</v>
      </c>
      <c r="F26" s="76">
        <v>0</v>
      </c>
      <c r="G26" s="2">
        <v>344.63</v>
      </c>
      <c r="H26" s="84">
        <f>G26-F26</f>
        <v>344.63</v>
      </c>
      <c r="I26" s="76">
        <v>0</v>
      </c>
      <c r="J26" s="2">
        <f>J57</f>
        <v>1561.08</v>
      </c>
      <c r="K26" s="84">
        <f>J26-I26</f>
        <v>1561.08</v>
      </c>
      <c r="L26" s="164"/>
      <c r="M26" s="12">
        <v>198.55</v>
      </c>
      <c r="N26" s="84">
        <f>M26-L26</f>
        <v>198.55</v>
      </c>
      <c r="O26" s="72">
        <f>C26+F26+I26+L26</f>
        <v>0</v>
      </c>
      <c r="P26" s="13">
        <f t="shared" ref="P26" si="22">SUM(D26+G26+J26+M26)</f>
        <v>2104.2600000000002</v>
      </c>
      <c r="Q26" s="84"/>
      <c r="R26" s="104"/>
      <c r="S26" s="104"/>
      <c r="T26" s="137"/>
      <c r="U26" s="136"/>
      <c r="V26" s="136"/>
      <c r="W26" s="136"/>
      <c r="X26" s="142"/>
    </row>
    <row r="27" spans="1:24" s="6" customFormat="1" ht="20.100000000000001" customHeight="1" outlineLevel="1" thickBot="1" x14ac:dyDescent="0.3">
      <c r="A27" s="48"/>
      <c r="B27" s="87" t="s">
        <v>73</v>
      </c>
      <c r="C27" s="74">
        <v>0</v>
      </c>
      <c r="D27" s="22">
        <v>607.03</v>
      </c>
      <c r="E27" s="58">
        <f>D27-C27</f>
        <v>607.03</v>
      </c>
      <c r="F27" s="74">
        <v>0</v>
      </c>
      <c r="G27" s="22">
        <v>3544.08</v>
      </c>
      <c r="H27" s="58">
        <f>G27-F27</f>
        <v>3544.08</v>
      </c>
      <c r="I27" s="74">
        <v>0</v>
      </c>
      <c r="J27" s="22">
        <v>2295.25</v>
      </c>
      <c r="K27" s="58">
        <f>J27-I27</f>
        <v>2295.25</v>
      </c>
      <c r="L27" s="161"/>
      <c r="M27" s="22">
        <v>2045.56</v>
      </c>
      <c r="N27" s="58">
        <f>M27-L27</f>
        <v>2045.56</v>
      </c>
      <c r="O27" s="72">
        <f>C27+F27+I27+L27</f>
        <v>0</v>
      </c>
      <c r="P27" s="13">
        <f>SUM(D27+G27+J27+M27)</f>
        <v>8491.92</v>
      </c>
      <c r="Q27" s="58">
        <f>P27-O27</f>
        <v>8491.92</v>
      </c>
      <c r="R27" s="104"/>
      <c r="S27" s="104"/>
      <c r="T27" s="74"/>
      <c r="U27" s="131"/>
      <c r="V27" s="131"/>
      <c r="W27" s="131"/>
      <c r="X27" s="131"/>
    </row>
    <row r="28" spans="1:24" ht="26.1" customHeight="1" outlineLevel="1" thickBot="1" x14ac:dyDescent="0.3">
      <c r="A28" s="214" t="s">
        <v>6</v>
      </c>
      <c r="B28" s="215"/>
      <c r="C28" s="77">
        <f>C8+C13+C17+C20+C23</f>
        <v>54906.659999999996</v>
      </c>
      <c r="D28" s="41">
        <f>D8+D13+D17+D20+D23</f>
        <v>56004.4</v>
      </c>
      <c r="E28" s="42"/>
      <c r="F28" s="77">
        <f>F8+F13+F17+F20+F23</f>
        <v>56406.659999999996</v>
      </c>
      <c r="G28" s="41">
        <f>G8+G13+G17+G20+G23</f>
        <v>59105.24</v>
      </c>
      <c r="H28" s="42"/>
      <c r="I28" s="77">
        <f>I8+I13+I17+I20+I23</f>
        <v>56406.659999999996</v>
      </c>
      <c r="J28" s="41">
        <f>J8+J13+J17+J20+J23</f>
        <v>59983.149999999994</v>
      </c>
      <c r="K28" s="42"/>
      <c r="L28" s="170">
        <f>L8+L13+L17+L20+L23</f>
        <v>56406.659999999996</v>
      </c>
      <c r="M28" s="102">
        <f>M8+M13+M17+M20+M23</f>
        <v>57781.64</v>
      </c>
      <c r="N28" s="50"/>
      <c r="O28" s="77">
        <f>O8+O13+O17+O20+O23</f>
        <v>224126.64</v>
      </c>
      <c r="P28" s="41">
        <f>P8+P13+P17+P20+P23</f>
        <v>232874.43</v>
      </c>
      <c r="Q28" s="42"/>
      <c r="R28" s="98"/>
      <c r="S28" s="98"/>
      <c r="T28" s="112">
        <f>T8+T13+T17+T20+T23</f>
        <v>54906.659999999996</v>
      </c>
      <c r="U28" s="53">
        <f>U8+U13+U17+U20+U23</f>
        <v>56406.659999999996</v>
      </c>
      <c r="V28" s="53">
        <f>V8+V13+V17+V20+V23</f>
        <v>56406.659999999996</v>
      </c>
      <c r="W28" s="53">
        <f>W8+W13+W17+W20+W23</f>
        <v>56406.659999999996</v>
      </c>
      <c r="X28" s="53">
        <f>X8+X13+X17+X20+X23</f>
        <v>224126.63999999998</v>
      </c>
    </row>
    <row r="29" spans="1:24" ht="26.1" customHeight="1" thickBot="1" x14ac:dyDescent="0.3">
      <c r="A29" s="216" t="s">
        <v>11</v>
      </c>
      <c r="B29" s="217"/>
      <c r="C29" s="113" t="s">
        <v>9</v>
      </c>
      <c r="D29" s="26" t="s">
        <v>10</v>
      </c>
      <c r="E29" s="27" t="s">
        <v>14</v>
      </c>
      <c r="F29" s="113" t="s">
        <v>9</v>
      </c>
      <c r="G29" s="26" t="s">
        <v>10</v>
      </c>
      <c r="H29" s="27" t="s">
        <v>14</v>
      </c>
      <c r="I29" s="113" t="s">
        <v>9</v>
      </c>
      <c r="J29" s="26" t="s">
        <v>10</v>
      </c>
      <c r="K29" s="27" t="s">
        <v>14</v>
      </c>
      <c r="L29" s="166" t="s">
        <v>9</v>
      </c>
      <c r="M29" s="93" t="s">
        <v>10</v>
      </c>
      <c r="N29" s="27" t="s">
        <v>14</v>
      </c>
      <c r="O29" s="113" t="s">
        <v>9</v>
      </c>
      <c r="P29" s="26" t="s">
        <v>10</v>
      </c>
      <c r="Q29" s="27" t="s">
        <v>14</v>
      </c>
      <c r="R29" s="95"/>
      <c r="S29" s="95"/>
      <c r="T29" s="113" t="s">
        <v>9</v>
      </c>
      <c r="U29" s="27" t="s">
        <v>9</v>
      </c>
      <c r="V29" s="27" t="s">
        <v>9</v>
      </c>
      <c r="W29" s="27" t="s">
        <v>9</v>
      </c>
      <c r="X29" s="27" t="s">
        <v>9</v>
      </c>
    </row>
    <row r="30" spans="1:24" ht="20.100000000000001" customHeight="1" thickBot="1" x14ac:dyDescent="0.3">
      <c r="A30" s="90">
        <v>1</v>
      </c>
      <c r="B30" s="124" t="s">
        <v>19</v>
      </c>
      <c r="C30" s="78">
        <f t="shared" ref="C30:P30" si="23">SUM(C31:C34)</f>
        <v>11570.86</v>
      </c>
      <c r="D30" s="28">
        <f t="shared" si="23"/>
        <v>11205.45</v>
      </c>
      <c r="E30" s="33"/>
      <c r="F30" s="78">
        <f t="shared" si="23"/>
        <v>11570.86</v>
      </c>
      <c r="G30" s="28">
        <f t="shared" si="23"/>
        <v>11178.74</v>
      </c>
      <c r="H30" s="33"/>
      <c r="I30" s="177">
        <f t="shared" ref="I30:J30" si="24">SUM(I31:I34)</f>
        <v>12220.86</v>
      </c>
      <c r="J30" s="178">
        <f t="shared" si="24"/>
        <v>11718.3</v>
      </c>
      <c r="K30" s="179"/>
      <c r="L30" s="172">
        <f t="shared" ref="L30:M30" si="25">SUM(L31:L34)</f>
        <v>11570.86</v>
      </c>
      <c r="M30" s="28">
        <f t="shared" si="25"/>
        <v>12166.42</v>
      </c>
      <c r="N30" s="33"/>
      <c r="O30" s="78">
        <f t="shared" si="23"/>
        <v>46933.440000000002</v>
      </c>
      <c r="P30" s="28">
        <f t="shared" si="23"/>
        <v>46268.909999999996</v>
      </c>
      <c r="Q30" s="33"/>
      <c r="R30" s="11"/>
      <c r="S30" s="11"/>
      <c r="T30" s="78">
        <f t="shared" ref="T30:X30" si="26">SUM(T31:T34)</f>
        <v>11570.86</v>
      </c>
      <c r="U30" s="33">
        <f t="shared" si="26"/>
        <v>11570.86</v>
      </c>
      <c r="V30" s="33">
        <f t="shared" si="26"/>
        <v>12220.86</v>
      </c>
      <c r="W30" s="33">
        <f t="shared" si="26"/>
        <v>11570.86</v>
      </c>
      <c r="X30" s="33">
        <f t="shared" si="26"/>
        <v>46933.440000000002</v>
      </c>
    </row>
    <row r="31" spans="1:24" ht="20.100000000000001" customHeight="1" x14ac:dyDescent="0.25">
      <c r="A31" s="29"/>
      <c r="B31" s="126" t="s">
        <v>3</v>
      </c>
      <c r="C31" s="79">
        <v>6436.38</v>
      </c>
      <c r="D31" s="30">
        <v>6392.12</v>
      </c>
      <c r="E31" s="108">
        <f>C31-D31</f>
        <v>44.260000000000218</v>
      </c>
      <c r="F31" s="79">
        <v>6436.38</v>
      </c>
      <c r="G31" s="30">
        <v>6379.1</v>
      </c>
      <c r="H31" s="109">
        <f>F31-G31</f>
        <v>57.279999999999745</v>
      </c>
      <c r="I31" s="180">
        <v>6436.38</v>
      </c>
      <c r="J31" s="181">
        <v>6359.87</v>
      </c>
      <c r="K31" s="182">
        <f>I31-J31</f>
        <v>76.510000000000218</v>
      </c>
      <c r="L31" s="167">
        <v>6436.38</v>
      </c>
      <c r="M31" s="30">
        <v>6349.37</v>
      </c>
      <c r="N31" s="47">
        <f>L31-M31</f>
        <v>87.010000000000218</v>
      </c>
      <c r="O31" s="72">
        <f>C31+F31+I31+L31</f>
        <v>25745.52</v>
      </c>
      <c r="P31" s="13">
        <f t="shared" ref="P31:P34" si="27">SUM(D31+G31+J31+M31)</f>
        <v>25480.46</v>
      </c>
      <c r="Q31" s="47">
        <f>O31-P31</f>
        <v>265.06000000000131</v>
      </c>
      <c r="R31" s="104"/>
      <c r="S31" s="114"/>
      <c r="T31" s="144">
        <v>6436.38</v>
      </c>
      <c r="U31" s="143">
        <v>6436.38</v>
      </c>
      <c r="V31" s="143">
        <v>6436.38</v>
      </c>
      <c r="W31" s="143">
        <v>6436.38</v>
      </c>
      <c r="X31" s="127">
        <f>SUM(T31:W31)</f>
        <v>25745.52</v>
      </c>
    </row>
    <row r="32" spans="1:24" ht="20.100000000000001" customHeight="1" x14ac:dyDescent="0.25">
      <c r="A32" s="29"/>
      <c r="B32" s="126" t="s">
        <v>20</v>
      </c>
      <c r="C32" s="79">
        <v>984.48</v>
      </c>
      <c r="D32" s="30">
        <v>931.39</v>
      </c>
      <c r="E32" s="108">
        <f t="shared" ref="E32:E61" si="28">C32-D32</f>
        <v>53.090000000000032</v>
      </c>
      <c r="F32" s="79">
        <v>984.48</v>
      </c>
      <c r="G32" s="30">
        <v>873.66</v>
      </c>
      <c r="H32" s="109">
        <f>F32-G32</f>
        <v>110.82000000000005</v>
      </c>
      <c r="I32" s="79">
        <v>984.48</v>
      </c>
      <c r="J32" s="30">
        <v>856.89</v>
      </c>
      <c r="K32" s="108">
        <f>I32-J32</f>
        <v>127.59000000000003</v>
      </c>
      <c r="L32" s="120">
        <v>984.48</v>
      </c>
      <c r="M32" s="30">
        <v>841.43</v>
      </c>
      <c r="N32" s="47">
        <f>L32-M32</f>
        <v>143.05000000000007</v>
      </c>
      <c r="O32" s="72">
        <f>C32+F32+I32+L32</f>
        <v>3937.92</v>
      </c>
      <c r="P32" s="13">
        <f t="shared" si="27"/>
        <v>3503.37</v>
      </c>
      <c r="Q32" s="47">
        <f>O32-P32</f>
        <v>434.55000000000018</v>
      </c>
      <c r="R32" s="104"/>
      <c r="S32" s="114"/>
      <c r="T32" s="79">
        <v>984.48</v>
      </c>
      <c r="U32" s="118">
        <v>984.48</v>
      </c>
      <c r="V32" s="118">
        <v>984.48</v>
      </c>
      <c r="W32" s="118">
        <v>984.48</v>
      </c>
      <c r="X32" s="127">
        <f>SUM(T32:W32)</f>
        <v>3937.92</v>
      </c>
    </row>
    <row r="33" spans="1:24" ht="57.75" customHeight="1" x14ac:dyDescent="0.25">
      <c r="A33" s="29"/>
      <c r="B33" s="140" t="s">
        <v>76</v>
      </c>
      <c r="C33" s="79">
        <v>3000</v>
      </c>
      <c r="D33" s="30">
        <v>3162.84</v>
      </c>
      <c r="E33" s="108">
        <f t="shared" si="28"/>
        <v>-162.84000000000015</v>
      </c>
      <c r="F33" s="79">
        <v>3000</v>
      </c>
      <c r="G33" s="30">
        <f>3001.5+2.88</f>
        <v>3004.38</v>
      </c>
      <c r="H33" s="109">
        <f>F33-G33</f>
        <v>-4.3800000000001091</v>
      </c>
      <c r="I33" s="79">
        <v>3650</v>
      </c>
      <c r="J33" s="30">
        <v>3005.74</v>
      </c>
      <c r="K33" s="108">
        <f>I33-J33</f>
        <v>644.26000000000022</v>
      </c>
      <c r="L33" s="120">
        <v>3000</v>
      </c>
      <c r="M33" s="30">
        <v>3478.02</v>
      </c>
      <c r="N33" s="47">
        <f>L33-M33</f>
        <v>-478.02</v>
      </c>
      <c r="O33" s="72">
        <f>C33+F33+I33+L33</f>
        <v>12650</v>
      </c>
      <c r="P33" s="13">
        <f>SUM(D33+G33+J33+M33)</f>
        <v>12650.98</v>
      </c>
      <c r="Q33" s="47">
        <f>O33-P33</f>
        <v>-0.97999999999956344</v>
      </c>
      <c r="R33" s="104"/>
      <c r="S33" s="114"/>
      <c r="T33" s="79">
        <v>3000</v>
      </c>
      <c r="U33" s="118">
        <v>3000</v>
      </c>
      <c r="V33" s="118">
        <v>3650</v>
      </c>
      <c r="W33" s="118">
        <v>3000</v>
      </c>
      <c r="X33" s="127">
        <f>SUM(T33:W33)</f>
        <v>12650</v>
      </c>
    </row>
    <row r="34" spans="1:24" ht="20.100000000000001" customHeight="1" thickBot="1" x14ac:dyDescent="0.3">
      <c r="A34" s="99"/>
      <c r="B34" s="145" t="s">
        <v>22</v>
      </c>
      <c r="C34" s="80">
        <v>1150</v>
      </c>
      <c r="D34" s="32">
        <v>719.1</v>
      </c>
      <c r="E34" s="58">
        <f t="shared" si="28"/>
        <v>430.9</v>
      </c>
      <c r="F34" s="80">
        <v>1150</v>
      </c>
      <c r="G34" s="32">
        <v>921.6</v>
      </c>
      <c r="H34" s="83">
        <f>F34-G34</f>
        <v>228.39999999999998</v>
      </c>
      <c r="I34" s="80">
        <v>1150</v>
      </c>
      <c r="J34" s="32">
        <v>1495.8</v>
      </c>
      <c r="K34" s="58">
        <f>I34-J34</f>
        <v>-345.79999999999995</v>
      </c>
      <c r="L34" s="174">
        <v>1150</v>
      </c>
      <c r="M34" s="32">
        <v>1497.6</v>
      </c>
      <c r="N34" s="58">
        <f>L34-M34</f>
        <v>-347.59999999999991</v>
      </c>
      <c r="O34" s="72">
        <f>C34+F34+I34+L34</f>
        <v>4600</v>
      </c>
      <c r="P34" s="13">
        <f t="shared" si="27"/>
        <v>4634.1000000000004</v>
      </c>
      <c r="Q34" s="58">
        <f>O34-P34</f>
        <v>-34.100000000000364</v>
      </c>
      <c r="R34" s="104"/>
      <c r="S34" s="104"/>
      <c r="T34" s="79">
        <v>1150</v>
      </c>
      <c r="U34" s="118">
        <v>1150</v>
      </c>
      <c r="V34" s="118">
        <v>1150</v>
      </c>
      <c r="W34" s="118">
        <v>1150</v>
      </c>
      <c r="X34" s="127">
        <f>SUM(T34:W34)</f>
        <v>4600</v>
      </c>
    </row>
    <row r="35" spans="1:24" ht="20.100000000000001" customHeight="1" x14ac:dyDescent="0.25">
      <c r="A35" s="90">
        <v>2</v>
      </c>
      <c r="B35" s="132" t="s">
        <v>23</v>
      </c>
      <c r="C35" s="78">
        <f t="shared" ref="C35:O35" si="29">SUM(C36:C37)</f>
        <v>1173.69</v>
      </c>
      <c r="D35" s="101">
        <f t="shared" si="29"/>
        <v>3886.61</v>
      </c>
      <c r="E35" s="33"/>
      <c r="F35" s="78">
        <f t="shared" si="29"/>
        <v>1173.69</v>
      </c>
      <c r="G35" s="101">
        <f t="shared" si="29"/>
        <v>2874.88</v>
      </c>
      <c r="H35" s="33"/>
      <c r="I35" s="175">
        <f t="shared" ref="I35:J35" si="30">SUM(I36:I37)</f>
        <v>1173.69</v>
      </c>
      <c r="J35" s="176">
        <f t="shared" si="30"/>
        <v>2727.2</v>
      </c>
      <c r="K35" s="171"/>
      <c r="L35" s="172">
        <f t="shared" ref="L35:M35" si="31">SUM(L36:L37)</f>
        <v>1173.69</v>
      </c>
      <c r="M35" s="28">
        <f t="shared" si="31"/>
        <v>4169.07</v>
      </c>
      <c r="N35" s="33"/>
      <c r="O35" s="78">
        <f t="shared" si="29"/>
        <v>4694.76</v>
      </c>
      <c r="P35" s="28">
        <f>SUM(P36)</f>
        <v>13657.759999999998</v>
      </c>
      <c r="Q35" s="33"/>
      <c r="R35" s="11"/>
      <c r="S35" s="11"/>
      <c r="T35" s="78">
        <f t="shared" ref="T35:X35" si="32">SUM(T36:T37)</f>
        <v>1173.69</v>
      </c>
      <c r="U35" s="33">
        <f t="shared" si="32"/>
        <v>1173.69</v>
      </c>
      <c r="V35" s="33">
        <f t="shared" si="32"/>
        <v>1173.69</v>
      </c>
      <c r="W35" s="33">
        <f t="shared" si="32"/>
        <v>1173.69</v>
      </c>
      <c r="X35" s="33">
        <f t="shared" si="32"/>
        <v>4694.76</v>
      </c>
    </row>
    <row r="36" spans="1:24" ht="39.950000000000003" customHeight="1" x14ac:dyDescent="0.25">
      <c r="A36" s="4"/>
      <c r="B36" s="140" t="s">
        <v>24</v>
      </c>
      <c r="C36" s="79">
        <v>558.9</v>
      </c>
      <c r="D36" s="218">
        <v>3886.61</v>
      </c>
      <c r="E36" s="47">
        <f t="shared" si="28"/>
        <v>-3327.71</v>
      </c>
      <c r="F36" s="79">
        <v>558.9</v>
      </c>
      <c r="G36" s="218">
        <v>2874.88</v>
      </c>
      <c r="H36" s="47">
        <f>F36-G36</f>
        <v>-2315.98</v>
      </c>
      <c r="I36" s="79">
        <v>558.9</v>
      </c>
      <c r="J36" s="218">
        <v>2727.2</v>
      </c>
      <c r="K36" s="47">
        <f>I36-J36</f>
        <v>-2168.2999999999997</v>
      </c>
      <c r="L36" s="168">
        <v>558.9</v>
      </c>
      <c r="M36" s="218">
        <v>4169.07</v>
      </c>
      <c r="N36" s="47">
        <f>L36-M36</f>
        <v>-3610.1699999999996</v>
      </c>
      <c r="O36" s="72">
        <f>C36+F36+I36+L36</f>
        <v>2235.6</v>
      </c>
      <c r="P36" s="220">
        <f>SUM(D36+G36+J36+M36)</f>
        <v>13657.759999999998</v>
      </c>
      <c r="Q36" s="47">
        <f>O36-P36</f>
        <v>-11422.159999999998</v>
      </c>
      <c r="R36" s="104"/>
      <c r="S36" s="104"/>
      <c r="T36" s="144">
        <v>558.9</v>
      </c>
      <c r="U36" s="143">
        <v>558.9</v>
      </c>
      <c r="V36" s="143">
        <v>558.9</v>
      </c>
      <c r="W36" s="143">
        <v>558.9</v>
      </c>
      <c r="X36" s="127">
        <f>SUM(T36:W36)</f>
        <v>2235.6</v>
      </c>
    </row>
    <row r="37" spans="1:24" ht="49.5" customHeight="1" thickBot="1" x14ac:dyDescent="0.3">
      <c r="A37" s="21"/>
      <c r="B37" s="145" t="s">
        <v>25</v>
      </c>
      <c r="C37" s="80">
        <v>614.79</v>
      </c>
      <c r="D37" s="219"/>
      <c r="E37" s="58">
        <f t="shared" si="28"/>
        <v>614.79</v>
      </c>
      <c r="F37" s="80">
        <v>614.79</v>
      </c>
      <c r="G37" s="219"/>
      <c r="H37" s="58">
        <f>F37-G37</f>
        <v>614.79</v>
      </c>
      <c r="I37" s="80">
        <v>614.79</v>
      </c>
      <c r="J37" s="219"/>
      <c r="K37" s="58">
        <f>I37-J37</f>
        <v>614.79</v>
      </c>
      <c r="L37" s="173">
        <v>614.79</v>
      </c>
      <c r="M37" s="219"/>
      <c r="N37" s="58">
        <f>L37-M37</f>
        <v>614.79</v>
      </c>
      <c r="O37" s="72">
        <f>C37+F37+I37+L37</f>
        <v>2459.16</v>
      </c>
      <c r="P37" s="221"/>
      <c r="Q37" s="58">
        <f>O37-P37</f>
        <v>2459.16</v>
      </c>
      <c r="R37" s="104"/>
      <c r="S37" s="104"/>
      <c r="T37" s="106">
        <v>614.79</v>
      </c>
      <c r="U37" s="146">
        <v>614.79</v>
      </c>
      <c r="V37" s="146">
        <v>614.79</v>
      </c>
      <c r="W37" s="146">
        <v>614.79</v>
      </c>
      <c r="X37" s="127">
        <f>SUM(T37:W37)</f>
        <v>2459.16</v>
      </c>
    </row>
    <row r="38" spans="1:24" ht="20.100000000000001" customHeight="1" x14ac:dyDescent="0.25">
      <c r="A38" s="90" t="s">
        <v>32</v>
      </c>
      <c r="B38" s="132" t="s">
        <v>26</v>
      </c>
      <c r="C38" s="78">
        <f t="shared" ref="C38:P38" si="33">SUM(C39:C40)</f>
        <v>2083.23</v>
      </c>
      <c r="D38" s="101">
        <f t="shared" si="33"/>
        <v>1741.23</v>
      </c>
      <c r="E38" s="33"/>
      <c r="F38" s="78">
        <f t="shared" si="33"/>
        <v>2083.23</v>
      </c>
      <c r="G38" s="101">
        <f t="shared" si="33"/>
        <v>796.41</v>
      </c>
      <c r="H38" s="33"/>
      <c r="I38" s="78">
        <f t="shared" ref="I38:J38" si="34">SUM(I39:I40)</f>
        <v>2083.23</v>
      </c>
      <c r="J38" s="101">
        <f t="shared" si="34"/>
        <v>287.07</v>
      </c>
      <c r="K38" s="33"/>
      <c r="L38" s="172">
        <f t="shared" ref="L38:M38" si="35">SUM(L39:L40)</f>
        <v>2083.23</v>
      </c>
      <c r="M38" s="28">
        <f t="shared" si="35"/>
        <v>3780</v>
      </c>
      <c r="N38" s="33"/>
      <c r="O38" s="78">
        <f t="shared" si="33"/>
        <v>8332.92</v>
      </c>
      <c r="P38" s="28">
        <f t="shared" si="33"/>
        <v>6604.71</v>
      </c>
      <c r="Q38" s="33"/>
      <c r="R38" s="11"/>
      <c r="S38" s="11"/>
      <c r="T38" s="78">
        <f t="shared" ref="T38:X38" si="36">SUM(T39:T40)</f>
        <v>2083.23</v>
      </c>
      <c r="U38" s="33">
        <f t="shared" si="36"/>
        <v>2083.23</v>
      </c>
      <c r="V38" s="33">
        <f t="shared" si="36"/>
        <v>2083.23</v>
      </c>
      <c r="W38" s="33">
        <f t="shared" si="36"/>
        <v>2083.23</v>
      </c>
      <c r="X38" s="33">
        <f t="shared" si="36"/>
        <v>8332.92</v>
      </c>
    </row>
    <row r="39" spans="1:24" ht="20.100000000000001" customHeight="1" x14ac:dyDescent="0.25">
      <c r="A39" s="29"/>
      <c r="B39" s="140" t="s">
        <v>27</v>
      </c>
      <c r="C39" s="79">
        <v>661.23</v>
      </c>
      <c r="D39" s="30">
        <v>661.23</v>
      </c>
      <c r="E39" s="47">
        <f t="shared" si="28"/>
        <v>0</v>
      </c>
      <c r="F39" s="79">
        <v>661.23</v>
      </c>
      <c r="G39" s="30">
        <f>108+220.41</f>
        <v>328.40999999999997</v>
      </c>
      <c r="H39" s="47">
        <f>F39-G39</f>
        <v>332.82000000000005</v>
      </c>
      <c r="I39" s="79">
        <v>661.23</v>
      </c>
      <c r="J39" s="30">
        <v>287.07</v>
      </c>
      <c r="K39" s="47">
        <f>I39-J39</f>
        <v>374.16</v>
      </c>
      <c r="L39" s="168">
        <v>661.23</v>
      </c>
      <c r="M39" s="30">
        <v>3780</v>
      </c>
      <c r="N39" s="47">
        <f>L39-M39</f>
        <v>-3118.77</v>
      </c>
      <c r="O39" s="72">
        <f>C39+F39+I39+L39</f>
        <v>2644.92</v>
      </c>
      <c r="P39" s="54">
        <f>SUM(D39+G39+J39+M39)</f>
        <v>5056.71</v>
      </c>
      <c r="Q39" s="47">
        <f>O39-P39</f>
        <v>-2411.79</v>
      </c>
      <c r="R39" s="104"/>
      <c r="S39" s="104"/>
      <c r="T39" s="144">
        <v>661.23</v>
      </c>
      <c r="U39" s="147">
        <v>661.23</v>
      </c>
      <c r="V39" s="147">
        <v>661.23</v>
      </c>
      <c r="W39" s="147">
        <v>661.23</v>
      </c>
      <c r="X39" s="127">
        <f>SUM(T39:W39)</f>
        <v>2644.92</v>
      </c>
    </row>
    <row r="40" spans="1:24" s="3" customFormat="1" ht="20.100000000000001" customHeight="1" thickBot="1" x14ac:dyDescent="0.3">
      <c r="A40" s="31"/>
      <c r="B40" s="145" t="s">
        <v>28</v>
      </c>
      <c r="C40" s="80">
        <v>1422</v>
      </c>
      <c r="D40" s="32">
        <v>1080</v>
      </c>
      <c r="E40" s="58">
        <f t="shared" si="28"/>
        <v>342</v>
      </c>
      <c r="F40" s="80">
        <v>1422</v>
      </c>
      <c r="G40" s="32">
        <v>468</v>
      </c>
      <c r="H40" s="58">
        <f>F40-G40</f>
        <v>954</v>
      </c>
      <c r="I40" s="106">
        <v>1422</v>
      </c>
      <c r="J40" s="107">
        <v>0</v>
      </c>
      <c r="K40" s="84">
        <f>I40-J40</f>
        <v>1422</v>
      </c>
      <c r="L40" s="173">
        <v>1422</v>
      </c>
      <c r="M40" s="32">
        <v>0</v>
      </c>
      <c r="N40" s="58">
        <f>L40-M40</f>
        <v>1422</v>
      </c>
      <c r="O40" s="72">
        <f>C40+F40+I40+L40</f>
        <v>5688</v>
      </c>
      <c r="P40" s="54">
        <f>SUM(D40+G40+J40+M40)</f>
        <v>1548</v>
      </c>
      <c r="Q40" s="58">
        <f>O40-P40</f>
        <v>4140</v>
      </c>
      <c r="R40" s="104"/>
      <c r="S40" s="104"/>
      <c r="T40" s="106">
        <v>1422</v>
      </c>
      <c r="U40" s="148">
        <v>1422</v>
      </c>
      <c r="V40" s="148">
        <v>1422</v>
      </c>
      <c r="W40" s="148">
        <v>1422</v>
      </c>
      <c r="X40" s="127">
        <f>SUM(T40:W40)</f>
        <v>5688</v>
      </c>
    </row>
    <row r="41" spans="1:24" ht="20.100000000000001" customHeight="1" x14ac:dyDescent="0.25">
      <c r="A41" s="90" t="s">
        <v>13</v>
      </c>
      <c r="B41" s="132" t="s">
        <v>33</v>
      </c>
      <c r="C41" s="78">
        <f>SUM(C42:C61)</f>
        <v>41176.179999999993</v>
      </c>
      <c r="D41" s="101">
        <f>SUM(D42:D61)</f>
        <v>42484.890000000007</v>
      </c>
      <c r="E41" s="33"/>
      <c r="F41" s="78">
        <f>SUM(F42:F61)</f>
        <v>41315.179999999993</v>
      </c>
      <c r="G41" s="101">
        <f>SUM(G42:G61)</f>
        <v>46860.600000000006</v>
      </c>
      <c r="H41" s="55"/>
      <c r="I41" s="78">
        <f>SUM(I42:I61)</f>
        <v>40780.179999999993</v>
      </c>
      <c r="J41" s="101">
        <f>SUM(J42:J61)</f>
        <v>44116.570000000007</v>
      </c>
      <c r="K41" s="33"/>
      <c r="L41" s="119">
        <f t="shared" ref="L41" si="37">SUM(L42:L61)</f>
        <v>40891.179999999993</v>
      </c>
      <c r="M41" s="28">
        <f>SUM(M42:M61)</f>
        <v>45909.689999999995</v>
      </c>
      <c r="N41" s="33"/>
      <c r="O41" s="78">
        <f>SUM(O42:O61)</f>
        <v>164162.71999999997</v>
      </c>
      <c r="P41" s="28">
        <f>SUM(P42:P61)</f>
        <v>179371.74999999997</v>
      </c>
      <c r="Q41" s="33"/>
      <c r="R41" s="11"/>
      <c r="S41" s="11"/>
      <c r="T41" s="78">
        <f>SUM(T42:T61)</f>
        <v>41176.179999999993</v>
      </c>
      <c r="U41" s="33">
        <f>SUM(U42:U61)</f>
        <v>41315.179999999993</v>
      </c>
      <c r="V41" s="33">
        <f t="shared" ref="V41:X41" si="38">SUM(V42:V61)</f>
        <v>40780.179999999993</v>
      </c>
      <c r="W41" s="33">
        <f t="shared" si="38"/>
        <v>40891.179999999993</v>
      </c>
      <c r="X41" s="33">
        <f t="shared" si="38"/>
        <v>164162.71999999997</v>
      </c>
    </row>
    <row r="42" spans="1:24" ht="20.100000000000001" customHeight="1" x14ac:dyDescent="0.25">
      <c r="A42" s="34"/>
      <c r="B42" s="126" t="s">
        <v>34</v>
      </c>
      <c r="C42" s="79">
        <v>32817.25</v>
      </c>
      <c r="D42" s="36">
        <v>31949.22</v>
      </c>
      <c r="E42" s="47">
        <f t="shared" si="28"/>
        <v>868.02999999999884</v>
      </c>
      <c r="F42" s="79">
        <v>32817.25</v>
      </c>
      <c r="G42" s="30">
        <v>31949.22</v>
      </c>
      <c r="H42" s="43">
        <f t="shared" ref="H42:H61" si="39">F42-G42</f>
        <v>868.02999999999884</v>
      </c>
      <c r="I42" s="79">
        <v>32817.25</v>
      </c>
      <c r="J42" s="30">
        <v>31950.15</v>
      </c>
      <c r="K42" s="47">
        <f t="shared" ref="K42:K61" si="40">I42-J42</f>
        <v>867.09999999999854</v>
      </c>
      <c r="L42" s="167">
        <v>32817.25</v>
      </c>
      <c r="M42" s="30">
        <v>31949.22</v>
      </c>
      <c r="N42" s="47">
        <f t="shared" ref="N42:N61" si="41">L42-M42</f>
        <v>868.02999999999884</v>
      </c>
      <c r="O42" s="72">
        <f t="shared" ref="O42:O61" si="42">C42+F42+I42+L42</f>
        <v>131269</v>
      </c>
      <c r="P42" s="54">
        <f t="shared" ref="P42:P61" si="43">SUM(D42+G42+J42+M42)</f>
        <v>127797.81</v>
      </c>
      <c r="Q42" s="47">
        <f t="shared" ref="Q42:Q61" si="44">O42-P42</f>
        <v>3471.1900000000023</v>
      </c>
      <c r="R42" s="104"/>
      <c r="S42" s="104"/>
      <c r="T42" s="144">
        <v>32817.25</v>
      </c>
      <c r="U42" s="143">
        <v>32817.25</v>
      </c>
      <c r="V42" s="143">
        <v>32817.25</v>
      </c>
      <c r="W42" s="143">
        <v>32817.25</v>
      </c>
      <c r="X42" s="127">
        <f>SUM(T42:W42)</f>
        <v>131269</v>
      </c>
    </row>
    <row r="43" spans="1:24" ht="20.100000000000001" customHeight="1" x14ac:dyDescent="0.25">
      <c r="A43" s="35"/>
      <c r="B43" s="126" t="s">
        <v>35</v>
      </c>
      <c r="C43" s="79">
        <v>2267.44</v>
      </c>
      <c r="D43" s="36">
        <v>2195.75</v>
      </c>
      <c r="E43" s="47">
        <f t="shared" si="28"/>
        <v>71.690000000000055</v>
      </c>
      <c r="F43" s="79">
        <v>2267.44</v>
      </c>
      <c r="G43" s="30">
        <v>2267.4299999999998</v>
      </c>
      <c r="H43" s="43">
        <f t="shared" si="39"/>
        <v>1.0000000000218279E-2</v>
      </c>
      <c r="I43" s="79">
        <v>2267.44</v>
      </c>
      <c r="J43" s="30">
        <v>2221.7600000000002</v>
      </c>
      <c r="K43" s="47">
        <f t="shared" si="40"/>
        <v>45.679999999999836</v>
      </c>
      <c r="L43" s="120">
        <v>2267.44</v>
      </c>
      <c r="M43" s="30">
        <v>2995.85</v>
      </c>
      <c r="N43" s="47">
        <f t="shared" si="41"/>
        <v>-728.40999999999985</v>
      </c>
      <c r="O43" s="72">
        <f t="shared" si="42"/>
        <v>9069.76</v>
      </c>
      <c r="P43" s="54">
        <f t="shared" si="43"/>
        <v>9680.7900000000009</v>
      </c>
      <c r="Q43" s="47">
        <f t="shared" si="44"/>
        <v>-611.03000000000065</v>
      </c>
      <c r="R43" s="104"/>
      <c r="S43" s="104"/>
      <c r="T43" s="79">
        <v>2267.44</v>
      </c>
      <c r="U43" s="118">
        <v>2267.44</v>
      </c>
      <c r="V43" s="118">
        <v>2267.44</v>
      </c>
      <c r="W43" s="118">
        <v>2267.44</v>
      </c>
      <c r="X43" s="127">
        <f>SUM(T43:W43)</f>
        <v>9069.76</v>
      </c>
    </row>
    <row r="44" spans="1:24" ht="20.100000000000001" customHeight="1" x14ac:dyDescent="0.25">
      <c r="A44" s="35"/>
      <c r="B44" s="126" t="s">
        <v>36</v>
      </c>
      <c r="C44" s="79">
        <v>263.02</v>
      </c>
      <c r="D44" s="36">
        <f>13.16+241.53</f>
        <v>254.69</v>
      </c>
      <c r="E44" s="47">
        <f t="shared" si="28"/>
        <v>8.3299999999999841</v>
      </c>
      <c r="F44" s="79">
        <v>263.02</v>
      </c>
      <c r="G44" s="30">
        <v>263.01</v>
      </c>
      <c r="H44" s="43">
        <f t="shared" si="39"/>
        <v>9.9999999999909051E-3</v>
      </c>
      <c r="I44" s="79">
        <v>263.02</v>
      </c>
      <c r="J44" s="30">
        <v>257.72000000000003</v>
      </c>
      <c r="K44" s="47">
        <f t="shared" si="40"/>
        <v>5.2999999999999545</v>
      </c>
      <c r="L44" s="120">
        <v>263.02</v>
      </c>
      <c r="M44" s="30">
        <v>347.51</v>
      </c>
      <c r="N44" s="47">
        <f t="shared" si="41"/>
        <v>-84.490000000000009</v>
      </c>
      <c r="O44" s="72">
        <f t="shared" si="42"/>
        <v>1052.08</v>
      </c>
      <c r="P44" s="54">
        <f t="shared" si="43"/>
        <v>1122.93</v>
      </c>
      <c r="Q44" s="47">
        <f t="shared" si="44"/>
        <v>-70.850000000000136</v>
      </c>
      <c r="R44" s="104"/>
      <c r="S44" s="104"/>
      <c r="T44" s="79">
        <v>263.02</v>
      </c>
      <c r="U44" s="118">
        <v>263.02</v>
      </c>
      <c r="V44" s="118">
        <v>263.02</v>
      </c>
      <c r="W44" s="118">
        <v>263.02</v>
      </c>
      <c r="X44" s="127">
        <f>SUM(T44:W44)</f>
        <v>1052.08</v>
      </c>
    </row>
    <row r="45" spans="1:24" ht="20.100000000000001" customHeight="1" x14ac:dyDescent="0.25">
      <c r="A45" s="35"/>
      <c r="B45" s="149" t="s">
        <v>97</v>
      </c>
      <c r="C45" s="117">
        <v>2751</v>
      </c>
      <c r="D45" s="86">
        <v>3644.18</v>
      </c>
      <c r="E45" s="47">
        <f t="shared" si="28"/>
        <v>-893.17999999999984</v>
      </c>
      <c r="F45" s="117">
        <v>1800</v>
      </c>
      <c r="G45" s="54">
        <v>393.51</v>
      </c>
      <c r="H45" s="43">
        <f t="shared" si="39"/>
        <v>1406.49</v>
      </c>
      <c r="I45" s="117">
        <v>1800</v>
      </c>
      <c r="J45" s="54">
        <v>356.63</v>
      </c>
      <c r="K45" s="47">
        <f t="shared" si="40"/>
        <v>1443.37</v>
      </c>
      <c r="L45" s="169">
        <v>2451</v>
      </c>
      <c r="M45" s="54">
        <v>3095.64</v>
      </c>
      <c r="N45" s="47">
        <f t="shared" si="41"/>
        <v>-644.63999999999987</v>
      </c>
      <c r="O45" s="72">
        <f t="shared" si="42"/>
        <v>8802</v>
      </c>
      <c r="P45" s="54">
        <f t="shared" si="43"/>
        <v>7489.9599999999991</v>
      </c>
      <c r="Q45" s="47">
        <f t="shared" si="44"/>
        <v>1312.0400000000009</v>
      </c>
      <c r="R45" s="104"/>
      <c r="S45" s="104"/>
      <c r="T45" s="117">
        <v>2751</v>
      </c>
      <c r="U45" s="150">
        <v>1800</v>
      </c>
      <c r="V45" s="150">
        <v>1800</v>
      </c>
      <c r="W45" s="150">
        <v>2451</v>
      </c>
      <c r="X45" s="127">
        <f>SUM(T45:W45)</f>
        <v>8802</v>
      </c>
    </row>
    <row r="46" spans="1:24" ht="55.5" customHeight="1" x14ac:dyDescent="0.25">
      <c r="A46" s="35"/>
      <c r="B46" s="149" t="s">
        <v>98</v>
      </c>
      <c r="C46" s="117">
        <v>0</v>
      </c>
      <c r="D46" s="86">
        <v>0</v>
      </c>
      <c r="E46" s="47">
        <f t="shared" si="28"/>
        <v>0</v>
      </c>
      <c r="F46" s="117">
        <v>0</v>
      </c>
      <c r="G46" s="54">
        <v>2608.65</v>
      </c>
      <c r="H46" s="43">
        <f t="shared" si="39"/>
        <v>-2608.65</v>
      </c>
      <c r="I46" s="117">
        <v>0</v>
      </c>
      <c r="J46" s="54">
        <v>2125.54</v>
      </c>
      <c r="K46" s="47">
        <f t="shared" si="40"/>
        <v>-2125.54</v>
      </c>
      <c r="L46" s="169"/>
      <c r="M46" s="54">
        <v>2198.46</v>
      </c>
      <c r="N46" s="47">
        <f t="shared" si="41"/>
        <v>-2198.46</v>
      </c>
      <c r="O46" s="72">
        <f t="shared" si="42"/>
        <v>0</v>
      </c>
      <c r="P46" s="54">
        <f t="shared" si="43"/>
        <v>6932.6500000000005</v>
      </c>
      <c r="Q46" s="47">
        <f t="shared" si="44"/>
        <v>-6932.6500000000005</v>
      </c>
      <c r="R46" s="104"/>
      <c r="S46" s="104"/>
      <c r="T46" s="117"/>
      <c r="U46" s="150"/>
      <c r="V46" s="150"/>
      <c r="W46" s="150"/>
      <c r="X46" s="127"/>
    </row>
    <row r="47" spans="1:24" ht="20.100000000000001" customHeight="1" x14ac:dyDescent="0.25">
      <c r="A47" s="35"/>
      <c r="B47" s="126" t="s">
        <v>38</v>
      </c>
      <c r="C47" s="79">
        <v>0</v>
      </c>
      <c r="D47" s="36">
        <f>94.84+2.22</f>
        <v>97.06</v>
      </c>
      <c r="E47" s="47">
        <f t="shared" si="28"/>
        <v>-97.06</v>
      </c>
      <c r="F47" s="79">
        <v>480</v>
      </c>
      <c r="G47" s="30">
        <v>1002.54</v>
      </c>
      <c r="H47" s="43">
        <f t="shared" si="39"/>
        <v>-522.54</v>
      </c>
      <c r="I47" s="79">
        <v>480</v>
      </c>
      <c r="J47" s="30">
        <v>1955.16</v>
      </c>
      <c r="K47" s="47">
        <f t="shared" si="40"/>
        <v>-1475.16</v>
      </c>
      <c r="L47" s="120">
        <v>0</v>
      </c>
      <c r="M47" s="30">
        <v>69.38</v>
      </c>
      <c r="N47" s="47">
        <f t="shared" si="41"/>
        <v>-69.38</v>
      </c>
      <c r="O47" s="72">
        <f t="shared" si="42"/>
        <v>960</v>
      </c>
      <c r="P47" s="54">
        <f t="shared" si="43"/>
        <v>3124.1400000000003</v>
      </c>
      <c r="Q47" s="47">
        <f t="shared" si="44"/>
        <v>-2164.1400000000003</v>
      </c>
      <c r="R47" s="104"/>
      <c r="S47" s="104"/>
      <c r="T47" s="79">
        <v>0</v>
      </c>
      <c r="U47" s="118">
        <v>480</v>
      </c>
      <c r="V47" s="118">
        <v>480</v>
      </c>
      <c r="W47" s="118">
        <v>0</v>
      </c>
      <c r="X47" s="127">
        <f t="shared" ref="X47:X56" si="45">SUM(T47:W47)</f>
        <v>960</v>
      </c>
    </row>
    <row r="48" spans="1:24" ht="20.100000000000001" customHeight="1" x14ac:dyDescent="0.25">
      <c r="A48" s="35"/>
      <c r="B48" s="126" t="s">
        <v>99</v>
      </c>
      <c r="C48" s="79">
        <v>90</v>
      </c>
      <c r="D48" s="36">
        <f>32.58+45</f>
        <v>77.58</v>
      </c>
      <c r="E48" s="47">
        <f t="shared" si="28"/>
        <v>12.420000000000002</v>
      </c>
      <c r="F48" s="79">
        <v>90</v>
      </c>
      <c r="G48" s="30">
        <v>67.099999999999994</v>
      </c>
      <c r="H48" s="43">
        <f t="shared" si="39"/>
        <v>22.900000000000006</v>
      </c>
      <c r="I48" s="79">
        <v>90</v>
      </c>
      <c r="J48" s="30">
        <v>77.48</v>
      </c>
      <c r="K48" s="47">
        <f t="shared" si="40"/>
        <v>12.519999999999996</v>
      </c>
      <c r="L48" s="120">
        <v>90</v>
      </c>
      <c r="M48" s="30">
        <v>78.150000000000006</v>
      </c>
      <c r="N48" s="47">
        <f t="shared" si="41"/>
        <v>11.849999999999994</v>
      </c>
      <c r="O48" s="72">
        <f t="shared" si="42"/>
        <v>360</v>
      </c>
      <c r="P48" s="54">
        <f t="shared" si="43"/>
        <v>300.31000000000006</v>
      </c>
      <c r="Q48" s="47">
        <f t="shared" si="44"/>
        <v>59.689999999999941</v>
      </c>
      <c r="R48" s="104"/>
      <c r="S48" s="104"/>
      <c r="T48" s="79">
        <v>90</v>
      </c>
      <c r="U48" s="118">
        <v>90</v>
      </c>
      <c r="V48" s="118">
        <v>90</v>
      </c>
      <c r="W48" s="118">
        <v>90</v>
      </c>
      <c r="X48" s="127">
        <f t="shared" si="45"/>
        <v>360</v>
      </c>
    </row>
    <row r="49" spans="1:24" ht="20.100000000000001" customHeight="1" x14ac:dyDescent="0.25">
      <c r="A49" s="35"/>
      <c r="B49" s="126" t="s">
        <v>100</v>
      </c>
      <c r="C49" s="79">
        <v>650</v>
      </c>
      <c r="D49" s="36">
        <v>637.04999999999995</v>
      </c>
      <c r="E49" s="47">
        <f t="shared" si="28"/>
        <v>12.950000000000045</v>
      </c>
      <c r="F49" s="79">
        <v>650</v>
      </c>
      <c r="G49" s="30">
        <v>777.87</v>
      </c>
      <c r="H49" s="43">
        <f t="shared" si="39"/>
        <v>-127.87</v>
      </c>
      <c r="I49" s="79">
        <v>650</v>
      </c>
      <c r="J49" s="30">
        <v>465.24</v>
      </c>
      <c r="K49" s="47">
        <f t="shared" si="40"/>
        <v>184.76</v>
      </c>
      <c r="L49" s="120">
        <v>650</v>
      </c>
      <c r="M49" s="30">
        <v>590.77</v>
      </c>
      <c r="N49" s="47">
        <f t="shared" si="41"/>
        <v>59.230000000000018</v>
      </c>
      <c r="O49" s="72">
        <f t="shared" si="42"/>
        <v>2600</v>
      </c>
      <c r="P49" s="54">
        <f t="shared" si="43"/>
        <v>2470.9300000000003</v>
      </c>
      <c r="Q49" s="47">
        <f t="shared" si="44"/>
        <v>129.06999999999971</v>
      </c>
      <c r="R49" s="104"/>
      <c r="S49" s="104"/>
      <c r="T49" s="79">
        <v>650</v>
      </c>
      <c r="U49" s="118">
        <v>650</v>
      </c>
      <c r="V49" s="118">
        <v>650</v>
      </c>
      <c r="W49" s="118">
        <v>650</v>
      </c>
      <c r="X49" s="127">
        <f t="shared" si="45"/>
        <v>2600</v>
      </c>
    </row>
    <row r="50" spans="1:24" ht="20.100000000000001" customHeight="1" x14ac:dyDescent="0.25">
      <c r="A50" s="35"/>
      <c r="B50" s="126" t="s">
        <v>101</v>
      </c>
      <c r="C50" s="79">
        <v>900</v>
      </c>
      <c r="D50" s="36">
        <f>886.21</f>
        <v>886.21</v>
      </c>
      <c r="E50" s="47">
        <f t="shared" si="28"/>
        <v>13.789999999999964</v>
      </c>
      <c r="F50" s="79">
        <v>900</v>
      </c>
      <c r="G50" s="30">
        <v>1028.78</v>
      </c>
      <c r="H50" s="43">
        <f t="shared" si="39"/>
        <v>-128.77999999999997</v>
      </c>
      <c r="I50" s="79">
        <v>900</v>
      </c>
      <c r="J50" s="30">
        <v>1069</v>
      </c>
      <c r="K50" s="47">
        <f t="shared" si="40"/>
        <v>-169</v>
      </c>
      <c r="L50" s="120">
        <v>900</v>
      </c>
      <c r="M50" s="30">
        <v>1161.6199999999999</v>
      </c>
      <c r="N50" s="47">
        <f t="shared" si="41"/>
        <v>-261.61999999999989</v>
      </c>
      <c r="O50" s="72">
        <f t="shared" si="42"/>
        <v>3600</v>
      </c>
      <c r="P50" s="54">
        <f t="shared" si="43"/>
        <v>4145.6099999999997</v>
      </c>
      <c r="Q50" s="47">
        <f t="shared" si="44"/>
        <v>-545.60999999999967</v>
      </c>
      <c r="R50" s="104"/>
      <c r="S50" s="104"/>
      <c r="T50" s="79">
        <v>900</v>
      </c>
      <c r="U50" s="118">
        <v>900</v>
      </c>
      <c r="V50" s="118">
        <v>900</v>
      </c>
      <c r="W50" s="118">
        <v>900</v>
      </c>
      <c r="X50" s="127">
        <f t="shared" si="45"/>
        <v>3600</v>
      </c>
    </row>
    <row r="51" spans="1:24" ht="20.100000000000001" customHeight="1" x14ac:dyDescent="0.25">
      <c r="A51" s="29"/>
      <c r="B51" s="151" t="s">
        <v>102</v>
      </c>
      <c r="C51" s="79">
        <v>150</v>
      </c>
      <c r="D51" s="36">
        <v>400</v>
      </c>
      <c r="E51" s="47">
        <f t="shared" si="28"/>
        <v>-250</v>
      </c>
      <c r="F51" s="79">
        <v>150</v>
      </c>
      <c r="G51" s="30">
        <v>300</v>
      </c>
      <c r="H51" s="43">
        <f t="shared" si="39"/>
        <v>-150</v>
      </c>
      <c r="I51" s="79">
        <v>150</v>
      </c>
      <c r="J51" s="30">
        <v>300</v>
      </c>
      <c r="K51" s="47">
        <f t="shared" si="40"/>
        <v>-150</v>
      </c>
      <c r="L51" s="120">
        <v>150</v>
      </c>
      <c r="M51" s="30">
        <v>300</v>
      </c>
      <c r="N51" s="47">
        <f t="shared" si="41"/>
        <v>-150</v>
      </c>
      <c r="O51" s="72">
        <f t="shared" si="42"/>
        <v>600</v>
      </c>
      <c r="P51" s="54">
        <f t="shared" si="43"/>
        <v>1300</v>
      </c>
      <c r="Q51" s="47">
        <f t="shared" si="44"/>
        <v>-700</v>
      </c>
      <c r="R51" s="104"/>
      <c r="S51" s="104"/>
      <c r="T51" s="79">
        <v>150</v>
      </c>
      <c r="U51" s="118">
        <v>150</v>
      </c>
      <c r="V51" s="118">
        <v>150</v>
      </c>
      <c r="W51" s="118">
        <v>150</v>
      </c>
      <c r="X51" s="127">
        <f t="shared" si="45"/>
        <v>600</v>
      </c>
    </row>
    <row r="52" spans="1:24" ht="20.100000000000001" customHeight="1" x14ac:dyDescent="0.25">
      <c r="A52" s="34"/>
      <c r="B52" s="126" t="s">
        <v>103</v>
      </c>
      <c r="C52" s="79">
        <v>541.77</v>
      </c>
      <c r="D52" s="36">
        <v>548.46</v>
      </c>
      <c r="E52" s="47">
        <f t="shared" si="28"/>
        <v>-6.6900000000000546</v>
      </c>
      <c r="F52" s="79">
        <v>541.77</v>
      </c>
      <c r="G52" s="30">
        <v>551.82000000000005</v>
      </c>
      <c r="H52" s="43">
        <f t="shared" si="39"/>
        <v>-10.050000000000068</v>
      </c>
      <c r="I52" s="79">
        <v>541.77</v>
      </c>
      <c r="J52" s="30">
        <v>797.48</v>
      </c>
      <c r="K52" s="47">
        <f t="shared" si="40"/>
        <v>-255.71000000000004</v>
      </c>
      <c r="L52" s="120">
        <v>541.77</v>
      </c>
      <c r="M52" s="30">
        <v>952.7</v>
      </c>
      <c r="N52" s="47">
        <f t="shared" si="41"/>
        <v>-410.93000000000006</v>
      </c>
      <c r="O52" s="72">
        <f t="shared" si="42"/>
        <v>2167.08</v>
      </c>
      <c r="P52" s="54">
        <f t="shared" si="43"/>
        <v>2850.46</v>
      </c>
      <c r="Q52" s="47">
        <f t="shared" si="44"/>
        <v>-683.38000000000011</v>
      </c>
      <c r="R52" s="104"/>
      <c r="S52" s="104"/>
      <c r="T52" s="79">
        <v>541.77</v>
      </c>
      <c r="U52" s="118">
        <v>541.77</v>
      </c>
      <c r="V52" s="118">
        <v>541.77</v>
      </c>
      <c r="W52" s="118">
        <v>541.77</v>
      </c>
      <c r="X52" s="127">
        <f t="shared" si="45"/>
        <v>2167.08</v>
      </c>
    </row>
    <row r="53" spans="1:24" x14ac:dyDescent="0.25">
      <c r="A53" s="34"/>
      <c r="B53" s="126" t="s">
        <v>71</v>
      </c>
      <c r="C53" s="79">
        <v>60</v>
      </c>
      <c r="D53" s="36">
        <v>0</v>
      </c>
      <c r="E53" s="47">
        <f t="shared" si="28"/>
        <v>60</v>
      </c>
      <c r="F53" s="79">
        <v>60</v>
      </c>
      <c r="G53" s="30">
        <v>0</v>
      </c>
      <c r="H53" s="43">
        <f t="shared" si="39"/>
        <v>60</v>
      </c>
      <c r="I53" s="79">
        <v>60</v>
      </c>
      <c r="J53" s="30">
        <v>0</v>
      </c>
      <c r="K53" s="47">
        <f t="shared" si="40"/>
        <v>60</v>
      </c>
      <c r="L53" s="120">
        <v>60</v>
      </c>
      <c r="M53" s="30">
        <v>0</v>
      </c>
      <c r="N53" s="47">
        <f t="shared" si="41"/>
        <v>60</v>
      </c>
      <c r="O53" s="72">
        <f t="shared" si="42"/>
        <v>240</v>
      </c>
      <c r="P53" s="54">
        <f t="shared" si="43"/>
        <v>0</v>
      </c>
      <c r="Q53" s="47">
        <f t="shared" si="44"/>
        <v>240</v>
      </c>
      <c r="R53" s="104"/>
      <c r="S53" s="104"/>
      <c r="T53" s="79">
        <v>60</v>
      </c>
      <c r="U53" s="118">
        <v>60</v>
      </c>
      <c r="V53" s="118">
        <v>60</v>
      </c>
      <c r="W53" s="118">
        <v>60</v>
      </c>
      <c r="X53" s="127">
        <f t="shared" si="45"/>
        <v>240</v>
      </c>
    </row>
    <row r="54" spans="1:24" ht="20.100000000000001" customHeight="1" x14ac:dyDescent="0.25">
      <c r="A54" s="29"/>
      <c r="B54" s="126" t="s">
        <v>104</v>
      </c>
      <c r="C54" s="79">
        <v>65.7</v>
      </c>
      <c r="D54" s="36">
        <f>65.7+14.79</f>
        <v>80.490000000000009</v>
      </c>
      <c r="E54" s="47">
        <f t="shared" si="28"/>
        <v>-14.790000000000006</v>
      </c>
      <c r="F54" s="79">
        <v>65.7</v>
      </c>
      <c r="G54" s="30">
        <f>43.8+21.9</f>
        <v>65.699999999999989</v>
      </c>
      <c r="H54" s="43">
        <f t="shared" si="39"/>
        <v>0</v>
      </c>
      <c r="I54" s="79">
        <v>65.7</v>
      </c>
      <c r="J54" s="30">
        <v>65.7</v>
      </c>
      <c r="K54" s="47">
        <f t="shared" si="40"/>
        <v>0</v>
      </c>
      <c r="L54" s="120">
        <v>65.7</v>
      </c>
      <c r="M54" s="30">
        <v>65.7</v>
      </c>
      <c r="N54" s="47">
        <f t="shared" si="41"/>
        <v>0</v>
      </c>
      <c r="O54" s="72">
        <f t="shared" si="42"/>
        <v>262.8</v>
      </c>
      <c r="P54" s="54">
        <f t="shared" si="43"/>
        <v>277.58999999999997</v>
      </c>
      <c r="Q54" s="47">
        <f t="shared" si="44"/>
        <v>-14.789999999999964</v>
      </c>
      <c r="R54" s="104"/>
      <c r="S54" s="104"/>
      <c r="T54" s="79">
        <v>65.7</v>
      </c>
      <c r="U54" s="118">
        <v>65.7</v>
      </c>
      <c r="V54" s="118">
        <v>65.7</v>
      </c>
      <c r="W54" s="118">
        <v>65.7</v>
      </c>
      <c r="X54" s="127">
        <f t="shared" si="45"/>
        <v>262.8</v>
      </c>
    </row>
    <row r="55" spans="1:24" s="3" customFormat="1" ht="36" customHeight="1" x14ac:dyDescent="0.25">
      <c r="A55" s="29"/>
      <c r="B55" s="126" t="s">
        <v>105</v>
      </c>
      <c r="C55" s="79">
        <v>420</v>
      </c>
      <c r="D55" s="36">
        <f>270.96+240.4</f>
        <v>511.36</v>
      </c>
      <c r="E55" s="47">
        <f t="shared" si="28"/>
        <v>-91.360000000000014</v>
      </c>
      <c r="F55" s="79">
        <v>420</v>
      </c>
      <c r="G55" s="36">
        <v>0</v>
      </c>
      <c r="H55" s="43">
        <f t="shared" si="39"/>
        <v>420</v>
      </c>
      <c r="I55" s="79">
        <v>420</v>
      </c>
      <c r="J55" s="36">
        <v>560.4</v>
      </c>
      <c r="K55" s="47">
        <f t="shared" si="40"/>
        <v>-140.39999999999998</v>
      </c>
      <c r="L55" s="120">
        <v>360</v>
      </c>
      <c r="M55" s="30">
        <f>896.31+238</f>
        <v>1134.31</v>
      </c>
      <c r="N55" s="47">
        <f t="shared" si="41"/>
        <v>-774.31</v>
      </c>
      <c r="O55" s="72">
        <f t="shared" si="42"/>
        <v>1620</v>
      </c>
      <c r="P55" s="54">
        <f t="shared" si="43"/>
        <v>2206.0699999999997</v>
      </c>
      <c r="Q55" s="47">
        <f t="shared" si="44"/>
        <v>-586.06999999999971</v>
      </c>
      <c r="R55" s="104"/>
      <c r="S55" s="104"/>
      <c r="T55" s="79">
        <v>420</v>
      </c>
      <c r="U55" s="118">
        <v>420</v>
      </c>
      <c r="V55" s="118">
        <v>420</v>
      </c>
      <c r="W55" s="118">
        <v>360</v>
      </c>
      <c r="X55" s="127">
        <f t="shared" si="45"/>
        <v>1620</v>
      </c>
    </row>
    <row r="56" spans="1:24" ht="20.100000000000001" customHeight="1" x14ac:dyDescent="0.25">
      <c r="A56" s="38"/>
      <c r="B56" s="126" t="s">
        <v>106</v>
      </c>
      <c r="C56" s="79">
        <v>150</v>
      </c>
      <c r="D56" s="36">
        <v>168.44</v>
      </c>
      <c r="E56" s="47">
        <f t="shared" si="28"/>
        <v>-18.439999999999998</v>
      </c>
      <c r="F56" s="79">
        <v>150</v>
      </c>
      <c r="G56" s="36">
        <v>0</v>
      </c>
      <c r="H56" s="43">
        <f t="shared" si="39"/>
        <v>150</v>
      </c>
      <c r="I56" s="79">
        <v>150</v>
      </c>
      <c r="J56" s="36">
        <v>0</v>
      </c>
      <c r="K56" s="47">
        <f t="shared" si="40"/>
        <v>150</v>
      </c>
      <c r="L56" s="120">
        <v>150</v>
      </c>
      <c r="M56" s="30">
        <f>354.78</f>
        <v>354.78</v>
      </c>
      <c r="N56" s="47">
        <f t="shared" si="41"/>
        <v>-204.77999999999997</v>
      </c>
      <c r="O56" s="72">
        <f t="shared" si="42"/>
        <v>600</v>
      </c>
      <c r="P56" s="54">
        <f t="shared" si="43"/>
        <v>523.22</v>
      </c>
      <c r="Q56" s="47">
        <f t="shared" si="44"/>
        <v>76.779999999999973</v>
      </c>
      <c r="R56" s="104"/>
      <c r="S56" s="104"/>
      <c r="T56" s="79">
        <v>150</v>
      </c>
      <c r="U56" s="118">
        <v>150</v>
      </c>
      <c r="V56" s="118">
        <v>150</v>
      </c>
      <c r="W56" s="118">
        <v>150</v>
      </c>
      <c r="X56" s="127">
        <f t="shared" si="45"/>
        <v>600</v>
      </c>
    </row>
    <row r="57" spans="1:24" ht="20.100000000000001" customHeight="1" x14ac:dyDescent="0.25">
      <c r="A57" s="38"/>
      <c r="B57" s="141" t="s">
        <v>96</v>
      </c>
      <c r="C57" s="79">
        <v>0</v>
      </c>
      <c r="D57" s="36">
        <v>800.29</v>
      </c>
      <c r="E57" s="47">
        <f t="shared" si="28"/>
        <v>-800.29</v>
      </c>
      <c r="F57" s="79">
        <v>0</v>
      </c>
      <c r="G57" s="36">
        <v>4717.5200000000004</v>
      </c>
      <c r="H57" s="43"/>
      <c r="I57" s="79">
        <v>0</v>
      </c>
      <c r="J57" s="36">
        <f>66+45+1450.08</f>
        <v>1561.08</v>
      </c>
      <c r="K57" s="47">
        <f t="shared" si="40"/>
        <v>-1561.08</v>
      </c>
      <c r="L57" s="120"/>
      <c r="M57" s="30">
        <v>198.55</v>
      </c>
      <c r="N57" s="47">
        <f t="shared" si="41"/>
        <v>-198.55</v>
      </c>
      <c r="O57" s="72">
        <f t="shared" si="42"/>
        <v>0</v>
      </c>
      <c r="P57" s="54">
        <f t="shared" si="43"/>
        <v>7277.4400000000005</v>
      </c>
      <c r="Q57" s="47">
        <f t="shared" si="44"/>
        <v>-7277.4400000000005</v>
      </c>
      <c r="R57" s="104"/>
      <c r="S57" s="104"/>
      <c r="T57" s="79"/>
      <c r="U57" s="118"/>
      <c r="V57" s="118"/>
      <c r="W57" s="118"/>
      <c r="X57" s="127"/>
    </row>
    <row r="58" spans="1:24" ht="20.100000000000001" customHeight="1" x14ac:dyDescent="0.25">
      <c r="A58" s="38"/>
      <c r="B58" s="126" t="s">
        <v>107</v>
      </c>
      <c r="C58" s="79">
        <v>0</v>
      </c>
      <c r="D58" s="36">
        <v>179.72</v>
      </c>
      <c r="E58" s="47">
        <f t="shared" si="28"/>
        <v>-179.72</v>
      </c>
      <c r="F58" s="79">
        <v>0</v>
      </c>
      <c r="G58" s="30">
        <v>175.5</v>
      </c>
      <c r="H58" s="43">
        <f t="shared" si="39"/>
        <v>-175.5</v>
      </c>
      <c r="I58" s="79">
        <v>0</v>
      </c>
      <c r="J58" s="30">
        <v>173.34</v>
      </c>
      <c r="K58" s="47">
        <f t="shared" si="40"/>
        <v>-173.34</v>
      </c>
      <c r="L58" s="120"/>
      <c r="M58" s="30">
        <v>171.9</v>
      </c>
      <c r="N58" s="47">
        <f t="shared" si="41"/>
        <v>-171.9</v>
      </c>
      <c r="O58" s="72">
        <f t="shared" si="42"/>
        <v>0</v>
      </c>
      <c r="P58" s="54">
        <f t="shared" si="43"/>
        <v>700.46</v>
      </c>
      <c r="Q58" s="47">
        <f t="shared" si="44"/>
        <v>-700.46</v>
      </c>
      <c r="R58" s="104"/>
      <c r="S58" s="104"/>
      <c r="T58" s="79"/>
      <c r="U58" s="118"/>
      <c r="V58" s="118"/>
      <c r="W58" s="118"/>
      <c r="X58" s="127"/>
    </row>
    <row r="59" spans="1:24" ht="20.100000000000001" customHeight="1" x14ac:dyDescent="0.25">
      <c r="A59" s="38"/>
      <c r="B59" s="126" t="s">
        <v>37</v>
      </c>
      <c r="C59" s="79"/>
      <c r="D59" s="36"/>
      <c r="E59" s="47"/>
      <c r="F59" s="79"/>
      <c r="G59" s="30"/>
      <c r="H59" s="43"/>
      <c r="I59" s="79">
        <v>0</v>
      </c>
      <c r="J59" s="30">
        <v>29.36</v>
      </c>
      <c r="K59" s="47">
        <f t="shared" si="40"/>
        <v>-29.36</v>
      </c>
      <c r="L59" s="120"/>
      <c r="M59" s="30">
        <v>46.24</v>
      </c>
      <c r="N59" s="47">
        <f t="shared" si="41"/>
        <v>-46.24</v>
      </c>
      <c r="O59" s="72">
        <f t="shared" si="42"/>
        <v>0</v>
      </c>
      <c r="P59" s="54">
        <f t="shared" si="43"/>
        <v>75.599999999999994</v>
      </c>
      <c r="Q59" s="47">
        <f t="shared" si="44"/>
        <v>-75.599999999999994</v>
      </c>
      <c r="R59" s="104"/>
      <c r="S59" s="104"/>
      <c r="T59" s="79"/>
      <c r="U59" s="118"/>
      <c r="V59" s="118"/>
      <c r="W59" s="118"/>
      <c r="X59" s="127"/>
    </row>
    <row r="60" spans="1:24" x14ac:dyDescent="0.25">
      <c r="A60" s="39"/>
      <c r="B60" s="151" t="s">
        <v>108</v>
      </c>
      <c r="C60" s="79">
        <v>0</v>
      </c>
      <c r="D60" s="36">
        <v>0</v>
      </c>
      <c r="E60" s="47">
        <f t="shared" si="28"/>
        <v>0</v>
      </c>
      <c r="F60" s="79">
        <v>535</v>
      </c>
      <c r="G60" s="30">
        <v>486</v>
      </c>
      <c r="H60" s="43">
        <f t="shared" si="39"/>
        <v>49</v>
      </c>
      <c r="I60" s="79">
        <v>0</v>
      </c>
      <c r="J60" s="30">
        <v>0</v>
      </c>
      <c r="K60" s="47">
        <f t="shared" si="40"/>
        <v>0</v>
      </c>
      <c r="L60" s="120">
        <v>0</v>
      </c>
      <c r="M60" s="30">
        <v>60.72</v>
      </c>
      <c r="N60" s="47">
        <f t="shared" si="41"/>
        <v>-60.72</v>
      </c>
      <c r="O60" s="72">
        <f t="shared" si="42"/>
        <v>535</v>
      </c>
      <c r="P60" s="54">
        <f t="shared" si="43"/>
        <v>546.72</v>
      </c>
      <c r="Q60" s="47">
        <f t="shared" si="44"/>
        <v>-11.720000000000027</v>
      </c>
      <c r="R60" s="104"/>
      <c r="S60" s="104"/>
      <c r="T60" s="79">
        <v>0</v>
      </c>
      <c r="U60" s="118">
        <v>535</v>
      </c>
      <c r="V60" s="118">
        <v>0</v>
      </c>
      <c r="W60" s="118">
        <v>0</v>
      </c>
      <c r="X60" s="127">
        <f>SUM(T60:W60)</f>
        <v>535</v>
      </c>
    </row>
    <row r="61" spans="1:24" ht="20.100000000000001" customHeight="1" thickBot="1" x14ac:dyDescent="0.3">
      <c r="A61" s="40"/>
      <c r="B61" s="145" t="s">
        <v>39</v>
      </c>
      <c r="C61" s="80">
        <v>50</v>
      </c>
      <c r="D61" s="100">
        <v>54.39</v>
      </c>
      <c r="E61" s="58">
        <f t="shared" si="28"/>
        <v>-4.3900000000000006</v>
      </c>
      <c r="F61" s="80">
        <v>125</v>
      </c>
      <c r="G61" s="32">
        <v>205.95</v>
      </c>
      <c r="H61" s="83">
        <f t="shared" si="39"/>
        <v>-80.949999999999989</v>
      </c>
      <c r="I61" s="80">
        <v>125</v>
      </c>
      <c r="J61" s="32">
        <v>150.53</v>
      </c>
      <c r="K61" s="58">
        <f t="shared" si="40"/>
        <v>-25.53</v>
      </c>
      <c r="L61" s="174">
        <v>125</v>
      </c>
      <c r="M61" s="32">
        <v>138.19</v>
      </c>
      <c r="N61" s="58">
        <f t="shared" si="41"/>
        <v>-13.189999999999998</v>
      </c>
      <c r="O61" s="72">
        <f t="shared" si="42"/>
        <v>425</v>
      </c>
      <c r="P61" s="54">
        <f t="shared" si="43"/>
        <v>549.05999999999995</v>
      </c>
      <c r="Q61" s="58">
        <f t="shared" si="44"/>
        <v>-124.05999999999995</v>
      </c>
      <c r="R61" s="104"/>
      <c r="S61" s="104"/>
      <c r="T61" s="106">
        <v>50</v>
      </c>
      <c r="U61" s="146">
        <v>125</v>
      </c>
      <c r="V61" s="146">
        <v>125</v>
      </c>
      <c r="W61" s="146">
        <v>125</v>
      </c>
      <c r="X61" s="127">
        <f>SUM(T61:W61)</f>
        <v>425</v>
      </c>
    </row>
    <row r="62" spans="1:24" ht="20.100000000000001" customHeight="1" outlineLevel="1" thickBot="1" x14ac:dyDescent="0.3">
      <c r="A62" s="211" t="s">
        <v>12</v>
      </c>
      <c r="B62" s="212"/>
      <c r="C62" s="152">
        <f>C30+C35+C38+C41</f>
        <v>56003.959999999992</v>
      </c>
      <c r="D62" s="121">
        <f>D30+D35+D38+D41</f>
        <v>59318.180000000008</v>
      </c>
      <c r="E62" s="50"/>
      <c r="F62" s="85">
        <f>F30+F35+F38+F41</f>
        <v>56142.959999999992</v>
      </c>
      <c r="G62" s="121">
        <f>G30+G35+G38+G41</f>
        <v>61710.630000000005</v>
      </c>
      <c r="H62" s="50"/>
      <c r="I62" s="183">
        <f>I30+I35+I38+I41</f>
        <v>56257.959999999992</v>
      </c>
      <c r="J62" s="154">
        <f>J30+J35+J38+J41</f>
        <v>58849.140000000007</v>
      </c>
      <c r="K62" s="50"/>
      <c r="L62" s="50">
        <f t="shared" ref="L62" si="46">L30+L35+L38+L41</f>
        <v>55718.959999999992</v>
      </c>
      <c r="M62" s="155">
        <f>M30+M35+M38+M41</f>
        <v>66025.179999999993</v>
      </c>
      <c r="N62" s="50"/>
      <c r="O62" s="153">
        <f>O30+O35+O38+O41</f>
        <v>224123.83999999997</v>
      </c>
      <c r="P62" s="155">
        <f>P30+P35+P38+P41</f>
        <v>245903.12999999998</v>
      </c>
      <c r="Q62" s="50"/>
      <c r="R62" s="98"/>
      <c r="S62" s="98"/>
      <c r="T62" s="156">
        <f>T30+T35+T38+T41</f>
        <v>56003.959999999992</v>
      </c>
      <c r="U62" s="42">
        <f>U30+U35+U38+U41</f>
        <v>56142.959999999992</v>
      </c>
      <c r="V62" s="42">
        <f t="shared" ref="V62:X62" si="47">V30+V35+V38+V41</f>
        <v>56257.959999999992</v>
      </c>
      <c r="W62" s="42">
        <f t="shared" si="47"/>
        <v>55718.959999999992</v>
      </c>
      <c r="X62" s="42">
        <f t="shared" si="47"/>
        <v>224123.83999999997</v>
      </c>
    </row>
    <row r="63" spans="1:24" ht="26.1" customHeight="1" outlineLevel="1" thickBot="1" x14ac:dyDescent="0.3">
      <c r="A63" s="111"/>
      <c r="B63" s="103" t="s">
        <v>40</v>
      </c>
      <c r="C63" s="102">
        <f>C28-C62</f>
        <v>-1097.2999999999956</v>
      </c>
      <c r="D63" s="102">
        <f>D28-D62</f>
        <v>-3313.7800000000061</v>
      </c>
      <c r="E63" s="102"/>
      <c r="F63" s="102">
        <f>F28-F62</f>
        <v>263.70000000000437</v>
      </c>
      <c r="G63" s="102">
        <f>G28-G62</f>
        <v>-2605.3900000000067</v>
      </c>
      <c r="H63" s="102"/>
      <c r="I63" s="102">
        <f>I28-I62</f>
        <v>148.70000000000437</v>
      </c>
      <c r="J63" s="102">
        <f>J28-J62</f>
        <v>1134.0099999999875</v>
      </c>
      <c r="K63" s="102"/>
      <c r="L63" s="50">
        <f t="shared" ref="L63" si="48">L28-L62</f>
        <v>687.70000000000437</v>
      </c>
      <c r="M63" s="102">
        <f>M28-M62</f>
        <v>-8243.5399999999936</v>
      </c>
      <c r="N63" s="102"/>
      <c r="O63" s="102">
        <f>O28-O62</f>
        <v>2.8000000000465661</v>
      </c>
      <c r="P63" s="102">
        <f>P28-P62</f>
        <v>-13028.699999999983</v>
      </c>
      <c r="Q63" s="102"/>
      <c r="R63" s="98"/>
      <c r="S63" s="98"/>
      <c r="T63" s="85">
        <f>T28-T62</f>
        <v>-1097.2999999999956</v>
      </c>
      <c r="U63" s="50">
        <f>U28-U62</f>
        <v>263.70000000000437</v>
      </c>
      <c r="V63" s="50">
        <f t="shared" ref="V63:X63" si="49">V28-V62</f>
        <v>148.70000000000437</v>
      </c>
      <c r="W63" s="50">
        <f t="shared" si="49"/>
        <v>687.70000000000437</v>
      </c>
      <c r="X63" s="50">
        <f t="shared" si="49"/>
        <v>2.8000000000174623</v>
      </c>
    </row>
  </sheetData>
  <mergeCells count="23">
    <mergeCell ref="A62:B62"/>
    <mergeCell ref="W3:W5"/>
    <mergeCell ref="X3:X5"/>
    <mergeCell ref="A7:B7"/>
    <mergeCell ref="A28:B28"/>
    <mergeCell ref="A29:B29"/>
    <mergeCell ref="D36:D37"/>
    <mergeCell ref="G36:G37"/>
    <mergeCell ref="J36:J37"/>
    <mergeCell ref="M36:M37"/>
    <mergeCell ref="P36:P37"/>
    <mergeCell ref="I3:K5"/>
    <mergeCell ref="L3:N5"/>
    <mergeCell ref="O3:Q5"/>
    <mergeCell ref="T3:T5"/>
    <mergeCell ref="U3:U5"/>
    <mergeCell ref="V3:V5"/>
    <mergeCell ref="A1:E1"/>
    <mergeCell ref="A2:E2"/>
    <mergeCell ref="A3:A5"/>
    <mergeCell ref="B3:B5"/>
    <mergeCell ref="C3:E5"/>
    <mergeCell ref="F3:H5"/>
  </mergeCells>
  <pageMargins left="0.7" right="0.7" top="0.75" bottom="0.75" header="0.3" footer="0.3"/>
  <pageSetup paperSize="9" scale="21" orientation="portrait" horizontalDpi="4294967295" verticalDpi="4294967295" r:id="rId1"/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3B3F-1217-4878-BE98-5C71DADEEF8B}">
  <sheetPr>
    <tabColor theme="4" tint="0.79998168889431442"/>
  </sheetPr>
  <dimension ref="A1:H62"/>
  <sheetViews>
    <sheetView topLeftCell="A28" zoomScale="84" zoomScaleNormal="84" workbookViewId="0">
      <selection activeCell="H56" sqref="A1:H56"/>
    </sheetView>
  </sheetViews>
  <sheetFormatPr defaultRowHeight="15" x14ac:dyDescent="0.25"/>
  <cols>
    <col min="1" max="1" width="54" customWidth="1"/>
    <col min="2" max="2" width="16.140625" customWidth="1"/>
    <col min="3" max="3" width="53.85546875" customWidth="1"/>
    <col min="4" max="4" width="14.42578125" customWidth="1"/>
    <col min="5" max="5" width="48.28515625" customWidth="1"/>
    <col min="6" max="6" width="14.28515625" customWidth="1"/>
    <col min="7" max="7" width="35.85546875" customWidth="1"/>
    <col min="8" max="8" width="19.28515625" customWidth="1"/>
  </cols>
  <sheetData>
    <row r="1" spans="1:8" x14ac:dyDescent="0.25">
      <c r="A1" s="230" t="s">
        <v>59</v>
      </c>
      <c r="B1" s="230"/>
      <c r="C1" s="230" t="s">
        <v>70</v>
      </c>
      <c r="D1" s="230"/>
      <c r="E1" s="230" t="s">
        <v>72</v>
      </c>
      <c r="F1" s="230"/>
      <c r="G1" s="230" t="s">
        <v>74</v>
      </c>
      <c r="H1" s="230"/>
    </row>
    <row r="2" spans="1:8" ht="37.5" customHeight="1" x14ac:dyDescent="0.25">
      <c r="A2" s="188" t="s">
        <v>96</v>
      </c>
      <c r="B2" s="189">
        <v>800.29</v>
      </c>
      <c r="C2" s="188" t="s">
        <v>96</v>
      </c>
      <c r="D2" s="189">
        <v>4717.5200000000004</v>
      </c>
      <c r="E2" s="188" t="s">
        <v>105</v>
      </c>
      <c r="F2" s="189">
        <v>560.4</v>
      </c>
      <c r="G2" s="188" t="s">
        <v>105</v>
      </c>
      <c r="H2" s="189">
        <v>1134.31</v>
      </c>
    </row>
    <row r="3" spans="1:8" ht="42.75" x14ac:dyDescent="0.25">
      <c r="A3" s="186" t="s">
        <v>109</v>
      </c>
      <c r="B3" s="186">
        <v>110</v>
      </c>
      <c r="C3" s="190" t="s">
        <v>168</v>
      </c>
      <c r="D3" s="191">
        <v>257.52999999999997</v>
      </c>
      <c r="E3" s="190" t="s">
        <v>173</v>
      </c>
      <c r="F3" s="191">
        <v>32.81</v>
      </c>
      <c r="G3" s="192" t="s">
        <v>176</v>
      </c>
      <c r="H3" s="191">
        <v>238</v>
      </c>
    </row>
    <row r="4" spans="1:8" ht="28.5" x14ac:dyDescent="0.25">
      <c r="A4" s="186" t="s">
        <v>167</v>
      </c>
      <c r="B4" s="186">
        <v>180</v>
      </c>
      <c r="C4" s="190" t="s">
        <v>110</v>
      </c>
      <c r="D4" s="186">
        <v>87.1</v>
      </c>
      <c r="E4" s="190" t="s">
        <v>172</v>
      </c>
      <c r="F4" s="191">
        <v>467.59</v>
      </c>
      <c r="G4" s="192" t="s">
        <v>153</v>
      </c>
      <c r="H4" s="191">
        <v>198</v>
      </c>
    </row>
    <row r="5" spans="1:8" x14ac:dyDescent="0.25">
      <c r="A5" s="186" t="s">
        <v>166</v>
      </c>
      <c r="B5" s="186">
        <v>204</v>
      </c>
      <c r="C5" s="192" t="s">
        <v>121</v>
      </c>
      <c r="D5" s="191">
        <v>53.05</v>
      </c>
      <c r="E5" s="190" t="s">
        <v>174</v>
      </c>
      <c r="F5" s="191">
        <v>60</v>
      </c>
      <c r="G5" s="192" t="s">
        <v>154</v>
      </c>
      <c r="H5" s="191">
        <v>178.2</v>
      </c>
    </row>
    <row r="6" spans="1:8" ht="28.5" x14ac:dyDescent="0.25">
      <c r="A6" s="186" t="s">
        <v>117</v>
      </c>
      <c r="B6" s="186">
        <v>306.29000000000002</v>
      </c>
      <c r="C6" s="192" t="s">
        <v>122</v>
      </c>
      <c r="D6" s="191">
        <v>33.159999999999997</v>
      </c>
      <c r="E6" s="192"/>
      <c r="F6" s="191"/>
      <c r="G6" s="192" t="s">
        <v>155</v>
      </c>
      <c r="H6" s="191">
        <v>160.30000000000001</v>
      </c>
    </row>
    <row r="7" spans="1:8" s="184" customFormat="1" x14ac:dyDescent="0.25">
      <c r="A7" s="186"/>
      <c r="B7" s="186"/>
      <c r="C7" s="192" t="s">
        <v>119</v>
      </c>
      <c r="D7" s="191">
        <v>75.599999999999994</v>
      </c>
      <c r="E7" s="192"/>
      <c r="F7" s="191"/>
      <c r="G7" s="192" t="s">
        <v>156</v>
      </c>
      <c r="H7" s="191">
        <v>112</v>
      </c>
    </row>
    <row r="8" spans="1:8" s="184" customFormat="1" ht="28.5" x14ac:dyDescent="0.25">
      <c r="A8" s="186"/>
      <c r="B8" s="186"/>
      <c r="C8" s="192" t="s">
        <v>93</v>
      </c>
      <c r="D8" s="191">
        <v>420</v>
      </c>
      <c r="E8" s="192"/>
      <c r="F8" s="191"/>
      <c r="G8" s="192" t="s">
        <v>157</v>
      </c>
      <c r="H8" s="191">
        <v>26.4</v>
      </c>
    </row>
    <row r="9" spans="1:8" s="184" customFormat="1" ht="28.5" x14ac:dyDescent="0.25">
      <c r="A9" s="186"/>
      <c r="B9" s="186"/>
      <c r="C9" s="192" t="s">
        <v>144</v>
      </c>
      <c r="D9" s="191">
        <v>85.2</v>
      </c>
      <c r="E9" s="192"/>
      <c r="F9" s="191"/>
      <c r="G9" s="192" t="s">
        <v>158</v>
      </c>
      <c r="H9" s="191">
        <v>18.8</v>
      </c>
    </row>
    <row r="10" spans="1:8" s="184" customFormat="1" ht="28.5" x14ac:dyDescent="0.25">
      <c r="A10" s="186"/>
      <c r="B10" s="186"/>
      <c r="C10" s="192" t="s">
        <v>141</v>
      </c>
      <c r="D10" s="191">
        <v>12.78</v>
      </c>
      <c r="E10" s="192"/>
      <c r="F10" s="191"/>
      <c r="G10" s="192" t="s">
        <v>159</v>
      </c>
      <c r="H10" s="191">
        <v>7</v>
      </c>
    </row>
    <row r="11" spans="1:8" s="184" customFormat="1" ht="28.5" x14ac:dyDescent="0.25">
      <c r="A11" s="186"/>
      <c r="B11" s="186"/>
      <c r="C11" s="192" t="s">
        <v>136</v>
      </c>
      <c r="D11" s="191">
        <v>7.14</v>
      </c>
      <c r="E11" s="192"/>
      <c r="F11" s="191"/>
      <c r="G11" s="192" t="s">
        <v>160</v>
      </c>
      <c r="H11" s="191">
        <v>21</v>
      </c>
    </row>
    <row r="12" spans="1:8" s="184" customFormat="1" x14ac:dyDescent="0.25">
      <c r="A12" s="186"/>
      <c r="B12" s="186"/>
      <c r="C12" s="192" t="s">
        <v>135</v>
      </c>
      <c r="D12" s="191">
        <v>12.53</v>
      </c>
      <c r="E12" s="192"/>
      <c r="F12" s="191"/>
      <c r="G12" s="192" t="s">
        <v>148</v>
      </c>
      <c r="H12" s="191">
        <v>57.1</v>
      </c>
    </row>
    <row r="13" spans="1:8" s="184" customFormat="1" x14ac:dyDescent="0.25">
      <c r="A13" s="186"/>
      <c r="B13" s="186"/>
      <c r="C13" s="192" t="s">
        <v>135</v>
      </c>
      <c r="D13" s="191">
        <v>7.28</v>
      </c>
      <c r="E13" s="192"/>
      <c r="F13" s="191"/>
      <c r="G13" s="187" t="s">
        <v>161</v>
      </c>
      <c r="H13" s="186">
        <v>0.4</v>
      </c>
    </row>
    <row r="14" spans="1:8" s="184" customFormat="1" x14ac:dyDescent="0.25">
      <c r="A14" s="186"/>
      <c r="B14" s="186"/>
      <c r="C14" s="192" t="s">
        <v>138</v>
      </c>
      <c r="D14" s="191">
        <v>11.84</v>
      </c>
      <c r="E14" s="192"/>
      <c r="F14" s="191"/>
      <c r="G14" s="187" t="s">
        <v>163</v>
      </c>
      <c r="H14" s="186">
        <v>33</v>
      </c>
    </row>
    <row r="15" spans="1:8" s="184" customFormat="1" x14ac:dyDescent="0.25">
      <c r="A15" s="186"/>
      <c r="B15" s="186"/>
      <c r="C15" s="192" t="s">
        <v>124</v>
      </c>
      <c r="D15" s="191">
        <v>65.680000000000007</v>
      </c>
      <c r="E15" s="192"/>
      <c r="F15" s="191"/>
      <c r="G15" s="187" t="s">
        <v>162</v>
      </c>
      <c r="H15" s="186">
        <v>36.75</v>
      </c>
    </row>
    <row r="16" spans="1:8" s="184" customFormat="1" x14ac:dyDescent="0.25">
      <c r="A16" s="186"/>
      <c r="B16" s="186"/>
      <c r="C16" s="192" t="s">
        <v>137</v>
      </c>
      <c r="D16" s="191">
        <v>11.66</v>
      </c>
      <c r="E16" s="192"/>
      <c r="F16" s="191"/>
      <c r="G16" s="187" t="s">
        <v>165</v>
      </c>
      <c r="H16" s="186">
        <v>47.36</v>
      </c>
    </row>
    <row r="17" spans="1:8" s="184" customFormat="1" x14ac:dyDescent="0.25">
      <c r="A17" s="186"/>
      <c r="B17" s="186"/>
      <c r="C17" s="192" t="s">
        <v>75</v>
      </c>
      <c r="D17" s="191">
        <v>7.72</v>
      </c>
      <c r="E17" s="192"/>
      <c r="F17" s="191"/>
      <c r="G17" s="186"/>
      <c r="H17" s="186"/>
    </row>
    <row r="18" spans="1:8" s="184" customFormat="1" x14ac:dyDescent="0.25">
      <c r="A18" s="186"/>
      <c r="B18" s="186"/>
      <c r="C18" s="192" t="s">
        <v>140</v>
      </c>
      <c r="D18" s="191">
        <v>21.32</v>
      </c>
      <c r="E18" s="192"/>
      <c r="F18" s="191"/>
      <c r="G18" s="192"/>
      <c r="H18" s="191"/>
    </row>
    <row r="19" spans="1:8" s="184" customFormat="1" x14ac:dyDescent="0.25">
      <c r="A19" s="186"/>
      <c r="B19" s="186"/>
      <c r="C19" s="192" t="s">
        <v>142</v>
      </c>
      <c r="D19" s="191">
        <v>18.11</v>
      </c>
      <c r="E19" s="192"/>
      <c r="F19" s="191"/>
      <c r="G19" s="186"/>
      <c r="H19" s="186"/>
    </row>
    <row r="20" spans="1:8" s="184" customFormat="1" x14ac:dyDescent="0.25">
      <c r="A20" s="186"/>
      <c r="B20" s="186"/>
      <c r="C20" s="192" t="s">
        <v>142</v>
      </c>
      <c r="D20" s="191">
        <v>17.239999999999998</v>
      </c>
      <c r="E20" s="192"/>
      <c r="F20" s="191"/>
      <c r="G20" s="186"/>
      <c r="H20" s="186"/>
    </row>
    <row r="21" spans="1:8" s="184" customFormat="1" x14ac:dyDescent="0.25">
      <c r="A21" s="186"/>
      <c r="B21" s="186"/>
      <c r="C21" s="192" t="s">
        <v>126</v>
      </c>
      <c r="D21" s="191">
        <v>14.5</v>
      </c>
      <c r="E21" s="192"/>
      <c r="F21" s="191"/>
      <c r="G21" s="186"/>
      <c r="H21" s="186"/>
    </row>
    <row r="22" spans="1:8" s="184" customFormat="1" x14ac:dyDescent="0.25">
      <c r="A22" s="186"/>
      <c r="B22" s="186"/>
      <c r="C22" s="192" t="s">
        <v>128</v>
      </c>
      <c r="D22" s="191">
        <v>5.9</v>
      </c>
      <c r="E22" s="192"/>
      <c r="F22" s="191"/>
      <c r="G22" s="192"/>
      <c r="H22" s="191"/>
    </row>
    <row r="23" spans="1:8" s="184" customFormat="1" x14ac:dyDescent="0.25">
      <c r="A23" s="186"/>
      <c r="B23" s="186"/>
      <c r="C23" s="192" t="s">
        <v>129</v>
      </c>
      <c r="D23" s="191">
        <v>8.7899999999999991</v>
      </c>
      <c r="E23" s="192"/>
      <c r="F23" s="191"/>
      <c r="G23" s="192"/>
      <c r="H23" s="191"/>
    </row>
    <row r="24" spans="1:8" s="184" customFormat="1" x14ac:dyDescent="0.25">
      <c r="A24" s="186"/>
      <c r="B24" s="186"/>
      <c r="C24" s="192" t="s">
        <v>134</v>
      </c>
      <c r="D24" s="191">
        <v>13.59</v>
      </c>
      <c r="E24" s="192"/>
      <c r="F24" s="191"/>
      <c r="G24" s="192"/>
      <c r="H24" s="191"/>
    </row>
    <row r="25" spans="1:8" s="184" customFormat="1" x14ac:dyDescent="0.25">
      <c r="A25" s="186"/>
      <c r="B25" s="186"/>
      <c r="C25" s="192" t="s">
        <v>139</v>
      </c>
      <c r="D25" s="193">
        <v>2556</v>
      </c>
      <c r="E25" s="192"/>
      <c r="F25" s="193"/>
      <c r="G25" s="192"/>
      <c r="H25" s="193"/>
    </row>
    <row r="26" spans="1:8" s="184" customFormat="1" x14ac:dyDescent="0.25">
      <c r="A26" s="186"/>
      <c r="B26" s="186"/>
      <c r="C26" s="192" t="s">
        <v>125</v>
      </c>
      <c r="D26" s="191">
        <v>14.72</v>
      </c>
      <c r="E26" s="192"/>
      <c r="F26" s="191"/>
      <c r="G26" s="192"/>
      <c r="H26" s="191"/>
    </row>
    <row r="27" spans="1:8" s="184" customFormat="1" x14ac:dyDescent="0.25">
      <c r="A27" s="186"/>
      <c r="B27" s="186"/>
      <c r="C27" s="192" t="s">
        <v>133</v>
      </c>
      <c r="D27" s="191">
        <v>25.74</v>
      </c>
      <c r="E27" s="192"/>
      <c r="F27" s="191"/>
      <c r="G27" s="192"/>
      <c r="H27" s="191"/>
    </row>
    <row r="28" spans="1:8" s="184" customFormat="1" x14ac:dyDescent="0.25">
      <c r="A28" s="186"/>
      <c r="B28" s="186"/>
      <c r="C28" s="192" t="s">
        <v>130</v>
      </c>
      <c r="D28" s="191">
        <v>110.16</v>
      </c>
      <c r="E28" s="192"/>
      <c r="F28" s="191"/>
      <c r="G28" s="192"/>
      <c r="H28" s="191"/>
    </row>
    <row r="29" spans="1:8" s="184" customFormat="1" x14ac:dyDescent="0.25">
      <c r="A29" s="186"/>
      <c r="B29" s="186"/>
      <c r="C29" s="192" t="s">
        <v>127</v>
      </c>
      <c r="D29" s="191">
        <v>10.85</v>
      </c>
      <c r="E29" s="192"/>
      <c r="F29" s="191"/>
      <c r="G29" s="192"/>
      <c r="H29" s="191"/>
    </row>
    <row r="30" spans="1:8" s="184" customFormat="1" x14ac:dyDescent="0.25">
      <c r="A30" s="186"/>
      <c r="B30" s="186"/>
      <c r="C30" s="192" t="s">
        <v>127</v>
      </c>
      <c r="D30" s="191">
        <v>10.55</v>
      </c>
      <c r="E30" s="192"/>
      <c r="F30" s="191"/>
      <c r="G30" s="192"/>
      <c r="H30" s="191"/>
    </row>
    <row r="31" spans="1:8" s="184" customFormat="1" x14ac:dyDescent="0.25">
      <c r="A31" s="186"/>
      <c r="B31" s="186"/>
      <c r="C31" s="192" t="s">
        <v>169</v>
      </c>
      <c r="D31" s="191">
        <v>140.4</v>
      </c>
      <c r="E31" s="192"/>
      <c r="F31" s="191"/>
      <c r="G31" s="192"/>
      <c r="H31" s="191"/>
    </row>
    <row r="32" spans="1:8" s="184" customFormat="1" x14ac:dyDescent="0.25">
      <c r="A32" s="186"/>
      <c r="B32" s="186"/>
      <c r="C32" s="192" t="s">
        <v>170</v>
      </c>
      <c r="D32" s="191">
        <v>140.4</v>
      </c>
      <c r="E32" s="192"/>
      <c r="F32" s="191"/>
      <c r="G32" s="192"/>
      <c r="H32" s="191"/>
    </row>
    <row r="33" spans="1:8" s="184" customFormat="1" x14ac:dyDescent="0.25">
      <c r="A33" s="186"/>
      <c r="B33" s="186"/>
      <c r="C33" s="192" t="s">
        <v>131</v>
      </c>
      <c r="D33" s="191">
        <v>11.78</v>
      </c>
      <c r="E33" s="192"/>
      <c r="F33" s="191"/>
      <c r="G33" s="192"/>
      <c r="H33" s="191"/>
    </row>
    <row r="34" spans="1:8" s="184" customFormat="1" x14ac:dyDescent="0.25">
      <c r="A34" s="186"/>
      <c r="B34" s="186"/>
      <c r="C34" s="192" t="s">
        <v>132</v>
      </c>
      <c r="D34" s="191">
        <v>70</v>
      </c>
      <c r="E34" s="192"/>
      <c r="F34" s="191"/>
      <c r="G34" s="192"/>
      <c r="H34" s="191"/>
    </row>
    <row r="35" spans="1:8" s="184" customFormat="1" x14ac:dyDescent="0.25">
      <c r="A35" s="186"/>
      <c r="B35" s="186"/>
      <c r="C35" s="192" t="s">
        <v>123</v>
      </c>
      <c r="D35" s="191">
        <v>379.2</v>
      </c>
      <c r="E35" s="192"/>
      <c r="F35" s="191"/>
      <c r="G35" s="192"/>
      <c r="H35" s="191"/>
    </row>
    <row r="36" spans="1:8" ht="42.75" x14ac:dyDescent="0.25">
      <c r="A36" s="188" t="s">
        <v>105</v>
      </c>
      <c r="B36" s="189">
        <f>270.96+240.4</f>
        <v>511.36</v>
      </c>
      <c r="C36" s="194" t="s">
        <v>108</v>
      </c>
      <c r="D36" s="189">
        <v>486</v>
      </c>
      <c r="E36" s="188" t="s">
        <v>96</v>
      </c>
      <c r="F36" s="189">
        <v>1561.08</v>
      </c>
      <c r="G36" s="188" t="s">
        <v>106</v>
      </c>
      <c r="H36" s="189">
        <v>354.78</v>
      </c>
    </row>
    <row r="37" spans="1:8" ht="28.5" x14ac:dyDescent="0.25">
      <c r="A37" s="186"/>
      <c r="B37" s="186"/>
      <c r="C37" s="186"/>
      <c r="D37" s="186"/>
      <c r="E37" s="192" t="s">
        <v>146</v>
      </c>
      <c r="F37" s="191">
        <v>180</v>
      </c>
      <c r="G37" s="190" t="s">
        <v>152</v>
      </c>
      <c r="H37" s="191">
        <v>132</v>
      </c>
    </row>
    <row r="38" spans="1:8" ht="28.5" x14ac:dyDescent="0.25">
      <c r="A38" s="192" t="s">
        <v>119</v>
      </c>
      <c r="B38" s="191">
        <v>151.19999999999999</v>
      </c>
      <c r="C38" s="187" t="s">
        <v>143</v>
      </c>
      <c r="D38" s="195">
        <v>486</v>
      </c>
      <c r="E38" s="192" t="s">
        <v>145</v>
      </c>
      <c r="F38" s="193">
        <v>1270.08</v>
      </c>
      <c r="G38" s="192" t="s">
        <v>152</v>
      </c>
      <c r="H38" s="193">
        <v>132</v>
      </c>
    </row>
    <row r="39" spans="1:8" ht="28.5" x14ac:dyDescent="0.25">
      <c r="A39" s="192" t="s">
        <v>118</v>
      </c>
      <c r="B39" s="191">
        <v>119.76</v>
      </c>
      <c r="C39" s="192"/>
      <c r="D39" s="191"/>
      <c r="E39" s="192" t="s">
        <v>147</v>
      </c>
      <c r="F39" s="191">
        <v>66</v>
      </c>
      <c r="G39" s="192" t="s">
        <v>175</v>
      </c>
      <c r="H39" s="191">
        <v>90.78</v>
      </c>
    </row>
    <row r="40" spans="1:8" x14ac:dyDescent="0.25">
      <c r="A40" s="192" t="s">
        <v>116</v>
      </c>
      <c r="B40" s="196">
        <v>240.4</v>
      </c>
      <c r="C40" s="192"/>
      <c r="D40" s="196"/>
      <c r="E40" s="192" t="s">
        <v>171</v>
      </c>
      <c r="F40" s="191">
        <v>45</v>
      </c>
      <c r="G40" s="186"/>
      <c r="H40" s="186"/>
    </row>
    <row r="41" spans="1:8" x14ac:dyDescent="0.25">
      <c r="A41" s="186"/>
      <c r="B41" s="186"/>
      <c r="C41" s="186"/>
      <c r="D41" s="186"/>
      <c r="E41" s="186"/>
      <c r="F41" s="186"/>
      <c r="G41" s="186"/>
      <c r="H41" s="186"/>
    </row>
    <row r="42" spans="1:8" ht="28.5" x14ac:dyDescent="0.25">
      <c r="A42" s="188" t="s">
        <v>106</v>
      </c>
      <c r="B42" s="189">
        <v>168.44</v>
      </c>
      <c r="C42" s="197"/>
      <c r="D42" s="195"/>
      <c r="E42" s="197"/>
      <c r="F42" s="195"/>
      <c r="G42" s="188" t="s">
        <v>96</v>
      </c>
      <c r="H42" s="189">
        <v>198.55</v>
      </c>
    </row>
    <row r="43" spans="1:8" x14ac:dyDescent="0.25">
      <c r="A43" s="186"/>
      <c r="B43" s="186"/>
      <c r="C43" s="186"/>
      <c r="D43" s="186"/>
      <c r="E43" s="186"/>
      <c r="F43" s="186"/>
      <c r="G43" s="192" t="s">
        <v>149</v>
      </c>
      <c r="H43" s="191">
        <v>19.2</v>
      </c>
    </row>
    <row r="44" spans="1:8" x14ac:dyDescent="0.25">
      <c r="A44" s="192" t="s">
        <v>164</v>
      </c>
      <c r="B44" s="191">
        <v>15.02</v>
      </c>
      <c r="C44" s="192"/>
      <c r="D44" s="191"/>
      <c r="E44" s="186"/>
      <c r="F44" s="186"/>
      <c r="G44" s="190" t="s">
        <v>150</v>
      </c>
      <c r="H44" s="191">
        <v>31.8</v>
      </c>
    </row>
    <row r="45" spans="1:8" x14ac:dyDescent="0.25">
      <c r="A45" s="192" t="s">
        <v>164</v>
      </c>
      <c r="B45" s="191">
        <v>13.42</v>
      </c>
      <c r="C45" s="192"/>
      <c r="D45" s="191"/>
      <c r="E45" s="186"/>
      <c r="F45" s="186"/>
      <c r="G45" s="192" t="s">
        <v>151</v>
      </c>
      <c r="H45" s="191">
        <v>147.55000000000001</v>
      </c>
    </row>
    <row r="46" spans="1:8" ht="28.5" x14ac:dyDescent="0.25">
      <c r="A46" s="192" t="s">
        <v>120</v>
      </c>
      <c r="B46" s="191">
        <v>140</v>
      </c>
      <c r="C46" s="192"/>
      <c r="D46" s="191"/>
      <c r="E46" s="186"/>
      <c r="F46" s="186"/>
      <c r="G46" s="194" t="s">
        <v>108</v>
      </c>
      <c r="H46" s="189">
        <v>60.72</v>
      </c>
    </row>
    <row r="47" spans="1:8" x14ac:dyDescent="0.25">
      <c r="A47" s="186"/>
      <c r="B47" s="186"/>
      <c r="C47" s="186"/>
      <c r="D47" s="186"/>
      <c r="E47" s="186"/>
      <c r="F47" s="186"/>
      <c r="G47" s="190" t="s">
        <v>115</v>
      </c>
      <c r="H47" s="191">
        <v>60.72</v>
      </c>
    </row>
    <row r="48" spans="1:8" x14ac:dyDescent="0.25">
      <c r="C48" s="185"/>
      <c r="D48" s="185"/>
    </row>
    <row r="49" spans="3:4" x14ac:dyDescent="0.25">
      <c r="C49" s="184"/>
      <c r="D49" s="184"/>
    </row>
    <row r="50" spans="3:4" x14ac:dyDescent="0.25">
      <c r="C50" s="184"/>
      <c r="D50" s="184"/>
    </row>
    <row r="51" spans="3:4" x14ac:dyDescent="0.25">
      <c r="C51" s="184"/>
      <c r="D51" s="184"/>
    </row>
    <row r="52" spans="3:4" x14ac:dyDescent="0.25">
      <c r="C52" s="184"/>
      <c r="D52" s="184"/>
    </row>
    <row r="53" spans="3:4" x14ac:dyDescent="0.25">
      <c r="C53" s="184"/>
      <c r="D53" s="184"/>
    </row>
    <row r="54" spans="3:4" x14ac:dyDescent="0.25">
      <c r="C54" s="184"/>
      <c r="D54" s="184"/>
    </row>
    <row r="55" spans="3:4" x14ac:dyDescent="0.25">
      <c r="C55" s="184"/>
      <c r="D55" s="184"/>
    </row>
    <row r="56" spans="3:4" x14ac:dyDescent="0.25">
      <c r="C56" s="184"/>
      <c r="D56" s="184"/>
    </row>
    <row r="57" spans="3:4" x14ac:dyDescent="0.25">
      <c r="C57" s="184"/>
      <c r="D57" s="184"/>
    </row>
    <row r="58" spans="3:4" x14ac:dyDescent="0.25">
      <c r="C58" s="184"/>
      <c r="D58" s="184"/>
    </row>
    <row r="59" spans="3:4" x14ac:dyDescent="0.25">
      <c r="C59" s="184"/>
      <c r="D59" s="184"/>
    </row>
    <row r="60" spans="3:4" x14ac:dyDescent="0.25">
      <c r="C60" s="184"/>
      <c r="D60" s="184"/>
    </row>
    <row r="61" spans="3:4" x14ac:dyDescent="0.25">
      <c r="C61" s="184"/>
      <c r="D61" s="184"/>
    </row>
    <row r="62" spans="3:4" x14ac:dyDescent="0.25">
      <c r="C62" s="184"/>
      <c r="D62" s="184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A33E2-3063-4F88-B3E0-F147DBF58726}">
  <sheetPr>
    <tabColor theme="4" tint="0.79998168889431442"/>
  </sheetPr>
  <dimension ref="A1:F69"/>
  <sheetViews>
    <sheetView tabSelected="1" workbookViewId="0">
      <selection activeCell="C20" sqref="C20"/>
    </sheetView>
  </sheetViews>
  <sheetFormatPr defaultColWidth="10.140625" defaultRowHeight="18.75" outlineLevelRow="1" x14ac:dyDescent="0.25"/>
  <cols>
    <col min="1" max="1" width="8" style="6" customWidth="1"/>
    <col min="2" max="2" width="54.28515625" style="6" customWidth="1"/>
    <col min="3" max="6" width="20.7109375" style="6" customWidth="1"/>
    <col min="7" max="255" width="10.140625" style="6"/>
    <col min="256" max="256" width="8" style="6" customWidth="1"/>
    <col min="257" max="257" width="54.28515625" style="6" customWidth="1"/>
    <col min="258" max="258" width="0" style="6" hidden="1" customWidth="1"/>
    <col min="259" max="260" width="27.5703125" style="6" customWidth="1"/>
    <col min="261" max="261" width="17" style="6" customWidth="1"/>
    <col min="262" max="511" width="10.140625" style="6"/>
    <col min="512" max="512" width="8" style="6" customWidth="1"/>
    <col min="513" max="513" width="54.28515625" style="6" customWidth="1"/>
    <col min="514" max="514" width="0" style="6" hidden="1" customWidth="1"/>
    <col min="515" max="516" width="27.5703125" style="6" customWidth="1"/>
    <col min="517" max="517" width="17" style="6" customWidth="1"/>
    <col min="518" max="767" width="10.140625" style="6"/>
    <col min="768" max="768" width="8" style="6" customWidth="1"/>
    <col min="769" max="769" width="54.28515625" style="6" customWidth="1"/>
    <col min="770" max="770" width="0" style="6" hidden="1" customWidth="1"/>
    <col min="771" max="772" width="27.5703125" style="6" customWidth="1"/>
    <col min="773" max="773" width="17" style="6" customWidth="1"/>
    <col min="774" max="1023" width="10.140625" style="6"/>
    <col min="1024" max="1024" width="8" style="6" customWidth="1"/>
    <col min="1025" max="1025" width="54.28515625" style="6" customWidth="1"/>
    <col min="1026" max="1026" width="0" style="6" hidden="1" customWidth="1"/>
    <col min="1027" max="1028" width="27.5703125" style="6" customWidth="1"/>
    <col min="1029" max="1029" width="17" style="6" customWidth="1"/>
    <col min="1030" max="1279" width="10.140625" style="6"/>
    <col min="1280" max="1280" width="8" style="6" customWidth="1"/>
    <col min="1281" max="1281" width="54.28515625" style="6" customWidth="1"/>
    <col min="1282" max="1282" width="0" style="6" hidden="1" customWidth="1"/>
    <col min="1283" max="1284" width="27.5703125" style="6" customWidth="1"/>
    <col min="1285" max="1285" width="17" style="6" customWidth="1"/>
    <col min="1286" max="1535" width="10.140625" style="6"/>
    <col min="1536" max="1536" width="8" style="6" customWidth="1"/>
    <col min="1537" max="1537" width="54.28515625" style="6" customWidth="1"/>
    <col min="1538" max="1538" width="0" style="6" hidden="1" customWidth="1"/>
    <col min="1539" max="1540" width="27.5703125" style="6" customWidth="1"/>
    <col min="1541" max="1541" width="17" style="6" customWidth="1"/>
    <col min="1542" max="1791" width="10.140625" style="6"/>
    <col min="1792" max="1792" width="8" style="6" customWidth="1"/>
    <col min="1793" max="1793" width="54.28515625" style="6" customWidth="1"/>
    <col min="1794" max="1794" width="0" style="6" hidden="1" customWidth="1"/>
    <col min="1795" max="1796" width="27.5703125" style="6" customWidth="1"/>
    <col min="1797" max="1797" width="17" style="6" customWidth="1"/>
    <col min="1798" max="2047" width="10.140625" style="6"/>
    <col min="2048" max="2048" width="8" style="6" customWidth="1"/>
    <col min="2049" max="2049" width="54.28515625" style="6" customWidth="1"/>
    <col min="2050" max="2050" width="0" style="6" hidden="1" customWidth="1"/>
    <col min="2051" max="2052" width="27.5703125" style="6" customWidth="1"/>
    <col min="2053" max="2053" width="17" style="6" customWidth="1"/>
    <col min="2054" max="2303" width="10.140625" style="6"/>
    <col min="2304" max="2304" width="8" style="6" customWidth="1"/>
    <col min="2305" max="2305" width="54.28515625" style="6" customWidth="1"/>
    <col min="2306" max="2306" width="0" style="6" hidden="1" customWidth="1"/>
    <col min="2307" max="2308" width="27.5703125" style="6" customWidth="1"/>
    <col min="2309" max="2309" width="17" style="6" customWidth="1"/>
    <col min="2310" max="2559" width="10.140625" style="6"/>
    <col min="2560" max="2560" width="8" style="6" customWidth="1"/>
    <col min="2561" max="2561" width="54.28515625" style="6" customWidth="1"/>
    <col min="2562" max="2562" width="0" style="6" hidden="1" customWidth="1"/>
    <col min="2563" max="2564" width="27.5703125" style="6" customWidth="1"/>
    <col min="2565" max="2565" width="17" style="6" customWidth="1"/>
    <col min="2566" max="2815" width="10.140625" style="6"/>
    <col min="2816" max="2816" width="8" style="6" customWidth="1"/>
    <col min="2817" max="2817" width="54.28515625" style="6" customWidth="1"/>
    <col min="2818" max="2818" width="0" style="6" hidden="1" customWidth="1"/>
    <col min="2819" max="2820" width="27.5703125" style="6" customWidth="1"/>
    <col min="2821" max="2821" width="17" style="6" customWidth="1"/>
    <col min="2822" max="3071" width="10.140625" style="6"/>
    <col min="3072" max="3072" width="8" style="6" customWidth="1"/>
    <col min="3073" max="3073" width="54.28515625" style="6" customWidth="1"/>
    <col min="3074" max="3074" width="0" style="6" hidden="1" customWidth="1"/>
    <col min="3075" max="3076" width="27.5703125" style="6" customWidth="1"/>
    <col min="3077" max="3077" width="17" style="6" customWidth="1"/>
    <col min="3078" max="3327" width="10.140625" style="6"/>
    <col min="3328" max="3328" width="8" style="6" customWidth="1"/>
    <col min="3329" max="3329" width="54.28515625" style="6" customWidth="1"/>
    <col min="3330" max="3330" width="0" style="6" hidden="1" customWidth="1"/>
    <col min="3331" max="3332" width="27.5703125" style="6" customWidth="1"/>
    <col min="3333" max="3333" width="17" style="6" customWidth="1"/>
    <col min="3334" max="3583" width="10.140625" style="6"/>
    <col min="3584" max="3584" width="8" style="6" customWidth="1"/>
    <col min="3585" max="3585" width="54.28515625" style="6" customWidth="1"/>
    <col min="3586" max="3586" width="0" style="6" hidden="1" customWidth="1"/>
    <col min="3587" max="3588" width="27.5703125" style="6" customWidth="1"/>
    <col min="3589" max="3589" width="17" style="6" customWidth="1"/>
    <col min="3590" max="3839" width="10.140625" style="6"/>
    <col min="3840" max="3840" width="8" style="6" customWidth="1"/>
    <col min="3841" max="3841" width="54.28515625" style="6" customWidth="1"/>
    <col min="3842" max="3842" width="0" style="6" hidden="1" customWidth="1"/>
    <col min="3843" max="3844" width="27.5703125" style="6" customWidth="1"/>
    <col min="3845" max="3845" width="17" style="6" customWidth="1"/>
    <col min="3846" max="4095" width="10.140625" style="6"/>
    <col min="4096" max="4096" width="8" style="6" customWidth="1"/>
    <col min="4097" max="4097" width="54.28515625" style="6" customWidth="1"/>
    <col min="4098" max="4098" width="0" style="6" hidden="1" customWidth="1"/>
    <col min="4099" max="4100" width="27.5703125" style="6" customWidth="1"/>
    <col min="4101" max="4101" width="17" style="6" customWidth="1"/>
    <col min="4102" max="4351" width="10.140625" style="6"/>
    <col min="4352" max="4352" width="8" style="6" customWidth="1"/>
    <col min="4353" max="4353" width="54.28515625" style="6" customWidth="1"/>
    <col min="4354" max="4354" width="0" style="6" hidden="1" customWidth="1"/>
    <col min="4355" max="4356" width="27.5703125" style="6" customWidth="1"/>
    <col min="4357" max="4357" width="17" style="6" customWidth="1"/>
    <col min="4358" max="4607" width="10.140625" style="6"/>
    <col min="4608" max="4608" width="8" style="6" customWidth="1"/>
    <col min="4609" max="4609" width="54.28515625" style="6" customWidth="1"/>
    <col min="4610" max="4610" width="0" style="6" hidden="1" customWidth="1"/>
    <col min="4611" max="4612" width="27.5703125" style="6" customWidth="1"/>
    <col min="4613" max="4613" width="17" style="6" customWidth="1"/>
    <col min="4614" max="4863" width="10.140625" style="6"/>
    <col min="4864" max="4864" width="8" style="6" customWidth="1"/>
    <col min="4865" max="4865" width="54.28515625" style="6" customWidth="1"/>
    <col min="4866" max="4866" width="0" style="6" hidden="1" customWidth="1"/>
    <col min="4867" max="4868" width="27.5703125" style="6" customWidth="1"/>
    <col min="4869" max="4869" width="17" style="6" customWidth="1"/>
    <col min="4870" max="5119" width="10.140625" style="6"/>
    <col min="5120" max="5120" width="8" style="6" customWidth="1"/>
    <col min="5121" max="5121" width="54.28515625" style="6" customWidth="1"/>
    <col min="5122" max="5122" width="0" style="6" hidden="1" customWidth="1"/>
    <col min="5123" max="5124" width="27.5703125" style="6" customWidth="1"/>
    <col min="5125" max="5125" width="17" style="6" customWidth="1"/>
    <col min="5126" max="5375" width="10.140625" style="6"/>
    <col min="5376" max="5376" width="8" style="6" customWidth="1"/>
    <col min="5377" max="5377" width="54.28515625" style="6" customWidth="1"/>
    <col min="5378" max="5378" width="0" style="6" hidden="1" customWidth="1"/>
    <col min="5379" max="5380" width="27.5703125" style="6" customWidth="1"/>
    <col min="5381" max="5381" width="17" style="6" customWidth="1"/>
    <col min="5382" max="5631" width="10.140625" style="6"/>
    <col min="5632" max="5632" width="8" style="6" customWidth="1"/>
    <col min="5633" max="5633" width="54.28515625" style="6" customWidth="1"/>
    <col min="5634" max="5634" width="0" style="6" hidden="1" customWidth="1"/>
    <col min="5635" max="5636" width="27.5703125" style="6" customWidth="1"/>
    <col min="5637" max="5637" width="17" style="6" customWidth="1"/>
    <col min="5638" max="5887" width="10.140625" style="6"/>
    <col min="5888" max="5888" width="8" style="6" customWidth="1"/>
    <col min="5889" max="5889" width="54.28515625" style="6" customWidth="1"/>
    <col min="5890" max="5890" width="0" style="6" hidden="1" customWidth="1"/>
    <col min="5891" max="5892" width="27.5703125" style="6" customWidth="1"/>
    <col min="5893" max="5893" width="17" style="6" customWidth="1"/>
    <col min="5894" max="6143" width="10.140625" style="6"/>
    <col min="6144" max="6144" width="8" style="6" customWidth="1"/>
    <col min="6145" max="6145" width="54.28515625" style="6" customWidth="1"/>
    <col min="6146" max="6146" width="0" style="6" hidden="1" customWidth="1"/>
    <col min="6147" max="6148" width="27.5703125" style="6" customWidth="1"/>
    <col min="6149" max="6149" width="17" style="6" customWidth="1"/>
    <col min="6150" max="6399" width="10.140625" style="6"/>
    <col min="6400" max="6400" width="8" style="6" customWidth="1"/>
    <col min="6401" max="6401" width="54.28515625" style="6" customWidth="1"/>
    <col min="6402" max="6402" width="0" style="6" hidden="1" customWidth="1"/>
    <col min="6403" max="6404" width="27.5703125" style="6" customWidth="1"/>
    <col min="6405" max="6405" width="17" style="6" customWidth="1"/>
    <col min="6406" max="6655" width="10.140625" style="6"/>
    <col min="6656" max="6656" width="8" style="6" customWidth="1"/>
    <col min="6657" max="6657" width="54.28515625" style="6" customWidth="1"/>
    <col min="6658" max="6658" width="0" style="6" hidden="1" customWidth="1"/>
    <col min="6659" max="6660" width="27.5703125" style="6" customWidth="1"/>
    <col min="6661" max="6661" width="17" style="6" customWidth="1"/>
    <col min="6662" max="6911" width="10.140625" style="6"/>
    <col min="6912" max="6912" width="8" style="6" customWidth="1"/>
    <col min="6913" max="6913" width="54.28515625" style="6" customWidth="1"/>
    <col min="6914" max="6914" width="0" style="6" hidden="1" customWidth="1"/>
    <col min="6915" max="6916" width="27.5703125" style="6" customWidth="1"/>
    <col min="6917" max="6917" width="17" style="6" customWidth="1"/>
    <col min="6918" max="7167" width="10.140625" style="6"/>
    <col min="7168" max="7168" width="8" style="6" customWidth="1"/>
    <col min="7169" max="7169" width="54.28515625" style="6" customWidth="1"/>
    <col min="7170" max="7170" width="0" style="6" hidden="1" customWidth="1"/>
    <col min="7171" max="7172" width="27.5703125" style="6" customWidth="1"/>
    <col min="7173" max="7173" width="17" style="6" customWidth="1"/>
    <col min="7174" max="7423" width="10.140625" style="6"/>
    <col min="7424" max="7424" width="8" style="6" customWidth="1"/>
    <col min="7425" max="7425" width="54.28515625" style="6" customWidth="1"/>
    <col min="7426" max="7426" width="0" style="6" hidden="1" customWidth="1"/>
    <col min="7427" max="7428" width="27.5703125" style="6" customWidth="1"/>
    <col min="7429" max="7429" width="17" style="6" customWidth="1"/>
    <col min="7430" max="7679" width="10.140625" style="6"/>
    <col min="7680" max="7680" width="8" style="6" customWidth="1"/>
    <col min="7681" max="7681" width="54.28515625" style="6" customWidth="1"/>
    <col min="7682" max="7682" width="0" style="6" hidden="1" customWidth="1"/>
    <col min="7683" max="7684" width="27.5703125" style="6" customWidth="1"/>
    <col min="7685" max="7685" width="17" style="6" customWidth="1"/>
    <col min="7686" max="7935" width="10.140625" style="6"/>
    <col min="7936" max="7936" width="8" style="6" customWidth="1"/>
    <col min="7937" max="7937" width="54.28515625" style="6" customWidth="1"/>
    <col min="7938" max="7938" width="0" style="6" hidden="1" customWidth="1"/>
    <col min="7939" max="7940" width="27.5703125" style="6" customWidth="1"/>
    <col min="7941" max="7941" width="17" style="6" customWidth="1"/>
    <col min="7942" max="8191" width="10.140625" style="6"/>
    <col min="8192" max="8192" width="8" style="6" customWidth="1"/>
    <col min="8193" max="8193" width="54.28515625" style="6" customWidth="1"/>
    <col min="8194" max="8194" width="0" style="6" hidden="1" customWidth="1"/>
    <col min="8195" max="8196" width="27.5703125" style="6" customWidth="1"/>
    <col min="8197" max="8197" width="17" style="6" customWidth="1"/>
    <col min="8198" max="8447" width="10.140625" style="6"/>
    <col min="8448" max="8448" width="8" style="6" customWidth="1"/>
    <col min="8449" max="8449" width="54.28515625" style="6" customWidth="1"/>
    <col min="8450" max="8450" width="0" style="6" hidden="1" customWidth="1"/>
    <col min="8451" max="8452" width="27.5703125" style="6" customWidth="1"/>
    <col min="8453" max="8453" width="17" style="6" customWidth="1"/>
    <col min="8454" max="8703" width="10.140625" style="6"/>
    <col min="8704" max="8704" width="8" style="6" customWidth="1"/>
    <col min="8705" max="8705" width="54.28515625" style="6" customWidth="1"/>
    <col min="8706" max="8706" width="0" style="6" hidden="1" customWidth="1"/>
    <col min="8707" max="8708" width="27.5703125" style="6" customWidth="1"/>
    <col min="8709" max="8709" width="17" style="6" customWidth="1"/>
    <col min="8710" max="8959" width="10.140625" style="6"/>
    <col min="8960" max="8960" width="8" style="6" customWidth="1"/>
    <col min="8961" max="8961" width="54.28515625" style="6" customWidth="1"/>
    <col min="8962" max="8962" width="0" style="6" hidden="1" customWidth="1"/>
    <col min="8963" max="8964" width="27.5703125" style="6" customWidth="1"/>
    <col min="8965" max="8965" width="17" style="6" customWidth="1"/>
    <col min="8966" max="9215" width="10.140625" style="6"/>
    <col min="9216" max="9216" width="8" style="6" customWidth="1"/>
    <col min="9217" max="9217" width="54.28515625" style="6" customWidth="1"/>
    <col min="9218" max="9218" width="0" style="6" hidden="1" customWidth="1"/>
    <col min="9219" max="9220" width="27.5703125" style="6" customWidth="1"/>
    <col min="9221" max="9221" width="17" style="6" customWidth="1"/>
    <col min="9222" max="9471" width="10.140625" style="6"/>
    <col min="9472" max="9472" width="8" style="6" customWidth="1"/>
    <col min="9473" max="9473" width="54.28515625" style="6" customWidth="1"/>
    <col min="9474" max="9474" width="0" style="6" hidden="1" customWidth="1"/>
    <col min="9475" max="9476" width="27.5703125" style="6" customWidth="1"/>
    <col min="9477" max="9477" width="17" style="6" customWidth="1"/>
    <col min="9478" max="9727" width="10.140625" style="6"/>
    <col min="9728" max="9728" width="8" style="6" customWidth="1"/>
    <col min="9729" max="9729" width="54.28515625" style="6" customWidth="1"/>
    <col min="9730" max="9730" width="0" style="6" hidden="1" customWidth="1"/>
    <col min="9731" max="9732" width="27.5703125" style="6" customWidth="1"/>
    <col min="9733" max="9733" width="17" style="6" customWidth="1"/>
    <col min="9734" max="9983" width="10.140625" style="6"/>
    <col min="9984" max="9984" width="8" style="6" customWidth="1"/>
    <col min="9985" max="9985" width="54.28515625" style="6" customWidth="1"/>
    <col min="9986" max="9986" width="0" style="6" hidden="1" customWidth="1"/>
    <col min="9987" max="9988" width="27.5703125" style="6" customWidth="1"/>
    <col min="9989" max="9989" width="17" style="6" customWidth="1"/>
    <col min="9990" max="10239" width="10.140625" style="6"/>
    <col min="10240" max="10240" width="8" style="6" customWidth="1"/>
    <col min="10241" max="10241" width="54.28515625" style="6" customWidth="1"/>
    <col min="10242" max="10242" width="0" style="6" hidden="1" customWidth="1"/>
    <col min="10243" max="10244" width="27.5703125" style="6" customWidth="1"/>
    <col min="10245" max="10245" width="17" style="6" customWidth="1"/>
    <col min="10246" max="10495" width="10.140625" style="6"/>
    <col min="10496" max="10496" width="8" style="6" customWidth="1"/>
    <col min="10497" max="10497" width="54.28515625" style="6" customWidth="1"/>
    <col min="10498" max="10498" width="0" style="6" hidden="1" customWidth="1"/>
    <col min="10499" max="10500" width="27.5703125" style="6" customWidth="1"/>
    <col min="10501" max="10501" width="17" style="6" customWidth="1"/>
    <col min="10502" max="10751" width="10.140625" style="6"/>
    <col min="10752" max="10752" width="8" style="6" customWidth="1"/>
    <col min="10753" max="10753" width="54.28515625" style="6" customWidth="1"/>
    <col min="10754" max="10754" width="0" style="6" hidden="1" customWidth="1"/>
    <col min="10755" max="10756" width="27.5703125" style="6" customWidth="1"/>
    <col min="10757" max="10757" width="17" style="6" customWidth="1"/>
    <col min="10758" max="11007" width="10.140625" style="6"/>
    <col min="11008" max="11008" width="8" style="6" customWidth="1"/>
    <col min="11009" max="11009" width="54.28515625" style="6" customWidth="1"/>
    <col min="11010" max="11010" width="0" style="6" hidden="1" customWidth="1"/>
    <col min="11011" max="11012" width="27.5703125" style="6" customWidth="1"/>
    <col min="11013" max="11013" width="17" style="6" customWidth="1"/>
    <col min="11014" max="11263" width="10.140625" style="6"/>
    <col min="11264" max="11264" width="8" style="6" customWidth="1"/>
    <col min="11265" max="11265" width="54.28515625" style="6" customWidth="1"/>
    <col min="11266" max="11266" width="0" style="6" hidden="1" customWidth="1"/>
    <col min="11267" max="11268" width="27.5703125" style="6" customWidth="1"/>
    <col min="11269" max="11269" width="17" style="6" customWidth="1"/>
    <col min="11270" max="11519" width="10.140625" style="6"/>
    <col min="11520" max="11520" width="8" style="6" customWidth="1"/>
    <col min="11521" max="11521" width="54.28515625" style="6" customWidth="1"/>
    <col min="11522" max="11522" width="0" style="6" hidden="1" customWidth="1"/>
    <col min="11523" max="11524" width="27.5703125" style="6" customWidth="1"/>
    <col min="11525" max="11525" width="17" style="6" customWidth="1"/>
    <col min="11526" max="11775" width="10.140625" style="6"/>
    <col min="11776" max="11776" width="8" style="6" customWidth="1"/>
    <col min="11777" max="11777" width="54.28515625" style="6" customWidth="1"/>
    <col min="11778" max="11778" width="0" style="6" hidden="1" customWidth="1"/>
    <col min="11779" max="11780" width="27.5703125" style="6" customWidth="1"/>
    <col min="11781" max="11781" width="17" style="6" customWidth="1"/>
    <col min="11782" max="12031" width="10.140625" style="6"/>
    <col min="12032" max="12032" width="8" style="6" customWidth="1"/>
    <col min="12033" max="12033" width="54.28515625" style="6" customWidth="1"/>
    <col min="12034" max="12034" width="0" style="6" hidden="1" customWidth="1"/>
    <col min="12035" max="12036" width="27.5703125" style="6" customWidth="1"/>
    <col min="12037" max="12037" width="17" style="6" customWidth="1"/>
    <col min="12038" max="12287" width="10.140625" style="6"/>
    <col min="12288" max="12288" width="8" style="6" customWidth="1"/>
    <col min="12289" max="12289" width="54.28515625" style="6" customWidth="1"/>
    <col min="12290" max="12290" width="0" style="6" hidden="1" customWidth="1"/>
    <col min="12291" max="12292" width="27.5703125" style="6" customWidth="1"/>
    <col min="12293" max="12293" width="17" style="6" customWidth="1"/>
    <col min="12294" max="12543" width="10.140625" style="6"/>
    <col min="12544" max="12544" width="8" style="6" customWidth="1"/>
    <col min="12545" max="12545" width="54.28515625" style="6" customWidth="1"/>
    <col min="12546" max="12546" width="0" style="6" hidden="1" customWidth="1"/>
    <col min="12547" max="12548" width="27.5703125" style="6" customWidth="1"/>
    <col min="12549" max="12549" width="17" style="6" customWidth="1"/>
    <col min="12550" max="12799" width="10.140625" style="6"/>
    <col min="12800" max="12800" width="8" style="6" customWidth="1"/>
    <col min="12801" max="12801" width="54.28515625" style="6" customWidth="1"/>
    <col min="12802" max="12802" width="0" style="6" hidden="1" customWidth="1"/>
    <col min="12803" max="12804" width="27.5703125" style="6" customWidth="1"/>
    <col min="12805" max="12805" width="17" style="6" customWidth="1"/>
    <col min="12806" max="13055" width="10.140625" style="6"/>
    <col min="13056" max="13056" width="8" style="6" customWidth="1"/>
    <col min="13057" max="13057" width="54.28515625" style="6" customWidth="1"/>
    <col min="13058" max="13058" width="0" style="6" hidden="1" customWidth="1"/>
    <col min="13059" max="13060" width="27.5703125" style="6" customWidth="1"/>
    <col min="13061" max="13061" width="17" style="6" customWidth="1"/>
    <col min="13062" max="13311" width="10.140625" style="6"/>
    <col min="13312" max="13312" width="8" style="6" customWidth="1"/>
    <col min="13313" max="13313" width="54.28515625" style="6" customWidth="1"/>
    <col min="13314" max="13314" width="0" style="6" hidden="1" customWidth="1"/>
    <col min="13315" max="13316" width="27.5703125" style="6" customWidth="1"/>
    <col min="13317" max="13317" width="17" style="6" customWidth="1"/>
    <col min="13318" max="13567" width="10.140625" style="6"/>
    <col min="13568" max="13568" width="8" style="6" customWidth="1"/>
    <col min="13569" max="13569" width="54.28515625" style="6" customWidth="1"/>
    <col min="13570" max="13570" width="0" style="6" hidden="1" customWidth="1"/>
    <col min="13571" max="13572" width="27.5703125" style="6" customWidth="1"/>
    <col min="13573" max="13573" width="17" style="6" customWidth="1"/>
    <col min="13574" max="13823" width="10.140625" style="6"/>
    <col min="13824" max="13824" width="8" style="6" customWidth="1"/>
    <col min="13825" max="13825" width="54.28515625" style="6" customWidth="1"/>
    <col min="13826" max="13826" width="0" style="6" hidden="1" customWidth="1"/>
    <col min="13827" max="13828" width="27.5703125" style="6" customWidth="1"/>
    <col min="13829" max="13829" width="17" style="6" customWidth="1"/>
    <col min="13830" max="14079" width="10.140625" style="6"/>
    <col min="14080" max="14080" width="8" style="6" customWidth="1"/>
    <col min="14081" max="14081" width="54.28515625" style="6" customWidth="1"/>
    <col min="14082" max="14082" width="0" style="6" hidden="1" customWidth="1"/>
    <col min="14083" max="14084" width="27.5703125" style="6" customWidth="1"/>
    <col min="14085" max="14085" width="17" style="6" customWidth="1"/>
    <col min="14086" max="14335" width="10.140625" style="6"/>
    <col min="14336" max="14336" width="8" style="6" customWidth="1"/>
    <col min="14337" max="14337" width="54.28515625" style="6" customWidth="1"/>
    <col min="14338" max="14338" width="0" style="6" hidden="1" customWidth="1"/>
    <col min="14339" max="14340" width="27.5703125" style="6" customWidth="1"/>
    <col min="14341" max="14341" width="17" style="6" customWidth="1"/>
    <col min="14342" max="14591" width="10.140625" style="6"/>
    <col min="14592" max="14592" width="8" style="6" customWidth="1"/>
    <col min="14593" max="14593" width="54.28515625" style="6" customWidth="1"/>
    <col min="14594" max="14594" width="0" style="6" hidden="1" customWidth="1"/>
    <col min="14595" max="14596" width="27.5703125" style="6" customWidth="1"/>
    <col min="14597" max="14597" width="17" style="6" customWidth="1"/>
    <col min="14598" max="14847" width="10.140625" style="6"/>
    <col min="14848" max="14848" width="8" style="6" customWidth="1"/>
    <col min="14849" max="14849" width="54.28515625" style="6" customWidth="1"/>
    <col min="14850" max="14850" width="0" style="6" hidden="1" customWidth="1"/>
    <col min="14851" max="14852" width="27.5703125" style="6" customWidth="1"/>
    <col min="14853" max="14853" width="17" style="6" customWidth="1"/>
    <col min="14854" max="15103" width="10.140625" style="6"/>
    <col min="15104" max="15104" width="8" style="6" customWidth="1"/>
    <col min="15105" max="15105" width="54.28515625" style="6" customWidth="1"/>
    <col min="15106" max="15106" width="0" style="6" hidden="1" customWidth="1"/>
    <col min="15107" max="15108" width="27.5703125" style="6" customWidth="1"/>
    <col min="15109" max="15109" width="17" style="6" customWidth="1"/>
    <col min="15110" max="15359" width="10.140625" style="6"/>
    <col min="15360" max="15360" width="8" style="6" customWidth="1"/>
    <col min="15361" max="15361" width="54.28515625" style="6" customWidth="1"/>
    <col min="15362" max="15362" width="0" style="6" hidden="1" customWidth="1"/>
    <col min="15363" max="15364" width="27.5703125" style="6" customWidth="1"/>
    <col min="15365" max="15365" width="17" style="6" customWidth="1"/>
    <col min="15366" max="15615" width="10.140625" style="6"/>
    <col min="15616" max="15616" width="8" style="6" customWidth="1"/>
    <col min="15617" max="15617" width="54.28515625" style="6" customWidth="1"/>
    <col min="15618" max="15618" width="0" style="6" hidden="1" customWidth="1"/>
    <col min="15619" max="15620" width="27.5703125" style="6" customWidth="1"/>
    <col min="15621" max="15621" width="17" style="6" customWidth="1"/>
    <col min="15622" max="15871" width="10.140625" style="6"/>
    <col min="15872" max="15872" width="8" style="6" customWidth="1"/>
    <col min="15873" max="15873" width="54.28515625" style="6" customWidth="1"/>
    <col min="15874" max="15874" width="0" style="6" hidden="1" customWidth="1"/>
    <col min="15875" max="15876" width="27.5703125" style="6" customWidth="1"/>
    <col min="15877" max="15877" width="17" style="6" customWidth="1"/>
    <col min="15878" max="16127" width="10.140625" style="6"/>
    <col min="16128" max="16128" width="8" style="6" customWidth="1"/>
    <col min="16129" max="16129" width="54.28515625" style="6" customWidth="1"/>
    <col min="16130" max="16130" width="0" style="6" hidden="1" customWidth="1"/>
    <col min="16131" max="16132" width="27.5703125" style="6" customWidth="1"/>
    <col min="16133" max="16133" width="17" style="6" customWidth="1"/>
    <col min="16134" max="16384" width="10.140625" style="6"/>
  </cols>
  <sheetData>
    <row r="1" spans="1:6" x14ac:dyDescent="0.25">
      <c r="A1" s="232" t="s">
        <v>111</v>
      </c>
      <c r="B1" s="232"/>
      <c r="C1" s="232"/>
      <c r="D1" s="232"/>
      <c r="E1" s="232"/>
      <c r="F1" s="232"/>
    </row>
    <row r="2" spans="1:6" x14ac:dyDescent="0.25">
      <c r="A2" s="232" t="s">
        <v>77</v>
      </c>
      <c r="B2" s="232"/>
      <c r="C2" s="232"/>
      <c r="D2" s="232"/>
      <c r="E2" s="232"/>
      <c r="F2" s="232"/>
    </row>
    <row r="3" spans="1:6" ht="20.45" customHeight="1" x14ac:dyDescent="0.25">
      <c r="A3" s="232"/>
      <c r="B3" s="232"/>
      <c r="C3" s="232"/>
      <c r="D3" s="232"/>
    </row>
    <row r="4" spans="1:6" x14ac:dyDescent="0.25">
      <c r="A4" s="231" t="s">
        <v>0</v>
      </c>
      <c r="B4" s="231" t="s">
        <v>1</v>
      </c>
      <c r="C4" s="231"/>
      <c r="D4" s="231"/>
    </row>
    <row r="5" spans="1:6" x14ac:dyDescent="0.25">
      <c r="A5" s="231"/>
      <c r="B5" s="231"/>
      <c r="C5" s="231" t="s">
        <v>59</v>
      </c>
      <c r="D5" s="231" t="s">
        <v>70</v>
      </c>
      <c r="E5" s="231" t="s">
        <v>72</v>
      </c>
      <c r="F5" s="231" t="s">
        <v>74</v>
      </c>
    </row>
    <row r="6" spans="1:6" x14ac:dyDescent="0.25">
      <c r="A6" s="231"/>
      <c r="B6" s="231"/>
      <c r="C6" s="231"/>
      <c r="D6" s="231"/>
      <c r="E6" s="231"/>
      <c r="F6" s="231"/>
    </row>
    <row r="7" spans="1:6" x14ac:dyDescent="0.25">
      <c r="A7" s="92"/>
      <c r="B7" s="9" t="s">
        <v>41</v>
      </c>
      <c r="C7" s="10">
        <f>C8+C9</f>
        <v>64546.080000000002</v>
      </c>
      <c r="D7" s="10">
        <f>D8+D9</f>
        <v>71531.689999999973</v>
      </c>
      <c r="E7" s="10">
        <f>E8+E9</f>
        <v>69577.469999999943</v>
      </c>
      <c r="F7" s="10">
        <f>F8+F9</f>
        <v>72810.699999999939</v>
      </c>
    </row>
    <row r="8" spans="1:6" x14ac:dyDescent="0.25">
      <c r="A8" s="92"/>
      <c r="B8" s="59" t="s">
        <v>42</v>
      </c>
      <c r="C8" s="60">
        <v>3427.71</v>
      </c>
      <c r="D8" s="60">
        <f t="shared" ref="D8:F9" si="0">C38</f>
        <v>1762.5599999999686</v>
      </c>
      <c r="E8" s="60">
        <f t="shared" si="0"/>
        <v>2705.9099999999453</v>
      </c>
      <c r="F8" s="60">
        <f t="shared" si="0"/>
        <v>1165.5899999999383</v>
      </c>
    </row>
    <row r="9" spans="1:6" x14ac:dyDescent="0.25">
      <c r="A9" s="92"/>
      <c r="B9" s="59" t="s">
        <v>43</v>
      </c>
      <c r="C9" s="61">
        <v>61118.37</v>
      </c>
      <c r="D9" s="60">
        <f t="shared" si="0"/>
        <v>69769.13</v>
      </c>
      <c r="E9" s="60">
        <f t="shared" si="0"/>
        <v>66871.56</v>
      </c>
      <c r="F9" s="60">
        <f t="shared" si="0"/>
        <v>71645.11</v>
      </c>
    </row>
    <row r="10" spans="1:6" x14ac:dyDescent="0.3">
      <c r="A10" s="92"/>
      <c r="B10" s="62" t="s">
        <v>44</v>
      </c>
      <c r="C10" s="61">
        <f>SUM(C11:C17)</f>
        <v>144746.56</v>
      </c>
      <c r="D10" s="61">
        <f>SUM(D11:D17)</f>
        <v>95548.239999999991</v>
      </c>
      <c r="E10" s="61">
        <f>SUM(E11:E17)</f>
        <v>79867.14</v>
      </c>
      <c r="F10" s="61">
        <f>SUM(F11:F17)</f>
        <v>123026.07</v>
      </c>
    </row>
    <row r="11" spans="1:6" outlineLevel="1" x14ac:dyDescent="0.25">
      <c r="A11" s="63" t="s">
        <v>81</v>
      </c>
      <c r="B11" s="64" t="s">
        <v>45</v>
      </c>
      <c r="C11" s="65">
        <v>810</v>
      </c>
      <c r="D11" s="65">
        <v>1890</v>
      </c>
      <c r="E11" s="65">
        <v>1080</v>
      </c>
      <c r="F11" s="65">
        <v>270</v>
      </c>
    </row>
    <row r="12" spans="1:6" outlineLevel="1" x14ac:dyDescent="0.25">
      <c r="A12" s="66" t="s">
        <v>82</v>
      </c>
      <c r="B12" s="14" t="s">
        <v>46</v>
      </c>
      <c r="C12" s="15">
        <v>31959.27</v>
      </c>
      <c r="D12" s="15">
        <v>30211.43</v>
      </c>
      <c r="E12" s="15">
        <v>18267.84</v>
      </c>
      <c r="F12" s="15">
        <v>18745.98</v>
      </c>
    </row>
    <row r="13" spans="1:6" outlineLevel="1" x14ac:dyDescent="0.25">
      <c r="A13" s="66" t="s">
        <v>83</v>
      </c>
      <c r="B13" s="14" t="s">
        <v>84</v>
      </c>
      <c r="C13" s="15">
        <v>44416.160000000003</v>
      </c>
      <c r="D13" s="15">
        <v>47729.94</v>
      </c>
      <c r="E13" s="15">
        <v>55147.18</v>
      </c>
      <c r="F13" s="15">
        <v>56240.480000000003</v>
      </c>
    </row>
    <row r="14" spans="1:6" outlineLevel="1" x14ac:dyDescent="0.25">
      <c r="A14" s="67" t="s">
        <v>85</v>
      </c>
      <c r="B14" s="14" t="s">
        <v>5</v>
      </c>
      <c r="C14" s="15">
        <v>200</v>
      </c>
      <c r="D14" s="15">
        <v>1100.0999999999999</v>
      </c>
      <c r="E14" s="15">
        <v>350</v>
      </c>
      <c r="F14" s="15">
        <v>150</v>
      </c>
    </row>
    <row r="15" spans="1:6" outlineLevel="1" x14ac:dyDescent="0.25">
      <c r="A15" s="67" t="s">
        <v>86</v>
      </c>
      <c r="B15" s="14" t="s">
        <v>47</v>
      </c>
      <c r="C15" s="15">
        <v>0</v>
      </c>
      <c r="D15" s="15">
        <f>3363.94+75.6</f>
        <v>3439.54</v>
      </c>
      <c r="E15" s="15">
        <v>3791.5</v>
      </c>
      <c r="F15" s="15">
        <f>963.4+5341.5</f>
        <v>6304.9</v>
      </c>
    </row>
    <row r="16" spans="1:6" outlineLevel="1" x14ac:dyDescent="0.25">
      <c r="A16" s="66" t="s">
        <v>87</v>
      </c>
      <c r="B16" s="14" t="s">
        <v>48</v>
      </c>
      <c r="C16" s="15">
        <v>1242.76</v>
      </c>
      <c r="D16" s="15">
        <v>1177.23</v>
      </c>
      <c r="E16" s="15">
        <v>1230.6199999999999</v>
      </c>
      <c r="F16" s="15">
        <v>1314.71</v>
      </c>
    </row>
    <row r="17" spans="1:6" outlineLevel="1" x14ac:dyDescent="0.25">
      <c r="A17" s="66" t="s">
        <v>88</v>
      </c>
      <c r="B17" s="14" t="s">
        <v>49</v>
      </c>
      <c r="C17" s="15">
        <v>66118.37</v>
      </c>
      <c r="D17" s="15">
        <v>10000</v>
      </c>
      <c r="E17" s="15">
        <v>0</v>
      </c>
      <c r="F17" s="15">
        <v>40000</v>
      </c>
    </row>
    <row r="18" spans="1:6" x14ac:dyDescent="0.25">
      <c r="A18" s="66"/>
      <c r="B18" s="9" t="s">
        <v>50</v>
      </c>
      <c r="C18" s="68">
        <f>SUM(C19:C35)</f>
        <v>146411.71000000002</v>
      </c>
      <c r="D18" s="68">
        <f>SUM(D19:D35)</f>
        <v>94604.890000000014</v>
      </c>
      <c r="E18" s="68">
        <f>SUM(E19:E35)</f>
        <v>81407.460000000006</v>
      </c>
      <c r="F18" s="68">
        <f>SUM(F19:F36)</f>
        <v>118169.11000000002</v>
      </c>
    </row>
    <row r="19" spans="1:6" ht="24.6" customHeight="1" x14ac:dyDescent="0.25">
      <c r="A19" s="66">
        <v>1</v>
      </c>
      <c r="B19" s="69" t="s">
        <v>61</v>
      </c>
      <c r="C19" s="15">
        <v>0</v>
      </c>
      <c r="D19" s="15"/>
      <c r="E19" s="15">
        <v>29.37</v>
      </c>
      <c r="F19" s="15">
        <v>46.23</v>
      </c>
    </row>
    <row r="20" spans="1:6" x14ac:dyDescent="0.25">
      <c r="A20" s="67" t="s">
        <v>89</v>
      </c>
      <c r="B20" s="14" t="s">
        <v>60</v>
      </c>
      <c r="C20" s="15">
        <v>35024.769999999997</v>
      </c>
      <c r="D20" s="15">
        <v>52614.239999999998</v>
      </c>
      <c r="E20" s="15">
        <v>44669.99</v>
      </c>
      <c r="F20" s="15">
        <v>34477.58</v>
      </c>
    </row>
    <row r="21" spans="1:6" outlineLevel="1" x14ac:dyDescent="0.25">
      <c r="A21" s="66">
        <v>3</v>
      </c>
      <c r="B21" s="14" t="s">
        <v>62</v>
      </c>
      <c r="C21" s="15">
        <v>0</v>
      </c>
      <c r="D21" s="15">
        <v>1656</v>
      </c>
      <c r="E21" s="15">
        <v>0</v>
      </c>
      <c r="F21" s="36">
        <v>2868.72</v>
      </c>
    </row>
    <row r="22" spans="1:6" outlineLevel="1" x14ac:dyDescent="0.25">
      <c r="A22" s="67" t="s">
        <v>13</v>
      </c>
      <c r="B22" s="14" t="s">
        <v>8</v>
      </c>
      <c r="C22" s="15">
        <v>91.87</v>
      </c>
      <c r="D22" s="15">
        <v>223.52</v>
      </c>
      <c r="E22" s="15">
        <v>2735.21</v>
      </c>
      <c r="F22" s="15">
        <v>102.18</v>
      </c>
    </row>
    <row r="23" spans="1:6" outlineLevel="1" x14ac:dyDescent="0.25">
      <c r="A23" s="66">
        <v>5</v>
      </c>
      <c r="B23" s="14" t="s">
        <v>54</v>
      </c>
      <c r="C23" s="15">
        <v>886.21</v>
      </c>
      <c r="D23" s="15">
        <v>1039.83</v>
      </c>
      <c r="E23" s="15">
        <v>1069</v>
      </c>
      <c r="F23" s="15">
        <v>1161.6199999999999</v>
      </c>
    </row>
    <row r="24" spans="1:6" outlineLevel="1" x14ac:dyDescent="0.25">
      <c r="A24" s="67" t="s">
        <v>90</v>
      </c>
      <c r="B24" s="14" t="s">
        <v>53</v>
      </c>
      <c r="C24" s="15">
        <v>77.58</v>
      </c>
      <c r="D24" s="15">
        <v>56.05</v>
      </c>
      <c r="E24" s="15">
        <v>77.48</v>
      </c>
      <c r="F24" s="15">
        <v>78.150000000000006</v>
      </c>
    </row>
    <row r="25" spans="1:6" outlineLevel="1" x14ac:dyDescent="0.25">
      <c r="A25" s="66">
        <v>7</v>
      </c>
      <c r="B25" s="14" t="s">
        <v>63</v>
      </c>
      <c r="C25" s="36">
        <v>654.72</v>
      </c>
      <c r="D25" s="36">
        <v>806.4</v>
      </c>
      <c r="E25" s="36">
        <v>1440</v>
      </c>
      <c r="F25" s="36">
        <v>2931.34</v>
      </c>
    </row>
    <row r="26" spans="1:6" x14ac:dyDescent="0.25">
      <c r="A26" s="67" t="s">
        <v>91</v>
      </c>
      <c r="B26" s="14" t="s">
        <v>69</v>
      </c>
      <c r="C26" s="15">
        <f>65.7+544.15+28.44+1685.75+6859.82</f>
        <v>9183.86</v>
      </c>
      <c r="D26" s="15">
        <f>65.7+4115.8+6734.29+300+551.81</f>
        <v>11767.6</v>
      </c>
      <c r="E26" s="15">
        <f>65.7+540+66+300+535+1281.58</f>
        <v>2788.2799999999997</v>
      </c>
      <c r="F26" s="15">
        <f>65.7+501.5+723.75+84.11+551.81</f>
        <v>1926.87</v>
      </c>
    </row>
    <row r="27" spans="1:6" outlineLevel="1" x14ac:dyDescent="0.25">
      <c r="A27" s="66">
        <v>9</v>
      </c>
      <c r="B27" s="14" t="s">
        <v>52</v>
      </c>
      <c r="C27" s="36">
        <v>1888.33</v>
      </c>
      <c r="D27" s="36">
        <v>1949.97</v>
      </c>
      <c r="E27" s="36">
        <v>1910.7</v>
      </c>
      <c r="F27" s="36">
        <v>2990.1</v>
      </c>
    </row>
    <row r="28" spans="1:6" ht="37.5" outlineLevel="1" x14ac:dyDescent="0.25">
      <c r="A28" s="67" t="s">
        <v>92</v>
      </c>
      <c r="B28" s="14" t="s">
        <v>64</v>
      </c>
      <c r="C28" s="36">
        <v>263.48</v>
      </c>
      <c r="D28" s="36">
        <v>186.4</v>
      </c>
      <c r="E28" s="36">
        <v>277.61</v>
      </c>
      <c r="F28" s="36">
        <v>432.62</v>
      </c>
    </row>
    <row r="29" spans="1:6" outlineLevel="1" x14ac:dyDescent="0.25">
      <c r="A29" s="66">
        <v>11</v>
      </c>
      <c r="B29" s="14" t="s">
        <v>65</v>
      </c>
      <c r="C29" s="36">
        <v>290.45</v>
      </c>
      <c r="D29" s="36">
        <v>176.52</v>
      </c>
      <c r="E29" s="36">
        <v>283.83999999999997</v>
      </c>
      <c r="F29" s="36">
        <v>452.01</v>
      </c>
    </row>
    <row r="30" spans="1:6" outlineLevel="1" x14ac:dyDescent="0.25">
      <c r="A30" s="66">
        <v>12</v>
      </c>
      <c r="B30" s="14" t="s">
        <v>112</v>
      </c>
      <c r="C30" s="36">
        <f>166.88+0.26</f>
        <v>167.14</v>
      </c>
      <c r="D30" s="36">
        <v>105.61</v>
      </c>
      <c r="E30" s="36">
        <v>154.72999999999999</v>
      </c>
      <c r="F30" s="36">
        <v>131.49</v>
      </c>
    </row>
    <row r="31" spans="1:6" ht="37.5" outlineLevel="1" x14ac:dyDescent="0.25">
      <c r="A31" s="67" t="s">
        <v>113</v>
      </c>
      <c r="B31" s="14" t="s">
        <v>66</v>
      </c>
      <c r="C31" s="36">
        <v>181.3</v>
      </c>
      <c r="D31" s="36">
        <v>175.74</v>
      </c>
      <c r="E31" s="36">
        <v>174.3</v>
      </c>
      <c r="F31" s="36">
        <v>172.14</v>
      </c>
    </row>
    <row r="32" spans="1:6" outlineLevel="1" x14ac:dyDescent="0.25">
      <c r="A32" s="66">
        <v>14</v>
      </c>
      <c r="B32" s="14" t="s">
        <v>67</v>
      </c>
      <c r="C32" s="36">
        <v>0</v>
      </c>
      <c r="D32" s="36">
        <v>0</v>
      </c>
      <c r="E32" s="36">
        <v>0</v>
      </c>
      <c r="F32" s="36">
        <v>0</v>
      </c>
    </row>
    <row r="33" spans="1:6" outlineLevel="1" x14ac:dyDescent="0.25">
      <c r="A33" s="66">
        <v>15</v>
      </c>
      <c r="B33" s="14" t="s">
        <v>68</v>
      </c>
      <c r="C33" s="36">
        <v>3166.72</v>
      </c>
      <c r="D33" s="36">
        <v>3404.1</v>
      </c>
      <c r="E33" s="36">
        <v>2988.72</v>
      </c>
      <c r="F33" s="36">
        <v>3305.36</v>
      </c>
    </row>
    <row r="34" spans="1:6" outlineLevel="1" x14ac:dyDescent="0.25">
      <c r="A34" s="66">
        <v>16</v>
      </c>
      <c r="B34" s="14" t="s">
        <v>51</v>
      </c>
      <c r="C34" s="36">
        <v>19766.150000000001</v>
      </c>
      <c r="D34" s="36">
        <v>13340.48</v>
      </c>
      <c r="E34" s="36">
        <v>18034.68</v>
      </c>
      <c r="F34" s="36">
        <v>27097.7</v>
      </c>
    </row>
    <row r="35" spans="1:6" x14ac:dyDescent="0.25">
      <c r="A35" s="66">
        <v>17</v>
      </c>
      <c r="B35" s="14" t="s">
        <v>55</v>
      </c>
      <c r="C35" s="15">
        <v>74769.13</v>
      </c>
      <c r="D35" s="15">
        <v>7102.43</v>
      </c>
      <c r="E35" s="15">
        <v>4773.55</v>
      </c>
      <c r="F35" s="15">
        <v>20000</v>
      </c>
    </row>
    <row r="36" spans="1:6" x14ac:dyDescent="0.25">
      <c r="A36" s="66"/>
      <c r="B36" s="14" t="s">
        <v>114</v>
      </c>
      <c r="C36" s="15"/>
      <c r="D36" s="15"/>
      <c r="E36" s="15"/>
      <c r="F36" s="15">
        <v>19995</v>
      </c>
    </row>
    <row r="37" spans="1:6" x14ac:dyDescent="0.25">
      <c r="A37" s="57"/>
      <c r="B37" s="70" t="s">
        <v>56</v>
      </c>
      <c r="C37" s="37">
        <f>C38+C39</f>
        <v>71531.689999999973</v>
      </c>
      <c r="D37" s="37">
        <f>D38+D39</f>
        <v>69577.469999999943</v>
      </c>
      <c r="E37" s="37">
        <f>E38+E39</f>
        <v>72810.699999999939</v>
      </c>
      <c r="F37" s="37">
        <f>F38+F39</f>
        <v>57667.659999999931</v>
      </c>
    </row>
    <row r="38" spans="1:6" x14ac:dyDescent="0.25">
      <c r="A38" s="57"/>
      <c r="B38" s="70" t="s">
        <v>57</v>
      </c>
      <c r="C38" s="37">
        <f>C8+C10-C18</f>
        <v>1762.5599999999686</v>
      </c>
      <c r="D38" s="37">
        <f>D8+D10-D18</f>
        <v>2705.9099999999453</v>
      </c>
      <c r="E38" s="37">
        <f>E8+E10-E18</f>
        <v>1165.5899999999383</v>
      </c>
      <c r="F38" s="37">
        <f>F8+F10-F18</f>
        <v>6022.5499999999302</v>
      </c>
    </row>
    <row r="39" spans="1:6" x14ac:dyDescent="0.25">
      <c r="A39" s="57"/>
      <c r="B39" s="70" t="s">
        <v>58</v>
      </c>
      <c r="C39" s="37">
        <f>C9-C17+C35</f>
        <v>69769.13</v>
      </c>
      <c r="D39" s="37">
        <f>(D9-D17)+D35</f>
        <v>66871.56</v>
      </c>
      <c r="E39" s="37">
        <f>(E9-E17)+E35</f>
        <v>71645.11</v>
      </c>
      <c r="F39" s="37">
        <f>(F9-F17)+F35</f>
        <v>51645.11</v>
      </c>
    </row>
    <row r="40" spans="1:6" x14ac:dyDescent="0.25">
      <c r="C40" s="7"/>
      <c r="D40" s="7"/>
      <c r="E40" s="115"/>
    </row>
    <row r="41" spans="1:6" x14ac:dyDescent="0.25">
      <c r="E41" s="115"/>
    </row>
    <row r="42" spans="1:6" x14ac:dyDescent="0.25">
      <c r="E42" s="115"/>
    </row>
    <row r="43" spans="1:6" x14ac:dyDescent="0.25">
      <c r="E43" s="115"/>
    </row>
    <row r="44" spans="1:6" x14ac:dyDescent="0.25">
      <c r="E44" s="115"/>
    </row>
    <row r="45" spans="1:6" x14ac:dyDescent="0.25">
      <c r="E45" s="115"/>
    </row>
    <row r="46" spans="1:6" x14ac:dyDescent="0.25">
      <c r="E46" s="115"/>
    </row>
    <row r="47" spans="1:6" x14ac:dyDescent="0.25">
      <c r="E47" s="115"/>
    </row>
    <row r="48" spans="1:6" x14ac:dyDescent="0.25">
      <c r="E48" s="115"/>
    </row>
    <row r="49" spans="1:5" x14ac:dyDescent="0.25">
      <c r="E49" s="115"/>
    </row>
    <row r="50" spans="1:5" s="8" customFormat="1" x14ac:dyDescent="0.25">
      <c r="A50" s="6"/>
      <c r="B50" s="6"/>
      <c r="C50" s="6"/>
      <c r="D50" s="6"/>
      <c r="E50" s="115"/>
    </row>
    <row r="51" spans="1:5" x14ac:dyDescent="0.25">
      <c r="E51" s="115"/>
    </row>
    <row r="52" spans="1:5" x14ac:dyDescent="0.25">
      <c r="E52" s="115"/>
    </row>
    <row r="53" spans="1:5" x14ac:dyDescent="0.25">
      <c r="E53" s="115"/>
    </row>
    <row r="54" spans="1:5" x14ac:dyDescent="0.25">
      <c r="E54" s="115"/>
    </row>
    <row r="55" spans="1:5" x14ac:dyDescent="0.25">
      <c r="E55" s="115"/>
    </row>
    <row r="56" spans="1:5" x14ac:dyDescent="0.25">
      <c r="E56" s="115"/>
    </row>
    <row r="57" spans="1:5" x14ac:dyDescent="0.25">
      <c r="E57" s="115"/>
    </row>
    <row r="58" spans="1:5" s="8" customFormat="1" x14ac:dyDescent="0.25">
      <c r="A58" s="6"/>
      <c r="B58" s="6"/>
      <c r="C58" s="6"/>
      <c r="D58" s="6"/>
      <c r="E58" s="115"/>
    </row>
    <row r="59" spans="1:5" x14ac:dyDescent="0.25">
      <c r="E59" s="115"/>
    </row>
    <row r="61" spans="1:5" s="8" customFormat="1" x14ac:dyDescent="0.25">
      <c r="A61" s="6"/>
      <c r="B61" s="6"/>
      <c r="C61" s="6"/>
      <c r="D61" s="6"/>
    </row>
    <row r="62" spans="1:5" x14ac:dyDescent="0.25">
      <c r="E62" s="115"/>
    </row>
    <row r="63" spans="1:5" x14ac:dyDescent="0.25">
      <c r="E63" s="115"/>
    </row>
    <row r="64" spans="1:5" x14ac:dyDescent="0.25">
      <c r="E64" s="115"/>
    </row>
    <row r="65" spans="5:5" x14ac:dyDescent="0.25">
      <c r="E65" s="115"/>
    </row>
    <row r="66" spans="5:5" x14ac:dyDescent="0.25">
      <c r="E66" s="115"/>
    </row>
    <row r="67" spans="5:5" x14ac:dyDescent="0.25">
      <c r="E67" s="7"/>
    </row>
    <row r="68" spans="5:5" x14ac:dyDescent="0.25">
      <c r="E68" s="7"/>
    </row>
    <row r="69" spans="5:5" x14ac:dyDescent="0.25">
      <c r="E69" s="7"/>
    </row>
  </sheetData>
  <mergeCells count="10">
    <mergeCell ref="E5:E6"/>
    <mergeCell ref="F5:F6"/>
    <mergeCell ref="A2:F2"/>
    <mergeCell ref="A1:F1"/>
    <mergeCell ref="A3:D3"/>
    <mergeCell ref="A4:A6"/>
    <mergeCell ref="B4:B6"/>
    <mergeCell ref="C4:D4"/>
    <mergeCell ref="C5:C6"/>
    <mergeCell ref="D5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КП1</vt:lpstr>
      <vt:lpstr>12</vt:lpstr>
      <vt:lpstr>ДДС кп1</vt:lpstr>
      <vt:lpstr>КП1!Область_печати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2021-02-24T08:39:25Z</dcterms:modified>
</cp:coreProperties>
</file>