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/>
  <xr:revisionPtr revIDLastSave="488" documentId="13_ncr:1_{485CB4B6-0700-421D-B51B-38A6ACA8833C}" xr6:coauthVersionLast="46" xr6:coauthVersionMax="46" xr10:uidLastSave="{BBCD1ECD-2800-4D96-BAA3-630554C91671}"/>
  <bookViews>
    <workbookView xWindow="-120" yWindow="-120" windowWidth="29040" windowHeight="15840" tabRatio="838" xr2:uid="{00000000-000D-0000-FFFF-FFFF00000000}"/>
  </bookViews>
  <sheets>
    <sheet name="ПИРС-1" sheetId="4" r:id="rId1"/>
    <sheet name="тх2" sheetId="47" r:id="rId2"/>
    <sheet name="тх4" sheetId="61" r:id="rId3"/>
    <sheet name="тх6" sheetId="62" r:id="rId4"/>
    <sheet name="КТ" sheetId="63" r:id="rId5"/>
    <sheet name="УВ1" sheetId="64" r:id="rId6"/>
    <sheet name="УВ3" sheetId="65" r:id="rId7"/>
    <sheet name="УВ5" sheetId="66" r:id="rId8"/>
    <sheet name="УВ7" sheetId="67" r:id="rId9"/>
    <sheet name="УВ9" sheetId="68" r:id="rId10"/>
    <sheet name="УВ11" sheetId="70" r:id="rId11"/>
    <sheet name="УВ13" sheetId="69" r:id="rId12"/>
    <sheet name="УВ15" sheetId="71" r:id="rId13"/>
    <sheet name="УВ17" sheetId="72" r:id="rId14"/>
    <sheet name="УВ19" sheetId="73" r:id="rId15"/>
    <sheet name="УВ21" sheetId="74" r:id="rId16"/>
    <sheet name="Лист15" sheetId="75" r:id="rId17"/>
    <sheet name="информационно" sheetId="76" r:id="rId18"/>
    <sheet name="материалы" sheetId="77" r:id="rId19"/>
  </sheets>
  <definedNames>
    <definedName name="_xlnm.Print_Area" localSheetId="17">информационно!$A$1:$G$66</definedName>
    <definedName name="_xlnm.Print_Area" localSheetId="4">КТ!$A$1:$G$65</definedName>
    <definedName name="_xlnm.Print_Area" localSheetId="0">'ПИРС-1'!$A$1:$G$91</definedName>
    <definedName name="_xlnm.Print_Area" localSheetId="1">тх2!$A$1:$G$66</definedName>
    <definedName name="_xlnm.Print_Area" localSheetId="2">тх4!$A$1:$G$65</definedName>
    <definedName name="_xlnm.Print_Area" localSheetId="3">тх6!$A$1:$G$65</definedName>
    <definedName name="_xlnm.Print_Area" localSheetId="5">УВ1!$A$1:$G$80</definedName>
    <definedName name="_xlnm.Print_Area" localSheetId="10">УВ11!$A$1:$G$80</definedName>
    <definedName name="_xlnm.Print_Area" localSheetId="11">УВ13!$A$1:$G$80</definedName>
    <definedName name="_xlnm.Print_Area" localSheetId="12">УВ15!$A$1:$G$80</definedName>
    <definedName name="_xlnm.Print_Area" localSheetId="13">УВ17!$A$1:$G$80</definedName>
    <definedName name="_xlnm.Print_Area" localSheetId="14">УВ19!$A$1:$G$80</definedName>
    <definedName name="_xlnm.Print_Area" localSheetId="15">УВ21!$A$1:$G$80</definedName>
    <definedName name="_xlnm.Print_Area" localSheetId="6">УВ3!$A$1:$G$80</definedName>
    <definedName name="_xlnm.Print_Area" localSheetId="7">УВ5!$A$1:$G$80</definedName>
    <definedName name="_xlnm.Print_Area" localSheetId="8">УВ7!$A$1:$G$80</definedName>
    <definedName name="_xlnm.Print_Area" localSheetId="9">УВ9!$A$1:$G$80</definedName>
    <definedName name="чел" localSheetId="17">информационно!#REF!</definedName>
    <definedName name="чел" localSheetId="4">КТ!#REF!</definedName>
    <definedName name="чел" localSheetId="0">'ПИРС-1'!#REF!</definedName>
    <definedName name="чел" localSheetId="1">тх2!#REF!</definedName>
    <definedName name="чел" localSheetId="2">тх4!#REF!</definedName>
    <definedName name="чел" localSheetId="3">тх6!#REF!</definedName>
    <definedName name="чел" localSheetId="5">УВ1!#REF!</definedName>
    <definedName name="чел" localSheetId="10">УВ11!#REF!</definedName>
    <definedName name="чел" localSheetId="11">УВ13!#REF!</definedName>
    <definedName name="чел" localSheetId="12">УВ15!#REF!</definedName>
    <definedName name="чел" localSheetId="13">УВ17!#REF!</definedName>
    <definedName name="чел" localSheetId="14">УВ19!#REF!</definedName>
    <definedName name="чел" localSheetId="15">УВ21!#REF!</definedName>
    <definedName name="чел" localSheetId="6">УВ3!#REF!</definedName>
    <definedName name="чел" localSheetId="7">УВ5!#REF!</definedName>
    <definedName name="чел" localSheetId="8">УВ7!#REF!</definedName>
    <definedName name="чел" localSheetId="9">УВ9!#REF!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4" l="1"/>
  <c r="E24" i="4"/>
  <c r="D24" i="4"/>
  <c r="C24" i="4"/>
  <c r="G27" i="4"/>
  <c r="C81" i="4" l="1"/>
  <c r="D81" i="4"/>
  <c r="D77" i="4"/>
  <c r="C20" i="4"/>
  <c r="C55" i="4" l="1"/>
  <c r="C18" i="4"/>
  <c r="C14" i="4"/>
  <c r="C9" i="4"/>
  <c r="H4" i="77"/>
  <c r="G4" i="77"/>
  <c r="H3" i="77"/>
  <c r="G3" i="77"/>
  <c r="H2" i="77"/>
  <c r="C1048536" i="77"/>
  <c r="D135" i="77"/>
  <c r="C135" i="77"/>
  <c r="D115" i="77"/>
  <c r="C115" i="77"/>
  <c r="C61" i="77"/>
  <c r="C60" i="77"/>
  <c r="C63" i="77" s="1"/>
  <c r="G2" i="77" l="1"/>
  <c r="F55" i="4"/>
  <c r="E55" i="4"/>
  <c r="D55" i="4"/>
  <c r="G53" i="4"/>
  <c r="G52" i="4"/>
  <c r="G51" i="4"/>
  <c r="C58" i="4"/>
  <c r="G58" i="4" s="1"/>
  <c r="C39" i="4"/>
  <c r="F35" i="4"/>
  <c r="E35" i="4"/>
  <c r="D35" i="4"/>
  <c r="C35" i="4"/>
  <c r="G37" i="4"/>
  <c r="G36" i="4"/>
  <c r="G38" i="4"/>
  <c r="C30" i="4"/>
  <c r="H1" i="4" l="1"/>
  <c r="I43" i="4"/>
  <c r="J43" i="4" s="1"/>
  <c r="G54" i="4"/>
  <c r="G48" i="4"/>
  <c r="I25" i="74" l="1"/>
  <c r="M25" i="74" s="1"/>
  <c r="I24" i="74"/>
  <c r="M24" i="74" s="1"/>
  <c r="I22" i="74"/>
  <c r="M22" i="74" s="1"/>
  <c r="I21" i="74"/>
  <c r="M21" i="74" s="1"/>
  <c r="I25" i="73"/>
  <c r="M25" i="73" s="1"/>
  <c r="I24" i="73"/>
  <c r="M24" i="73" s="1"/>
  <c r="I22" i="73"/>
  <c r="M22" i="73" s="1"/>
  <c r="I21" i="73"/>
  <c r="M21" i="73" s="1"/>
  <c r="I25" i="72"/>
  <c r="M25" i="72" s="1"/>
  <c r="I24" i="72"/>
  <c r="M24" i="72" s="1"/>
  <c r="I22" i="72"/>
  <c r="M22" i="72" s="1"/>
  <c r="I21" i="72"/>
  <c r="M21" i="72" s="1"/>
  <c r="I25" i="71"/>
  <c r="M25" i="71" s="1"/>
  <c r="I24" i="71"/>
  <c r="M24" i="71" s="1"/>
  <c r="I22" i="71"/>
  <c r="M22" i="71" s="1"/>
  <c r="I21" i="71"/>
  <c r="M21" i="71" s="1"/>
  <c r="I25" i="69"/>
  <c r="M25" i="69" s="1"/>
  <c r="I24" i="69"/>
  <c r="M24" i="69" s="1"/>
  <c r="I22" i="69"/>
  <c r="M22" i="69" s="1"/>
  <c r="I21" i="69"/>
  <c r="M21" i="69" s="1"/>
  <c r="I25" i="70"/>
  <c r="M25" i="70" s="1"/>
  <c r="I24" i="70"/>
  <c r="M24" i="70" s="1"/>
  <c r="I22" i="70"/>
  <c r="M22" i="70" s="1"/>
  <c r="I21" i="70"/>
  <c r="M21" i="70" s="1"/>
  <c r="I25" i="68"/>
  <c r="M25" i="68" s="1"/>
  <c r="I24" i="68"/>
  <c r="M24" i="68" s="1"/>
  <c r="I22" i="68"/>
  <c r="M22" i="68" s="1"/>
  <c r="I21" i="68"/>
  <c r="M21" i="68" s="1"/>
  <c r="I25" i="67"/>
  <c r="M25" i="67" s="1"/>
  <c r="I24" i="67"/>
  <c r="M24" i="67" s="1"/>
  <c r="I22" i="67"/>
  <c r="M22" i="67" s="1"/>
  <c r="I21" i="67"/>
  <c r="M21" i="67" s="1"/>
  <c r="I25" i="66"/>
  <c r="M25" i="66" s="1"/>
  <c r="I24" i="66"/>
  <c r="M24" i="66" s="1"/>
  <c r="I22" i="66"/>
  <c r="M22" i="66" s="1"/>
  <c r="I21" i="66"/>
  <c r="M21" i="66" s="1"/>
  <c r="I25" i="65"/>
  <c r="M25" i="65" s="1"/>
  <c r="I24" i="65"/>
  <c r="M24" i="65" s="1"/>
  <c r="I22" i="65"/>
  <c r="M22" i="65" s="1"/>
  <c r="I21" i="65"/>
  <c r="M21" i="65" s="1"/>
  <c r="I25" i="64"/>
  <c r="M25" i="64" s="1"/>
  <c r="I24" i="64"/>
  <c r="M24" i="64" s="1"/>
  <c r="I22" i="64"/>
  <c r="M22" i="64" s="1"/>
  <c r="I21" i="64"/>
  <c r="M21" i="64" s="1"/>
  <c r="I25" i="63"/>
  <c r="M25" i="63" s="1"/>
  <c r="I24" i="63"/>
  <c r="M24" i="63" s="1"/>
  <c r="I22" i="63"/>
  <c r="M22" i="63" s="1"/>
  <c r="I21" i="63"/>
  <c r="M21" i="63" s="1"/>
  <c r="I25" i="62"/>
  <c r="M25" i="62" s="1"/>
  <c r="I24" i="62"/>
  <c r="M24" i="62" s="1"/>
  <c r="I22" i="62"/>
  <c r="M22" i="62" s="1"/>
  <c r="I21" i="62"/>
  <c r="M21" i="62" s="1"/>
  <c r="I25" i="61"/>
  <c r="M25" i="61" s="1"/>
  <c r="I24" i="61"/>
  <c r="M24" i="61" s="1"/>
  <c r="I22" i="61"/>
  <c r="M22" i="61" s="1"/>
  <c r="I21" i="61"/>
  <c r="M21" i="61" s="1"/>
  <c r="M22" i="47"/>
  <c r="M21" i="47"/>
  <c r="G14" i="74"/>
  <c r="G13" i="74"/>
  <c r="G14" i="73"/>
  <c r="G13" i="73"/>
  <c r="G14" i="71"/>
  <c r="G13" i="71"/>
  <c r="G14" i="69"/>
  <c r="G13" i="69"/>
  <c r="G14" i="70"/>
  <c r="G13" i="70"/>
  <c r="G14" i="68"/>
  <c r="G13" i="68"/>
  <c r="G14" i="67"/>
  <c r="G13" i="67"/>
  <c r="G14" i="66"/>
  <c r="G13" i="66"/>
  <c r="G14" i="72"/>
  <c r="G13" i="72"/>
  <c r="F15" i="74"/>
  <c r="E15" i="74"/>
  <c r="D15" i="74"/>
  <c r="C15" i="74"/>
  <c r="F14" i="74"/>
  <c r="E14" i="74"/>
  <c r="D14" i="74"/>
  <c r="C14" i="74"/>
  <c r="F13" i="74"/>
  <c r="E13" i="74"/>
  <c r="D13" i="74"/>
  <c r="C13" i="74"/>
  <c r="F10" i="74"/>
  <c r="E10" i="74"/>
  <c r="D10" i="74"/>
  <c r="C10" i="74"/>
  <c r="F15" i="73"/>
  <c r="E15" i="73"/>
  <c r="D15" i="73"/>
  <c r="C15" i="73"/>
  <c r="F14" i="73"/>
  <c r="E14" i="73"/>
  <c r="D14" i="73"/>
  <c r="C14" i="73"/>
  <c r="F13" i="73"/>
  <c r="E13" i="73"/>
  <c r="D13" i="73"/>
  <c r="C13" i="73"/>
  <c r="F10" i="73"/>
  <c r="E10" i="73"/>
  <c r="D10" i="73"/>
  <c r="C10" i="73"/>
  <c r="F15" i="72"/>
  <c r="E15" i="72"/>
  <c r="D15" i="72"/>
  <c r="C15" i="72"/>
  <c r="F14" i="72"/>
  <c r="E14" i="72"/>
  <c r="D14" i="72"/>
  <c r="C14" i="72"/>
  <c r="F13" i="72"/>
  <c r="E13" i="72"/>
  <c r="D13" i="72"/>
  <c r="C13" i="72"/>
  <c r="F10" i="72"/>
  <c r="E10" i="72"/>
  <c r="D10" i="72"/>
  <c r="C10" i="72"/>
  <c r="F15" i="71"/>
  <c r="E15" i="71"/>
  <c r="D15" i="71"/>
  <c r="C15" i="71"/>
  <c r="F14" i="71"/>
  <c r="E14" i="71"/>
  <c r="D14" i="71"/>
  <c r="C14" i="71"/>
  <c r="F13" i="71"/>
  <c r="E13" i="71"/>
  <c r="D13" i="71"/>
  <c r="C13" i="71"/>
  <c r="F10" i="71"/>
  <c r="E10" i="71"/>
  <c r="D10" i="71"/>
  <c r="C10" i="71"/>
  <c r="F15" i="69"/>
  <c r="E15" i="69"/>
  <c r="D15" i="69"/>
  <c r="C15" i="69"/>
  <c r="F14" i="69"/>
  <c r="E14" i="69"/>
  <c r="D14" i="69"/>
  <c r="C14" i="69"/>
  <c r="F13" i="69"/>
  <c r="E13" i="69"/>
  <c r="D13" i="69"/>
  <c r="C13" i="69"/>
  <c r="F10" i="69"/>
  <c r="E10" i="69"/>
  <c r="D10" i="69"/>
  <c r="C10" i="69"/>
  <c r="F15" i="70"/>
  <c r="E15" i="70"/>
  <c r="D15" i="70"/>
  <c r="C15" i="70"/>
  <c r="F14" i="70"/>
  <c r="E14" i="70"/>
  <c r="D14" i="70"/>
  <c r="C14" i="70"/>
  <c r="F13" i="70"/>
  <c r="E13" i="70"/>
  <c r="D13" i="70"/>
  <c r="C13" i="70"/>
  <c r="F10" i="70"/>
  <c r="E10" i="70"/>
  <c r="D10" i="70"/>
  <c r="C10" i="70"/>
  <c r="F15" i="68"/>
  <c r="E15" i="68"/>
  <c r="D15" i="68"/>
  <c r="C15" i="68"/>
  <c r="F14" i="68"/>
  <c r="E14" i="68"/>
  <c r="D14" i="68"/>
  <c r="C14" i="68"/>
  <c r="F13" i="68"/>
  <c r="E13" i="68"/>
  <c r="D13" i="68"/>
  <c r="C13" i="68"/>
  <c r="F10" i="68"/>
  <c r="E10" i="68"/>
  <c r="D10" i="68"/>
  <c r="C10" i="68"/>
  <c r="F15" i="67"/>
  <c r="E15" i="67"/>
  <c r="D15" i="67"/>
  <c r="C15" i="67"/>
  <c r="F14" i="67"/>
  <c r="E14" i="67"/>
  <c r="D14" i="67"/>
  <c r="C14" i="67"/>
  <c r="F13" i="67"/>
  <c r="E13" i="67"/>
  <c r="D13" i="67"/>
  <c r="C13" i="67"/>
  <c r="F10" i="67"/>
  <c r="E10" i="67"/>
  <c r="D10" i="67"/>
  <c r="C10" i="67"/>
  <c r="F15" i="66"/>
  <c r="E15" i="66"/>
  <c r="D15" i="66"/>
  <c r="C15" i="66"/>
  <c r="F14" i="66"/>
  <c r="E14" i="66"/>
  <c r="D14" i="66"/>
  <c r="C14" i="66"/>
  <c r="F13" i="66"/>
  <c r="E13" i="66"/>
  <c r="D13" i="66"/>
  <c r="C13" i="66"/>
  <c r="F10" i="66"/>
  <c r="E10" i="66"/>
  <c r="D10" i="66"/>
  <c r="C10" i="66"/>
  <c r="G14" i="65"/>
  <c r="G13" i="65"/>
  <c r="F15" i="65"/>
  <c r="E15" i="65"/>
  <c r="D15" i="65"/>
  <c r="C15" i="65"/>
  <c r="F14" i="65"/>
  <c r="E14" i="65"/>
  <c r="D14" i="65"/>
  <c r="C14" i="65"/>
  <c r="F13" i="65"/>
  <c r="E13" i="65"/>
  <c r="D13" i="65"/>
  <c r="C13" i="65"/>
  <c r="C10" i="65"/>
  <c r="D10" i="65"/>
  <c r="E10" i="65"/>
  <c r="F10" i="65"/>
  <c r="G10" i="65"/>
  <c r="G15" i="65"/>
  <c r="F9" i="65"/>
  <c r="C17" i="65"/>
  <c r="D17" i="65"/>
  <c r="D16" i="65" s="1"/>
  <c r="E17" i="65"/>
  <c r="F17" i="65"/>
  <c r="F16" i="65" s="1"/>
  <c r="C18" i="65"/>
  <c r="C16" i="65" s="1"/>
  <c r="D18" i="65"/>
  <c r="E18" i="65"/>
  <c r="E16" i="65" s="1"/>
  <c r="F18" i="65"/>
  <c r="G18" i="65"/>
  <c r="C26" i="65"/>
  <c r="D26" i="65"/>
  <c r="G26" i="65" s="1"/>
  <c r="E26" i="65"/>
  <c r="F26" i="65"/>
  <c r="G27" i="65"/>
  <c r="G28" i="65"/>
  <c r="C32" i="65"/>
  <c r="D32" i="65"/>
  <c r="E32" i="65"/>
  <c r="F32" i="65"/>
  <c r="G32" i="65"/>
  <c r="C33" i="65"/>
  <c r="D33" i="65"/>
  <c r="E33" i="65"/>
  <c r="F33" i="65"/>
  <c r="C34" i="65"/>
  <c r="D34" i="65" s="1"/>
  <c r="G35" i="65"/>
  <c r="C36" i="65"/>
  <c r="D36" i="65"/>
  <c r="E36" i="65"/>
  <c r="F36" i="65"/>
  <c r="G37" i="65"/>
  <c r="G38" i="65"/>
  <c r="G36" i="65" s="1"/>
  <c r="G44" i="65"/>
  <c r="G45" i="65"/>
  <c r="G46" i="65"/>
  <c r="G47" i="65"/>
  <c r="G48" i="65"/>
  <c r="G49" i="65"/>
  <c r="G50" i="65"/>
  <c r="G51" i="65"/>
  <c r="G52" i="65"/>
  <c r="G53" i="65"/>
  <c r="G54" i="65"/>
  <c r="G55" i="65"/>
  <c r="G56" i="65"/>
  <c r="G57" i="65"/>
  <c r="C58" i="65"/>
  <c r="D58" i="65"/>
  <c r="E58" i="65"/>
  <c r="F58" i="65"/>
  <c r="G58" i="65"/>
  <c r="Y15" i="74"/>
  <c r="U15" i="74"/>
  <c r="S15" i="74"/>
  <c r="O15" i="74"/>
  <c r="M15" i="74"/>
  <c r="I15" i="74"/>
  <c r="Y15" i="73"/>
  <c r="U15" i="73"/>
  <c r="S15" i="73"/>
  <c r="O15" i="73"/>
  <c r="M15" i="73"/>
  <c r="I15" i="73"/>
  <c r="Y15" i="72"/>
  <c r="U15" i="72"/>
  <c r="S15" i="72"/>
  <c r="O15" i="72"/>
  <c r="M15" i="72"/>
  <c r="I15" i="72"/>
  <c r="Y15" i="71"/>
  <c r="U15" i="71"/>
  <c r="S15" i="71"/>
  <c r="O15" i="71"/>
  <c r="M15" i="71"/>
  <c r="I15" i="71"/>
  <c r="Y15" i="69"/>
  <c r="U15" i="69"/>
  <c r="S15" i="69"/>
  <c r="O15" i="69"/>
  <c r="M15" i="69"/>
  <c r="I15" i="69"/>
  <c r="Y15" i="70"/>
  <c r="U15" i="70"/>
  <c r="S15" i="70"/>
  <c r="O15" i="70"/>
  <c r="M15" i="70"/>
  <c r="I15" i="70"/>
  <c r="Y15" i="67"/>
  <c r="U15" i="67"/>
  <c r="S15" i="67"/>
  <c r="O15" i="67"/>
  <c r="M15" i="67"/>
  <c r="I15" i="67"/>
  <c r="Y15" i="66"/>
  <c r="U15" i="66"/>
  <c r="S15" i="66"/>
  <c r="O15" i="66"/>
  <c r="M15" i="66"/>
  <c r="I15" i="66"/>
  <c r="Y15" i="65"/>
  <c r="U15" i="65"/>
  <c r="S15" i="65"/>
  <c r="O15" i="65"/>
  <c r="M15" i="65"/>
  <c r="I15" i="65"/>
  <c r="Y15" i="64"/>
  <c r="U15" i="64"/>
  <c r="S15" i="64"/>
  <c r="O15" i="64"/>
  <c r="M15" i="64"/>
  <c r="I15" i="64"/>
  <c r="U15" i="68"/>
  <c r="O15" i="68"/>
  <c r="I15" i="68"/>
  <c r="Y15" i="68"/>
  <c r="S15" i="68"/>
  <c r="M15" i="68"/>
  <c r="Y18" i="74"/>
  <c r="U18" i="74"/>
  <c r="S18" i="74"/>
  <c r="O18" i="74"/>
  <c r="M18" i="74"/>
  <c r="I18" i="74"/>
  <c r="Y17" i="74"/>
  <c r="U17" i="74"/>
  <c r="S17" i="74"/>
  <c r="O17" i="74"/>
  <c r="M17" i="74"/>
  <c r="I17" i="74"/>
  <c r="Y14" i="74"/>
  <c r="U14" i="74" s="1"/>
  <c r="O14" i="74"/>
  <c r="I14" i="74"/>
  <c r="Y13" i="74"/>
  <c r="U13" i="74" s="1"/>
  <c r="O13" i="74"/>
  <c r="I13" i="74"/>
  <c r="Y10" i="74"/>
  <c r="U10" i="74" s="1"/>
  <c r="S10" i="74"/>
  <c r="O10" i="74" s="1"/>
  <c r="M10" i="74"/>
  <c r="I10" i="74" s="1"/>
  <c r="Y18" i="73"/>
  <c r="U18" i="73"/>
  <c r="S18" i="73"/>
  <c r="O18" i="73"/>
  <c r="M18" i="73"/>
  <c r="I18" i="73"/>
  <c r="Y17" i="73"/>
  <c r="U17" i="73"/>
  <c r="S17" i="73"/>
  <c r="O17" i="73"/>
  <c r="M17" i="73"/>
  <c r="I17" i="73"/>
  <c r="Y14" i="73"/>
  <c r="U14" i="73" s="1"/>
  <c r="O14" i="73"/>
  <c r="I14" i="73"/>
  <c r="Y13" i="73"/>
  <c r="U13" i="73" s="1"/>
  <c r="O13" i="73"/>
  <c r="I13" i="73"/>
  <c r="Y10" i="73"/>
  <c r="U10" i="73" s="1"/>
  <c r="S10" i="73"/>
  <c r="O10" i="73" s="1"/>
  <c r="M10" i="73"/>
  <c r="I10" i="73" s="1"/>
  <c r="Y18" i="72"/>
  <c r="U18" i="72"/>
  <c r="S18" i="72"/>
  <c r="O18" i="72"/>
  <c r="M18" i="72"/>
  <c r="I18" i="72"/>
  <c r="Y17" i="72"/>
  <c r="U17" i="72"/>
  <c r="S17" i="72"/>
  <c r="O17" i="72"/>
  <c r="M17" i="72"/>
  <c r="I17" i="72"/>
  <c r="Y14" i="72"/>
  <c r="U14" i="72" s="1"/>
  <c r="O14" i="72"/>
  <c r="I14" i="72"/>
  <c r="Y13" i="72"/>
  <c r="U13" i="72" s="1"/>
  <c r="O13" i="72"/>
  <c r="I13" i="72"/>
  <c r="Y10" i="72"/>
  <c r="U10" i="72" s="1"/>
  <c r="S10" i="72"/>
  <c r="O10" i="72" s="1"/>
  <c r="M10" i="72"/>
  <c r="I10" i="72" s="1"/>
  <c r="Y18" i="71"/>
  <c r="U18" i="71"/>
  <c r="S18" i="71"/>
  <c r="O18" i="71"/>
  <c r="M18" i="71"/>
  <c r="I18" i="71"/>
  <c r="Y17" i="71"/>
  <c r="U17" i="71"/>
  <c r="S17" i="71"/>
  <c r="O17" i="71"/>
  <c r="M17" i="71"/>
  <c r="I17" i="71"/>
  <c r="Y14" i="71"/>
  <c r="U14" i="71" s="1"/>
  <c r="O14" i="71"/>
  <c r="I14" i="71"/>
  <c r="Y13" i="71"/>
  <c r="U13" i="71" s="1"/>
  <c r="O13" i="71"/>
  <c r="I13" i="71"/>
  <c r="Y10" i="71"/>
  <c r="U10" i="71" s="1"/>
  <c r="S10" i="71"/>
  <c r="O10" i="71" s="1"/>
  <c r="M10" i="71"/>
  <c r="I10" i="71" s="1"/>
  <c r="Y18" i="69"/>
  <c r="U18" i="69"/>
  <c r="S18" i="69"/>
  <c r="O18" i="69"/>
  <c r="M18" i="69"/>
  <c r="I18" i="69"/>
  <c r="Y17" i="69"/>
  <c r="U17" i="69"/>
  <c r="S17" i="69"/>
  <c r="O17" i="69"/>
  <c r="M17" i="69"/>
  <c r="I17" i="69"/>
  <c r="Y14" i="69"/>
  <c r="U14" i="69" s="1"/>
  <c r="O14" i="69"/>
  <c r="I14" i="69"/>
  <c r="Y13" i="69"/>
  <c r="U13" i="69" s="1"/>
  <c r="O13" i="69"/>
  <c r="I13" i="69"/>
  <c r="Y10" i="69"/>
  <c r="U10" i="69" s="1"/>
  <c r="S10" i="69"/>
  <c r="O10" i="69" s="1"/>
  <c r="M10" i="69"/>
  <c r="I10" i="69" s="1"/>
  <c r="Y18" i="70"/>
  <c r="U18" i="70"/>
  <c r="S18" i="70"/>
  <c r="O18" i="70"/>
  <c r="M18" i="70"/>
  <c r="I18" i="70"/>
  <c r="Y17" i="70"/>
  <c r="U17" i="70"/>
  <c r="S17" i="70"/>
  <c r="O17" i="70"/>
  <c r="M17" i="70"/>
  <c r="I17" i="70"/>
  <c r="Y14" i="70"/>
  <c r="U14" i="70" s="1"/>
  <c r="O14" i="70"/>
  <c r="I14" i="70"/>
  <c r="Y13" i="70"/>
  <c r="U13" i="70" s="1"/>
  <c r="O13" i="70"/>
  <c r="I13" i="70"/>
  <c r="Y10" i="70"/>
  <c r="U10" i="70" s="1"/>
  <c r="S10" i="70"/>
  <c r="O10" i="70" s="1"/>
  <c r="M10" i="70"/>
  <c r="I10" i="70" s="1"/>
  <c r="Y18" i="68"/>
  <c r="U18" i="68"/>
  <c r="S18" i="68"/>
  <c r="O18" i="68"/>
  <c r="M18" i="68"/>
  <c r="I18" i="68"/>
  <c r="Y17" i="68"/>
  <c r="U17" i="68"/>
  <c r="S17" i="68"/>
  <c r="O17" i="68"/>
  <c r="M17" i="68"/>
  <c r="I17" i="68"/>
  <c r="Y14" i="68"/>
  <c r="U14" i="68" s="1"/>
  <c r="O14" i="68"/>
  <c r="I14" i="68"/>
  <c r="Y13" i="68"/>
  <c r="U13" i="68" s="1"/>
  <c r="O13" i="68"/>
  <c r="I13" i="68"/>
  <c r="Y10" i="68"/>
  <c r="U10" i="68" s="1"/>
  <c r="S10" i="68"/>
  <c r="O10" i="68" s="1"/>
  <c r="M10" i="68"/>
  <c r="I10" i="68" s="1"/>
  <c r="Y18" i="67"/>
  <c r="U18" i="67"/>
  <c r="S18" i="67"/>
  <c r="O18" i="67"/>
  <c r="M18" i="67"/>
  <c r="I18" i="67"/>
  <c r="Y17" i="67"/>
  <c r="U17" i="67"/>
  <c r="S17" i="67"/>
  <c r="O17" i="67"/>
  <c r="M17" i="67"/>
  <c r="I17" i="67"/>
  <c r="Y14" i="67"/>
  <c r="U14" i="67" s="1"/>
  <c r="O14" i="67"/>
  <c r="I14" i="67"/>
  <c r="Y13" i="67"/>
  <c r="U13" i="67" s="1"/>
  <c r="O13" i="67"/>
  <c r="I13" i="67"/>
  <c r="Y10" i="67"/>
  <c r="U10" i="67" s="1"/>
  <c r="S10" i="67"/>
  <c r="O10" i="67" s="1"/>
  <c r="M10" i="67"/>
  <c r="I10" i="67" s="1"/>
  <c r="Y18" i="66"/>
  <c r="U18" i="66"/>
  <c r="S18" i="66"/>
  <c r="O18" i="66"/>
  <c r="M18" i="66"/>
  <c r="I18" i="66"/>
  <c r="Y17" i="66"/>
  <c r="U17" i="66"/>
  <c r="S17" i="66"/>
  <c r="O17" i="66"/>
  <c r="M17" i="66"/>
  <c r="I17" i="66"/>
  <c r="Y14" i="66"/>
  <c r="U14" i="66" s="1"/>
  <c r="O14" i="66"/>
  <c r="I14" i="66"/>
  <c r="Y13" i="66"/>
  <c r="U13" i="66" s="1"/>
  <c r="O13" i="66"/>
  <c r="I13" i="66"/>
  <c r="Y10" i="66"/>
  <c r="U10" i="66" s="1"/>
  <c r="S10" i="66"/>
  <c r="O10" i="66" s="1"/>
  <c r="M10" i="66"/>
  <c r="I10" i="66" s="1"/>
  <c r="Y18" i="65"/>
  <c r="U18" i="65"/>
  <c r="S18" i="65"/>
  <c r="O18" i="65"/>
  <c r="M18" i="65"/>
  <c r="I18" i="65"/>
  <c r="Y17" i="65"/>
  <c r="U17" i="65"/>
  <c r="S17" i="65"/>
  <c r="O17" i="65"/>
  <c r="M17" i="65"/>
  <c r="I17" i="65"/>
  <c r="Y14" i="65"/>
  <c r="U14" i="65" s="1"/>
  <c r="O14" i="65"/>
  <c r="I14" i="65"/>
  <c r="Y13" i="65"/>
  <c r="U13" i="65" s="1"/>
  <c r="O13" i="65"/>
  <c r="I13" i="65"/>
  <c r="Y10" i="65"/>
  <c r="U10" i="65" s="1"/>
  <c r="S10" i="65"/>
  <c r="O10" i="65" s="1"/>
  <c r="M10" i="65"/>
  <c r="I10" i="65" s="1"/>
  <c r="F18" i="64"/>
  <c r="E18" i="64"/>
  <c r="D18" i="64"/>
  <c r="D17" i="64"/>
  <c r="C18" i="64"/>
  <c r="Y18" i="64"/>
  <c r="U18" i="64"/>
  <c r="O18" i="64"/>
  <c r="S18" i="64"/>
  <c r="M18" i="64"/>
  <c r="I18" i="64"/>
  <c r="F17" i="64"/>
  <c r="E17" i="64"/>
  <c r="C17" i="64"/>
  <c r="U17" i="64"/>
  <c r="Y17" i="64"/>
  <c r="O17" i="64"/>
  <c r="S17" i="64"/>
  <c r="I17" i="64"/>
  <c r="M17" i="64"/>
  <c r="C21" i="65" l="1"/>
  <c r="E21" i="65"/>
  <c r="D21" i="65"/>
  <c r="D40" i="65" s="1"/>
  <c r="F21" i="65"/>
  <c r="F40" i="65" s="1"/>
  <c r="D24" i="65"/>
  <c r="G24" i="65" s="1"/>
  <c r="F24" i="65"/>
  <c r="C24" i="65"/>
  <c r="C43" i="65" s="1"/>
  <c r="C42" i="65" s="1"/>
  <c r="E24" i="65"/>
  <c r="E43" i="65" s="1"/>
  <c r="D22" i="65"/>
  <c r="F22" i="65"/>
  <c r="C22" i="65"/>
  <c r="C41" i="65" s="1"/>
  <c r="E22" i="65"/>
  <c r="E41" i="65" s="1"/>
  <c r="D25" i="65"/>
  <c r="F25" i="65"/>
  <c r="C25" i="65"/>
  <c r="E25" i="65"/>
  <c r="E23" i="65" s="1"/>
  <c r="E42" i="65"/>
  <c r="G33" i="65"/>
  <c r="C31" i="65"/>
  <c r="E9" i="65"/>
  <c r="C9" i="65"/>
  <c r="E34" i="65"/>
  <c r="F34" i="65" s="1"/>
  <c r="F31" i="65" s="1"/>
  <c r="G9" i="65"/>
  <c r="D31" i="65"/>
  <c r="D9" i="65"/>
  <c r="G17" i="65"/>
  <c r="G16" i="65" s="1"/>
  <c r="D39" i="65" l="1"/>
  <c r="C23" i="65"/>
  <c r="G25" i="65"/>
  <c r="G23" i="65" s="1"/>
  <c r="G22" i="65"/>
  <c r="D41" i="65"/>
  <c r="D23" i="65"/>
  <c r="D43" i="65"/>
  <c r="D42" i="65" s="1"/>
  <c r="C20" i="65"/>
  <c r="C29" i="65" s="1"/>
  <c r="G21" i="65"/>
  <c r="C40" i="65"/>
  <c r="D20" i="65"/>
  <c r="F20" i="65"/>
  <c r="F41" i="65"/>
  <c r="F39" i="65" s="1"/>
  <c r="F23" i="65"/>
  <c r="F43" i="65"/>
  <c r="F42" i="65" s="1"/>
  <c r="E20" i="65"/>
  <c r="E29" i="65" s="1"/>
  <c r="E40" i="65"/>
  <c r="E39" i="65" s="1"/>
  <c r="E31" i="65"/>
  <c r="G34" i="65"/>
  <c r="G31" i="65" s="1"/>
  <c r="E59" i="65" l="1"/>
  <c r="D29" i="65"/>
  <c r="F59" i="65"/>
  <c r="G42" i="65"/>
  <c r="D59" i="65"/>
  <c r="F29" i="65"/>
  <c r="C39" i="65"/>
  <c r="C59" i="65" s="1"/>
  <c r="G40" i="65"/>
  <c r="G39" i="65" s="1"/>
  <c r="G59" i="65" s="1"/>
  <c r="G43" i="65"/>
  <c r="G20" i="65"/>
  <c r="G41" i="65"/>
  <c r="G29" i="65" l="1"/>
  <c r="Y14" i="64"/>
  <c r="U14" i="64" s="1"/>
  <c r="F14" i="64" s="1"/>
  <c r="O14" i="64"/>
  <c r="E14" i="64" s="1"/>
  <c r="I14" i="64"/>
  <c r="C14" i="64" s="1"/>
  <c r="F9" i="73"/>
  <c r="Y13" i="64"/>
  <c r="U13" i="64" s="1"/>
  <c r="O13" i="64"/>
  <c r="I13" i="64"/>
  <c r="D13" i="64" s="1"/>
  <c r="M25" i="47"/>
  <c r="E25" i="47" s="1"/>
  <c r="M24" i="47"/>
  <c r="E24" i="47" s="1"/>
  <c r="E22" i="64"/>
  <c r="C22" i="64"/>
  <c r="G15" i="74"/>
  <c r="G15" i="72"/>
  <c r="G15" i="69"/>
  <c r="F15" i="64"/>
  <c r="E15" i="64"/>
  <c r="D15" i="64"/>
  <c r="C15" i="64"/>
  <c r="G15" i="64" s="1"/>
  <c r="F15" i="63"/>
  <c r="E15" i="63"/>
  <c r="D15" i="63"/>
  <c r="C15" i="63"/>
  <c r="G15" i="63" s="1"/>
  <c r="E9" i="63"/>
  <c r="C9" i="63"/>
  <c r="F9" i="63"/>
  <c r="D9" i="63"/>
  <c r="F15" i="62"/>
  <c r="E15" i="62"/>
  <c r="D15" i="62"/>
  <c r="C15" i="62"/>
  <c r="G15" i="62" s="1"/>
  <c r="F10" i="62"/>
  <c r="E10" i="62"/>
  <c r="E9" i="62" s="1"/>
  <c r="D10" i="62"/>
  <c r="C10" i="62"/>
  <c r="C9" i="62" s="1"/>
  <c r="F9" i="62"/>
  <c r="D9" i="62"/>
  <c r="F15" i="61"/>
  <c r="E15" i="61"/>
  <c r="D15" i="61"/>
  <c r="C15" i="61"/>
  <c r="G15" i="61" s="1"/>
  <c r="F10" i="61"/>
  <c r="E10" i="61"/>
  <c r="E9" i="61" s="1"/>
  <c r="D10" i="61"/>
  <c r="C10" i="61"/>
  <c r="C9" i="61" s="1"/>
  <c r="F9" i="61"/>
  <c r="D9" i="61"/>
  <c r="G9" i="47"/>
  <c r="F9" i="47"/>
  <c r="E9" i="47"/>
  <c r="D9" i="47"/>
  <c r="C9" i="47"/>
  <c r="Y10" i="64"/>
  <c r="S10" i="64"/>
  <c r="U15" i="63"/>
  <c r="O15" i="63"/>
  <c r="I15" i="63"/>
  <c r="Y15" i="63"/>
  <c r="S15" i="63"/>
  <c r="M15" i="63"/>
  <c r="I13" i="63"/>
  <c r="Y10" i="63"/>
  <c r="U10" i="63" s="1"/>
  <c r="S10" i="63"/>
  <c r="O10" i="63" s="1"/>
  <c r="M10" i="63"/>
  <c r="I10" i="63" s="1"/>
  <c r="F22" i="62"/>
  <c r="E22" i="62"/>
  <c r="D22" i="62"/>
  <c r="C22" i="62"/>
  <c r="F21" i="62"/>
  <c r="F20" i="62" s="1"/>
  <c r="E21" i="62"/>
  <c r="D21" i="62"/>
  <c r="D20" i="62" s="1"/>
  <c r="C21" i="62"/>
  <c r="E20" i="62"/>
  <c r="C20" i="62"/>
  <c r="F22" i="61"/>
  <c r="E22" i="61"/>
  <c r="D22" i="61"/>
  <c r="C22" i="61"/>
  <c r="F21" i="61"/>
  <c r="E21" i="61"/>
  <c r="D21" i="61"/>
  <c r="C21" i="61"/>
  <c r="Y15" i="62"/>
  <c r="U15" i="62"/>
  <c r="S15" i="62"/>
  <c r="O15" i="62"/>
  <c r="M15" i="62"/>
  <c r="I15" i="62"/>
  <c r="I13" i="62"/>
  <c r="Y10" i="62"/>
  <c r="U10" i="62" s="1"/>
  <c r="S10" i="62"/>
  <c r="O10" i="62" s="1"/>
  <c r="M10" i="62"/>
  <c r="I10" i="62" s="1"/>
  <c r="Y15" i="61"/>
  <c r="U15" i="61"/>
  <c r="S15" i="61"/>
  <c r="O15" i="61"/>
  <c r="M15" i="61"/>
  <c r="I15" i="61"/>
  <c r="I13" i="61"/>
  <c r="Y10" i="61"/>
  <c r="U10" i="61" s="1"/>
  <c r="S10" i="61"/>
  <c r="O10" i="61" s="1"/>
  <c r="M10" i="61"/>
  <c r="I10" i="61" s="1"/>
  <c r="Y10" i="47"/>
  <c r="S10" i="47"/>
  <c r="F15" i="47"/>
  <c r="E15" i="47"/>
  <c r="D15" i="47"/>
  <c r="C15" i="47"/>
  <c r="U15" i="47"/>
  <c r="Y15" i="47"/>
  <c r="S15" i="47"/>
  <c r="M15" i="47"/>
  <c r="O15" i="47"/>
  <c r="I15" i="47"/>
  <c r="F22" i="47"/>
  <c r="F21" i="47"/>
  <c r="E22" i="47"/>
  <c r="E21" i="47"/>
  <c r="D22" i="47"/>
  <c r="D21" i="47"/>
  <c r="C22" i="47"/>
  <c r="C21" i="47"/>
  <c r="F25" i="47"/>
  <c r="F24" i="47"/>
  <c r="C25" i="47"/>
  <c r="C24" i="47"/>
  <c r="C23" i="47" s="1"/>
  <c r="C10" i="47"/>
  <c r="I10" i="47"/>
  <c r="M10" i="47"/>
  <c r="F22" i="64"/>
  <c r="F21" i="64"/>
  <c r="U10" i="64"/>
  <c r="F10" i="64" s="1"/>
  <c r="O10" i="64"/>
  <c r="M10" i="64"/>
  <c r="I10" i="64" s="1"/>
  <c r="I25" i="47"/>
  <c r="I24" i="47"/>
  <c r="I22" i="47"/>
  <c r="I21" i="47"/>
  <c r="I21" i="76"/>
  <c r="I13" i="47"/>
  <c r="U10" i="47"/>
  <c r="E10" i="47" s="1"/>
  <c r="O10" i="47"/>
  <c r="D10" i="47" s="1"/>
  <c r="L4" i="74"/>
  <c r="L4" i="73"/>
  <c r="L4" i="72"/>
  <c r="L4" i="71"/>
  <c r="L6" i="69"/>
  <c r="L4" i="70"/>
  <c r="L4" i="68"/>
  <c r="L4" i="67"/>
  <c r="L4" i="66"/>
  <c r="L4" i="65"/>
  <c r="L4" i="64"/>
  <c r="L4" i="63"/>
  <c r="L4" i="62"/>
  <c r="L4" i="61"/>
  <c r="L4" i="47"/>
  <c r="T26" i="75"/>
  <c r="T25" i="75"/>
  <c r="T24" i="75"/>
  <c r="T23" i="75"/>
  <c r="T22" i="75"/>
  <c r="T21" i="75"/>
  <c r="T20" i="75"/>
  <c r="T19" i="75"/>
  <c r="T18" i="75"/>
  <c r="T17" i="75"/>
  <c r="T16" i="75"/>
  <c r="U2" i="75"/>
  <c r="T2" i="75"/>
  <c r="M4" i="76"/>
  <c r="I25" i="76"/>
  <c r="I24" i="76"/>
  <c r="I22" i="76"/>
  <c r="F10" i="76"/>
  <c r="E10" i="76"/>
  <c r="D10" i="76"/>
  <c r="C10" i="76"/>
  <c r="Y25" i="76"/>
  <c r="Y24" i="76"/>
  <c r="Y22" i="76"/>
  <c r="Y21" i="76"/>
  <c r="S25" i="76"/>
  <c r="S24" i="76"/>
  <c r="S22" i="76"/>
  <c r="S21" i="76"/>
  <c r="E63" i="76"/>
  <c r="C63" i="76"/>
  <c r="G58" i="76"/>
  <c r="G57" i="76"/>
  <c r="G56" i="76"/>
  <c r="G55" i="76"/>
  <c r="G54" i="76"/>
  <c r="G53" i="76"/>
  <c r="G52" i="76"/>
  <c r="G51" i="76"/>
  <c r="G50" i="76"/>
  <c r="G49" i="76"/>
  <c r="G48" i="76"/>
  <c r="G47" i="76"/>
  <c r="G46" i="76"/>
  <c r="G45" i="76"/>
  <c r="G44" i="76"/>
  <c r="G38" i="76"/>
  <c r="G37" i="76"/>
  <c r="G36" i="76" s="1"/>
  <c r="F36" i="76"/>
  <c r="E36" i="76"/>
  <c r="D36" i="76"/>
  <c r="C36" i="76"/>
  <c r="G35" i="76"/>
  <c r="G34" i="76"/>
  <c r="F33" i="76"/>
  <c r="E33" i="76"/>
  <c r="D33" i="76"/>
  <c r="C33" i="76"/>
  <c r="G33" i="76" s="1"/>
  <c r="G28" i="76"/>
  <c r="G27" i="76"/>
  <c r="F26" i="76"/>
  <c r="E26" i="76"/>
  <c r="D26" i="76"/>
  <c r="C26" i="76"/>
  <c r="G26" i="76" s="1"/>
  <c r="M25" i="76"/>
  <c r="F25" i="76" s="1"/>
  <c r="E25" i="76"/>
  <c r="C25" i="76"/>
  <c r="M24" i="76"/>
  <c r="F24" i="76" s="1"/>
  <c r="E24" i="76"/>
  <c r="C24" i="76"/>
  <c r="M22" i="76"/>
  <c r="F22" i="76" s="1"/>
  <c r="F41" i="76" s="1"/>
  <c r="D22" i="76"/>
  <c r="D41" i="76" s="1"/>
  <c r="M21" i="76"/>
  <c r="D21" i="76" s="1"/>
  <c r="G16" i="76"/>
  <c r="F16" i="76"/>
  <c r="E16" i="76"/>
  <c r="D16" i="76"/>
  <c r="C16" i="76"/>
  <c r="F15" i="76"/>
  <c r="E15" i="76"/>
  <c r="D15" i="76"/>
  <c r="C15" i="76"/>
  <c r="F32" i="76"/>
  <c r="F31" i="76" s="1"/>
  <c r="D32" i="76"/>
  <c r="D31" i="76" s="1"/>
  <c r="K49" i="4"/>
  <c r="D24" i="47" l="1"/>
  <c r="D25" i="47"/>
  <c r="G21" i="62"/>
  <c r="G22" i="62"/>
  <c r="F20" i="64"/>
  <c r="F9" i="74"/>
  <c r="E9" i="74"/>
  <c r="F9" i="72"/>
  <c r="E9" i="72"/>
  <c r="E9" i="71"/>
  <c r="F9" i="71"/>
  <c r="F9" i="69"/>
  <c r="E9" i="69"/>
  <c r="E9" i="70"/>
  <c r="F9" i="70"/>
  <c r="F9" i="68"/>
  <c r="G15" i="68"/>
  <c r="E9" i="68"/>
  <c r="E9" i="67"/>
  <c r="F9" i="67"/>
  <c r="F9" i="66"/>
  <c r="G15" i="66"/>
  <c r="D10" i="64"/>
  <c r="C10" i="64"/>
  <c r="C9" i="64" s="1"/>
  <c r="F13" i="64"/>
  <c r="F9" i="64" s="1"/>
  <c r="E13" i="64"/>
  <c r="E10" i="64"/>
  <c r="E9" i="64" s="1"/>
  <c r="C21" i="64"/>
  <c r="E21" i="64"/>
  <c r="E20" i="64" s="1"/>
  <c r="C13" i="64"/>
  <c r="D14" i="64"/>
  <c r="G14" i="64" s="1"/>
  <c r="D21" i="64"/>
  <c r="D22" i="64"/>
  <c r="G22" i="64" s="1"/>
  <c r="F21" i="74"/>
  <c r="D21" i="74"/>
  <c r="E21" i="74"/>
  <c r="C21" i="74"/>
  <c r="D9" i="74"/>
  <c r="C9" i="74"/>
  <c r="F22" i="74"/>
  <c r="D22" i="74"/>
  <c r="E22" i="74"/>
  <c r="C22" i="74"/>
  <c r="C9" i="73"/>
  <c r="D9" i="73"/>
  <c r="E22" i="73"/>
  <c r="C22" i="73"/>
  <c r="F22" i="73"/>
  <c r="D22" i="73"/>
  <c r="E9" i="73"/>
  <c r="E21" i="73"/>
  <c r="C21" i="73"/>
  <c r="F21" i="73"/>
  <c r="D21" i="73"/>
  <c r="G15" i="73"/>
  <c r="F21" i="72"/>
  <c r="D21" i="72"/>
  <c r="E21" i="72"/>
  <c r="C21" i="72"/>
  <c r="D9" i="72"/>
  <c r="C9" i="72"/>
  <c r="F22" i="72"/>
  <c r="D22" i="72"/>
  <c r="E22" i="72"/>
  <c r="C22" i="72"/>
  <c r="E21" i="71"/>
  <c r="C21" i="71"/>
  <c r="F21" i="71"/>
  <c r="D21" i="71"/>
  <c r="C9" i="71"/>
  <c r="D9" i="71"/>
  <c r="E22" i="71"/>
  <c r="C22" i="71"/>
  <c r="F22" i="71"/>
  <c r="D22" i="71"/>
  <c r="G15" i="71"/>
  <c r="F21" i="69"/>
  <c r="D21" i="69"/>
  <c r="E21" i="69"/>
  <c r="C21" i="69"/>
  <c r="D9" i="69"/>
  <c r="C9" i="69"/>
  <c r="F22" i="69"/>
  <c r="D22" i="69"/>
  <c r="E22" i="69"/>
  <c r="C22" i="69"/>
  <c r="G22" i="69" s="1"/>
  <c r="E21" i="70"/>
  <c r="C21" i="70"/>
  <c r="F21" i="70"/>
  <c r="D21" i="70"/>
  <c r="C9" i="70"/>
  <c r="D9" i="70"/>
  <c r="E22" i="70"/>
  <c r="C22" i="70"/>
  <c r="F22" i="70"/>
  <c r="D22" i="70"/>
  <c r="G15" i="70"/>
  <c r="F21" i="68"/>
  <c r="D21" i="68"/>
  <c r="E21" i="68"/>
  <c r="C21" i="68"/>
  <c r="D9" i="68"/>
  <c r="C9" i="68"/>
  <c r="F22" i="68"/>
  <c r="D22" i="68"/>
  <c r="E22" i="68"/>
  <c r="C22" i="68"/>
  <c r="E21" i="67"/>
  <c r="C21" i="67"/>
  <c r="F21" i="67"/>
  <c r="D21" i="67"/>
  <c r="C9" i="67"/>
  <c r="D9" i="67"/>
  <c r="E22" i="67"/>
  <c r="C22" i="67"/>
  <c r="F22" i="67"/>
  <c r="D22" i="67"/>
  <c r="G15" i="67"/>
  <c r="D9" i="66"/>
  <c r="C9" i="66"/>
  <c r="F22" i="66"/>
  <c r="D22" i="66"/>
  <c r="E22" i="66"/>
  <c r="C22" i="66"/>
  <c r="G22" i="66" s="1"/>
  <c r="E9" i="66"/>
  <c r="F21" i="66"/>
  <c r="F20" i="66" s="1"/>
  <c r="D21" i="66"/>
  <c r="E21" i="66"/>
  <c r="E20" i="66" s="1"/>
  <c r="C21" i="66"/>
  <c r="F24" i="74"/>
  <c r="D24" i="74"/>
  <c r="E24" i="74"/>
  <c r="C24" i="74"/>
  <c r="F25" i="74"/>
  <c r="D25" i="74"/>
  <c r="E25" i="74"/>
  <c r="C25" i="74"/>
  <c r="F24" i="73"/>
  <c r="D24" i="73"/>
  <c r="G24" i="73" s="1"/>
  <c r="E24" i="73"/>
  <c r="C24" i="73"/>
  <c r="F25" i="73"/>
  <c r="D25" i="73"/>
  <c r="E25" i="73"/>
  <c r="C25" i="73"/>
  <c r="F24" i="72"/>
  <c r="D24" i="72"/>
  <c r="E24" i="72"/>
  <c r="C24" i="72"/>
  <c r="F25" i="72"/>
  <c r="D25" i="72"/>
  <c r="E25" i="72"/>
  <c r="C25" i="72"/>
  <c r="F24" i="71"/>
  <c r="D24" i="71"/>
  <c r="E24" i="71"/>
  <c r="C24" i="71"/>
  <c r="F25" i="71"/>
  <c r="D25" i="71"/>
  <c r="E25" i="71"/>
  <c r="C25" i="71"/>
  <c r="F24" i="69"/>
  <c r="D24" i="69"/>
  <c r="E24" i="69"/>
  <c r="C24" i="69"/>
  <c r="F25" i="69"/>
  <c r="D25" i="69"/>
  <c r="E25" i="69"/>
  <c r="C25" i="69"/>
  <c r="F24" i="70"/>
  <c r="D24" i="70"/>
  <c r="E24" i="70"/>
  <c r="C24" i="70"/>
  <c r="F25" i="70"/>
  <c r="D25" i="70"/>
  <c r="E25" i="70"/>
  <c r="C25" i="70"/>
  <c r="F24" i="68"/>
  <c r="D24" i="68"/>
  <c r="E24" i="68"/>
  <c r="C24" i="68"/>
  <c r="F25" i="68"/>
  <c r="D25" i="68"/>
  <c r="E25" i="68"/>
  <c r="C25" i="68"/>
  <c r="F24" i="67"/>
  <c r="D24" i="67"/>
  <c r="G24" i="67" s="1"/>
  <c r="E24" i="67"/>
  <c r="C24" i="67"/>
  <c r="F25" i="67"/>
  <c r="D25" i="67"/>
  <c r="E25" i="67"/>
  <c r="C25" i="67"/>
  <c r="F24" i="66"/>
  <c r="D24" i="66"/>
  <c r="E24" i="66"/>
  <c r="C24" i="66"/>
  <c r="F25" i="66"/>
  <c r="D25" i="66"/>
  <c r="E25" i="66"/>
  <c r="C25" i="66"/>
  <c r="F24" i="64"/>
  <c r="D24" i="64"/>
  <c r="E24" i="64"/>
  <c r="C24" i="64"/>
  <c r="F25" i="64"/>
  <c r="D25" i="64"/>
  <c r="E25" i="64"/>
  <c r="C25" i="64"/>
  <c r="E24" i="62"/>
  <c r="C24" i="62"/>
  <c r="F24" i="62"/>
  <c r="D24" i="62"/>
  <c r="E25" i="62"/>
  <c r="C25" i="62"/>
  <c r="F25" i="62"/>
  <c r="D25" i="62"/>
  <c r="E24" i="61"/>
  <c r="C24" i="61"/>
  <c r="F24" i="61"/>
  <c r="D24" i="61"/>
  <c r="E25" i="61"/>
  <c r="C25" i="61"/>
  <c r="F25" i="61"/>
  <c r="D25" i="61"/>
  <c r="G10" i="72"/>
  <c r="G9" i="72" s="1"/>
  <c r="G10" i="71"/>
  <c r="G10" i="69"/>
  <c r="G9" i="69" s="1"/>
  <c r="G10" i="67"/>
  <c r="G9" i="67" s="1"/>
  <c r="G10" i="66"/>
  <c r="G10" i="63"/>
  <c r="G9" i="63" s="1"/>
  <c r="G10" i="62"/>
  <c r="G9" i="62" s="1"/>
  <c r="G10" i="61"/>
  <c r="G9" i="61" s="1"/>
  <c r="E21" i="63"/>
  <c r="C21" i="63"/>
  <c r="F21" i="63"/>
  <c r="D21" i="63"/>
  <c r="E24" i="63"/>
  <c r="C24" i="63"/>
  <c r="F24" i="63"/>
  <c r="D24" i="63"/>
  <c r="E22" i="63"/>
  <c r="C22" i="63"/>
  <c r="F22" i="63"/>
  <c r="D22" i="63"/>
  <c r="E25" i="63"/>
  <c r="C25" i="63"/>
  <c r="F25" i="63"/>
  <c r="D25" i="63"/>
  <c r="F10" i="47"/>
  <c r="D25" i="76"/>
  <c r="G25" i="76" s="1"/>
  <c r="F43" i="76"/>
  <c r="F42" i="76" s="1"/>
  <c r="F23" i="76"/>
  <c r="D24" i="76"/>
  <c r="D9" i="76"/>
  <c r="F9" i="76"/>
  <c r="F65" i="76" s="1"/>
  <c r="F66" i="76" s="1"/>
  <c r="D65" i="76"/>
  <c r="D66" i="76" s="1"/>
  <c r="C32" i="76"/>
  <c r="C9" i="76"/>
  <c r="E32" i="76"/>
  <c r="E31" i="76" s="1"/>
  <c r="E9" i="76"/>
  <c r="G10" i="76"/>
  <c r="D20" i="76"/>
  <c r="D40" i="76"/>
  <c r="D39" i="76" s="1"/>
  <c r="E21" i="76"/>
  <c r="C21" i="76"/>
  <c r="C23" i="76"/>
  <c r="C43" i="76"/>
  <c r="E23" i="76"/>
  <c r="E43" i="76"/>
  <c r="E42" i="76" s="1"/>
  <c r="G24" i="76"/>
  <c r="G15" i="76"/>
  <c r="D63" i="76"/>
  <c r="F63" i="76"/>
  <c r="F21" i="76"/>
  <c r="E22" i="76"/>
  <c r="E41" i="76" s="1"/>
  <c r="C22" i="76"/>
  <c r="C64" i="76"/>
  <c r="E64" i="76"/>
  <c r="F18" i="74"/>
  <c r="E18" i="74"/>
  <c r="D18" i="74"/>
  <c r="C18" i="74"/>
  <c r="F17" i="74"/>
  <c r="E17" i="74"/>
  <c r="D17" i="74"/>
  <c r="C17" i="74"/>
  <c r="C16" i="74" s="1"/>
  <c r="F16" i="74"/>
  <c r="E16" i="74"/>
  <c r="D16" i="74"/>
  <c r="F18" i="73"/>
  <c r="E18" i="73"/>
  <c r="D18" i="73"/>
  <c r="C18" i="73"/>
  <c r="F17" i="73"/>
  <c r="E17" i="73"/>
  <c r="D17" i="73"/>
  <c r="C17" i="73"/>
  <c r="C16" i="73" s="1"/>
  <c r="F16" i="73"/>
  <c r="D16" i="73"/>
  <c r="F18" i="72"/>
  <c r="E18" i="72"/>
  <c r="D18" i="72"/>
  <c r="C18" i="72"/>
  <c r="F17" i="72"/>
  <c r="E17" i="72"/>
  <c r="D17" i="72"/>
  <c r="C17" i="72"/>
  <c r="C16" i="72" s="1"/>
  <c r="F16" i="72"/>
  <c r="E16" i="72"/>
  <c r="F18" i="71"/>
  <c r="E18" i="71"/>
  <c r="D18" i="71"/>
  <c r="C18" i="71"/>
  <c r="F17" i="71"/>
  <c r="E17" i="71"/>
  <c r="D17" i="71"/>
  <c r="D16" i="71" s="1"/>
  <c r="C17" i="71"/>
  <c r="C16" i="71" s="1"/>
  <c r="F16" i="71"/>
  <c r="F18" i="69"/>
  <c r="E18" i="69"/>
  <c r="D18" i="69"/>
  <c r="C18" i="69"/>
  <c r="F17" i="69"/>
  <c r="E17" i="69"/>
  <c r="D17" i="69"/>
  <c r="C17" i="69"/>
  <c r="C16" i="69" s="1"/>
  <c r="F16" i="69"/>
  <c r="E16" i="69"/>
  <c r="D16" i="69"/>
  <c r="F18" i="70"/>
  <c r="E18" i="70"/>
  <c r="D18" i="70"/>
  <c r="C18" i="70"/>
  <c r="F17" i="70"/>
  <c r="E17" i="70"/>
  <c r="D17" i="70"/>
  <c r="C17" i="70"/>
  <c r="C16" i="70" s="1"/>
  <c r="F16" i="70"/>
  <c r="E16" i="70"/>
  <c r="F18" i="68"/>
  <c r="E18" i="68"/>
  <c r="D18" i="68"/>
  <c r="C18" i="68"/>
  <c r="F17" i="68"/>
  <c r="E17" i="68"/>
  <c r="D17" i="68"/>
  <c r="C17" i="68"/>
  <c r="C16" i="68" s="1"/>
  <c r="F16" i="68"/>
  <c r="E16" i="68"/>
  <c r="F18" i="67"/>
  <c r="E18" i="67"/>
  <c r="D18" i="67"/>
  <c r="C18" i="67"/>
  <c r="F17" i="67"/>
  <c r="E17" i="67"/>
  <c r="D17" i="67"/>
  <c r="D16" i="67" s="1"/>
  <c r="C17" i="67"/>
  <c r="C16" i="67" s="1"/>
  <c r="F16" i="67"/>
  <c r="F18" i="66"/>
  <c r="E18" i="66"/>
  <c r="D18" i="66"/>
  <c r="C18" i="66"/>
  <c r="F17" i="66"/>
  <c r="E17" i="66"/>
  <c r="D17" i="66"/>
  <c r="D16" i="66" s="1"/>
  <c r="C17" i="66"/>
  <c r="C16" i="66" s="1"/>
  <c r="F16" i="66"/>
  <c r="F22" i="4" l="1"/>
  <c r="E22" i="4"/>
  <c r="G24" i="71"/>
  <c r="G25" i="74"/>
  <c r="F20" i="73"/>
  <c r="E20" i="73"/>
  <c r="G22" i="72"/>
  <c r="G25" i="69"/>
  <c r="G22" i="68"/>
  <c r="G25" i="66"/>
  <c r="G20" i="62"/>
  <c r="G9" i="71"/>
  <c r="G9" i="66"/>
  <c r="G10" i="74"/>
  <c r="G9" i="74" s="1"/>
  <c r="G22" i="74"/>
  <c r="G21" i="64"/>
  <c r="G20" i="64" s="1"/>
  <c r="C20" i="64"/>
  <c r="G10" i="64"/>
  <c r="G25" i="64"/>
  <c r="G24" i="64"/>
  <c r="D20" i="64"/>
  <c r="G13" i="64"/>
  <c r="D9" i="64"/>
  <c r="G21" i="74"/>
  <c r="C20" i="74"/>
  <c r="D20" i="74"/>
  <c r="E20" i="74"/>
  <c r="F20" i="74"/>
  <c r="G22" i="73"/>
  <c r="G10" i="73"/>
  <c r="G9" i="73" s="1"/>
  <c r="G25" i="73"/>
  <c r="G23" i="73" s="1"/>
  <c r="D20" i="73"/>
  <c r="G21" i="73"/>
  <c r="G20" i="73" s="1"/>
  <c r="C20" i="73"/>
  <c r="G21" i="72"/>
  <c r="G20" i="72" s="1"/>
  <c r="C20" i="72"/>
  <c r="D20" i="72"/>
  <c r="G25" i="72"/>
  <c r="E20" i="72"/>
  <c r="F20" i="72"/>
  <c r="G22" i="71"/>
  <c r="D20" i="71"/>
  <c r="G21" i="71"/>
  <c r="G20" i="71" s="1"/>
  <c r="C20" i="71"/>
  <c r="G25" i="71"/>
  <c r="G23" i="71" s="1"/>
  <c r="F20" i="71"/>
  <c r="E20" i="71"/>
  <c r="G21" i="69"/>
  <c r="G20" i="69" s="1"/>
  <c r="C20" i="69"/>
  <c r="D20" i="69"/>
  <c r="E20" i="69"/>
  <c r="F20" i="69"/>
  <c r="G22" i="70"/>
  <c r="D20" i="70"/>
  <c r="G21" i="70"/>
  <c r="G20" i="70" s="1"/>
  <c r="C20" i="70"/>
  <c r="G10" i="70"/>
  <c r="G9" i="70" s="1"/>
  <c r="F20" i="70"/>
  <c r="E20" i="70"/>
  <c r="G21" i="68"/>
  <c r="G20" i="68" s="1"/>
  <c r="C20" i="68"/>
  <c r="D20" i="68"/>
  <c r="G10" i="68"/>
  <c r="G9" i="68" s="1"/>
  <c r="G25" i="68"/>
  <c r="E20" i="68"/>
  <c r="F20" i="68"/>
  <c r="G22" i="67"/>
  <c r="D20" i="67"/>
  <c r="G21" i="67"/>
  <c r="G20" i="67" s="1"/>
  <c r="C20" i="67"/>
  <c r="G25" i="67"/>
  <c r="G23" i="67" s="1"/>
  <c r="F20" i="67"/>
  <c r="E20" i="67"/>
  <c r="G21" i="66"/>
  <c r="G20" i="66" s="1"/>
  <c r="C20" i="66"/>
  <c r="D20" i="66"/>
  <c r="C23" i="74"/>
  <c r="D23" i="74"/>
  <c r="G24" i="74"/>
  <c r="G23" i="74" s="1"/>
  <c r="E23" i="74"/>
  <c r="F23" i="74"/>
  <c r="C23" i="73"/>
  <c r="D23" i="73"/>
  <c r="E23" i="73"/>
  <c r="F23" i="73"/>
  <c r="C23" i="72"/>
  <c r="D23" i="72"/>
  <c r="G24" i="72"/>
  <c r="E23" i="72"/>
  <c r="F23" i="72"/>
  <c r="C23" i="71"/>
  <c r="D23" i="71"/>
  <c r="E23" i="71"/>
  <c r="F23" i="71"/>
  <c r="C23" i="69"/>
  <c r="D23" i="69"/>
  <c r="G24" i="69"/>
  <c r="E23" i="69"/>
  <c r="F23" i="69"/>
  <c r="E23" i="70"/>
  <c r="F23" i="70"/>
  <c r="G24" i="70"/>
  <c r="G25" i="70"/>
  <c r="C23" i="70"/>
  <c r="D23" i="70"/>
  <c r="C23" i="68"/>
  <c r="D23" i="68"/>
  <c r="G24" i="68"/>
  <c r="E23" i="68"/>
  <c r="F23" i="68"/>
  <c r="C23" i="67"/>
  <c r="D23" i="67"/>
  <c r="E23" i="67"/>
  <c r="F23" i="67"/>
  <c r="C23" i="66"/>
  <c r="D23" i="66"/>
  <c r="G24" i="66"/>
  <c r="G23" i="66" s="1"/>
  <c r="E23" i="66"/>
  <c r="F23" i="66"/>
  <c r="C23" i="64"/>
  <c r="D23" i="64"/>
  <c r="E23" i="64"/>
  <c r="F23" i="64"/>
  <c r="C23" i="62"/>
  <c r="G25" i="62"/>
  <c r="D23" i="62"/>
  <c r="G24" i="62"/>
  <c r="G23" i="62" s="1"/>
  <c r="F23" i="62"/>
  <c r="E23" i="62"/>
  <c r="G25" i="63"/>
  <c r="G22" i="63"/>
  <c r="D23" i="63"/>
  <c r="C23" i="63"/>
  <c r="D20" i="63"/>
  <c r="G21" i="63"/>
  <c r="G20" i="63" s="1"/>
  <c r="C20" i="63"/>
  <c r="G24" i="63"/>
  <c r="F23" i="63"/>
  <c r="E23" i="63"/>
  <c r="F20" i="63"/>
  <c r="E20" i="63"/>
  <c r="D16" i="68"/>
  <c r="E16" i="73"/>
  <c r="D16" i="72"/>
  <c r="E16" i="71"/>
  <c r="D16" i="70"/>
  <c r="E16" i="67"/>
  <c r="E16" i="66"/>
  <c r="G23" i="76"/>
  <c r="D43" i="76"/>
  <c r="D42" i="76" s="1"/>
  <c r="D59" i="76" s="1"/>
  <c r="D23" i="76"/>
  <c r="D29" i="76" s="1"/>
  <c r="D60" i="76" s="1"/>
  <c r="F67" i="76"/>
  <c r="C42" i="76"/>
  <c r="G42" i="76" s="1"/>
  <c r="C40" i="76"/>
  <c r="G21" i="76"/>
  <c r="C20" i="76"/>
  <c r="C29" i="76" s="1"/>
  <c r="G9" i="76"/>
  <c r="G32" i="76"/>
  <c r="G31" i="76" s="1"/>
  <c r="C31" i="76"/>
  <c r="G22" i="76"/>
  <c r="C41" i="76"/>
  <c r="G41" i="76" s="1"/>
  <c r="F20" i="76"/>
  <c r="F29" i="76" s="1"/>
  <c r="F40" i="76"/>
  <c r="F39" i="76" s="1"/>
  <c r="F59" i="76" s="1"/>
  <c r="F64" i="76"/>
  <c r="D64" i="76"/>
  <c r="D67" i="76" s="1"/>
  <c r="E40" i="76"/>
  <c r="E39" i="76" s="1"/>
  <c r="E59" i="76" s="1"/>
  <c r="E20" i="76"/>
  <c r="E29" i="76" s="1"/>
  <c r="E65" i="76"/>
  <c r="E66" i="76" s="1"/>
  <c r="C65" i="76"/>
  <c r="C66" i="76" s="1"/>
  <c r="C67" i="76" s="1"/>
  <c r="B5" i="75"/>
  <c r="B19" i="75" s="1"/>
  <c r="B4" i="75"/>
  <c r="B3" i="75"/>
  <c r="B2" i="75"/>
  <c r="B18" i="75" s="1"/>
  <c r="D56" i="4"/>
  <c r="E56" i="4"/>
  <c r="F56" i="4"/>
  <c r="C56" i="4"/>
  <c r="B16" i="75"/>
  <c r="B15" i="75"/>
  <c r="B14" i="75"/>
  <c r="B13" i="75"/>
  <c r="B12" i="75"/>
  <c r="B11" i="75"/>
  <c r="B10" i="75"/>
  <c r="B9" i="75"/>
  <c r="B8" i="75"/>
  <c r="B7" i="75"/>
  <c r="B6" i="75"/>
  <c r="D43" i="4"/>
  <c r="E43" i="4"/>
  <c r="F43" i="4"/>
  <c r="C43" i="4"/>
  <c r="C44" i="4" s="1"/>
  <c r="F16" i="4"/>
  <c r="E16" i="4"/>
  <c r="D16" i="4"/>
  <c r="F15" i="4"/>
  <c r="E15" i="4"/>
  <c r="D15" i="4"/>
  <c r="D12" i="4"/>
  <c r="E12" i="4"/>
  <c r="F12" i="4"/>
  <c r="D11" i="4"/>
  <c r="E11" i="4"/>
  <c r="F11" i="4"/>
  <c r="F16" i="64"/>
  <c r="E16" i="64"/>
  <c r="D16" i="64"/>
  <c r="C16" i="64"/>
  <c r="G16" i="63"/>
  <c r="F16" i="63"/>
  <c r="E16" i="63"/>
  <c r="D16" i="63"/>
  <c r="C16" i="63"/>
  <c r="G16" i="62"/>
  <c r="F16" i="62"/>
  <c r="E16" i="62"/>
  <c r="D16" i="62"/>
  <c r="C16" i="62"/>
  <c r="G16" i="61"/>
  <c r="F16" i="61"/>
  <c r="E16" i="61"/>
  <c r="D16" i="61"/>
  <c r="C16" i="61"/>
  <c r="D16" i="47"/>
  <c r="E16" i="47"/>
  <c r="F16" i="47"/>
  <c r="G16" i="47"/>
  <c r="C16" i="47"/>
  <c r="G23" i="69" l="1"/>
  <c r="G20" i="74"/>
  <c r="G23" i="68"/>
  <c r="G23" i="64"/>
  <c r="G9" i="64"/>
  <c r="G23" i="72"/>
  <c r="G23" i="70"/>
  <c r="G23" i="63"/>
  <c r="G43" i="76"/>
  <c r="E67" i="76"/>
  <c r="E60" i="76"/>
  <c r="G29" i="76"/>
  <c r="G40" i="76"/>
  <c r="G39" i="76" s="1"/>
  <c r="G59" i="76" s="1"/>
  <c r="C39" i="76"/>
  <c r="C59" i="76" s="1"/>
  <c r="C60" i="76" s="1"/>
  <c r="F60" i="76"/>
  <c r="G20" i="76"/>
  <c r="B17" i="75"/>
  <c r="C8" i="75" s="1"/>
  <c r="D8" i="75" s="1"/>
  <c r="C34" i="66" s="1"/>
  <c r="D34" i="66" s="1"/>
  <c r="E34" i="66" s="1"/>
  <c r="F34" i="66" s="1"/>
  <c r="E14" i="4"/>
  <c r="C86" i="4"/>
  <c r="C87" i="4" s="1"/>
  <c r="D14" i="4"/>
  <c r="F14" i="4"/>
  <c r="G17" i="4"/>
  <c r="G60" i="76" l="1"/>
  <c r="C14" i="75"/>
  <c r="D14" i="75" s="1"/>
  <c r="C34" i="72" s="1"/>
  <c r="D34" i="72" s="1"/>
  <c r="E34" i="72" s="1"/>
  <c r="F34" i="72" s="1"/>
  <c r="C9" i="75"/>
  <c r="D9" i="75" s="1"/>
  <c r="C34" i="67" s="1"/>
  <c r="D34" i="67" s="1"/>
  <c r="E34" i="67" s="1"/>
  <c r="F34" i="67" s="1"/>
  <c r="C10" i="75"/>
  <c r="D10" i="75" s="1"/>
  <c r="C34" i="68" s="1"/>
  <c r="D34" i="68" s="1"/>
  <c r="E34" i="68" s="1"/>
  <c r="F34" i="68" s="1"/>
  <c r="B20" i="75"/>
  <c r="C90" i="4" s="1"/>
  <c r="D90" i="4" s="1"/>
  <c r="C13" i="75"/>
  <c r="D13" i="75" s="1"/>
  <c r="C34" i="71" s="1"/>
  <c r="D34" i="71" s="1"/>
  <c r="E34" i="71" s="1"/>
  <c r="F34" i="71" s="1"/>
  <c r="C12" i="75"/>
  <c r="D12" i="75" s="1"/>
  <c r="C34" i="69" s="1"/>
  <c r="D34" i="69" s="1"/>
  <c r="E34" i="69" s="1"/>
  <c r="F34" i="69" s="1"/>
  <c r="C16" i="75"/>
  <c r="D16" i="75" s="1"/>
  <c r="C34" i="74" s="1"/>
  <c r="D34" i="74" s="1"/>
  <c r="E34" i="74" s="1"/>
  <c r="F34" i="74" s="1"/>
  <c r="C7" i="75"/>
  <c r="D7" i="75" s="1"/>
  <c r="C11" i="75"/>
  <c r="D11" i="75" s="1"/>
  <c r="C34" i="70" s="1"/>
  <c r="D34" i="70" s="1"/>
  <c r="E34" i="70" s="1"/>
  <c r="F34" i="70" s="1"/>
  <c r="C15" i="75"/>
  <c r="D15" i="75" s="1"/>
  <c r="C34" i="73" s="1"/>
  <c r="D34" i="73" s="1"/>
  <c r="E34" i="73" s="1"/>
  <c r="F34" i="73" s="1"/>
  <c r="C6" i="75"/>
  <c r="D6" i="75" s="1"/>
  <c r="C34" i="64" s="1"/>
  <c r="E34" i="64" s="1"/>
  <c r="D71" i="74"/>
  <c r="C71" i="74"/>
  <c r="F58" i="74"/>
  <c r="E58" i="74"/>
  <c r="D58" i="74"/>
  <c r="C58" i="74"/>
  <c r="G58" i="74" s="1"/>
  <c r="G57" i="74"/>
  <c r="G56" i="74"/>
  <c r="G55" i="74"/>
  <c r="G54" i="74"/>
  <c r="G53" i="74"/>
  <c r="G52" i="74"/>
  <c r="G51" i="74"/>
  <c r="K50" i="74"/>
  <c r="L50" i="74" s="1"/>
  <c r="G50" i="74"/>
  <c r="G49" i="74"/>
  <c r="G48" i="74"/>
  <c r="G47" i="74"/>
  <c r="G46" i="74"/>
  <c r="G45" i="74"/>
  <c r="G44" i="74"/>
  <c r="G38" i="74"/>
  <c r="G37" i="74"/>
  <c r="G36" i="74" s="1"/>
  <c r="F36" i="74"/>
  <c r="E36" i="74"/>
  <c r="D36" i="74"/>
  <c r="C36" i="74"/>
  <c r="G35" i="74"/>
  <c r="G28" i="74"/>
  <c r="G27" i="74"/>
  <c r="F26" i="74"/>
  <c r="E26" i="74"/>
  <c r="D26" i="74"/>
  <c r="C26" i="74"/>
  <c r="F41" i="74"/>
  <c r="E41" i="74"/>
  <c r="D41" i="74"/>
  <c r="C41" i="74"/>
  <c r="D40" i="74"/>
  <c r="C40" i="74"/>
  <c r="G17" i="74"/>
  <c r="F33" i="74"/>
  <c r="E33" i="74"/>
  <c r="D33" i="74"/>
  <c r="D71" i="73"/>
  <c r="C71" i="73"/>
  <c r="F58" i="73"/>
  <c r="E58" i="73"/>
  <c r="D58" i="73"/>
  <c r="C58" i="73"/>
  <c r="G58" i="73" s="1"/>
  <c r="G57" i="73"/>
  <c r="G56" i="73"/>
  <c r="G55" i="73"/>
  <c r="G54" i="73"/>
  <c r="G53" i="73"/>
  <c r="G52" i="73"/>
  <c r="G51" i="73"/>
  <c r="L50" i="73"/>
  <c r="K50" i="73"/>
  <c r="G50" i="73"/>
  <c r="G49" i="73"/>
  <c r="G48" i="73"/>
  <c r="G47" i="73"/>
  <c r="G46" i="73"/>
  <c r="G45" i="73"/>
  <c r="G44" i="73"/>
  <c r="G38" i="73"/>
  <c r="G37" i="73"/>
  <c r="G36" i="73" s="1"/>
  <c r="F36" i="73"/>
  <c r="E36" i="73"/>
  <c r="D36" i="73"/>
  <c r="C36" i="73"/>
  <c r="G35" i="73"/>
  <c r="G34" i="73"/>
  <c r="G28" i="73"/>
  <c r="G27" i="73"/>
  <c r="G26" i="73"/>
  <c r="I58" i="73" s="1"/>
  <c r="J58" i="73" s="1"/>
  <c r="F26" i="73"/>
  <c r="E26" i="73"/>
  <c r="D26" i="73"/>
  <c r="C26" i="73"/>
  <c r="F43" i="73"/>
  <c r="F42" i="73" s="1"/>
  <c r="D43" i="73"/>
  <c r="D42" i="73" s="1"/>
  <c r="C43" i="73"/>
  <c r="F41" i="73"/>
  <c r="E41" i="73"/>
  <c r="D41" i="73"/>
  <c r="E40" i="73"/>
  <c r="D40" i="73"/>
  <c r="C40" i="73"/>
  <c r="G18" i="73"/>
  <c r="E77" i="73"/>
  <c r="G17" i="73"/>
  <c r="G16" i="73" s="1"/>
  <c r="F33" i="73"/>
  <c r="E33" i="73"/>
  <c r="D33" i="73"/>
  <c r="D32" i="73"/>
  <c r="D71" i="72"/>
  <c r="C71" i="72"/>
  <c r="F58" i="72"/>
  <c r="E58" i="72"/>
  <c r="D58" i="72"/>
  <c r="C58" i="72"/>
  <c r="G58" i="72" s="1"/>
  <c r="G57" i="72"/>
  <c r="G56" i="72"/>
  <c r="G55" i="72"/>
  <c r="G54" i="72"/>
  <c r="G53" i="72"/>
  <c r="G52" i="72"/>
  <c r="G51" i="72"/>
  <c r="L50" i="72"/>
  <c r="K50" i="72"/>
  <c r="G50" i="72"/>
  <c r="G49" i="72"/>
  <c r="G48" i="72"/>
  <c r="G47" i="72"/>
  <c r="G46" i="72"/>
  <c r="G45" i="72"/>
  <c r="G44" i="72"/>
  <c r="G38" i="72"/>
  <c r="G37" i="72"/>
  <c r="G36" i="72" s="1"/>
  <c r="F36" i="72"/>
  <c r="E36" i="72"/>
  <c r="D36" i="72"/>
  <c r="C36" i="72"/>
  <c r="G35" i="72"/>
  <c r="G28" i="72"/>
  <c r="G27" i="72"/>
  <c r="F26" i="72"/>
  <c r="E26" i="72"/>
  <c r="G26" i="72" s="1"/>
  <c r="I58" i="72" s="1"/>
  <c r="J58" i="72" s="1"/>
  <c r="D26" i="72"/>
  <c r="C26" i="72"/>
  <c r="F43" i="72"/>
  <c r="F42" i="72" s="1"/>
  <c r="E43" i="72"/>
  <c r="E42" i="72" s="1"/>
  <c r="D43" i="72"/>
  <c r="D42" i="72" s="1"/>
  <c r="C43" i="72"/>
  <c r="F41" i="72"/>
  <c r="E41" i="72"/>
  <c r="D41" i="72"/>
  <c r="E40" i="72"/>
  <c r="D40" i="72"/>
  <c r="C40" i="72"/>
  <c r="G17" i="72"/>
  <c r="F33" i="72"/>
  <c r="E33" i="72"/>
  <c r="D33" i="72"/>
  <c r="D71" i="71"/>
  <c r="C71" i="71"/>
  <c r="F58" i="71"/>
  <c r="E58" i="71"/>
  <c r="D58" i="71"/>
  <c r="C58" i="71"/>
  <c r="G58" i="71" s="1"/>
  <c r="G57" i="71"/>
  <c r="G56" i="71"/>
  <c r="G55" i="71"/>
  <c r="G54" i="71"/>
  <c r="G53" i="71"/>
  <c r="G52" i="71"/>
  <c r="G51" i="71"/>
  <c r="L50" i="71"/>
  <c r="K50" i="71"/>
  <c r="G50" i="71"/>
  <c r="G49" i="71"/>
  <c r="G48" i="71"/>
  <c r="G47" i="71"/>
  <c r="G46" i="71"/>
  <c r="G45" i="71"/>
  <c r="G44" i="71"/>
  <c r="G38" i="71"/>
  <c r="G37" i="71"/>
  <c r="G36" i="71" s="1"/>
  <c r="F36" i="71"/>
  <c r="E36" i="71"/>
  <c r="D36" i="71"/>
  <c r="C36" i="71"/>
  <c r="G35" i="71"/>
  <c r="G34" i="71"/>
  <c r="G28" i="71"/>
  <c r="G27" i="71"/>
  <c r="F26" i="71"/>
  <c r="E26" i="71"/>
  <c r="D26" i="71"/>
  <c r="C26" i="71"/>
  <c r="G26" i="71" s="1"/>
  <c r="I58" i="71" s="1"/>
  <c r="J58" i="71" s="1"/>
  <c r="F43" i="71"/>
  <c r="F42" i="71" s="1"/>
  <c r="D43" i="71"/>
  <c r="D42" i="71" s="1"/>
  <c r="C43" i="71"/>
  <c r="F41" i="71"/>
  <c r="E41" i="71"/>
  <c r="D41" i="71"/>
  <c r="E40" i="71"/>
  <c r="C40" i="71"/>
  <c r="G18" i="71"/>
  <c r="C77" i="71"/>
  <c r="F33" i="71"/>
  <c r="E33" i="71"/>
  <c r="D33" i="71"/>
  <c r="F32" i="71"/>
  <c r="D71" i="70"/>
  <c r="C71" i="70"/>
  <c r="F58" i="70"/>
  <c r="E58" i="70"/>
  <c r="D58" i="70"/>
  <c r="C58" i="70"/>
  <c r="G58" i="70" s="1"/>
  <c r="G57" i="70"/>
  <c r="G56" i="70"/>
  <c r="G55" i="70"/>
  <c r="G54" i="70"/>
  <c r="G53" i="70"/>
  <c r="G52" i="70"/>
  <c r="G51" i="70"/>
  <c r="L50" i="70"/>
  <c r="K50" i="70"/>
  <c r="G50" i="70"/>
  <c r="G49" i="70"/>
  <c r="G48" i="70"/>
  <c r="G47" i="70"/>
  <c r="G46" i="70"/>
  <c r="G45" i="70"/>
  <c r="G44" i="70"/>
  <c r="G38" i="70"/>
  <c r="G37" i="70"/>
  <c r="G36" i="70" s="1"/>
  <c r="F36" i="70"/>
  <c r="E36" i="70"/>
  <c r="D36" i="70"/>
  <c r="C36" i="70"/>
  <c r="G35" i="70"/>
  <c r="G28" i="70"/>
  <c r="G27" i="70"/>
  <c r="F26" i="70"/>
  <c r="E26" i="70"/>
  <c r="D26" i="70"/>
  <c r="C26" i="70"/>
  <c r="G26" i="70" s="1"/>
  <c r="I58" i="70" s="1"/>
  <c r="J58" i="70" s="1"/>
  <c r="F43" i="70"/>
  <c r="F42" i="70" s="1"/>
  <c r="D43" i="70"/>
  <c r="D42" i="70" s="1"/>
  <c r="C43" i="70"/>
  <c r="F41" i="70"/>
  <c r="E41" i="70"/>
  <c r="D41" i="70"/>
  <c r="E40" i="70"/>
  <c r="E77" i="70"/>
  <c r="G17" i="70"/>
  <c r="C77" i="70"/>
  <c r="F33" i="70"/>
  <c r="E33" i="70"/>
  <c r="D33" i="70"/>
  <c r="D71" i="69"/>
  <c r="C71" i="69"/>
  <c r="F58" i="69"/>
  <c r="E58" i="69"/>
  <c r="D58" i="69"/>
  <c r="C58" i="69"/>
  <c r="G58" i="69" s="1"/>
  <c r="G57" i="69"/>
  <c r="G56" i="69"/>
  <c r="G55" i="69"/>
  <c r="G54" i="69"/>
  <c r="G53" i="69"/>
  <c r="G52" i="69"/>
  <c r="G51" i="69"/>
  <c r="K50" i="69"/>
  <c r="L50" i="69" s="1"/>
  <c r="G50" i="69"/>
  <c r="G49" i="69"/>
  <c r="G48" i="69"/>
  <c r="G47" i="69"/>
  <c r="G46" i="69"/>
  <c r="G45" i="69"/>
  <c r="G44" i="69"/>
  <c r="G38" i="69"/>
  <c r="G37" i="69"/>
  <c r="G36" i="69"/>
  <c r="F36" i="69"/>
  <c r="E36" i="69"/>
  <c r="D36" i="69"/>
  <c r="C36" i="69"/>
  <c r="G35" i="69"/>
  <c r="G28" i="69"/>
  <c r="G27" i="69"/>
  <c r="F26" i="69"/>
  <c r="E26" i="69"/>
  <c r="D26" i="69"/>
  <c r="C26" i="69"/>
  <c r="G26" i="69" s="1"/>
  <c r="I58" i="69" s="1"/>
  <c r="J58" i="69" s="1"/>
  <c r="F43" i="69"/>
  <c r="F42" i="69" s="1"/>
  <c r="D43" i="69"/>
  <c r="D42" i="69" s="1"/>
  <c r="C43" i="69"/>
  <c r="F41" i="69"/>
  <c r="E41" i="69"/>
  <c r="C41" i="69"/>
  <c r="G18" i="69"/>
  <c r="F77" i="69"/>
  <c r="E77" i="69"/>
  <c r="G17" i="69"/>
  <c r="F33" i="69"/>
  <c r="E33" i="69"/>
  <c r="D33" i="69"/>
  <c r="C33" i="69"/>
  <c r="D71" i="68"/>
  <c r="C71" i="68"/>
  <c r="F58" i="68"/>
  <c r="E58" i="68"/>
  <c r="D58" i="68"/>
  <c r="C58" i="68"/>
  <c r="G58" i="68" s="1"/>
  <c r="G57" i="68"/>
  <c r="G56" i="68"/>
  <c r="G55" i="68"/>
  <c r="G54" i="68"/>
  <c r="G53" i="68"/>
  <c r="G52" i="68"/>
  <c r="G51" i="68"/>
  <c r="L50" i="68"/>
  <c r="K50" i="68"/>
  <c r="G50" i="68"/>
  <c r="G49" i="68"/>
  <c r="G48" i="68"/>
  <c r="G47" i="68"/>
  <c r="G46" i="68"/>
  <c r="G45" i="68"/>
  <c r="G44" i="68"/>
  <c r="G38" i="68"/>
  <c r="G37" i="68"/>
  <c r="G36" i="68" s="1"/>
  <c r="F36" i="68"/>
  <c r="E36" i="68"/>
  <c r="D36" i="68"/>
  <c r="C36" i="68"/>
  <c r="G35" i="68"/>
  <c r="G28" i="68"/>
  <c r="G27" i="68"/>
  <c r="F26" i="68"/>
  <c r="E26" i="68"/>
  <c r="G26" i="68" s="1"/>
  <c r="I58" i="68" s="1"/>
  <c r="J58" i="68" s="1"/>
  <c r="D26" i="68"/>
  <c r="C26" i="68"/>
  <c r="F43" i="68"/>
  <c r="F42" i="68" s="1"/>
  <c r="D43" i="68"/>
  <c r="D42" i="68" s="1"/>
  <c r="C43" i="68"/>
  <c r="F41" i="68"/>
  <c r="E41" i="68"/>
  <c r="D41" i="68"/>
  <c r="E40" i="68"/>
  <c r="D40" i="68"/>
  <c r="C40" i="68"/>
  <c r="G18" i="68"/>
  <c r="G17" i="68"/>
  <c r="F33" i="68"/>
  <c r="D33" i="68"/>
  <c r="F32" i="68"/>
  <c r="D71" i="67"/>
  <c r="C71" i="67"/>
  <c r="F58" i="67"/>
  <c r="E58" i="67"/>
  <c r="D58" i="67"/>
  <c r="C58" i="67"/>
  <c r="G58" i="67" s="1"/>
  <c r="G57" i="67"/>
  <c r="G56" i="67"/>
  <c r="G55" i="67"/>
  <c r="G54" i="67"/>
  <c r="G53" i="67"/>
  <c r="G52" i="67"/>
  <c r="G51" i="67"/>
  <c r="L50" i="67"/>
  <c r="K50" i="67"/>
  <c r="G50" i="67"/>
  <c r="G49" i="67"/>
  <c r="G48" i="67"/>
  <c r="G47" i="67"/>
  <c r="G46" i="67"/>
  <c r="G45" i="67"/>
  <c r="G44" i="67"/>
  <c r="G38" i="67"/>
  <c r="G37" i="67"/>
  <c r="G36" i="67" s="1"/>
  <c r="F36" i="67"/>
  <c r="E36" i="67"/>
  <c r="D36" i="67"/>
  <c r="C36" i="67"/>
  <c r="G35" i="67"/>
  <c r="G28" i="67"/>
  <c r="G27" i="67"/>
  <c r="G26" i="67"/>
  <c r="I58" i="67" s="1"/>
  <c r="J58" i="67" s="1"/>
  <c r="F26" i="67"/>
  <c r="E26" i="67"/>
  <c r="D26" i="67"/>
  <c r="C26" i="67"/>
  <c r="F43" i="67"/>
  <c r="F42" i="67" s="1"/>
  <c r="D43" i="67"/>
  <c r="D42" i="67" s="1"/>
  <c r="C43" i="67"/>
  <c r="F41" i="67"/>
  <c r="E41" i="67"/>
  <c r="D41" i="67"/>
  <c r="E40" i="67"/>
  <c r="D40" i="67"/>
  <c r="C40" i="67"/>
  <c r="G18" i="67"/>
  <c r="F33" i="67"/>
  <c r="E33" i="67"/>
  <c r="D33" i="67"/>
  <c r="C33" i="67"/>
  <c r="D71" i="66"/>
  <c r="C71" i="66"/>
  <c r="F58" i="66"/>
  <c r="E58" i="66"/>
  <c r="D58" i="66"/>
  <c r="C58" i="66"/>
  <c r="G58" i="66" s="1"/>
  <c r="G57" i="66"/>
  <c r="G56" i="66"/>
  <c r="G55" i="66"/>
  <c r="G54" i="66"/>
  <c r="G53" i="66"/>
  <c r="G52" i="66"/>
  <c r="G51" i="66"/>
  <c r="K50" i="66"/>
  <c r="L50" i="66" s="1"/>
  <c r="G50" i="66"/>
  <c r="G49" i="66"/>
  <c r="G48" i="66"/>
  <c r="G47" i="66"/>
  <c r="G46" i="66"/>
  <c r="G45" i="66"/>
  <c r="G44" i="66"/>
  <c r="G38" i="66"/>
  <c r="G37" i="66"/>
  <c r="G36" i="66" s="1"/>
  <c r="F36" i="66"/>
  <c r="E36" i="66"/>
  <c r="D36" i="66"/>
  <c r="C36" i="66"/>
  <c r="G35" i="66"/>
  <c r="G34" i="66"/>
  <c r="G28" i="66"/>
  <c r="G27" i="66"/>
  <c r="G26" i="66"/>
  <c r="I58" i="66" s="1"/>
  <c r="J58" i="66" s="1"/>
  <c r="F26" i="66"/>
  <c r="E26" i="66"/>
  <c r="D26" i="66"/>
  <c r="C26" i="66"/>
  <c r="F43" i="66"/>
  <c r="F42" i="66" s="1"/>
  <c r="E43" i="66"/>
  <c r="E42" i="66" s="1"/>
  <c r="D43" i="66"/>
  <c r="D42" i="66" s="1"/>
  <c r="C43" i="66"/>
  <c r="E41" i="66"/>
  <c r="F41" i="66"/>
  <c r="D41" i="66"/>
  <c r="F40" i="66"/>
  <c r="E40" i="66"/>
  <c r="E39" i="66" s="1"/>
  <c r="D40" i="66"/>
  <c r="C40" i="66"/>
  <c r="E77" i="66"/>
  <c r="D77" i="66"/>
  <c r="G17" i="66"/>
  <c r="F33" i="66"/>
  <c r="E33" i="66"/>
  <c r="D33" i="66"/>
  <c r="C33" i="66"/>
  <c r="D71" i="65"/>
  <c r="C71" i="65"/>
  <c r="L50" i="65"/>
  <c r="K50" i="65"/>
  <c r="I58" i="65"/>
  <c r="J58" i="65" s="1"/>
  <c r="E77" i="65"/>
  <c r="C77" i="65"/>
  <c r="D71" i="64"/>
  <c r="C71" i="64"/>
  <c r="F58" i="64"/>
  <c r="E58" i="64"/>
  <c r="D58" i="64"/>
  <c r="C58" i="64"/>
  <c r="G58" i="64" s="1"/>
  <c r="G57" i="64"/>
  <c r="G56" i="64"/>
  <c r="G55" i="64"/>
  <c r="G54" i="64"/>
  <c r="G53" i="64"/>
  <c r="G52" i="64"/>
  <c r="G51" i="64"/>
  <c r="L50" i="64"/>
  <c r="K50" i="64"/>
  <c r="G50" i="64"/>
  <c r="G49" i="64"/>
  <c r="G48" i="64"/>
  <c r="G47" i="64"/>
  <c r="G46" i="64"/>
  <c r="G45" i="64"/>
  <c r="G44" i="64"/>
  <c r="G38" i="64"/>
  <c r="G37" i="64"/>
  <c r="G36" i="64" s="1"/>
  <c r="F36" i="64"/>
  <c r="E36" i="64"/>
  <c r="D36" i="64"/>
  <c r="C36" i="64"/>
  <c r="G35" i="64"/>
  <c r="G28" i="64"/>
  <c r="G27" i="64"/>
  <c r="F26" i="64"/>
  <c r="E26" i="64"/>
  <c r="D26" i="64"/>
  <c r="C26" i="64"/>
  <c r="G17" i="64"/>
  <c r="F33" i="64"/>
  <c r="E33" i="64"/>
  <c r="D33" i="64"/>
  <c r="F32" i="64"/>
  <c r="F58" i="63"/>
  <c r="E58" i="63"/>
  <c r="D58" i="63"/>
  <c r="C58" i="63"/>
  <c r="G58" i="63" s="1"/>
  <c r="G57" i="63"/>
  <c r="G56" i="63"/>
  <c r="G55" i="63"/>
  <c r="G54" i="63"/>
  <c r="G53" i="63"/>
  <c r="G52" i="63"/>
  <c r="G51" i="63"/>
  <c r="G50" i="63"/>
  <c r="G49" i="63"/>
  <c r="G48" i="63"/>
  <c r="G47" i="63"/>
  <c r="G46" i="63"/>
  <c r="G45" i="63"/>
  <c r="G44" i="63"/>
  <c r="G38" i="63"/>
  <c r="G37" i="63"/>
  <c r="G36" i="63" s="1"/>
  <c r="F36" i="63"/>
  <c r="E36" i="63"/>
  <c r="D36" i="63"/>
  <c r="C36" i="63"/>
  <c r="G35" i="63"/>
  <c r="G34" i="63"/>
  <c r="G28" i="63"/>
  <c r="G27" i="63"/>
  <c r="F26" i="63"/>
  <c r="E26" i="63"/>
  <c r="D26" i="63"/>
  <c r="G26" i="63" s="1"/>
  <c r="I58" i="63" s="1"/>
  <c r="J58" i="63" s="1"/>
  <c r="C26" i="63"/>
  <c r="G18" i="63"/>
  <c r="G17" i="63"/>
  <c r="F33" i="63"/>
  <c r="E33" i="63"/>
  <c r="D33" i="63"/>
  <c r="F32" i="63"/>
  <c r="E32" i="63"/>
  <c r="D32" i="63"/>
  <c r="C32" i="63"/>
  <c r="G58" i="62"/>
  <c r="G57" i="62"/>
  <c r="G56" i="62"/>
  <c r="G55" i="62"/>
  <c r="G54" i="62"/>
  <c r="G53" i="62"/>
  <c r="G52" i="62"/>
  <c r="G51" i="62"/>
  <c r="K50" i="62"/>
  <c r="L50" i="62" s="1"/>
  <c r="G50" i="62"/>
  <c r="G49" i="62"/>
  <c r="G48" i="62"/>
  <c r="G47" i="62"/>
  <c r="G46" i="62"/>
  <c r="G45" i="62"/>
  <c r="G44" i="62"/>
  <c r="G36" i="62"/>
  <c r="F36" i="62"/>
  <c r="E36" i="62"/>
  <c r="D36" i="62"/>
  <c r="C36" i="62"/>
  <c r="G35" i="62"/>
  <c r="G28" i="62"/>
  <c r="G27" i="62"/>
  <c r="F26" i="62"/>
  <c r="E26" i="62"/>
  <c r="G26" i="62" s="1"/>
  <c r="I58" i="62" s="1"/>
  <c r="J58" i="62" s="1"/>
  <c r="D26" i="62"/>
  <c r="C26" i="62"/>
  <c r="F43" i="62"/>
  <c r="F42" i="62" s="1"/>
  <c r="D43" i="62"/>
  <c r="D42" i="62" s="1"/>
  <c r="C43" i="62"/>
  <c r="F41" i="62"/>
  <c r="C62" i="62"/>
  <c r="D32" i="62"/>
  <c r="F58" i="61"/>
  <c r="E58" i="61"/>
  <c r="D58" i="61"/>
  <c r="C58" i="61"/>
  <c r="G58" i="61" s="1"/>
  <c r="G57" i="61"/>
  <c r="G56" i="61"/>
  <c r="G55" i="61"/>
  <c r="G54" i="61"/>
  <c r="G53" i="61"/>
  <c r="G52" i="61"/>
  <c r="G51" i="61"/>
  <c r="K50" i="61"/>
  <c r="L50" i="61" s="1"/>
  <c r="G50" i="61"/>
  <c r="G49" i="61"/>
  <c r="G48" i="61"/>
  <c r="G47" i="61"/>
  <c r="G46" i="61"/>
  <c r="G45" i="61"/>
  <c r="G44" i="61"/>
  <c r="G38" i="61"/>
  <c r="G37" i="61"/>
  <c r="F36" i="61"/>
  <c r="E36" i="61"/>
  <c r="D36" i="61"/>
  <c r="C36" i="61"/>
  <c r="G35" i="61"/>
  <c r="G34" i="61"/>
  <c r="G28" i="61"/>
  <c r="G27" i="61"/>
  <c r="F26" i="61"/>
  <c r="E26" i="61"/>
  <c r="G26" i="61" s="1"/>
  <c r="I58" i="61" s="1"/>
  <c r="J58" i="61" s="1"/>
  <c r="D26" i="61"/>
  <c r="C26" i="61"/>
  <c r="C43" i="61"/>
  <c r="F41" i="61"/>
  <c r="F33" i="61"/>
  <c r="E33" i="61"/>
  <c r="D33" i="61"/>
  <c r="G26" i="64" l="1"/>
  <c r="I58" i="64" s="1"/>
  <c r="J58" i="64" s="1"/>
  <c r="G34" i="68"/>
  <c r="E39" i="71"/>
  <c r="E39" i="70"/>
  <c r="G26" i="74"/>
  <c r="I58" i="74" s="1"/>
  <c r="J58" i="74" s="1"/>
  <c r="E39" i="72"/>
  <c r="G16" i="68"/>
  <c r="G34" i="72"/>
  <c r="G34" i="69"/>
  <c r="E43" i="73"/>
  <c r="E42" i="73" s="1"/>
  <c r="G34" i="67"/>
  <c r="E90" i="4"/>
  <c r="F90" i="4"/>
  <c r="G34" i="70"/>
  <c r="G34" i="74"/>
  <c r="F34" i="64"/>
  <c r="D34" i="64"/>
  <c r="F41" i="63"/>
  <c r="D31" i="73"/>
  <c r="G16" i="69"/>
  <c r="E43" i="67"/>
  <c r="E42" i="67" s="1"/>
  <c r="C39" i="74"/>
  <c r="D39" i="66"/>
  <c r="C40" i="64"/>
  <c r="E40" i="64"/>
  <c r="D41" i="64"/>
  <c r="E41" i="64"/>
  <c r="F41" i="64"/>
  <c r="C77" i="73"/>
  <c r="C77" i="72"/>
  <c r="G17" i="71"/>
  <c r="G16" i="71" s="1"/>
  <c r="C77" i="68"/>
  <c r="C78" i="68" s="1"/>
  <c r="G17" i="67"/>
  <c r="G16" i="67" s="1"/>
  <c r="G18" i="74"/>
  <c r="G16" i="74" s="1"/>
  <c r="G18" i="72"/>
  <c r="G16" i="72" s="1"/>
  <c r="F77" i="70"/>
  <c r="F78" i="70" s="1"/>
  <c r="G18" i="70"/>
  <c r="G16" i="70" s="1"/>
  <c r="F77" i="68"/>
  <c r="F78" i="68" s="1"/>
  <c r="C77" i="67"/>
  <c r="G18" i="66"/>
  <c r="G16" i="66" s="1"/>
  <c r="D32" i="74"/>
  <c r="D31" i="74" s="1"/>
  <c r="E32" i="74"/>
  <c r="E32" i="73"/>
  <c r="F32" i="73"/>
  <c r="F31" i="73" s="1"/>
  <c r="C32" i="73"/>
  <c r="E32" i="72"/>
  <c r="E31" i="72" s="1"/>
  <c r="E59" i="72" s="1"/>
  <c r="F32" i="72"/>
  <c r="F31" i="72" s="1"/>
  <c r="D32" i="72"/>
  <c r="D31" i="72" s="1"/>
  <c r="E32" i="71"/>
  <c r="E31" i="71" s="1"/>
  <c r="C32" i="71"/>
  <c r="D32" i="71"/>
  <c r="C79" i="71"/>
  <c r="F32" i="70"/>
  <c r="F31" i="70" s="1"/>
  <c r="C32" i="70"/>
  <c r="D32" i="70"/>
  <c r="D32" i="68"/>
  <c r="D31" i="68" s="1"/>
  <c r="E32" i="68"/>
  <c r="F32" i="67"/>
  <c r="F31" i="67" s="1"/>
  <c r="E79" i="74"/>
  <c r="E80" i="74" s="1"/>
  <c r="C79" i="73"/>
  <c r="G33" i="69"/>
  <c r="C79" i="70"/>
  <c r="E79" i="68"/>
  <c r="E80" i="68" s="1"/>
  <c r="C77" i="64"/>
  <c r="C78" i="64" s="1"/>
  <c r="G18" i="64"/>
  <c r="G16" i="64" s="1"/>
  <c r="C32" i="64"/>
  <c r="E32" i="64"/>
  <c r="E31" i="64" s="1"/>
  <c r="D32" i="64"/>
  <c r="C79" i="64"/>
  <c r="E13" i="4"/>
  <c r="F13" i="4"/>
  <c r="D13" i="4"/>
  <c r="G25" i="61"/>
  <c r="G36" i="61"/>
  <c r="E41" i="61"/>
  <c r="C41" i="61"/>
  <c r="D41" i="61"/>
  <c r="C40" i="61"/>
  <c r="D40" i="62"/>
  <c r="D41" i="62"/>
  <c r="E41" i="62"/>
  <c r="E40" i="62"/>
  <c r="C40" i="62"/>
  <c r="D32" i="61"/>
  <c r="D31" i="61" s="1"/>
  <c r="E32" i="61"/>
  <c r="E31" i="61" s="1"/>
  <c r="C32" i="61"/>
  <c r="E32" i="62"/>
  <c r="E31" i="62" s="1"/>
  <c r="F32" i="62"/>
  <c r="F31" i="62" s="1"/>
  <c r="C32" i="62"/>
  <c r="E64" i="61"/>
  <c r="E65" i="61" s="1"/>
  <c r="C43" i="63"/>
  <c r="C42" i="63" s="1"/>
  <c r="D43" i="63"/>
  <c r="D42" i="63" s="1"/>
  <c r="F43" i="63"/>
  <c r="F42" i="63" s="1"/>
  <c r="C62" i="63"/>
  <c r="F31" i="63"/>
  <c r="D77" i="74"/>
  <c r="D78" i="74" s="1"/>
  <c r="C43" i="74"/>
  <c r="D39" i="74"/>
  <c r="F40" i="74"/>
  <c r="F39" i="74" s="1"/>
  <c r="F32" i="74"/>
  <c r="F31" i="74" s="1"/>
  <c r="G41" i="74"/>
  <c r="E31" i="74"/>
  <c r="E77" i="74"/>
  <c r="F77" i="74"/>
  <c r="F78" i="74" s="1"/>
  <c r="C33" i="74"/>
  <c r="G33" i="74" s="1"/>
  <c r="F77" i="73"/>
  <c r="F78" i="73" s="1"/>
  <c r="C42" i="73"/>
  <c r="C41" i="73"/>
  <c r="G41" i="73" s="1"/>
  <c r="D39" i="73"/>
  <c r="E39" i="73"/>
  <c r="F40" i="73"/>
  <c r="F39" i="73" s="1"/>
  <c r="E31" i="73"/>
  <c r="D77" i="73"/>
  <c r="D78" i="73" s="1"/>
  <c r="C33" i="73"/>
  <c r="G33" i="73" s="1"/>
  <c r="E78" i="73"/>
  <c r="C78" i="73"/>
  <c r="F40" i="72"/>
  <c r="F39" i="72" s="1"/>
  <c r="D77" i="72"/>
  <c r="D78" i="72" s="1"/>
  <c r="E77" i="72"/>
  <c r="E78" i="72" s="1"/>
  <c r="C41" i="72"/>
  <c r="G41" i="72" s="1"/>
  <c r="G43" i="72"/>
  <c r="C42" i="72"/>
  <c r="G42" i="72" s="1"/>
  <c r="F77" i="72"/>
  <c r="F78" i="72" s="1"/>
  <c r="C32" i="72"/>
  <c r="D39" i="72"/>
  <c r="C33" i="72"/>
  <c r="G33" i="72" s="1"/>
  <c r="C78" i="72"/>
  <c r="E77" i="71"/>
  <c r="E78" i="71" s="1"/>
  <c r="D31" i="71"/>
  <c r="C41" i="71"/>
  <c r="G41" i="71" s="1"/>
  <c r="D77" i="71"/>
  <c r="C42" i="71"/>
  <c r="F31" i="71"/>
  <c r="F77" i="71"/>
  <c r="D40" i="71"/>
  <c r="D39" i="71" s="1"/>
  <c r="E43" i="71"/>
  <c r="E42" i="71" s="1"/>
  <c r="C33" i="71"/>
  <c r="G33" i="71" s="1"/>
  <c r="C78" i="71"/>
  <c r="D40" i="70"/>
  <c r="D39" i="70" s="1"/>
  <c r="E32" i="70"/>
  <c r="E31" i="70" s="1"/>
  <c r="E43" i="70"/>
  <c r="E42" i="70" s="1"/>
  <c r="C41" i="70"/>
  <c r="G41" i="70" s="1"/>
  <c r="D31" i="70"/>
  <c r="C42" i="70"/>
  <c r="D77" i="70"/>
  <c r="D78" i="70" s="1"/>
  <c r="C78" i="70"/>
  <c r="C33" i="70"/>
  <c r="G33" i="70" s="1"/>
  <c r="E78" i="70"/>
  <c r="D41" i="69"/>
  <c r="G41" i="69" s="1"/>
  <c r="D77" i="69"/>
  <c r="D78" i="69" s="1"/>
  <c r="E32" i="69"/>
  <c r="E31" i="69" s="1"/>
  <c r="D40" i="69"/>
  <c r="E43" i="69"/>
  <c r="E42" i="69" s="1"/>
  <c r="F78" i="69"/>
  <c r="E78" i="69"/>
  <c r="C42" i="69"/>
  <c r="E77" i="68"/>
  <c r="E78" i="68" s="1"/>
  <c r="C41" i="68"/>
  <c r="G41" i="68" s="1"/>
  <c r="F31" i="68"/>
  <c r="C42" i="68"/>
  <c r="D39" i="68"/>
  <c r="E39" i="68"/>
  <c r="F40" i="68"/>
  <c r="F39" i="68" s="1"/>
  <c r="E43" i="68"/>
  <c r="E42" i="68" s="1"/>
  <c r="D77" i="68"/>
  <c r="D78" i="68" s="1"/>
  <c r="C33" i="68"/>
  <c r="E33" i="68"/>
  <c r="E31" i="68" s="1"/>
  <c r="D77" i="67"/>
  <c r="D78" i="67" s="1"/>
  <c r="E77" i="67"/>
  <c r="F77" i="67"/>
  <c r="F78" i="67" s="1"/>
  <c r="C41" i="67"/>
  <c r="G41" i="67" s="1"/>
  <c r="E32" i="67"/>
  <c r="E31" i="67" s="1"/>
  <c r="G43" i="67"/>
  <c r="C42" i="67"/>
  <c r="G42" i="67" s="1"/>
  <c r="D39" i="67"/>
  <c r="E39" i="67"/>
  <c r="G33" i="67"/>
  <c r="F40" i="67"/>
  <c r="F39" i="67" s="1"/>
  <c r="F77" i="66"/>
  <c r="F78" i="66" s="1"/>
  <c r="G40" i="66"/>
  <c r="G43" i="66"/>
  <c r="C42" i="66"/>
  <c r="G42" i="66" s="1"/>
  <c r="G33" i="66"/>
  <c r="F39" i="66"/>
  <c r="D78" i="66"/>
  <c r="E78" i="66"/>
  <c r="D77" i="65"/>
  <c r="F77" i="65"/>
  <c r="F78" i="65" s="1"/>
  <c r="C78" i="65"/>
  <c r="E78" i="65"/>
  <c r="F77" i="64"/>
  <c r="F78" i="64" s="1"/>
  <c r="D40" i="64"/>
  <c r="D77" i="64"/>
  <c r="D78" i="64" s="1"/>
  <c r="E77" i="64"/>
  <c r="E78" i="64" s="1"/>
  <c r="C41" i="64"/>
  <c r="C33" i="64"/>
  <c r="G33" i="64" s="1"/>
  <c r="G32" i="63"/>
  <c r="D31" i="63"/>
  <c r="D62" i="63"/>
  <c r="D63" i="63" s="1"/>
  <c r="E31" i="63"/>
  <c r="E62" i="63"/>
  <c r="E63" i="63" s="1"/>
  <c r="F62" i="63"/>
  <c r="F63" i="63" s="1"/>
  <c r="F40" i="63"/>
  <c r="E43" i="63"/>
  <c r="E42" i="63" s="1"/>
  <c r="C63" i="63"/>
  <c r="C33" i="63"/>
  <c r="G33" i="63" s="1"/>
  <c r="E43" i="62"/>
  <c r="E42" i="62" s="1"/>
  <c r="D31" i="62"/>
  <c r="D62" i="62"/>
  <c r="D63" i="62" s="1"/>
  <c r="E62" i="62"/>
  <c r="F62" i="62"/>
  <c r="F63" i="62" s="1"/>
  <c r="C42" i="62"/>
  <c r="F40" i="62"/>
  <c r="F39" i="62" s="1"/>
  <c r="C63" i="62"/>
  <c r="F20" i="61"/>
  <c r="F40" i="61"/>
  <c r="F39" i="61" s="1"/>
  <c r="F32" i="61"/>
  <c r="F31" i="61" s="1"/>
  <c r="F62" i="61"/>
  <c r="F63" i="61" s="1"/>
  <c r="D62" i="61"/>
  <c r="D63" i="61" s="1"/>
  <c r="E62" i="61"/>
  <c r="E63" i="61" s="1"/>
  <c r="C42" i="61"/>
  <c r="F43" i="61"/>
  <c r="F42" i="61" s="1"/>
  <c r="F23" i="61"/>
  <c r="G24" i="61"/>
  <c r="C33" i="61"/>
  <c r="G33" i="61" s="1"/>
  <c r="G21" i="61"/>
  <c r="C23" i="61"/>
  <c r="D39" i="64" l="1"/>
  <c r="F31" i="64"/>
  <c r="D59" i="68"/>
  <c r="E39" i="64"/>
  <c r="G41" i="64"/>
  <c r="G32" i="73"/>
  <c r="G31" i="73" s="1"/>
  <c r="G32" i="71"/>
  <c r="F39" i="63"/>
  <c r="F59" i="63" s="1"/>
  <c r="G23" i="61"/>
  <c r="D39" i="62"/>
  <c r="D59" i="62" s="1"/>
  <c r="G43" i="73"/>
  <c r="G42" i="70"/>
  <c r="E29" i="68"/>
  <c r="C39" i="68"/>
  <c r="D29" i="62"/>
  <c r="E39" i="62"/>
  <c r="E59" i="62" s="1"/>
  <c r="C20" i="61"/>
  <c r="C29" i="61" s="1"/>
  <c r="G22" i="61"/>
  <c r="G42" i="73"/>
  <c r="G43" i="69"/>
  <c r="G43" i="70"/>
  <c r="G32" i="64"/>
  <c r="G41" i="61"/>
  <c r="G43" i="71"/>
  <c r="G43" i="68"/>
  <c r="G34" i="64"/>
  <c r="D59" i="73"/>
  <c r="E43" i="64"/>
  <c r="E42" i="64" s="1"/>
  <c r="C43" i="64"/>
  <c r="D43" i="64"/>
  <c r="D42" i="64" s="1"/>
  <c r="F43" i="64"/>
  <c r="F42" i="64" s="1"/>
  <c r="D40" i="63"/>
  <c r="C40" i="63"/>
  <c r="E41" i="63"/>
  <c r="E40" i="63"/>
  <c r="D41" i="63"/>
  <c r="D59" i="72"/>
  <c r="E59" i="71"/>
  <c r="D31" i="64"/>
  <c r="G32" i="61"/>
  <c r="G31" i="61" s="1"/>
  <c r="F59" i="73"/>
  <c r="G42" i="69"/>
  <c r="E59" i="70"/>
  <c r="E59" i="73"/>
  <c r="G40" i="72"/>
  <c r="G39" i="72" s="1"/>
  <c r="C39" i="71"/>
  <c r="D39" i="69"/>
  <c r="E59" i="68"/>
  <c r="F59" i="67"/>
  <c r="G40" i="67"/>
  <c r="G39" i="67" s="1"/>
  <c r="E59" i="67"/>
  <c r="C39" i="61"/>
  <c r="C39" i="64"/>
  <c r="C78" i="67"/>
  <c r="C80" i="73"/>
  <c r="C81" i="73" s="1"/>
  <c r="C29" i="71"/>
  <c r="C80" i="71"/>
  <c r="C81" i="71" s="1"/>
  <c r="C80" i="70"/>
  <c r="C81" i="70" s="1"/>
  <c r="C32" i="74"/>
  <c r="G32" i="74" s="1"/>
  <c r="G31" i="74" s="1"/>
  <c r="C32" i="68"/>
  <c r="G32" i="68" s="1"/>
  <c r="F79" i="67"/>
  <c r="F80" i="67" s="1"/>
  <c r="G33" i="68"/>
  <c r="C29" i="64"/>
  <c r="C80" i="64"/>
  <c r="C81" i="64" s="1"/>
  <c r="G32" i="62"/>
  <c r="G31" i="62" s="1"/>
  <c r="D20" i="61"/>
  <c r="D40" i="61"/>
  <c r="D39" i="61" s="1"/>
  <c r="C41" i="62"/>
  <c r="F59" i="62"/>
  <c r="G43" i="63"/>
  <c r="C41" i="63"/>
  <c r="E40" i="74"/>
  <c r="F43" i="74"/>
  <c r="F42" i="74" s="1"/>
  <c r="F59" i="74" s="1"/>
  <c r="D43" i="74"/>
  <c r="D42" i="74" s="1"/>
  <c r="D59" i="74" s="1"/>
  <c r="D29" i="74"/>
  <c r="E78" i="74"/>
  <c r="E81" i="74" s="1"/>
  <c r="C42" i="74"/>
  <c r="E43" i="74"/>
  <c r="E42" i="74" s="1"/>
  <c r="C77" i="74"/>
  <c r="F79" i="74"/>
  <c r="F29" i="74"/>
  <c r="F80" i="74"/>
  <c r="D79" i="74"/>
  <c r="D80" i="74" s="1"/>
  <c r="C79" i="74"/>
  <c r="C80" i="74" s="1"/>
  <c r="C29" i="74"/>
  <c r="F79" i="73"/>
  <c r="F80" i="73" s="1"/>
  <c r="F29" i="73"/>
  <c r="D79" i="73"/>
  <c r="D80" i="73" s="1"/>
  <c r="D29" i="73"/>
  <c r="C31" i="73"/>
  <c r="C29" i="73"/>
  <c r="G40" i="73"/>
  <c r="G39" i="73" s="1"/>
  <c r="C39" i="73"/>
  <c r="E79" i="73"/>
  <c r="E29" i="73"/>
  <c r="D79" i="72"/>
  <c r="D80" i="72" s="1"/>
  <c r="D81" i="72" s="1"/>
  <c r="D29" i="72"/>
  <c r="C39" i="72"/>
  <c r="C79" i="72"/>
  <c r="C80" i="72" s="1"/>
  <c r="C81" i="72" s="1"/>
  <c r="F79" i="72"/>
  <c r="F80" i="72" s="1"/>
  <c r="F29" i="72"/>
  <c r="E79" i="72"/>
  <c r="E80" i="72" s="1"/>
  <c r="E81" i="72" s="1"/>
  <c r="E29" i="72"/>
  <c r="E60" i="72" s="1"/>
  <c r="C29" i="72"/>
  <c r="C31" i="72"/>
  <c r="G32" i="72"/>
  <c r="G31" i="72" s="1"/>
  <c r="F59" i="72"/>
  <c r="C31" i="71"/>
  <c r="D79" i="71"/>
  <c r="D80" i="71" s="1"/>
  <c r="D29" i="71"/>
  <c r="E79" i="71"/>
  <c r="E80" i="71" s="1"/>
  <c r="E29" i="71"/>
  <c r="D59" i="71"/>
  <c r="G42" i="71"/>
  <c r="F40" i="71"/>
  <c r="F39" i="71" s="1"/>
  <c r="F59" i="71" s="1"/>
  <c r="F29" i="71"/>
  <c r="F79" i="71"/>
  <c r="F80" i="71" s="1"/>
  <c r="F78" i="71"/>
  <c r="D78" i="71"/>
  <c r="G31" i="71"/>
  <c r="G32" i="70"/>
  <c r="G31" i="70" s="1"/>
  <c r="C31" i="70"/>
  <c r="D79" i="70"/>
  <c r="D80" i="70" s="1"/>
  <c r="D29" i="70"/>
  <c r="D59" i="70"/>
  <c r="F40" i="70"/>
  <c r="F39" i="70" s="1"/>
  <c r="F59" i="70" s="1"/>
  <c r="F29" i="70"/>
  <c r="F79" i="70"/>
  <c r="C40" i="70"/>
  <c r="C29" i="70"/>
  <c r="E79" i="70"/>
  <c r="E29" i="70"/>
  <c r="C40" i="69"/>
  <c r="D32" i="69"/>
  <c r="D31" i="69" s="1"/>
  <c r="E40" i="69"/>
  <c r="E39" i="69" s="1"/>
  <c r="E59" i="69" s="1"/>
  <c r="E29" i="69"/>
  <c r="C77" i="69"/>
  <c r="C78" i="69" s="1"/>
  <c r="E79" i="69"/>
  <c r="F32" i="69"/>
  <c r="F31" i="69" s="1"/>
  <c r="C32" i="69"/>
  <c r="F40" i="69"/>
  <c r="F39" i="69" s="1"/>
  <c r="E81" i="68"/>
  <c r="F79" i="68"/>
  <c r="F80" i="68" s="1"/>
  <c r="F29" i="68"/>
  <c r="D79" i="68"/>
  <c r="D80" i="68" s="1"/>
  <c r="D29" i="68"/>
  <c r="F59" i="68"/>
  <c r="G42" i="68"/>
  <c r="G40" i="68"/>
  <c r="G39" i="68" s="1"/>
  <c r="E79" i="67"/>
  <c r="E29" i="67"/>
  <c r="E80" i="67"/>
  <c r="D32" i="67"/>
  <c r="D31" i="67" s="1"/>
  <c r="D59" i="67" s="1"/>
  <c r="C32" i="67"/>
  <c r="C39" i="67"/>
  <c r="E78" i="67"/>
  <c r="C41" i="66"/>
  <c r="C77" i="66"/>
  <c r="C78" i="66" s="1"/>
  <c r="F32" i="66"/>
  <c r="F31" i="66" s="1"/>
  <c r="F59" i="66" s="1"/>
  <c r="C32" i="66"/>
  <c r="F79" i="65"/>
  <c r="F80" i="65" s="1"/>
  <c r="E79" i="65"/>
  <c r="D78" i="65"/>
  <c r="D79" i="64"/>
  <c r="D80" i="64" s="1"/>
  <c r="D81" i="64" s="1"/>
  <c r="D29" i="64"/>
  <c r="C31" i="64"/>
  <c r="E79" i="64"/>
  <c r="E80" i="64" s="1"/>
  <c r="E29" i="64"/>
  <c r="F40" i="64"/>
  <c r="F39" i="64" s="1"/>
  <c r="F79" i="64"/>
  <c r="F80" i="64" s="1"/>
  <c r="D64" i="63"/>
  <c r="D65" i="63" s="1"/>
  <c r="D29" i="63"/>
  <c r="F64" i="63"/>
  <c r="F65" i="63" s="1"/>
  <c r="F29" i="63"/>
  <c r="E64" i="63"/>
  <c r="E29" i="63"/>
  <c r="G31" i="63"/>
  <c r="G42" i="63"/>
  <c r="C31" i="63"/>
  <c r="D64" i="62"/>
  <c r="F64" i="62"/>
  <c r="F65" i="62" s="1"/>
  <c r="F29" i="62"/>
  <c r="G40" i="62"/>
  <c r="E64" i="62"/>
  <c r="E65" i="62" s="1"/>
  <c r="E29" i="62"/>
  <c r="G42" i="62"/>
  <c r="G43" i="62"/>
  <c r="E63" i="62"/>
  <c r="C31" i="62"/>
  <c r="D64" i="61"/>
  <c r="D65" i="61" s="1"/>
  <c r="D66" i="61" s="1"/>
  <c r="C62" i="61"/>
  <c r="C63" i="61" s="1"/>
  <c r="C64" i="61"/>
  <c r="C65" i="61" s="1"/>
  <c r="D43" i="61"/>
  <c r="D23" i="61"/>
  <c r="E66" i="61"/>
  <c r="E43" i="61"/>
  <c r="E42" i="61" s="1"/>
  <c r="E23" i="61"/>
  <c r="C31" i="61"/>
  <c r="G20" i="61"/>
  <c r="E20" i="61"/>
  <c r="E40" i="61"/>
  <c r="F59" i="61"/>
  <c r="F29" i="61"/>
  <c r="F64" i="61"/>
  <c r="F65" i="61" s="1"/>
  <c r="F66" i="61" s="1"/>
  <c r="E59" i="64" l="1"/>
  <c r="E60" i="64" s="1"/>
  <c r="G41" i="63"/>
  <c r="D60" i="72"/>
  <c r="E60" i="73"/>
  <c r="G31" i="64"/>
  <c r="C31" i="74"/>
  <c r="D60" i="68"/>
  <c r="F60" i="63"/>
  <c r="D59" i="69"/>
  <c r="F59" i="64"/>
  <c r="E60" i="68"/>
  <c r="D59" i="64"/>
  <c r="D60" i="64" s="1"/>
  <c r="E60" i="62"/>
  <c r="C59" i="61"/>
  <c r="C60" i="61" s="1"/>
  <c r="C29" i="68"/>
  <c r="G29" i="68" s="1"/>
  <c r="F29" i="64"/>
  <c r="F60" i="64" s="1"/>
  <c r="D60" i="73"/>
  <c r="E39" i="63"/>
  <c r="E59" i="63" s="1"/>
  <c r="E60" i="63" s="1"/>
  <c r="G40" i="63"/>
  <c r="C64" i="63"/>
  <c r="C65" i="63" s="1"/>
  <c r="E29" i="74"/>
  <c r="G29" i="74" s="1"/>
  <c r="G43" i="64"/>
  <c r="C42" i="64"/>
  <c r="G42" i="64" s="1"/>
  <c r="D39" i="63"/>
  <c r="D59" i="63" s="1"/>
  <c r="D60" i="63" s="1"/>
  <c r="F60" i="73"/>
  <c r="E60" i="71"/>
  <c r="E60" i="70"/>
  <c r="C31" i="68"/>
  <c r="C59" i="68" s="1"/>
  <c r="G31" i="68"/>
  <c r="G59" i="68" s="1"/>
  <c r="E60" i="67"/>
  <c r="G59" i="73"/>
  <c r="C59" i="73"/>
  <c r="C60" i="73" s="1"/>
  <c r="G59" i="72"/>
  <c r="C59" i="72"/>
  <c r="C60" i="72" s="1"/>
  <c r="C59" i="71"/>
  <c r="C60" i="71" s="1"/>
  <c r="F60" i="62"/>
  <c r="F60" i="61"/>
  <c r="D29" i="61"/>
  <c r="G40" i="64"/>
  <c r="G39" i="64" s="1"/>
  <c r="D81" i="74"/>
  <c r="C79" i="68"/>
  <c r="C80" i="68" s="1"/>
  <c r="C81" i="68" s="1"/>
  <c r="F29" i="67"/>
  <c r="F60" i="67" s="1"/>
  <c r="E60" i="65"/>
  <c r="F60" i="65"/>
  <c r="F81" i="72"/>
  <c r="E60" i="69"/>
  <c r="D81" i="70"/>
  <c r="E80" i="70"/>
  <c r="E81" i="70" s="1"/>
  <c r="D81" i="68"/>
  <c r="F60" i="68"/>
  <c r="F81" i="68"/>
  <c r="E81" i="67"/>
  <c r="F81" i="74"/>
  <c r="F81" i="71"/>
  <c r="F80" i="70"/>
  <c r="F81" i="70" s="1"/>
  <c r="F81" i="67"/>
  <c r="E80" i="65"/>
  <c r="E81" i="65" s="1"/>
  <c r="D60" i="62"/>
  <c r="G41" i="62"/>
  <c r="G39" i="62" s="1"/>
  <c r="G59" i="62" s="1"/>
  <c r="C39" i="62"/>
  <c r="C59" i="62" s="1"/>
  <c r="D65" i="62"/>
  <c r="D66" i="62" s="1"/>
  <c r="C64" i="62"/>
  <c r="C65" i="62" s="1"/>
  <c r="C66" i="62" s="1"/>
  <c r="E66" i="62"/>
  <c r="C29" i="62"/>
  <c r="C29" i="63"/>
  <c r="G29" i="63" s="1"/>
  <c r="C39" i="63"/>
  <c r="C59" i="63" s="1"/>
  <c r="C59" i="74"/>
  <c r="C60" i="74" s="1"/>
  <c r="D60" i="74"/>
  <c r="E39" i="74"/>
  <c r="E59" i="74" s="1"/>
  <c r="G40" i="74"/>
  <c r="G39" i="74" s="1"/>
  <c r="G42" i="74"/>
  <c r="F60" i="74"/>
  <c r="G43" i="74"/>
  <c r="C78" i="74"/>
  <c r="C81" i="74" s="1"/>
  <c r="G29" i="73"/>
  <c r="D81" i="73"/>
  <c r="F81" i="73"/>
  <c r="E80" i="73"/>
  <c r="E81" i="73" s="1"/>
  <c r="F60" i="72"/>
  <c r="G29" i="72"/>
  <c r="F60" i="71"/>
  <c r="G29" i="71"/>
  <c r="D81" i="71"/>
  <c r="G40" i="71"/>
  <c r="G39" i="71" s="1"/>
  <c r="G59" i="71" s="1"/>
  <c r="E81" i="71"/>
  <c r="D60" i="71"/>
  <c r="F60" i="70"/>
  <c r="C39" i="70"/>
  <c r="C59" i="70" s="1"/>
  <c r="C60" i="70" s="1"/>
  <c r="G40" i="70"/>
  <c r="G39" i="70" s="1"/>
  <c r="G59" i="70" s="1"/>
  <c r="G29" i="70"/>
  <c r="D60" i="70"/>
  <c r="C39" i="69"/>
  <c r="G40" i="69"/>
  <c r="G39" i="69" s="1"/>
  <c r="C79" i="69"/>
  <c r="C29" i="69"/>
  <c r="C80" i="69"/>
  <c r="C81" i="69" s="1"/>
  <c r="E80" i="69"/>
  <c r="E81" i="69" s="1"/>
  <c r="D79" i="69"/>
  <c r="D80" i="69" s="1"/>
  <c r="D29" i="69"/>
  <c r="C31" i="69"/>
  <c r="G32" i="69"/>
  <c r="G31" i="69" s="1"/>
  <c r="F79" i="69"/>
  <c r="F80" i="69" s="1"/>
  <c r="F29" i="69"/>
  <c r="F59" i="69"/>
  <c r="D79" i="67"/>
  <c r="D80" i="67" s="1"/>
  <c r="D29" i="67"/>
  <c r="D60" i="67" s="1"/>
  <c r="C79" i="67"/>
  <c r="C80" i="67" s="1"/>
  <c r="C29" i="67"/>
  <c r="C31" i="67"/>
  <c r="C59" i="67" s="1"/>
  <c r="G32" i="67"/>
  <c r="G31" i="67" s="1"/>
  <c r="G59" i="67" s="1"/>
  <c r="F79" i="66"/>
  <c r="F29" i="66"/>
  <c r="F60" i="66" s="1"/>
  <c r="C29" i="66"/>
  <c r="C79" i="66"/>
  <c r="C80" i="66" s="1"/>
  <c r="C31" i="66"/>
  <c r="G41" i="66"/>
  <c r="G39" i="66" s="1"/>
  <c r="C39" i="66"/>
  <c r="F81" i="65"/>
  <c r="C79" i="65"/>
  <c r="C80" i="65" s="1"/>
  <c r="D79" i="65"/>
  <c r="D80" i="65" s="1"/>
  <c r="D81" i="65" s="1"/>
  <c r="D60" i="65"/>
  <c r="E81" i="64"/>
  <c r="F81" i="64"/>
  <c r="F66" i="63"/>
  <c r="D66" i="63"/>
  <c r="E65" i="63"/>
  <c r="E66" i="63" s="1"/>
  <c r="F66" i="62"/>
  <c r="D42" i="61"/>
  <c r="G43" i="61"/>
  <c r="E29" i="61"/>
  <c r="E39" i="61"/>
  <c r="E59" i="61" s="1"/>
  <c r="G40" i="61"/>
  <c r="G39" i="61" s="1"/>
  <c r="C66" i="61"/>
  <c r="G39" i="63" l="1"/>
  <c r="G59" i="63" s="1"/>
  <c r="G29" i="64"/>
  <c r="G59" i="64"/>
  <c r="D60" i="69"/>
  <c r="C59" i="66"/>
  <c r="C60" i="66" s="1"/>
  <c r="G60" i="72"/>
  <c r="G61" i="72" s="1"/>
  <c r="C60" i="68"/>
  <c r="E60" i="74"/>
  <c r="C66" i="63"/>
  <c r="C59" i="64"/>
  <c r="C60" i="64" s="1"/>
  <c r="G60" i="73"/>
  <c r="G61" i="73" s="1"/>
  <c r="G29" i="61"/>
  <c r="G59" i="74"/>
  <c r="G60" i="74" s="1"/>
  <c r="G61" i="74" s="1"/>
  <c r="C59" i="69"/>
  <c r="C60" i="69" s="1"/>
  <c r="G60" i="68"/>
  <c r="G61" i="68" s="1"/>
  <c r="G60" i="71"/>
  <c r="G61" i="71" s="1"/>
  <c r="C60" i="62"/>
  <c r="G29" i="62"/>
  <c r="G60" i="62" s="1"/>
  <c r="C60" i="63"/>
  <c r="G60" i="63"/>
  <c r="G60" i="70"/>
  <c r="G61" i="70" s="1"/>
  <c r="D81" i="69"/>
  <c r="F60" i="69"/>
  <c r="F81" i="69"/>
  <c r="G29" i="69"/>
  <c r="G59" i="69"/>
  <c r="D81" i="67"/>
  <c r="G29" i="67"/>
  <c r="G60" i="67" s="1"/>
  <c r="G61" i="67" s="1"/>
  <c r="C60" i="67"/>
  <c r="C81" i="67"/>
  <c r="C81" i="66"/>
  <c r="F80" i="66"/>
  <c r="F81" i="66" s="1"/>
  <c r="C60" i="65"/>
  <c r="C81" i="65"/>
  <c r="D59" i="61"/>
  <c r="D60" i="61" s="1"/>
  <c r="G42" i="61"/>
  <c r="G59" i="61" s="1"/>
  <c r="E60" i="61"/>
  <c r="G60" i="64" l="1"/>
  <c r="G61" i="64" s="1"/>
  <c r="G60" i="61"/>
  <c r="G60" i="65"/>
  <c r="G61" i="65" s="1"/>
  <c r="G60" i="69"/>
  <c r="G61" i="69" s="1"/>
  <c r="E33" i="47" l="1"/>
  <c r="E63" i="47"/>
  <c r="D22" i="4"/>
  <c r="C63" i="47"/>
  <c r="C33" i="47"/>
  <c r="F23" i="4"/>
  <c r="K50" i="47"/>
  <c r="L50" i="47" s="1"/>
  <c r="G57" i="47"/>
  <c r="G56" i="47"/>
  <c r="G55" i="47"/>
  <c r="G54" i="47"/>
  <c r="G53" i="47"/>
  <c r="G52" i="47"/>
  <c r="G51" i="47"/>
  <c r="G50" i="47"/>
  <c r="G49" i="47"/>
  <c r="G48" i="47"/>
  <c r="G47" i="47"/>
  <c r="G46" i="47"/>
  <c r="G45" i="47"/>
  <c r="G44" i="47"/>
  <c r="G38" i="47"/>
  <c r="G37" i="47"/>
  <c r="F36" i="47"/>
  <c r="E36" i="47"/>
  <c r="D36" i="47"/>
  <c r="C36" i="47"/>
  <c r="G35" i="47"/>
  <c r="G34" i="47"/>
  <c r="F33" i="47"/>
  <c r="D33" i="47"/>
  <c r="G28" i="47"/>
  <c r="G27" i="47"/>
  <c r="F26" i="47"/>
  <c r="E26" i="47"/>
  <c r="D26" i="47"/>
  <c r="C26" i="47"/>
  <c r="G36" i="47" l="1"/>
  <c r="F10" i="4"/>
  <c r="C41" i="47"/>
  <c r="E20" i="47"/>
  <c r="D32" i="47"/>
  <c r="D31" i="47" s="1"/>
  <c r="E40" i="47"/>
  <c r="E43" i="47"/>
  <c r="E42" i="47" s="1"/>
  <c r="D43" i="47"/>
  <c r="D42" i="47" s="1"/>
  <c r="G58" i="47"/>
  <c r="F63" i="47"/>
  <c r="F64" i="47" s="1"/>
  <c r="E32" i="47"/>
  <c r="G15" i="47"/>
  <c r="G26" i="47"/>
  <c r="I58" i="47" s="1"/>
  <c r="J58" i="47" s="1"/>
  <c r="G33" i="47"/>
  <c r="C64" i="47"/>
  <c r="E64" i="47"/>
  <c r="G25" i="47" l="1"/>
  <c r="C43" i="47"/>
  <c r="G10" i="47"/>
  <c r="F65" i="47"/>
  <c r="F32" i="47"/>
  <c r="F31" i="47" s="1"/>
  <c r="D23" i="47"/>
  <c r="D23" i="4"/>
  <c r="C40" i="47"/>
  <c r="D41" i="47"/>
  <c r="D20" i="4"/>
  <c r="F41" i="47"/>
  <c r="F20" i="4"/>
  <c r="G22" i="47"/>
  <c r="F43" i="47"/>
  <c r="F42" i="47" s="1"/>
  <c r="E23" i="47"/>
  <c r="E23" i="4"/>
  <c r="E41" i="47"/>
  <c r="E39" i="47" s="1"/>
  <c r="E20" i="4"/>
  <c r="E65" i="47"/>
  <c r="C65" i="47"/>
  <c r="C66" i="47" s="1"/>
  <c r="C32" i="47"/>
  <c r="C31" i="47" s="1"/>
  <c r="C39" i="47"/>
  <c r="F23" i="47"/>
  <c r="D20" i="47"/>
  <c r="D40" i="47"/>
  <c r="C20" i="47"/>
  <c r="D65" i="47"/>
  <c r="D66" i="47" s="1"/>
  <c r="D63" i="47"/>
  <c r="D64" i="47" s="1"/>
  <c r="G43" i="47"/>
  <c r="F40" i="47"/>
  <c r="F20" i="47"/>
  <c r="G24" i="47"/>
  <c r="G21" i="47"/>
  <c r="E31" i="47"/>
  <c r="C42" i="47"/>
  <c r="E59" i="47" l="1"/>
  <c r="G20" i="47"/>
  <c r="G23" i="47"/>
  <c r="F29" i="47"/>
  <c r="F66" i="47"/>
  <c r="F67" i="47" s="1"/>
  <c r="D39" i="47"/>
  <c r="D59" i="47" s="1"/>
  <c r="C67" i="47"/>
  <c r="G42" i="47"/>
  <c r="G32" i="47"/>
  <c r="G31" i="47" s="1"/>
  <c r="E66" i="47"/>
  <c r="E67" i="47" s="1"/>
  <c r="E29" i="47"/>
  <c r="E60" i="47" s="1"/>
  <c r="G41" i="47"/>
  <c r="C59" i="47"/>
  <c r="C29" i="47"/>
  <c r="D29" i="47"/>
  <c r="G40" i="47"/>
  <c r="F39" i="47"/>
  <c r="F59" i="47" s="1"/>
  <c r="D67" i="47"/>
  <c r="D60" i="47" l="1"/>
  <c r="F60" i="47"/>
  <c r="C60" i="47"/>
  <c r="G39" i="47"/>
  <c r="G59" i="47" s="1"/>
  <c r="G29" i="47"/>
  <c r="C77" i="4"/>
  <c r="D59" i="4"/>
  <c r="E59" i="4"/>
  <c r="F59" i="4"/>
  <c r="C59" i="4"/>
  <c r="G60" i="47" l="1"/>
  <c r="G55" i="4" l="1"/>
  <c r="G59" i="4" l="1"/>
  <c r="L49" i="4"/>
  <c r="G57" i="4"/>
  <c r="G56" i="4"/>
  <c r="G49" i="4"/>
  <c r="G47" i="4"/>
  <c r="G46" i="4"/>
  <c r="G45" i="4"/>
  <c r="F44" i="4"/>
  <c r="E44" i="4"/>
  <c r="D44" i="4"/>
  <c r="G43" i="4"/>
  <c r="F42" i="4"/>
  <c r="E42" i="4"/>
  <c r="D42" i="4"/>
  <c r="C42" i="4"/>
  <c r="G35" i="4"/>
  <c r="G34" i="4"/>
  <c r="G33" i="4"/>
  <c r="F32" i="4"/>
  <c r="E32" i="4"/>
  <c r="D32" i="4"/>
  <c r="F31" i="4"/>
  <c r="F30" i="4" l="1"/>
  <c r="D39" i="4"/>
  <c r="F39" i="4"/>
  <c r="E39" i="4"/>
  <c r="G44" i="4"/>
  <c r="G32" i="4"/>
  <c r="G40" i="4"/>
  <c r="G42" i="4"/>
  <c r="G39" i="4" l="1"/>
  <c r="G16" i="4"/>
  <c r="G15" i="4"/>
  <c r="G14" i="4" l="1"/>
  <c r="G26" i="4"/>
  <c r="G25" i="4" l="1"/>
  <c r="G23" i="4"/>
  <c r="F21" i="4"/>
  <c r="D21" i="4"/>
  <c r="E21" i="4"/>
  <c r="C21" i="4"/>
  <c r="D18" i="4"/>
  <c r="E18" i="4"/>
  <c r="F18" i="4"/>
  <c r="E86" i="4"/>
  <c r="E87" i="4" s="1"/>
  <c r="F9" i="4"/>
  <c r="C88" i="4" l="1"/>
  <c r="F88" i="4"/>
  <c r="F86" i="4"/>
  <c r="F87" i="4" s="1"/>
  <c r="D86" i="4"/>
  <c r="D87" i="4" s="1"/>
  <c r="C28" i="4"/>
  <c r="F28" i="4"/>
  <c r="G22" i="4"/>
  <c r="G21" i="4" s="1"/>
  <c r="G19" i="4"/>
  <c r="G20" i="4"/>
  <c r="G11" i="4"/>
  <c r="G12" i="4"/>
  <c r="G13" i="4"/>
  <c r="F89" i="4" l="1"/>
  <c r="F91" i="4" s="1"/>
  <c r="F41" i="4" s="1"/>
  <c r="F61" i="4" s="1"/>
  <c r="F62" i="4" s="1"/>
  <c r="C89" i="4"/>
  <c r="C91" i="4" s="1"/>
  <c r="G18" i="4"/>
  <c r="C41" i="4" l="1"/>
  <c r="C61" i="4" s="1"/>
  <c r="C62" i="4" l="1"/>
  <c r="D32" i="66" l="1"/>
  <c r="D10" i="4"/>
  <c r="D31" i="4" l="1"/>
  <c r="D9" i="4"/>
  <c r="D31" i="66"/>
  <c r="D59" i="66" s="1"/>
  <c r="E32" i="66"/>
  <c r="E31" i="66" s="1"/>
  <c r="E59" i="66" s="1"/>
  <c r="E10" i="4"/>
  <c r="D29" i="66"/>
  <c r="D79" i="66"/>
  <c r="E31" i="4" l="1"/>
  <c r="E30" i="4" s="1"/>
  <c r="E9" i="4"/>
  <c r="G10" i="4"/>
  <c r="G9" i="4" s="1"/>
  <c r="D80" i="66"/>
  <c r="D81" i="66" s="1"/>
  <c r="D60" i="66"/>
  <c r="E29" i="66"/>
  <c r="E60" i="66" s="1"/>
  <c r="E79" i="66"/>
  <c r="G32" i="66"/>
  <c r="G31" i="66" s="1"/>
  <c r="G59" i="66" s="1"/>
  <c r="D88" i="4"/>
  <c r="D30" i="4"/>
  <c r="G31" i="4" l="1"/>
  <c r="G30" i="4" s="1"/>
  <c r="G29" i="66"/>
  <c r="G60" i="66" s="1"/>
  <c r="G61" i="66" s="1"/>
  <c r="D89" i="4"/>
  <c r="D91" i="4" s="1"/>
  <c r="E80" i="66"/>
  <c r="E81" i="66" s="1"/>
  <c r="E28" i="4"/>
  <c r="E88" i="4"/>
  <c r="E89" i="4" s="1"/>
  <c r="D41" i="4" l="1"/>
  <c r="E91" i="4"/>
  <c r="E41" i="4" s="1"/>
  <c r="E61" i="4" s="1"/>
  <c r="E62" i="4" s="1"/>
  <c r="D61" i="4" l="1"/>
  <c r="G50" i="4"/>
  <c r="G41" i="4" s="1"/>
  <c r="G61" i="4" s="1"/>
  <c r="D28" i="4"/>
  <c r="G24" i="4" l="1"/>
  <c r="D62" i="4"/>
  <c r="G28" i="4"/>
  <c r="G62" i="4" s="1"/>
  <c r="G63" i="4" s="1"/>
</calcChain>
</file>

<file path=xl/sharedStrings.xml><?xml version="1.0" encoding="utf-8"?>
<sst xmlns="http://schemas.openxmlformats.org/spreadsheetml/2006/main" count="2741" uniqueCount="255">
  <si>
    <t>№ п/п</t>
  </si>
  <si>
    <t>Наименование статей</t>
  </si>
  <si>
    <t>ДОХОДЫ</t>
  </si>
  <si>
    <t>Техническое обслуживание</t>
  </si>
  <si>
    <t>Прочие:</t>
  </si>
  <si>
    <t>Аренда велопарковок</t>
  </si>
  <si>
    <t>ВСЕГО ДОХОДОВ</t>
  </si>
  <si>
    <t>5</t>
  </si>
  <si>
    <t>План</t>
  </si>
  <si>
    <t>4</t>
  </si>
  <si>
    <t>Санитарное содержание вспомогательных помещений</t>
  </si>
  <si>
    <t>Техническое обслуживание лифта</t>
  </si>
  <si>
    <t>Обращение с твёрдыми коммунальными отходами</t>
  </si>
  <si>
    <t>Текущий ремонт</t>
  </si>
  <si>
    <t>Возмещение расходов на электроэнергию, потребляемую на работу лифта</t>
  </si>
  <si>
    <t>Основные жилищно-коммунальные услуги:</t>
  </si>
  <si>
    <t>Возмещаемые жилищно-коммунальные услуги:</t>
  </si>
  <si>
    <t>Дополнительные жилищно-коммунальные услуги:</t>
  </si>
  <si>
    <t>Техническое обслуживание системы видеонаблюдения</t>
  </si>
  <si>
    <t>Проценты по вкладам вступительного взноса</t>
  </si>
  <si>
    <t>Возмещение расходов на электроэнергию, потребляемую на освещение вспомогательных помещений и работу оборудования, кроме лифта</t>
  </si>
  <si>
    <t>Ставка обслуживающей организации</t>
  </si>
  <si>
    <t>Членский взнос:</t>
  </si>
  <si>
    <t xml:space="preserve">Фонд оплаты труда </t>
  </si>
  <si>
    <t>Комиссия банка за ведение расчетного счета</t>
  </si>
  <si>
    <t>Расходы по регистрации и использованию радиочастотного устройства</t>
  </si>
  <si>
    <t>Услуга по обеспечению эксплуатационной готовности радиочастотного спектра устройств</t>
  </si>
  <si>
    <t>Налог при УСН</t>
  </si>
  <si>
    <t>3</t>
  </si>
  <si>
    <t>Аренда помещения</t>
  </si>
  <si>
    <t>Возмещение коммунальных услуг арендуемого помещения</t>
  </si>
  <si>
    <t>Отчисления из заработной платы (ФСЗН и Белгосстрах)</t>
  </si>
  <si>
    <t xml:space="preserve">Комиссия банка по расчетам за членский взнос и дополнительные услуги </t>
  </si>
  <si>
    <t>Прочие расходы:</t>
  </si>
  <si>
    <t>РАСХОДЫ</t>
  </si>
  <si>
    <t>факт 3 квартал, увеличить с учетом повыш тарифа, не зависит от сезона</t>
  </si>
  <si>
    <t>Услуга по обеспечению начислений за ЖКУ с исп. системы "Комплат"</t>
  </si>
  <si>
    <t>Вознаграждение расчетных агентов</t>
  </si>
  <si>
    <t>плюс 1% от зп</t>
  </si>
  <si>
    <t>ВСЕГО РАСХОДОВ</t>
  </si>
  <si>
    <t>Услуги обслуживающей организации</t>
  </si>
  <si>
    <t>Техническое обслуживание подъемников</t>
  </si>
  <si>
    <t>взяла большую сумму + увелич до 4.5</t>
  </si>
  <si>
    <t>полив 2 и 3 квартал добавить</t>
  </si>
  <si>
    <t>19/18 +15%, добавила 10%</t>
  </si>
  <si>
    <t>Техническое обслуживание запорно-переговорных устройств</t>
  </si>
  <si>
    <t>Техническое обслуживание лифта с учетом технического освидетельствования с электрофмзическими измерениями и стоимостью расходного материала</t>
  </si>
  <si>
    <t>Услуга по обеспечению начислений за ЖКУ с исп. системы "Комплат" (обслуживание лицевого счета)</t>
  </si>
  <si>
    <t>Комиссия банка по расчетам за членский взнос и дополнительные услуги (2%)</t>
  </si>
  <si>
    <t>Земельный налог</t>
  </si>
  <si>
    <t>Материалы для технического обслуживания и эксплуатации зданий, дворовой территории и элементов благоустройства</t>
  </si>
  <si>
    <t>0.24 руб</t>
  </si>
  <si>
    <t>2% от суммы извещения</t>
  </si>
  <si>
    <t>Прочие услуги и работы по ремонту, обслуживанию и эксплуатации общедомового оборудования, дворовой территории и элементов благоустройства</t>
  </si>
  <si>
    <t>Согласно декларации по земельному налогу за 2020 год</t>
  </si>
  <si>
    <t>Членский взнос</t>
  </si>
  <si>
    <t>Справочная информация</t>
  </si>
  <si>
    <t>Количество помещений - 328</t>
  </si>
  <si>
    <t>Общая площадь - 15210.56</t>
  </si>
  <si>
    <t>Согласно дефектного акта и сметы на каждый подъезд</t>
  </si>
  <si>
    <t>Возмещение экономически обоснованных затрат</t>
  </si>
  <si>
    <t>*Разрешить обоснованное отклонение по статьям доходов и расходов в пределах 20%</t>
  </si>
  <si>
    <t xml:space="preserve">СМЕТА (ПЛАНИРУЕМАЯ) ДОХОДОВ И РАСХОДОВ ТОВАРИЩЕСТВА СОБСТВЕННИКОВ "КВАРТАЛ ПИРС-1" </t>
  </si>
  <si>
    <t>Водоснабжение МОП, в том числе сезонный полив</t>
  </si>
  <si>
    <t>Техническое обслуживание по ЭОЗ</t>
  </si>
  <si>
    <t>Тариф</t>
  </si>
  <si>
    <t>Площадь по тарифу, м.кв</t>
  </si>
  <si>
    <t>Общая площадь жилых помещений</t>
  </si>
  <si>
    <t>Количество зарегистрированных</t>
  </si>
  <si>
    <t>Количество Квартир</t>
  </si>
  <si>
    <t>Кол-во чел</t>
  </si>
  <si>
    <t>дети до 7 лет, условное кол-во зарег</t>
  </si>
  <si>
    <t>условное кол-во зарег</t>
  </si>
  <si>
    <t>первый этаж, дети до 7 лет, условное кол-во зарег</t>
  </si>
  <si>
    <t>кол-во чел</t>
  </si>
  <si>
    <t>2 чел отказ</t>
  </si>
  <si>
    <t>без учета инд договоров</t>
  </si>
  <si>
    <t>Кол-во кв</t>
  </si>
  <si>
    <t>Сумма</t>
  </si>
  <si>
    <t>Кол-во м.кв</t>
  </si>
  <si>
    <t>тариф</t>
  </si>
  <si>
    <t>с учетом роста курса</t>
  </si>
  <si>
    <t>5% от суммы веломеста и аренда</t>
  </si>
  <si>
    <t>Техническое обслуживание лифта с учетом технического освидетельствования с электрофизическими измерениями и стоимостью расходного материала</t>
  </si>
  <si>
    <t>расчет исходя из запланированных основных жку</t>
  </si>
  <si>
    <t>Водоснабжение МОП</t>
  </si>
  <si>
    <t>на 2021 год</t>
  </si>
  <si>
    <t>Возмещение расходов на электроэнергию, потребляемую уличное освещение</t>
  </si>
  <si>
    <t xml:space="preserve"> I квартал 2021г.</t>
  </si>
  <si>
    <t xml:space="preserve"> II квартал 2021г.</t>
  </si>
  <si>
    <t xml:space="preserve"> III квартал 2021г.</t>
  </si>
  <si>
    <t xml:space="preserve"> IV квартал 2021г.</t>
  </si>
  <si>
    <t xml:space="preserve"> За 2021г.</t>
  </si>
  <si>
    <t>тх2</t>
  </si>
  <si>
    <t>тх4</t>
  </si>
  <si>
    <t>тх6</t>
  </si>
  <si>
    <t>кт</t>
  </si>
  <si>
    <t>ув1</t>
  </si>
  <si>
    <t>ув3</t>
  </si>
  <si>
    <t>ув5</t>
  </si>
  <si>
    <t>ув7</t>
  </si>
  <si>
    <t>ув9</t>
  </si>
  <si>
    <t>ув11</t>
  </si>
  <si>
    <t>ув13</t>
  </si>
  <si>
    <t>ув15</t>
  </si>
  <si>
    <t>ув17</t>
  </si>
  <si>
    <t>ув19</t>
  </si>
  <si>
    <t>ув21</t>
  </si>
  <si>
    <t>15,8 в сентябре</t>
  </si>
  <si>
    <t>Водоснабжение (сезонный полив)</t>
  </si>
  <si>
    <t>ув</t>
  </si>
  <si>
    <t>тх</t>
  </si>
  <si>
    <t>Согласно декларации по земельному налогу за 2021 год</t>
  </si>
  <si>
    <t>15, плюс 1,7% от зп, 4 кв повышение тарифа</t>
  </si>
  <si>
    <t xml:space="preserve">Общая площадь - </t>
  </si>
  <si>
    <t>ул, Морской Бриз, д, 1</t>
  </si>
  <si>
    <t>ул, Морской Бриз, д, 2</t>
  </si>
  <si>
    <t>ул, Морской Бриз, д, 3</t>
  </si>
  <si>
    <t>ул, Морской Бриз, д, 4</t>
  </si>
  <si>
    <t>ул, Морской Бриз, д, 5</t>
  </si>
  <si>
    <t>ул, Морской Бриз, д, 6</t>
  </si>
  <si>
    <t>ул, Морской Бриз, д, 7</t>
  </si>
  <si>
    <t>ул, Морской Бриз, д, 8</t>
  </si>
  <si>
    <t>ул, Морской Бриз, д, 9</t>
  </si>
  <si>
    <t>ул, Солнечный Пляж, д, 1</t>
  </si>
  <si>
    <t>ул, Солнечный Пляж, д, 11</t>
  </si>
  <si>
    <t>ул, Солнечный Пляж, д, 13</t>
  </si>
  <si>
    <t>ул, Солнечный Пляж, д, 15</t>
  </si>
  <si>
    <t>ул, Солнечный Пляж, д, 17</t>
  </si>
  <si>
    <t>ул, Солнечный Пляж, д, 19</t>
  </si>
  <si>
    <t>ул, Солнечный Пляж, д, 2</t>
  </si>
  <si>
    <t>ул, Солнечный Пляж, д, 21</t>
  </si>
  <si>
    <t>ул, Солнечный Пляж, д, 3</t>
  </si>
  <si>
    <t>ул, Солнечный Пляж, д, 4</t>
  </si>
  <si>
    <t>ул, Солнечный Пляж, д, 5</t>
  </si>
  <si>
    <t>ул, Солнечный Пляж, д, 6</t>
  </si>
  <si>
    <t>ул, Солнечный Пляж, д, 7</t>
  </si>
  <si>
    <t>ул, Солнечный Пляж, д, 9</t>
  </si>
  <si>
    <t>ув 3</t>
  </si>
  <si>
    <t>ув 5</t>
  </si>
  <si>
    <t>ув 1</t>
  </si>
  <si>
    <t>ув 7</t>
  </si>
  <si>
    <t>ув 9</t>
  </si>
  <si>
    <t>Предельно допустимый тариф (цена), размер возмещения расходов, рублей с 1 января с 1 июня с 1 сентября</t>
  </si>
  <si>
    <t xml:space="preserve">С ЯНВАРЯ </t>
  </si>
  <si>
    <t>С СЕНТЯБРЯ</t>
  </si>
  <si>
    <t xml:space="preserve">Сумма </t>
  </si>
  <si>
    <t>ЭОЗ</t>
  </si>
  <si>
    <t>Тариф ЭОЗ</t>
  </si>
  <si>
    <t xml:space="preserve">Техническое обслуживание запорнопереговорных устройств жилого дома </t>
  </si>
  <si>
    <t xml:space="preserve"> Обращение с твердыми коммунальными отходами</t>
  </si>
  <si>
    <t>Тариф субсидируемый</t>
  </si>
  <si>
    <t xml:space="preserve"> Санитарное содержание вспомогательных помещений жилого дома</t>
  </si>
  <si>
    <t>Э/Э МОП</t>
  </si>
  <si>
    <t>Э/Э ЛИФТ</t>
  </si>
  <si>
    <t>С ИЮНЯ</t>
  </si>
  <si>
    <t>Видео</t>
  </si>
  <si>
    <t xml:space="preserve"> Техническое обслуживание</t>
  </si>
  <si>
    <t>Членский взнос, ставка обслуживающей организации</t>
  </si>
  <si>
    <t>Членский взнос, возмещение экономически обоснованных затрат</t>
  </si>
  <si>
    <t>норма/объем</t>
  </si>
  <si>
    <t>чел</t>
  </si>
  <si>
    <t>чел/0,24</t>
  </si>
  <si>
    <t>усл</t>
  </si>
  <si>
    <t xml:space="preserve"> Техническое обслуживание </t>
  </si>
  <si>
    <t>кол-во квартир</t>
  </si>
  <si>
    <t>Количество Домов</t>
  </si>
  <si>
    <t>Номер дома</t>
  </si>
  <si>
    <t>Кол-во проживающих</t>
  </si>
  <si>
    <t>условныхжителей</t>
  </si>
  <si>
    <t>Количество условно зарег</t>
  </si>
  <si>
    <t>суб</t>
  </si>
  <si>
    <t>Прочее( конверты, марки, бумага)</t>
  </si>
  <si>
    <t>Техническое обслуживание АСКУЭ</t>
  </si>
  <si>
    <t>Интернет, Wi-Fi, белтелеком</t>
  </si>
  <si>
    <t>в месяц</t>
  </si>
  <si>
    <t xml:space="preserve">апрель-сент 5000 в месяц </t>
  </si>
  <si>
    <t>октябрь-март 7000</t>
  </si>
  <si>
    <t>исходя из фактического потребления эл/эн *на действующий тариф</t>
  </si>
  <si>
    <t xml:space="preserve">тариф на 01.02.2021 </t>
  </si>
  <si>
    <t>на  01.02.2021</t>
  </si>
  <si>
    <t>МОП – по 10 м3 х 12мес = 120 м3</t>
  </si>
  <si>
    <t>Полив – 2250 м3, май – 100 м3; июнь – 700 м3; июль – 700м3; август – 700 м3; сентябрь – 50 м3</t>
  </si>
  <si>
    <t>тариф 3,767</t>
  </si>
  <si>
    <t>Адрес</t>
  </si>
  <si>
    <t xml:space="preserve">Наименование работ </t>
  </si>
  <si>
    <t>Стоимость материала руб.</t>
  </si>
  <si>
    <t>Солнечный Пляж 1</t>
  </si>
  <si>
    <t>Покраска дождеприемников</t>
  </si>
  <si>
    <t>Покраска фасада входных групп</t>
  </si>
  <si>
    <t>Точечный ремонт и покраска лифтхолов и лестничных маршей</t>
  </si>
  <si>
    <t>Покраска дверей в тех. помещениях</t>
  </si>
  <si>
    <t>Замена плитки пола</t>
  </si>
  <si>
    <t>Солнечный Пляж 3</t>
  </si>
  <si>
    <t>Солнечный Пляж 5</t>
  </si>
  <si>
    <t>Солнечный Пляж 7</t>
  </si>
  <si>
    <t>Материалы, руб</t>
  </si>
  <si>
    <t>Солнечный Пляж 9</t>
  </si>
  <si>
    <t>Чел час, ч</t>
  </si>
  <si>
    <t>Стоимость работы (10% прибыли), руб</t>
  </si>
  <si>
    <t>Итого мат+раб, руб</t>
  </si>
  <si>
    <t>Солнечный Пляж 11</t>
  </si>
  <si>
    <t>Солнечный Пляж 13</t>
  </si>
  <si>
    <t>Солнечный Пляж 15</t>
  </si>
  <si>
    <t>Солнечный Пляж 17</t>
  </si>
  <si>
    <t>Солнечный Пляж 19</t>
  </si>
  <si>
    <t>Солнечный Пляж 21</t>
  </si>
  <si>
    <t>Пирс 1</t>
  </si>
  <si>
    <t>Наименование объекта</t>
  </si>
  <si>
    <t xml:space="preserve">Кол. материала </t>
  </si>
  <si>
    <t>Стоимость материала, руб</t>
  </si>
  <si>
    <t>Стоимость работ, руб</t>
  </si>
  <si>
    <t>Площадки ТБО, 3 шт</t>
  </si>
  <si>
    <t>Пропитка 8 литров</t>
  </si>
  <si>
    <t>Валики</t>
  </si>
  <si>
    <t>Пленка</t>
  </si>
  <si>
    <t>Кисти</t>
  </si>
  <si>
    <t>Круги шлифовальные</t>
  </si>
  <si>
    <t>Лента малярная</t>
  </si>
  <si>
    <t>Велобоксы, 2 шт</t>
  </si>
  <si>
    <t>Пропитка 7 литров</t>
  </si>
  <si>
    <t>Пропитка 15 литров</t>
  </si>
  <si>
    <t>Зона отдыха СП 3</t>
  </si>
  <si>
    <t>Пропитка 10 литров</t>
  </si>
  <si>
    <t>Зона отдыха СП 5</t>
  </si>
  <si>
    <t>Пропитка 5 литров</t>
  </si>
  <si>
    <t>Зона отдыха СП 13</t>
  </si>
  <si>
    <t>Зона отдыха СП 15</t>
  </si>
  <si>
    <t>Люки, полусферы</t>
  </si>
  <si>
    <t>Краска маслянная</t>
  </si>
  <si>
    <t>Щетка по металлу</t>
  </si>
  <si>
    <t>Дорожная разметка</t>
  </si>
  <si>
    <t>Краска</t>
  </si>
  <si>
    <t xml:space="preserve">Растворитель </t>
  </si>
  <si>
    <t>Уличная мебель</t>
  </si>
  <si>
    <t>Канал</t>
  </si>
  <si>
    <t>Детская площадка</t>
  </si>
  <si>
    <t>Пропитка 20 литров</t>
  </si>
  <si>
    <t>Зона отдыха вдоль канала</t>
  </si>
  <si>
    <t>Прочие материалы</t>
  </si>
  <si>
    <t>Ветошь</t>
  </si>
  <si>
    <t>Сигнальная лента</t>
  </si>
  <si>
    <t>Электрический пульверизатор</t>
  </si>
  <si>
    <t>канал</t>
  </si>
  <si>
    <t>согласно данных таблицы материалы, материалы и работы по каналу разделили на пирс 1 и пирс-2</t>
  </si>
  <si>
    <t>Техническое обслуживание запорно-переговорных устройств, техническое обслуживание системы видеонаблюдения (БайТехСерис ООО)</t>
  </si>
  <si>
    <t>От    9 октября 2020 г.  №б/н  Ориентировочная стоимость технического обслуживания с учетом ежегодного технического освидетельствования и запчастей с 1.01 по 31.12.2021 года составит 18330,00 белорусских рублей</t>
  </si>
  <si>
    <t xml:space="preserve">Датком за Это январь - декабрь 2021      Пирс 1 - 12 400,0 рублей </t>
  </si>
  <si>
    <t>Байтех      Пирс1-14976 рублей с НДС за 12 месяцев.Данные суммы без учета запасных материалов и оборудования.</t>
  </si>
  <si>
    <t>Финансовый результат 2020 года</t>
  </si>
  <si>
    <t>Финансовый результат 2021 года</t>
  </si>
  <si>
    <t>Количество помещений - 235</t>
  </si>
  <si>
    <t>Членский взнос ТХ и КТ</t>
  </si>
  <si>
    <t>Членский взнос УВ</t>
  </si>
  <si>
    <t>Материалы за счет вступительного взноса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</si>
</sst>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DejaVu Serif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7">
    <xf numFmtId="0" fontId="0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3" applyNumberFormat="0" applyAlignment="0" applyProtection="0"/>
    <xf numFmtId="0" fontId="17" fillId="7" borderId="14" applyNumberFormat="0" applyAlignment="0" applyProtection="0"/>
    <xf numFmtId="0" fontId="18" fillId="7" borderId="13" applyNumberFormat="0" applyAlignment="0" applyProtection="0"/>
    <xf numFmtId="0" fontId="19" fillId="0" borderId="15" applyNumberFormat="0" applyFill="0" applyAlignment="0" applyProtection="0"/>
    <xf numFmtId="0" fontId="20" fillId="8" borderId="1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4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4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4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7" applyNumberFormat="0" applyFont="0" applyAlignment="0" applyProtection="0"/>
    <xf numFmtId="0" fontId="25" fillId="0" borderId="0"/>
    <xf numFmtId="0" fontId="26" fillId="0" borderId="0"/>
    <xf numFmtId="0" fontId="27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7" applyNumberFormat="0" applyFont="0" applyAlignment="0" applyProtection="0"/>
  </cellStyleXfs>
  <cellXfs count="309">
    <xf numFmtId="0" fontId="0" fillId="0" borderId="0" xfId="0"/>
    <xf numFmtId="0" fontId="5" fillId="0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4" fontId="5" fillId="2" borderId="0" xfId="1" applyNumberFormat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6" fillId="2" borderId="0" xfId="1" applyFont="1" applyFill="1" applyAlignment="1">
      <alignment horizontal="center" vertical="center"/>
    </xf>
    <xf numFmtId="4" fontId="6" fillId="2" borderId="0" xfId="1" applyNumberFormat="1" applyFont="1" applyFill="1" applyBorder="1" applyAlignment="1">
      <alignment horizontal="right" vertical="center"/>
    </xf>
    <xf numFmtId="0" fontId="6" fillId="2" borderId="0" xfId="1" applyFont="1" applyFill="1" applyBorder="1" applyAlignment="1">
      <alignment horizontal="left" vertical="center"/>
    </xf>
    <xf numFmtId="4" fontId="6" fillId="2" borderId="3" xfId="1" applyNumberFormat="1" applyFont="1" applyFill="1" applyBorder="1" applyAlignment="1">
      <alignment horizontal="right" vertical="center"/>
    </xf>
    <xf numFmtId="4" fontId="5" fillId="2" borderId="20" xfId="1" applyNumberFormat="1" applyFont="1" applyFill="1" applyBorder="1" applyAlignment="1">
      <alignment horizontal="right" vertical="center"/>
    </xf>
    <xf numFmtId="0" fontId="5" fillId="2" borderId="20" xfId="1" applyFont="1" applyFill="1" applyBorder="1" applyAlignment="1">
      <alignment horizontal="left" vertical="center" wrapText="1"/>
    </xf>
    <xf numFmtId="4" fontId="5" fillId="2" borderId="20" xfId="1" applyNumberFormat="1" applyFont="1" applyFill="1" applyBorder="1" applyAlignment="1">
      <alignment horizontal="right"/>
    </xf>
    <xf numFmtId="4" fontId="5" fillId="2" borderId="20" xfId="1" applyNumberFormat="1" applyFont="1" applyFill="1" applyBorder="1" applyAlignment="1">
      <alignment horizontal="right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23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1" fontId="6" fillId="2" borderId="24" xfId="1" applyNumberFormat="1" applyFont="1" applyFill="1" applyBorder="1" applyAlignment="1">
      <alignment horizontal="center" vertical="center" wrapText="1"/>
    </xf>
    <xf numFmtId="1" fontId="6" fillId="2" borderId="25" xfId="1" applyNumberFormat="1" applyFont="1" applyFill="1" applyBorder="1" applyAlignment="1">
      <alignment horizontal="center" vertical="center" wrapText="1"/>
    </xf>
    <xf numFmtId="4" fontId="6" fillId="2" borderId="5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4" fontId="6" fillId="2" borderId="2" xfId="1" applyNumberFormat="1" applyFont="1" applyFill="1" applyBorder="1" applyAlignment="1">
      <alignment horizontal="right" vertical="center"/>
    </xf>
    <xf numFmtId="0" fontId="6" fillId="2" borderId="22" xfId="1" applyFont="1" applyFill="1" applyBorder="1" applyAlignment="1">
      <alignment horizontal="center" vertical="center" wrapText="1"/>
    </xf>
    <xf numFmtId="1" fontId="5" fillId="2" borderId="22" xfId="1" applyNumberFormat="1" applyFont="1" applyFill="1" applyBorder="1" applyAlignment="1">
      <alignment horizontal="center" vertical="center" wrapText="1"/>
    </xf>
    <xf numFmtId="0" fontId="5" fillId="2" borderId="24" xfId="1" applyFont="1" applyFill="1" applyBorder="1" applyAlignment="1">
      <alignment horizontal="left" vertical="center" wrapText="1"/>
    </xf>
    <xf numFmtId="4" fontId="5" fillId="2" borderId="24" xfId="1" applyNumberFormat="1" applyFont="1" applyFill="1" applyBorder="1" applyAlignment="1">
      <alignment horizontal="right" vertical="center"/>
    </xf>
    <xf numFmtId="0" fontId="5" fillId="2" borderId="2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5" fillId="2" borderId="22" xfId="1" applyFont="1" applyFill="1" applyBorder="1" applyAlignment="1">
      <alignment horizontal="center" vertical="center" wrapText="1"/>
    </xf>
    <xf numFmtId="4" fontId="6" fillId="2" borderId="6" xfId="1" applyNumberFormat="1" applyFont="1" applyFill="1" applyBorder="1" applyAlignment="1">
      <alignment horizontal="right"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49" fontId="5" fillId="2" borderId="22" xfId="1" applyNumberFormat="1" applyFont="1" applyFill="1" applyBorder="1" applyAlignment="1">
      <alignment horizontal="center" vertical="center" wrapText="1"/>
    </xf>
    <xf numFmtId="49" fontId="5" fillId="2" borderId="23" xfId="1" applyNumberFormat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vertical="center" wrapText="1"/>
    </xf>
    <xf numFmtId="4" fontId="6" fillId="2" borderId="2" xfId="1" applyNumberFormat="1" applyFont="1" applyFill="1" applyBorder="1" applyAlignment="1">
      <alignment horizontal="right" vertical="center" wrapText="1"/>
    </xf>
    <xf numFmtId="0" fontId="6" fillId="2" borderId="6" xfId="1" applyFont="1" applyFill="1" applyBorder="1" applyAlignment="1">
      <alignment horizontal="left" vertical="center" wrapText="1"/>
    </xf>
    <xf numFmtId="4" fontId="6" fillId="2" borderId="8" xfId="1" applyNumberFormat="1" applyFont="1" applyFill="1" applyBorder="1" applyAlignment="1">
      <alignment horizontal="right" vertical="center"/>
    </xf>
    <xf numFmtId="4" fontId="8" fillId="2" borderId="4" xfId="1" applyNumberFormat="1" applyFont="1" applyFill="1" applyBorder="1" applyAlignment="1">
      <alignment horizontal="right" vertical="center"/>
    </xf>
    <xf numFmtId="4" fontId="8" fillId="2" borderId="27" xfId="1" applyNumberFormat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vertical="center"/>
    </xf>
    <xf numFmtId="4" fontId="5" fillId="2" borderId="0" xfId="1" applyNumberFormat="1" applyFont="1" applyFill="1" applyBorder="1" applyAlignment="1">
      <alignment vertical="center"/>
    </xf>
    <xf numFmtId="4" fontId="5" fillId="2" borderId="20" xfId="1" applyNumberFormat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49" fontId="29" fillId="0" borderId="22" xfId="1" applyNumberFormat="1" applyFont="1" applyBorder="1" applyAlignment="1">
      <alignment horizontal="center" vertical="center" wrapText="1"/>
    </xf>
    <xf numFmtId="49" fontId="30" fillId="0" borderId="22" xfId="1" applyNumberFormat="1" applyFont="1" applyBorder="1" applyAlignment="1">
      <alignment horizontal="center" vertical="center" wrapText="1"/>
    </xf>
    <xf numFmtId="49" fontId="29" fillId="0" borderId="7" xfId="1" applyNumberFormat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5" fillId="0" borderId="24" xfId="1" applyFont="1" applyBorder="1" applyAlignment="1">
      <alignment horizontal="left" vertical="center" wrapText="1"/>
    </xf>
    <xf numFmtId="0" fontId="5" fillId="0" borderId="20" xfId="1" applyFont="1" applyBorder="1" applyAlignment="1">
      <alignment vertical="center" wrapText="1"/>
    </xf>
    <xf numFmtId="4" fontId="8" fillId="2" borderId="29" xfId="1" applyNumberFormat="1" applyFont="1" applyFill="1" applyBorder="1" applyAlignment="1">
      <alignment horizontal="right" vertical="center"/>
    </xf>
    <xf numFmtId="4" fontId="8" fillId="2" borderId="30" xfId="1" applyNumberFormat="1" applyFont="1" applyFill="1" applyBorder="1" applyAlignment="1">
      <alignment horizontal="right" vertical="center"/>
    </xf>
    <xf numFmtId="4" fontId="6" fillId="2" borderId="29" xfId="1" applyNumberFormat="1" applyFont="1" applyFill="1" applyBorder="1" applyAlignment="1">
      <alignment horizontal="center" vertical="center" wrapText="1"/>
    </xf>
    <xf numFmtId="4" fontId="6" fillId="2" borderId="30" xfId="1" applyNumberFormat="1" applyFont="1" applyFill="1" applyBorder="1" applyAlignment="1">
      <alignment horizontal="center" vertical="center" wrapText="1"/>
    </xf>
    <xf numFmtId="0" fontId="30" fillId="0" borderId="23" xfId="1" applyFont="1" applyBorder="1" applyAlignment="1">
      <alignment vertical="center"/>
    </xf>
    <xf numFmtId="4" fontId="5" fillId="2" borderId="24" xfId="1" applyNumberFormat="1" applyFont="1" applyFill="1" applyBorder="1" applyAlignment="1">
      <alignment vertical="center"/>
    </xf>
    <xf numFmtId="0" fontId="30" fillId="0" borderId="22" xfId="1" applyFont="1" applyBorder="1" applyAlignment="1">
      <alignment vertical="center"/>
    </xf>
    <xf numFmtId="0" fontId="29" fillId="0" borderId="7" xfId="1" applyFont="1" applyBorder="1" applyAlignment="1">
      <alignment horizontal="left" vertical="center" wrapText="1"/>
    </xf>
    <xf numFmtId="0" fontId="30" fillId="0" borderId="22" xfId="1" applyFont="1" applyBorder="1" applyAlignment="1">
      <alignment vertical="center" wrapText="1"/>
    </xf>
    <xf numFmtId="0" fontId="30" fillId="0" borderId="22" xfId="1" applyFont="1" applyBorder="1" applyAlignment="1">
      <alignment horizontal="left" vertical="center" wrapText="1"/>
    </xf>
    <xf numFmtId="0" fontId="29" fillId="0" borderId="22" xfId="1" applyFont="1" applyBorder="1" applyAlignment="1">
      <alignment horizontal="left" vertical="center" wrapText="1"/>
    </xf>
    <xf numFmtId="0" fontId="29" fillId="0" borderId="23" xfId="1" applyFont="1" applyBorder="1" applyAlignment="1">
      <alignment horizontal="left" vertical="center" wrapText="1"/>
    </xf>
    <xf numFmtId="4" fontId="6" fillId="2" borderId="2" xfId="1" applyNumberFormat="1" applyFont="1" applyFill="1" applyBorder="1" applyAlignment="1">
      <alignment vertical="center"/>
    </xf>
    <xf numFmtId="9" fontId="5" fillId="2" borderId="0" xfId="1" applyNumberFormat="1" applyFont="1" applyFill="1" applyAlignment="1">
      <alignment vertical="center"/>
    </xf>
    <xf numFmtId="4" fontId="6" fillId="2" borderId="3" xfId="1" applyNumberFormat="1" applyFont="1" applyFill="1" applyBorder="1" applyAlignment="1">
      <alignment vertical="center"/>
    </xf>
    <xf numFmtId="2" fontId="6" fillId="2" borderId="0" xfId="1" applyNumberFormat="1" applyFont="1" applyFill="1" applyAlignment="1">
      <alignment vertical="center"/>
    </xf>
    <xf numFmtId="4" fontId="5" fillId="0" borderId="20" xfId="1" applyNumberFormat="1" applyFont="1" applyFill="1" applyBorder="1" applyAlignment="1">
      <alignment vertical="center"/>
    </xf>
    <xf numFmtId="0" fontId="30" fillId="0" borderId="0" xfId="1" applyFont="1" applyBorder="1" applyAlignment="1">
      <alignment vertical="center" wrapText="1"/>
    </xf>
    <xf numFmtId="0" fontId="29" fillId="0" borderId="0" xfId="1" applyFont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4" fontId="8" fillId="2" borderId="0" xfId="1" applyNumberFormat="1" applyFont="1" applyFill="1" applyBorder="1" applyAlignment="1">
      <alignment horizontal="right" vertical="center"/>
    </xf>
    <xf numFmtId="4" fontId="6" fillId="2" borderId="21" xfId="1" applyNumberFormat="1" applyFont="1" applyFill="1" applyBorder="1" applyAlignment="1">
      <alignment vertical="center"/>
    </xf>
    <xf numFmtId="4" fontId="6" fillId="0" borderId="20" xfId="1" applyNumberFormat="1" applyFont="1" applyFill="1" applyBorder="1" applyAlignment="1">
      <alignment vertical="center"/>
    </xf>
    <xf numFmtId="4" fontId="6" fillId="2" borderId="25" xfId="1" applyNumberFormat="1" applyFont="1" applyFill="1" applyBorder="1" applyAlignment="1">
      <alignment vertical="center"/>
    </xf>
    <xf numFmtId="4" fontId="6" fillId="2" borderId="21" xfId="1" applyNumberFormat="1" applyFont="1" applyFill="1" applyBorder="1" applyAlignment="1">
      <alignment horizontal="right" vertical="center" wrapText="1"/>
    </xf>
    <xf numFmtId="4" fontId="6" fillId="2" borderId="21" xfId="1" applyNumberFormat="1" applyFont="1" applyFill="1" applyBorder="1" applyAlignment="1">
      <alignment horizontal="right" vertical="center"/>
    </xf>
    <xf numFmtId="4" fontId="6" fillId="2" borderId="25" xfId="1" applyNumberFormat="1" applyFont="1" applyFill="1" applyBorder="1" applyAlignment="1">
      <alignment horizontal="right" vertical="center"/>
    </xf>
    <xf numFmtId="165" fontId="8" fillId="2" borderId="0" xfId="1" applyNumberFormat="1" applyFont="1" applyFill="1" applyBorder="1" applyAlignment="1">
      <alignment horizontal="right" vertical="center"/>
    </xf>
    <xf numFmtId="0" fontId="5" fillId="0" borderId="20" xfId="1" applyFont="1" applyFill="1" applyBorder="1" applyAlignment="1">
      <alignment horizontal="left" vertical="center" wrapText="1"/>
    </xf>
    <xf numFmtId="4" fontId="6" fillId="0" borderId="21" xfId="1" applyNumberFormat="1" applyFont="1" applyFill="1" applyBorder="1" applyAlignment="1">
      <alignment vertical="center"/>
    </xf>
    <xf numFmtId="0" fontId="5" fillId="0" borderId="0" xfId="1" applyFont="1" applyBorder="1" applyAlignment="1">
      <alignment horizontal="left" vertical="center" wrapText="1"/>
    </xf>
    <xf numFmtId="4" fontId="5" fillId="2" borderId="0" xfId="1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4" fontId="6" fillId="2" borderId="20" xfId="1" applyNumberFormat="1" applyFont="1" applyFill="1" applyBorder="1" applyAlignment="1">
      <alignment horizontal="center" vertical="center"/>
    </xf>
    <xf numFmtId="3" fontId="5" fillId="2" borderId="0" xfId="1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4" fontId="5" fillId="2" borderId="0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 wrapText="1"/>
    </xf>
    <xf numFmtId="4" fontId="6" fillId="2" borderId="0" xfId="1" applyNumberFormat="1" applyFont="1" applyFill="1" applyAlignment="1">
      <alignment horizontal="right" vertical="center"/>
    </xf>
    <xf numFmtId="0" fontId="6" fillId="2" borderId="0" xfId="1" applyFont="1" applyFill="1" applyAlignment="1">
      <alignment horizontal="left" vertical="center"/>
    </xf>
    <xf numFmtId="4" fontId="5" fillId="2" borderId="34" xfId="1" applyNumberFormat="1" applyFont="1" applyFill="1" applyBorder="1" applyAlignment="1">
      <alignment horizontal="center" vertical="center"/>
    </xf>
    <xf numFmtId="4" fontId="5" fillId="2" borderId="35" xfId="1" applyNumberFormat="1" applyFont="1" applyFill="1" applyBorder="1" applyAlignment="1">
      <alignment horizontal="center" vertical="center"/>
    </xf>
    <xf numFmtId="4" fontId="5" fillId="2" borderId="36" xfId="1" applyNumberFormat="1" applyFont="1" applyFill="1" applyBorder="1" applyAlignment="1">
      <alignment horizontal="center" vertical="center"/>
    </xf>
    <xf numFmtId="4" fontId="5" fillId="2" borderId="38" xfId="1" applyNumberFormat="1" applyFont="1" applyFill="1" applyBorder="1" applyAlignment="1">
      <alignment horizontal="center" vertical="center"/>
    </xf>
    <xf numFmtId="4" fontId="5" fillId="2" borderId="39" xfId="1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 applyAlignment="1">
      <alignment horizontal="center" vertical="center"/>
    </xf>
    <xf numFmtId="0" fontId="5" fillId="2" borderId="34" xfId="1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center" vertical="center"/>
    </xf>
    <xf numFmtId="0" fontId="5" fillId="2" borderId="36" xfId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39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 wrapText="1"/>
    </xf>
    <xf numFmtId="4" fontId="5" fillId="2" borderId="0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2" borderId="23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4" fontId="5" fillId="2" borderId="20" xfId="1" applyNumberFormat="1" applyFont="1" applyFill="1" applyBorder="1" applyAlignment="1">
      <alignment horizontal="center" vertical="center"/>
    </xf>
    <xf numFmtId="0" fontId="5" fillId="2" borderId="4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left" vertical="center" wrapText="1"/>
    </xf>
    <xf numFmtId="4" fontId="5" fillId="2" borderId="5" xfId="1" applyNumberFormat="1" applyFont="1" applyFill="1" applyBorder="1" applyAlignment="1">
      <alignment horizontal="right" vertical="center"/>
    </xf>
    <xf numFmtId="4" fontId="6" fillId="2" borderId="42" xfId="1" applyNumberFormat="1" applyFont="1" applyFill="1" applyBorder="1" applyAlignment="1">
      <alignment horizontal="right" vertical="center"/>
    </xf>
    <xf numFmtId="4" fontId="0" fillId="0" borderId="0" xfId="0" applyNumberFormat="1"/>
    <xf numFmtId="2" fontId="0" fillId="0" borderId="0" xfId="0" applyNumberFormat="1"/>
    <xf numFmtId="0" fontId="6" fillId="2" borderId="0" xfId="1" applyFont="1" applyFill="1" applyBorder="1" applyAlignment="1">
      <alignment horizontal="left" vertical="center" wrapText="1"/>
    </xf>
    <xf numFmtId="4" fontId="5" fillId="2" borderId="0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0" fillId="0" borderId="34" xfId="0" applyBorder="1"/>
    <xf numFmtId="4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0" fillId="0" borderId="19" xfId="0" applyBorder="1"/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0" fillId="0" borderId="9" xfId="0" applyBorder="1"/>
    <xf numFmtId="0" fontId="0" fillId="0" borderId="39" xfId="0" applyBorder="1"/>
    <xf numFmtId="0" fontId="5" fillId="2" borderId="0" xfId="1" applyFont="1" applyFill="1" applyAlignment="1">
      <alignment horizontal="center" vertical="center" wrapText="1"/>
    </xf>
    <xf numFmtId="0" fontId="5" fillId="2" borderId="0" xfId="1" applyFont="1" applyFill="1" applyBorder="1" applyAlignment="1">
      <alignment vertical="center" wrapText="1"/>
    </xf>
    <xf numFmtId="0" fontId="5" fillId="2" borderId="0" xfId="1" applyFont="1" applyFill="1" applyAlignment="1">
      <alignment vertical="center" wrapText="1"/>
    </xf>
    <xf numFmtId="0" fontId="5" fillId="2" borderId="19" xfId="1" applyFont="1" applyFill="1" applyBorder="1" applyAlignment="1">
      <alignment vertical="center" wrapText="1"/>
    </xf>
    <xf numFmtId="164" fontId="5" fillId="2" borderId="0" xfId="1" applyNumberFormat="1" applyFont="1" applyFill="1" applyAlignment="1">
      <alignment vertical="center" wrapText="1"/>
    </xf>
    <xf numFmtId="2" fontId="5" fillId="2" borderId="0" xfId="1" applyNumberFormat="1" applyFont="1" applyFill="1" applyAlignment="1">
      <alignment vertical="center" wrapText="1"/>
    </xf>
    <xf numFmtId="164" fontId="5" fillId="2" borderId="20" xfId="1" applyNumberFormat="1" applyFont="1" applyFill="1" applyBorder="1" applyAlignment="1"/>
    <xf numFmtId="0" fontId="6" fillId="2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vertical="center" wrapText="1"/>
    </xf>
    <xf numFmtId="0" fontId="31" fillId="35" borderId="47" xfId="0" applyFont="1" applyFill="1" applyBorder="1" applyAlignment="1">
      <alignment horizontal="center" vertical="center" wrapText="1"/>
    </xf>
    <xf numFmtId="0" fontId="0" fillId="0" borderId="20" xfId="0" applyBorder="1"/>
    <xf numFmtId="4" fontId="0" fillId="0" borderId="20" xfId="0" applyNumberFormat="1" applyBorder="1"/>
    <xf numFmtId="0" fontId="31" fillId="35" borderId="20" xfId="0" applyNumberFormat="1" applyFont="1" applyFill="1" applyBorder="1" applyAlignment="1">
      <alignment horizontal="left" wrapText="1"/>
    </xf>
    <xf numFmtId="4" fontId="0" fillId="0" borderId="0" xfId="0" applyNumberFormat="1" applyFill="1"/>
    <xf numFmtId="0" fontId="0" fillId="34" borderId="20" xfId="0" applyFill="1" applyBorder="1"/>
    <xf numFmtId="4" fontId="5" fillId="0" borderId="20" xfId="1" applyNumberFormat="1" applyFont="1" applyFill="1" applyBorder="1" applyAlignment="1">
      <alignment horizontal="right" vertical="center" wrapText="1"/>
    </xf>
    <xf numFmtId="4" fontId="6" fillId="0" borderId="21" xfId="1" applyNumberFormat="1" applyFont="1" applyFill="1" applyBorder="1" applyAlignment="1">
      <alignment horizontal="right" vertical="center" wrapText="1"/>
    </xf>
    <xf numFmtId="0" fontId="6" fillId="0" borderId="2" xfId="1" applyFont="1" applyFill="1" applyBorder="1" applyAlignment="1">
      <alignment horizontal="left" vertical="center" wrapText="1"/>
    </xf>
    <xf numFmtId="4" fontId="6" fillId="0" borderId="2" xfId="1" applyNumberFormat="1" applyFont="1" applyFill="1" applyBorder="1" applyAlignment="1">
      <alignment horizontal="right" vertical="center" wrapText="1"/>
    </xf>
    <xf numFmtId="4" fontId="6" fillId="0" borderId="21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horizontal="left" vertical="center" wrapText="1"/>
    </xf>
    <xf numFmtId="4" fontId="5" fillId="0" borderId="6" xfId="1" applyNumberFormat="1" applyFont="1" applyFill="1" applyBorder="1" applyAlignment="1">
      <alignment horizontal="right" vertical="center" wrapText="1"/>
    </xf>
    <xf numFmtId="4" fontId="6" fillId="0" borderId="41" xfId="1" applyNumberFormat="1" applyFont="1" applyFill="1" applyBorder="1" applyAlignment="1">
      <alignment horizontal="right" vertical="center"/>
    </xf>
    <xf numFmtId="4" fontId="6" fillId="0" borderId="2" xfId="1" applyNumberFormat="1" applyFont="1" applyFill="1" applyBorder="1" applyAlignment="1">
      <alignment horizontal="right" vertical="center"/>
    </xf>
    <xf numFmtId="4" fontId="6" fillId="0" borderId="3" xfId="1" applyNumberFormat="1" applyFont="1" applyFill="1" applyBorder="1" applyAlignment="1">
      <alignment horizontal="right" vertical="center"/>
    </xf>
    <xf numFmtId="0" fontId="5" fillId="0" borderId="24" xfId="1" applyFont="1" applyFill="1" applyBorder="1" applyAlignment="1">
      <alignment horizontal="left" vertical="center" wrapText="1"/>
    </xf>
    <xf numFmtId="4" fontId="6" fillId="0" borderId="25" xfId="1" applyNumberFormat="1" applyFont="1" applyFill="1" applyBorder="1" applyAlignment="1">
      <alignment horizontal="right" vertical="center"/>
    </xf>
    <xf numFmtId="49" fontId="5" fillId="0" borderId="22" xfId="1" applyNumberFormat="1" applyFont="1" applyFill="1" applyBorder="1" applyAlignment="1">
      <alignment horizontal="center" vertical="center" wrapText="1"/>
    </xf>
    <xf numFmtId="4" fontId="5" fillId="0" borderId="20" xfId="1" applyNumberFormat="1" applyFont="1" applyFill="1" applyBorder="1" applyAlignment="1">
      <alignment horizontal="right" vertical="center"/>
    </xf>
    <xf numFmtId="4" fontId="6" fillId="0" borderId="2" xfId="1" applyNumberFormat="1" applyFont="1" applyFill="1" applyBorder="1" applyAlignment="1">
      <alignment vertical="center"/>
    </xf>
    <xf numFmtId="0" fontId="5" fillId="0" borderId="5" xfId="1" applyFont="1" applyBorder="1" applyAlignment="1">
      <alignment horizontal="left" vertical="center" wrapText="1"/>
    </xf>
    <xf numFmtId="4" fontId="8" fillId="0" borderId="5" xfId="1" applyNumberFormat="1" applyFont="1" applyFill="1" applyBorder="1" applyAlignment="1">
      <alignment horizontal="right" vertical="center"/>
    </xf>
    <xf numFmtId="4" fontId="8" fillId="0" borderId="42" xfId="1" applyNumberFormat="1" applyFont="1" applyFill="1" applyBorder="1" applyAlignment="1">
      <alignment horizontal="right" vertical="center"/>
    </xf>
    <xf numFmtId="49" fontId="5" fillId="0" borderId="48" xfId="1" applyNumberFormat="1" applyFont="1" applyFill="1" applyBorder="1" applyAlignment="1">
      <alignment horizontal="center" vertical="center" wrapText="1"/>
    </xf>
    <xf numFmtId="0" fontId="5" fillId="0" borderId="49" xfId="1" applyFont="1" applyFill="1" applyBorder="1" applyAlignment="1">
      <alignment horizontal="left" vertical="center" wrapText="1"/>
    </xf>
    <xf numFmtId="4" fontId="5" fillId="0" borderId="5" xfId="1" applyNumberFormat="1" applyFont="1" applyFill="1" applyBorder="1" applyAlignment="1">
      <alignment horizontal="right" vertical="center" wrapText="1"/>
    </xf>
    <xf numFmtId="4" fontId="6" fillId="0" borderId="5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4" fontId="32" fillId="2" borderId="0" xfId="1" applyNumberFormat="1" applyFont="1" applyFill="1" applyAlignment="1">
      <alignment vertical="center"/>
    </xf>
    <xf numFmtId="0" fontId="32" fillId="2" borderId="0" xfId="1" applyFont="1" applyFill="1" applyAlignment="1">
      <alignment vertical="center"/>
    </xf>
    <xf numFmtId="4" fontId="32" fillId="2" borderId="0" xfId="1" applyNumberFormat="1" applyFont="1" applyFill="1" applyBorder="1" applyAlignment="1">
      <alignment vertical="center"/>
    </xf>
    <xf numFmtId="0" fontId="32" fillId="2" borderId="0" xfId="1" applyFont="1" applyFill="1" applyBorder="1" applyAlignment="1">
      <alignment vertical="center"/>
    </xf>
    <xf numFmtId="164" fontId="32" fillId="2" borderId="0" xfId="1" applyNumberFormat="1" applyFont="1" applyFill="1" applyAlignment="1">
      <alignment vertical="center"/>
    </xf>
    <xf numFmtId="2" fontId="32" fillId="2" borderId="0" xfId="1" applyNumberFormat="1" applyFont="1" applyFill="1" applyAlignment="1">
      <alignment vertical="center"/>
    </xf>
    <xf numFmtId="0" fontId="32" fillId="0" borderId="0" xfId="1" applyFont="1" applyFill="1" applyAlignment="1">
      <alignment vertical="center"/>
    </xf>
    <xf numFmtId="0" fontId="32" fillId="2" borderId="0" xfId="1" applyFont="1" applyFill="1" applyBorder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33" fillId="0" borderId="0" xfId="0" applyFont="1" applyAlignment="1">
      <alignment vertical="center"/>
    </xf>
    <xf numFmtId="4" fontId="32" fillId="2" borderId="0" xfId="1" applyNumberFormat="1" applyFont="1" applyFill="1" applyBorder="1" applyAlignment="1">
      <alignment horizontal="center" vertical="center"/>
    </xf>
    <xf numFmtId="2" fontId="32" fillId="2" borderId="0" xfId="1" applyNumberFormat="1" applyFont="1" applyFill="1" applyBorder="1" applyAlignment="1">
      <alignment horizontal="center" vertical="center"/>
    </xf>
    <xf numFmtId="0" fontId="23" fillId="0" borderId="20" xfId="0" applyFont="1" applyBorder="1"/>
    <xf numFmtId="0" fontId="0" fillId="0" borderId="20" xfId="0" applyBorder="1" applyAlignment="1">
      <alignment vertical="center"/>
    </xf>
    <xf numFmtId="0" fontId="0" fillId="0" borderId="20" xfId="0" applyBorder="1" applyAlignment="1">
      <alignment wrapText="1"/>
    </xf>
    <xf numFmtId="0" fontId="23" fillId="0" borderId="0" xfId="0" applyFont="1"/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2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vertical="center" wrapText="1"/>
    </xf>
    <xf numFmtId="0" fontId="5" fillId="0" borderId="26" xfId="1" applyFont="1" applyBorder="1" applyAlignment="1">
      <alignment horizontal="left" vertical="center" wrapText="1"/>
    </xf>
    <xf numFmtId="4" fontId="6" fillId="0" borderId="50" xfId="1" applyNumberFormat="1" applyFont="1" applyFill="1" applyBorder="1" applyAlignment="1">
      <alignment vertical="center"/>
    </xf>
    <xf numFmtId="4" fontId="5" fillId="0" borderId="49" xfId="1" applyNumberFormat="1" applyFont="1" applyFill="1" applyBorder="1" applyAlignment="1">
      <alignment vertical="center"/>
    </xf>
    <xf numFmtId="4" fontId="8" fillId="2" borderId="41" xfId="1" applyNumberFormat="1" applyFont="1" applyFill="1" applyBorder="1" applyAlignment="1">
      <alignment horizontal="right" vertical="center"/>
    </xf>
    <xf numFmtId="4" fontId="8" fillId="2" borderId="57" xfId="1" applyNumberFormat="1" applyFont="1" applyFill="1" applyBorder="1" applyAlignment="1">
      <alignment horizontal="right" vertical="center"/>
    </xf>
    <xf numFmtId="49" fontId="29" fillId="0" borderId="48" xfId="1" applyNumberFormat="1" applyFont="1" applyBorder="1" applyAlignment="1">
      <alignment horizontal="center" vertical="center" wrapText="1"/>
    </xf>
    <xf numFmtId="0" fontId="5" fillId="2" borderId="20" xfId="1" applyFont="1" applyFill="1" applyBorder="1" applyAlignment="1">
      <alignment vertical="center" wrapText="1"/>
    </xf>
    <xf numFmtId="0" fontId="5" fillId="2" borderId="0" xfId="1" applyFont="1" applyFill="1" applyAlignment="1">
      <alignment vertical="center"/>
    </xf>
    <xf numFmtId="0" fontId="5" fillId="2" borderId="20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 wrapText="1"/>
    </xf>
    <xf numFmtId="4" fontId="5" fillId="2" borderId="20" xfId="1" applyNumberFormat="1" applyFont="1" applyFill="1" applyBorder="1" applyAlignment="1">
      <alignment vertical="center"/>
    </xf>
    <xf numFmtId="49" fontId="29" fillId="0" borderId="22" xfId="1" applyNumberFormat="1" applyFont="1" applyBorder="1" applyAlignment="1">
      <alignment horizontal="center" vertical="center" wrapText="1"/>
    </xf>
    <xf numFmtId="49" fontId="30" fillId="0" borderId="22" xfId="1" applyNumberFormat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5" fillId="0" borderId="20" xfId="1" applyFont="1" applyBorder="1" applyAlignment="1">
      <alignment vertical="center" wrapText="1"/>
    </xf>
    <xf numFmtId="0" fontId="30" fillId="0" borderId="22" xfId="1" applyFont="1" applyBorder="1" applyAlignment="1">
      <alignment vertical="center"/>
    </xf>
    <xf numFmtId="0" fontId="30" fillId="0" borderId="22" xfId="1" applyFont="1" applyBorder="1" applyAlignment="1">
      <alignment vertical="center" wrapText="1"/>
    </xf>
    <xf numFmtId="0" fontId="30" fillId="0" borderId="22" xfId="1" applyFont="1" applyBorder="1" applyAlignment="1">
      <alignment horizontal="left" vertical="center" wrapText="1"/>
    </xf>
    <xf numFmtId="0" fontId="29" fillId="0" borderId="22" xfId="1" applyFont="1" applyBorder="1" applyAlignment="1">
      <alignment horizontal="left" vertical="center" wrapText="1"/>
    </xf>
    <xf numFmtId="4" fontId="6" fillId="2" borderId="2" xfId="1" applyNumberFormat="1" applyFont="1" applyFill="1" applyBorder="1" applyAlignment="1">
      <alignment vertical="center"/>
    </xf>
    <xf numFmtId="4" fontId="6" fillId="2" borderId="3" xfId="1" applyNumberFormat="1" applyFont="1" applyFill="1" applyBorder="1" applyAlignment="1">
      <alignment vertical="center"/>
    </xf>
    <xf numFmtId="4" fontId="5" fillId="0" borderId="20" xfId="1" applyNumberFormat="1" applyFont="1" applyFill="1" applyBorder="1" applyAlignment="1">
      <alignment vertical="center"/>
    </xf>
    <xf numFmtId="0" fontId="30" fillId="0" borderId="0" xfId="1" applyFont="1" applyBorder="1" applyAlignment="1">
      <alignment vertical="center" wrapText="1"/>
    </xf>
    <xf numFmtId="4" fontId="8" fillId="2" borderId="0" xfId="1" applyNumberFormat="1" applyFont="1" applyFill="1" applyBorder="1" applyAlignment="1">
      <alignment horizontal="right" vertical="center"/>
    </xf>
    <xf numFmtId="4" fontId="6" fillId="2" borderId="21" xfId="1" applyNumberFormat="1" applyFont="1" applyFill="1" applyBorder="1" applyAlignment="1">
      <alignment vertical="center"/>
    </xf>
    <xf numFmtId="0" fontId="5" fillId="0" borderId="20" xfId="1" applyFont="1" applyFill="1" applyBorder="1" applyAlignment="1">
      <alignment horizontal="left" vertical="center" wrapText="1"/>
    </xf>
    <xf numFmtId="4" fontId="6" fillId="0" borderId="21" xfId="1" applyNumberFormat="1" applyFont="1" applyFill="1" applyBorder="1" applyAlignment="1">
      <alignment vertical="center"/>
    </xf>
    <xf numFmtId="4" fontId="5" fillId="2" borderId="0" xfId="1" applyNumberFormat="1" applyFont="1" applyFill="1" applyBorder="1" applyAlignment="1">
      <alignment horizontal="center" vertical="center"/>
    </xf>
    <xf numFmtId="0" fontId="6" fillId="0" borderId="20" xfId="1" applyFont="1" applyBorder="1" applyAlignment="1">
      <alignment horizontal="left" vertical="center" wrapText="1"/>
    </xf>
    <xf numFmtId="4" fontId="6" fillId="2" borderId="20" xfId="1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 wrapText="1"/>
    </xf>
    <xf numFmtId="0" fontId="5" fillId="2" borderId="35" xfId="1" applyFont="1" applyFill="1" applyBorder="1" applyAlignment="1">
      <alignment horizontal="center" vertical="center"/>
    </xf>
    <xf numFmtId="4" fontId="5" fillId="0" borderId="6" xfId="1" applyNumberFormat="1" applyFont="1" applyFill="1" applyBorder="1" applyAlignment="1">
      <alignment horizontal="right" vertical="center" wrapText="1"/>
    </xf>
    <xf numFmtId="0" fontId="5" fillId="0" borderId="49" xfId="1" applyFont="1" applyFill="1" applyBorder="1" applyAlignment="1">
      <alignment horizontal="left" vertical="center" wrapText="1"/>
    </xf>
    <xf numFmtId="4" fontId="5" fillId="0" borderId="20" xfId="1" applyNumberFormat="1" applyFont="1" applyBorder="1" applyAlignment="1">
      <alignment vertical="center"/>
    </xf>
    <xf numFmtId="0" fontId="32" fillId="2" borderId="0" xfId="1" applyFont="1" applyFill="1" applyAlignment="1">
      <alignment vertical="center"/>
    </xf>
    <xf numFmtId="4" fontId="32" fillId="2" borderId="0" xfId="1" applyNumberFormat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29" fillId="0" borderId="48" xfId="1" applyFont="1" applyBorder="1" applyAlignment="1">
      <alignment horizontal="left" vertical="center" wrapText="1"/>
    </xf>
    <xf numFmtId="0" fontId="5" fillId="0" borderId="49" xfId="1" applyFont="1" applyBorder="1" applyAlignment="1">
      <alignment horizontal="left" vertical="center" wrapText="1"/>
    </xf>
    <xf numFmtId="4" fontId="5" fillId="2" borderId="49" xfId="1" applyNumberFormat="1" applyFont="1" applyFill="1" applyBorder="1" applyAlignment="1">
      <alignment vertical="center"/>
    </xf>
    <xf numFmtId="4" fontId="6" fillId="2" borderId="50" xfId="1" applyNumberFormat="1" applyFont="1" applyFill="1" applyBorder="1" applyAlignment="1">
      <alignment vertical="center"/>
    </xf>
    <xf numFmtId="0" fontId="6" fillId="2" borderId="26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 wrapText="1"/>
    </xf>
    <xf numFmtId="4" fontId="5" fillId="2" borderId="4" xfId="1" applyNumberFormat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4" fontId="5" fillId="2" borderId="31" xfId="1" applyNumberFormat="1" applyFont="1" applyFill="1" applyBorder="1" applyAlignment="1">
      <alignment horizontal="center" vertical="center"/>
    </xf>
    <xf numFmtId="4" fontId="5" fillId="2" borderId="32" xfId="1" applyNumberFormat="1" applyFont="1" applyFill="1" applyBorder="1" applyAlignment="1">
      <alignment horizontal="center" vertical="center"/>
    </xf>
    <xf numFmtId="4" fontId="5" fillId="2" borderId="33" xfId="1" applyNumberFormat="1" applyFont="1" applyFill="1" applyBorder="1" applyAlignment="1">
      <alignment horizontal="center" vertical="center"/>
    </xf>
    <xf numFmtId="4" fontId="32" fillId="2" borderId="0" xfId="1" applyNumberFormat="1" applyFont="1" applyFill="1" applyBorder="1" applyAlignment="1">
      <alignment horizontal="center" vertical="center"/>
    </xf>
    <xf numFmtId="4" fontId="5" fillId="0" borderId="31" xfId="1" applyNumberFormat="1" applyFont="1" applyFill="1" applyBorder="1" applyAlignment="1">
      <alignment horizontal="center" vertical="center"/>
    </xf>
    <xf numFmtId="4" fontId="5" fillId="0" borderId="32" xfId="1" applyNumberFormat="1" applyFont="1" applyFill="1" applyBorder="1" applyAlignment="1">
      <alignment horizontal="center" vertical="center"/>
    </xf>
    <xf numFmtId="4" fontId="5" fillId="0" borderId="33" xfId="1" applyNumberFormat="1" applyFont="1" applyFill="1" applyBorder="1" applyAlignment="1">
      <alignment horizontal="center" vertical="center"/>
    </xf>
    <xf numFmtId="4" fontId="5" fillId="2" borderId="58" xfId="1" applyNumberFormat="1" applyFont="1" applyFill="1" applyBorder="1" applyAlignment="1">
      <alignment horizontal="center" vertical="center"/>
    </xf>
    <xf numFmtId="4" fontId="5" fillId="2" borderId="59" xfId="1" applyNumberFormat="1" applyFont="1" applyFill="1" applyBorder="1" applyAlignment="1">
      <alignment horizontal="center" vertical="center"/>
    </xf>
    <xf numFmtId="4" fontId="5" fillId="2" borderId="60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4" fontId="6" fillId="2" borderId="21" xfId="1" applyNumberFormat="1" applyFont="1" applyFill="1" applyBorder="1" applyAlignment="1">
      <alignment horizontal="center" vertical="center" wrapText="1"/>
    </xf>
    <xf numFmtId="4" fontId="6" fillId="2" borderId="20" xfId="1" applyNumberFormat="1" applyFont="1" applyFill="1" applyBorder="1" applyAlignment="1">
      <alignment horizontal="center" vertical="center" wrapText="1"/>
    </xf>
    <xf numFmtId="0" fontId="6" fillId="2" borderId="56" xfId="1" applyFont="1" applyFill="1" applyBorder="1" applyAlignment="1">
      <alignment vertical="center" wrapText="1"/>
    </xf>
    <xf numFmtId="0" fontId="0" fillId="2" borderId="57" xfId="0" applyFill="1" applyBorder="1" applyAlignment="1">
      <alignment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0" xfId="1" applyFont="1" applyFill="1" applyBorder="1" applyAlignment="1">
      <alignment horizontal="center" vertical="center" wrapText="1"/>
    </xf>
    <xf numFmtId="0" fontId="6" fillId="2" borderId="28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 wrapText="1"/>
    </xf>
    <xf numFmtId="0" fontId="6" fillId="0" borderId="40" xfId="1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 wrapText="1"/>
    </xf>
    <xf numFmtId="0" fontId="5" fillId="2" borderId="0" xfId="1" applyFont="1" applyFill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6" fillId="2" borderId="26" xfId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2" borderId="28" xfId="1" applyFont="1" applyFill="1" applyBorder="1" applyAlignment="1">
      <alignment horizontal="left" vertical="center" wrapText="1"/>
    </xf>
    <xf numFmtId="0" fontId="0" fillId="2" borderId="29" xfId="0" applyFill="1" applyBorder="1" applyAlignment="1">
      <alignment vertical="center" wrapText="1"/>
    </xf>
    <xf numFmtId="4" fontId="5" fillId="2" borderId="0" xfId="1" applyNumberFormat="1" applyFont="1" applyFill="1" applyBorder="1" applyAlignment="1">
      <alignment horizontal="center" vertical="center"/>
    </xf>
    <xf numFmtId="0" fontId="31" fillId="35" borderId="44" xfId="0" applyFont="1" applyFill="1" applyBorder="1" applyAlignment="1">
      <alignment horizontal="center" vertical="center" wrapText="1"/>
    </xf>
    <xf numFmtId="0" fontId="31" fillId="35" borderId="45" xfId="0" applyFont="1" applyFill="1" applyBorder="1" applyAlignment="1">
      <alignment horizontal="center" vertical="center" wrapText="1"/>
    </xf>
    <xf numFmtId="0" fontId="31" fillId="35" borderId="4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5" fillId="0" borderId="56" xfId="1" applyNumberFormat="1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horizontal="left" vertical="center" wrapText="1"/>
    </xf>
    <xf numFmtId="4" fontId="5" fillId="0" borderId="57" xfId="1" applyNumberFormat="1" applyFont="1" applyFill="1" applyBorder="1" applyAlignment="1">
      <alignment horizontal="right" vertical="center"/>
    </xf>
  </cellXfs>
  <cellStyles count="67">
    <cellStyle name="20% — акцент1" xfId="19" builtinId="30" customBuiltin="1"/>
    <cellStyle name="20% — акцент1 2" xfId="47" xr:uid="{20C952C2-EAFA-4351-A3D1-34B71A35F42B}"/>
    <cellStyle name="20% — акцент2" xfId="23" builtinId="34" customBuiltin="1"/>
    <cellStyle name="20% — акцент2 2" xfId="50" xr:uid="{447DC32C-49CE-4E1F-95FF-4BF0607DC445}"/>
    <cellStyle name="20% — акцент3" xfId="27" builtinId="38" customBuiltin="1"/>
    <cellStyle name="20% — акцент3 2" xfId="53" xr:uid="{38419320-2E38-46D9-9AFC-59366F13EBF4}"/>
    <cellStyle name="20% — акцент4" xfId="31" builtinId="42" customBuiltin="1"/>
    <cellStyle name="20% — акцент4 2" xfId="56" xr:uid="{A5D437D0-A71D-4F2A-9896-D7E9F507C6E7}"/>
    <cellStyle name="20% — акцент5" xfId="35" builtinId="46" customBuiltin="1"/>
    <cellStyle name="20% — акцент5 2" xfId="59" xr:uid="{9BBEA443-2139-44CB-A5A2-86EC5C637627}"/>
    <cellStyle name="20% — акцент6" xfId="39" builtinId="50" customBuiltin="1"/>
    <cellStyle name="20% — акцент6 2" xfId="62" xr:uid="{4033A489-7273-48F3-BB27-FAC201342DEC}"/>
    <cellStyle name="40% — акцент1" xfId="20" builtinId="31" customBuiltin="1"/>
    <cellStyle name="40% — акцент1 2" xfId="48" xr:uid="{1EDC55EF-9AE4-41F9-8D73-13794D64403A}"/>
    <cellStyle name="40% — акцент2" xfId="24" builtinId="35" customBuiltin="1"/>
    <cellStyle name="40% — акцент2 2" xfId="51" xr:uid="{61AB3343-4BD2-43D0-BD12-02B35C2E8196}"/>
    <cellStyle name="40% — акцент3" xfId="28" builtinId="39" customBuiltin="1"/>
    <cellStyle name="40% — акцент3 2" xfId="54" xr:uid="{D18A91B0-EA48-4209-9A50-389742B8036D}"/>
    <cellStyle name="40% — акцент4" xfId="32" builtinId="43" customBuiltin="1"/>
    <cellStyle name="40% — акцент4 2" xfId="57" xr:uid="{3F049531-9A4D-41E3-9231-081BEB9E265F}"/>
    <cellStyle name="40% — акцент5" xfId="36" builtinId="47" customBuiltin="1"/>
    <cellStyle name="40% — акцент5 2" xfId="60" xr:uid="{F7B74C27-43E4-4263-B902-133D45A30002}"/>
    <cellStyle name="40% — акцент6" xfId="40" builtinId="51" customBuiltin="1"/>
    <cellStyle name="40% — акцент6 2" xfId="63" xr:uid="{75312D7A-84CE-404B-AA35-2C372B23E6E5}"/>
    <cellStyle name="60% — акцент1" xfId="21" builtinId="32" customBuiltin="1"/>
    <cellStyle name="60% — акцент1 2" xfId="49" xr:uid="{F93C9544-FC63-48C5-9D66-7A3872439D6C}"/>
    <cellStyle name="60% — акцент2" xfId="25" builtinId="36" customBuiltin="1"/>
    <cellStyle name="60% — акцент2 2" xfId="52" xr:uid="{4F0475EE-0D31-4674-83AB-BE12A9822DEF}"/>
    <cellStyle name="60% — акцент3" xfId="29" builtinId="40" customBuiltin="1"/>
    <cellStyle name="60% — акцент3 2" xfId="55" xr:uid="{510E5507-96C8-4BDB-B56A-420F97E77429}"/>
    <cellStyle name="60% — акцент4" xfId="33" builtinId="44" customBuiltin="1"/>
    <cellStyle name="60% — акцент4 2" xfId="58" xr:uid="{6FBBFA05-AA1F-4278-9062-F99969323861}"/>
    <cellStyle name="60% — акцент5" xfId="37" builtinId="48" customBuiltin="1"/>
    <cellStyle name="60% — акцент5 2" xfId="61" xr:uid="{E49F9502-1756-4549-A885-C90EAD40347D}"/>
    <cellStyle name="60% — акцент6" xfId="41" builtinId="52" customBuiltin="1"/>
    <cellStyle name="60% — акцент6 2" xfId="64" xr:uid="{1BF36769-46C9-44AA-9A99-FC6417F5439A}"/>
    <cellStyle name="Normal" xfId="45" xr:uid="{659137CD-3943-4139-AC4C-B18E1441787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 xr:uid="{00000000-0005-0000-0000-000001000000}"/>
    <cellStyle name="Обычный 3" xfId="42" xr:uid="{8DF518EB-2C68-4609-A81F-6ADC846899D0}"/>
    <cellStyle name="Обычный 3 2" xfId="65" xr:uid="{275DD882-18A0-480E-BF85-D70CEA7309D0}"/>
    <cellStyle name="Обычный 4" xfId="44" xr:uid="{53DE2654-AF92-4A8C-8F01-ABC2844E1AC9}"/>
    <cellStyle name="Обычный 5" xfId="46" xr:uid="{D1E6B386-E91F-41C6-8CC3-D5399CA4BFCC}"/>
    <cellStyle name="Плохой" xfId="8" builtinId="27" customBuiltin="1"/>
    <cellStyle name="Пояснение" xfId="16" builtinId="53" customBuiltin="1"/>
    <cellStyle name="Примечание 2" xfId="43" xr:uid="{AD3F9400-9619-4C82-987C-EAF6678E20F4}"/>
    <cellStyle name="Примечание 2 2" xfId="66" xr:uid="{697212E5-3B6A-488C-8845-DE99A5EFEF20}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colors>
    <mruColors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U91"/>
  <sheetViews>
    <sheetView showGridLines="0" tabSelected="1" view="pageBreakPreview" topLeftCell="A49" zoomScale="60" zoomScaleNormal="70" workbookViewId="0">
      <selection activeCell="B56" sqref="B56"/>
    </sheetView>
  </sheetViews>
  <sheetFormatPr defaultColWidth="10.140625" defaultRowHeight="20.25" outlineLevelRow="1"/>
  <cols>
    <col min="1" max="1" width="8" style="2" customWidth="1"/>
    <col min="2" max="2" width="84.7109375" style="2" customWidth="1"/>
    <col min="3" max="6" width="16.7109375" style="3" customWidth="1"/>
    <col min="7" max="7" width="37.42578125" style="3" customWidth="1"/>
    <col min="8" max="8" width="38" style="182" customWidth="1"/>
    <col min="9" max="9" width="14.85546875" style="182" customWidth="1"/>
    <col min="10" max="10" width="23.85546875" style="182" bestFit="1" customWidth="1"/>
    <col min="11" max="11" width="13.42578125" style="182" bestFit="1" customWidth="1"/>
    <col min="12" max="12" width="12.140625" style="182" bestFit="1" customWidth="1"/>
    <col min="13" max="13" width="10.42578125" style="182" bestFit="1" customWidth="1"/>
    <col min="14" max="14" width="10.28515625" style="182" bestFit="1" customWidth="1"/>
    <col min="15" max="16384" width="10.140625" style="2"/>
  </cols>
  <sheetData>
    <row r="1" spans="1:15">
      <c r="A1" s="268"/>
      <c r="B1" s="268"/>
      <c r="C1" s="268"/>
      <c r="D1" s="5"/>
      <c r="E1" s="5"/>
      <c r="F1" s="5"/>
      <c r="G1" s="5"/>
      <c r="H1" s="181">
        <f>Лист15!B20</f>
        <v>18893</v>
      </c>
    </row>
    <row r="2" spans="1:15">
      <c r="A2" s="268" t="s">
        <v>62</v>
      </c>
      <c r="B2" s="268"/>
      <c r="C2" s="268"/>
      <c r="D2" s="268"/>
      <c r="E2" s="268"/>
      <c r="F2" s="268"/>
      <c r="G2" s="268"/>
      <c r="H2" s="182">
        <v>235</v>
      </c>
    </row>
    <row r="3" spans="1:15" ht="21" thickBot="1">
      <c r="A3" s="269" t="s">
        <v>86</v>
      </c>
      <c r="B3" s="269"/>
      <c r="C3" s="269"/>
      <c r="D3" s="269"/>
      <c r="E3" s="269"/>
      <c r="F3" s="269"/>
      <c r="G3" s="269"/>
    </row>
    <row r="4" spans="1:15" ht="18.75" customHeight="1">
      <c r="A4" s="275" t="s">
        <v>0</v>
      </c>
      <c r="B4" s="277" t="s">
        <v>1</v>
      </c>
      <c r="C4" s="13"/>
      <c r="D4" s="13"/>
      <c r="E4" s="13"/>
      <c r="F4" s="13"/>
      <c r="G4" s="14"/>
    </row>
    <row r="5" spans="1:15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</row>
    <row r="6" spans="1:15">
      <c r="A6" s="276"/>
      <c r="B6" s="278"/>
      <c r="C6" s="271"/>
      <c r="D6" s="271"/>
      <c r="E6" s="271"/>
      <c r="F6" s="271"/>
      <c r="G6" s="270"/>
    </row>
    <row r="7" spans="1:15" ht="21" thickBot="1">
      <c r="A7" s="15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</row>
    <row r="8" spans="1:15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</row>
    <row r="9" spans="1:15" ht="20.100000000000001" customHeight="1">
      <c r="A9" s="20">
        <v>1</v>
      </c>
      <c r="B9" s="21" t="s">
        <v>15</v>
      </c>
      <c r="C9" s="22">
        <f>SUM(C10:C13)</f>
        <v>10645.769999999999</v>
      </c>
      <c r="D9" s="22">
        <f>SUM(D10:D13)</f>
        <v>10454.214497999999</v>
      </c>
      <c r="E9" s="22">
        <f>SUM(E10:E13)</f>
        <v>10756.478863</v>
      </c>
      <c r="F9" s="22">
        <f>SUM(F10:F13)</f>
        <v>12781.213293000001</v>
      </c>
      <c r="G9" s="8">
        <f>SUM(G10:G13)</f>
        <v>44637.676654000003</v>
      </c>
    </row>
    <row r="10" spans="1:15" ht="20.100000000000001" customHeight="1">
      <c r="A10" s="23"/>
      <c r="B10" s="10" t="s">
        <v>3</v>
      </c>
      <c r="C10" s="12">
        <v>6360.03</v>
      </c>
      <c r="D10" s="12">
        <f>тх2!D10+тх4!D10+тх6!D10+КТ!D10+УВ1!D10+УВ3!D10+УВ5!D10+УВ7!D10+УВ9!D10+УВ11!D10+УВ13!D10+УВ15!D10+УВ17!D10+УВ19!D10+УВ21!D10</f>
        <v>6738.5629300000001</v>
      </c>
      <c r="E10" s="12">
        <f>тх2!E10+тх4!E10+тх6!E10+КТ!E10+УВ1!E10+УВ3!E10+УВ5!E10+УВ7!E10+УВ9!E10+УВ11!E10+УВ13!E10+УВ15!E10+УВ17!E10+УВ19!E10+УВ21!E10</f>
        <v>6425.3685600000008</v>
      </c>
      <c r="F10" s="12">
        <f>тх2!F10+тх4!F10+тх6!F10+КТ!F10+УВ1!F10+УВ3!F10+УВ5!F10+УВ7!F10+УВ9!F10+УВ11!F10+УВ13!F10+УВ15!F10+УВ17!F10+УВ19!F10+УВ21!F10</f>
        <v>6425.3685600000008</v>
      </c>
      <c r="G10" s="75">
        <f>SUM(C10:F10)</f>
        <v>25949.330050000004</v>
      </c>
      <c r="H10" s="183"/>
      <c r="I10" s="183"/>
      <c r="J10" s="184"/>
      <c r="K10" s="184"/>
      <c r="L10" s="184"/>
      <c r="M10" s="183"/>
      <c r="N10" s="183"/>
      <c r="O10" s="40"/>
    </row>
    <row r="11" spans="1:15" ht="20.100000000000001" customHeight="1">
      <c r="A11" s="23"/>
      <c r="B11" s="10" t="s">
        <v>10</v>
      </c>
      <c r="C11" s="12">
        <v>857.37</v>
      </c>
      <c r="D11" s="12">
        <f>тх2!D13+тх4!D13+тх6!D13+КТ!D13+УВ1!D13+УВ3!D13+УВ5!D13+УВ7!D13+УВ9!D13+УВ11!D13+УВ13!D13+УВ15!D13+УВ17!D13+УВ19!D13+УВ21!D13</f>
        <v>683.28000000000009</v>
      </c>
      <c r="E11" s="12">
        <f>тх2!E13+тх4!E13+тх6!E13+КТ!E13+УВ1!E13+УВ3!E13+УВ5!E13+УВ7!E13+УВ9!E13+УВ11!E13+УВ13!E13+УВ15!E13+УВ17!E13+УВ19!E13+УВ21!E13</f>
        <v>1052.5591299999999</v>
      </c>
      <c r="F11" s="12">
        <f>тх2!F13+тх4!F13+тх6!F13+КТ!F13+УВ1!F13+УВ3!F13+УВ5!F13+УВ7!F13+УВ9!F13+УВ11!F13+УВ13!F13+УВ15!F13+УВ17!F13+УВ19!F13+УВ21!F13</f>
        <v>1828.5573900000002</v>
      </c>
      <c r="G11" s="75">
        <f t="shared" ref="G11:G13" si="0">SUM(C11:F11)</f>
        <v>4421.7665200000001</v>
      </c>
      <c r="H11" s="183"/>
      <c r="I11" s="183"/>
      <c r="J11" s="184"/>
      <c r="K11" s="184"/>
      <c r="L11" s="184"/>
      <c r="M11" s="183"/>
      <c r="N11" s="183"/>
      <c r="O11" s="40"/>
    </row>
    <row r="12" spans="1:15" ht="20.100000000000001" customHeight="1" outlineLevel="1">
      <c r="A12" s="24"/>
      <c r="B12" s="79" t="s">
        <v>11</v>
      </c>
      <c r="C12" s="158">
        <v>1430.73</v>
      </c>
      <c r="D12" s="158">
        <f>тх2!D14+тх4!D14+тх6!D14+КТ!D14+УВ1!D14+УВ3!D14+УВ5!D14+УВ7!D14+УВ9!D14+УВ11!D14+УВ13!D14+УВ15!D14+УВ17!D14+УВ19!D14+УВ21!D14</f>
        <v>1305.2</v>
      </c>
      <c r="E12" s="158">
        <f>тх2!E14+тх4!E14+тх6!E14+КТ!E14+УВ1!E14+УВ3!E14+УВ5!E14+УВ7!E14+УВ9!E14+УВ11!E14+УВ13!E14+УВ15!E14+УВ17!E14+УВ19!E14+УВ21!E14</f>
        <v>1588.4480849999998</v>
      </c>
      <c r="F12" s="158">
        <f>тх2!F14+тх4!F14+тх6!F14+КТ!F14+УВ1!F14+УВ3!F14+УВ5!F14+УВ7!F14+УВ9!F14+УВ11!F14+УВ13!F14+УВ15!F14+УВ17!F14+УВ19!F14+УВ21!F14</f>
        <v>2837.1842550000001</v>
      </c>
      <c r="G12" s="159">
        <f t="shared" si="0"/>
        <v>7161.5623400000004</v>
      </c>
      <c r="H12" s="183"/>
      <c r="I12" s="183"/>
      <c r="J12" s="184"/>
      <c r="K12" s="184"/>
      <c r="L12" s="184"/>
      <c r="M12" s="183"/>
      <c r="N12" s="183"/>
      <c r="O12" s="40"/>
    </row>
    <row r="13" spans="1:15" ht="20.100000000000001" customHeight="1" outlineLevel="1" thickBot="1">
      <c r="A13" s="24"/>
      <c r="B13" s="79" t="s">
        <v>12</v>
      </c>
      <c r="C13" s="158">
        <v>1997.6399999999999</v>
      </c>
      <c r="D13" s="158">
        <f>тх2!D15+тх4!D15+тх6!D15+КТ!D15+УВ1!D15+УВ3!D15+УВ5!D15+УВ7!D15+УВ9!D15+УВ11!D15+УВ13!D15+УВ15!D15+УВ17!D15+УВ19!D15+УВ21!D15</f>
        <v>1727.171568</v>
      </c>
      <c r="E13" s="158">
        <f>тх2!E15+тх4!E15+тх6!E15+КТ!E15+УВ1!E15+УВ3!E15+УВ5!E15+УВ7!E15+УВ9!E15+УВ11!E15+УВ13!E15+УВ15!E15+УВ17!E15+УВ19!E15+УВ21!E15</f>
        <v>1690.1030879999998</v>
      </c>
      <c r="F13" s="158">
        <f>тх2!F15+тх4!F15+тх6!F15+КТ!F15+УВ1!F15+УВ3!F15+УВ5!F15+УВ7!F15+УВ9!F15+УВ11!F15+УВ13!F15+УВ15!F15+УВ17!F15+УВ19!F15+УВ21!F15</f>
        <v>1690.1030879999998</v>
      </c>
      <c r="G13" s="159">
        <f t="shared" si="0"/>
        <v>7105.0177439999998</v>
      </c>
      <c r="H13" s="183"/>
      <c r="I13" s="183"/>
      <c r="J13" s="184"/>
      <c r="K13" s="184"/>
      <c r="L13" s="184"/>
      <c r="M13" s="183"/>
      <c r="N13" s="183"/>
      <c r="O13" s="40"/>
    </row>
    <row r="14" spans="1:15" ht="20.100000000000001" customHeight="1">
      <c r="A14" s="20">
        <v>2</v>
      </c>
      <c r="B14" s="160" t="s">
        <v>16</v>
      </c>
      <c r="C14" s="161">
        <f>SUM(C15:C17)</f>
        <v>4480.03</v>
      </c>
      <c r="D14" s="161">
        <f t="shared" ref="D14:G14" si="1">SUM(D15:D17)</f>
        <v>4372</v>
      </c>
      <c r="E14" s="161">
        <f t="shared" si="1"/>
        <v>4375.4400999999998</v>
      </c>
      <c r="F14" s="161">
        <f t="shared" si="1"/>
        <v>4382.3203000000003</v>
      </c>
      <c r="G14" s="161">
        <f t="shared" si="1"/>
        <v>17609.790399999998</v>
      </c>
      <c r="H14" s="183"/>
      <c r="I14" s="183"/>
      <c r="M14" s="181"/>
      <c r="N14" s="181"/>
      <c r="O14" s="40"/>
    </row>
    <row r="15" spans="1:15" ht="39" customHeight="1" outlineLevel="1">
      <c r="A15" s="29"/>
      <c r="B15" s="79" t="s">
        <v>20</v>
      </c>
      <c r="C15" s="158">
        <v>809.6099999999999</v>
      </c>
      <c r="D15" s="158">
        <f>тх2!D17+тх4!D17+тх6!D17+КТ!D17+УВ1!D17+УВ3!D17+УВ5!D17+УВ7!D17+УВ9!D17+УВ11!D17+УВ13!D17+УВ15!D17+УВ17!D17+УВ19!D17+УВ21!D17</f>
        <v>664.56</v>
      </c>
      <c r="E15" s="158">
        <f>тх2!E17+тх4!E17+тх6!E17+КТ!E17+УВ1!E17+УВ3!E17+УВ5!E17+УВ7!E17+УВ9!E17+УВ11!E17+УВ13!E17+УВ15!E17+УВ17!E17+УВ19!E17+УВ21!E17</f>
        <v>668.00009999999997</v>
      </c>
      <c r="F15" s="158">
        <f>тх2!F17+тх4!F17+тх6!F17+КТ!F17+УВ1!F17+УВ3!F17+УВ5!F17+УВ7!F17+УВ9!F17+УВ11!F17+УВ13!F17+УВ15!F17+УВ17!F17+УВ19!F17+УВ21!F17</f>
        <v>674.88030000000003</v>
      </c>
      <c r="G15" s="162">
        <f>SUM(C15:F15)</f>
        <v>2817.0504000000001</v>
      </c>
      <c r="H15" s="183"/>
      <c r="I15" s="183"/>
      <c r="M15" s="183"/>
      <c r="N15" s="183"/>
      <c r="O15" s="40"/>
    </row>
    <row r="16" spans="1:15" ht="40.5" customHeight="1" outlineLevel="1">
      <c r="A16" s="29"/>
      <c r="B16" s="79" t="s">
        <v>14</v>
      </c>
      <c r="C16" s="158">
        <v>702.42</v>
      </c>
      <c r="D16" s="158">
        <f>тх2!D18+тх4!D18+тх6!D18+КТ!D18+УВ1!D18+УВ3!D18+УВ5!D18+УВ7!D18+УВ9!D18+УВ11!D18+УВ13!D18+УВ15!D18+УВ17!D18+УВ19!D18+УВ21!D18</f>
        <v>739.44</v>
      </c>
      <c r="E16" s="158">
        <f>тх2!E18+тх4!E18+тх6!E18+КТ!E18+УВ1!E18+УВ3!E18+УВ5!E18+УВ7!E18+УВ9!E18+УВ11!E18+УВ13!E18+УВ15!E18+УВ17!E18+УВ19!E18+УВ21!E18</f>
        <v>739.44</v>
      </c>
      <c r="F16" s="158">
        <f>тх2!F18+тх4!F18+тх6!F18+КТ!F18+УВ1!F18+УВ3!F18+УВ5!F18+УВ7!F18+УВ9!F18+УВ11!F18+УВ13!F18+УВ15!F18+УВ17!F18+УВ19!F18+УВ21!F18</f>
        <v>739.44</v>
      </c>
      <c r="G16" s="162">
        <f>SUM(C16:F16)</f>
        <v>2920.7400000000002</v>
      </c>
      <c r="H16" s="183"/>
      <c r="I16" s="183"/>
      <c r="M16" s="183"/>
      <c r="N16" s="183"/>
      <c r="O16" s="40"/>
    </row>
    <row r="17" spans="1:15" ht="40.5" customHeight="1" outlineLevel="1" thickBot="1">
      <c r="A17" s="120"/>
      <c r="B17" s="163" t="s">
        <v>87</v>
      </c>
      <c r="C17" s="164">
        <v>2968</v>
      </c>
      <c r="D17" s="244">
        <v>2968</v>
      </c>
      <c r="E17" s="244">
        <v>2968</v>
      </c>
      <c r="F17" s="244">
        <v>2968</v>
      </c>
      <c r="G17" s="165">
        <f>SUM(C17:F17)</f>
        <v>11872</v>
      </c>
      <c r="H17" s="183"/>
      <c r="I17" s="183"/>
      <c r="M17" s="183"/>
      <c r="N17" s="183"/>
      <c r="O17" s="40"/>
    </row>
    <row r="18" spans="1:15" ht="20.100000000000001" customHeight="1" outlineLevel="1">
      <c r="A18" s="20">
        <v>3</v>
      </c>
      <c r="B18" s="160" t="s">
        <v>17</v>
      </c>
      <c r="C18" s="166">
        <f>SUM(C19:C20)</f>
        <v>2065.65</v>
      </c>
      <c r="D18" s="166">
        <f t="shared" ref="D18:F18" si="2">SUM(D19:D20)</f>
        <v>2065.65</v>
      </c>
      <c r="E18" s="166">
        <f t="shared" si="2"/>
        <v>2065.65</v>
      </c>
      <c r="F18" s="166">
        <f t="shared" si="2"/>
        <v>2065.65</v>
      </c>
      <c r="G18" s="167">
        <f>SUM(G19:G20)</f>
        <v>8262.6</v>
      </c>
      <c r="H18" s="183"/>
      <c r="I18" s="183"/>
    </row>
    <row r="19" spans="1:15" ht="20.100000000000001" customHeight="1" outlineLevel="1">
      <c r="A19" s="29"/>
      <c r="B19" s="79" t="s">
        <v>45</v>
      </c>
      <c r="C19" s="164">
        <v>655.65</v>
      </c>
      <c r="D19" s="244">
        <v>655.65</v>
      </c>
      <c r="E19" s="244">
        <v>655.65</v>
      </c>
      <c r="F19" s="244">
        <v>655.65</v>
      </c>
      <c r="G19" s="162">
        <f>SUM(C19:F19)</f>
        <v>2622.6</v>
      </c>
      <c r="H19" s="183"/>
      <c r="I19" s="183"/>
    </row>
    <row r="20" spans="1:15" ht="20.100000000000001" customHeight="1" outlineLevel="1" thickBot="1">
      <c r="A20" s="27"/>
      <c r="B20" s="168" t="s">
        <v>18</v>
      </c>
      <c r="C20" s="164">
        <f>тх2!C22+тх4!C22+тх6!C22+КТ!C22+УВ1!C22+УВ3!C22+УВ5!C22+УВ7!C22+УВ9!C22+УВ11!C22+УВ13!C22+УВ15!C22+УВ17!C22+УВ19!C22+УВ21!C22</f>
        <v>1410</v>
      </c>
      <c r="D20" s="164">
        <f>тх2!D22+тх4!D22+тх6!D22+КТ!D22+УВ1!D22+УВ3!D22+УВ5!D22+УВ7!D22+УВ9!D22+УВ11!D22+УВ13!D22+УВ15!D22+УВ17!D22+УВ19!D22+УВ21!D22</f>
        <v>1410</v>
      </c>
      <c r="E20" s="164">
        <f>тх2!E22+тх4!E22+тх6!E22+КТ!E22+УВ1!E22+УВ3!E22+УВ5!E22+УВ7!E22+УВ9!E22+УВ11!E22+УВ13!E22+УВ15!E22+УВ17!E22+УВ19!E22+УВ21!E22</f>
        <v>1410</v>
      </c>
      <c r="F20" s="164">
        <f>тх2!F22+тх4!F22+тх6!F22+КТ!F22+УВ1!F22+УВ3!F22+УВ5!F22+УВ7!F22+УВ9!F22+УВ11!F22+УВ13!F22+УВ15!F22+УВ17!F22+УВ19!F22+УВ21!F22</f>
        <v>1410</v>
      </c>
      <c r="G20" s="169">
        <f>SUM(C20:F20)</f>
        <v>5640</v>
      </c>
      <c r="H20" s="183"/>
      <c r="I20" s="183"/>
    </row>
    <row r="21" spans="1:15" ht="20.100000000000001" customHeight="1">
      <c r="A21" s="31" t="s">
        <v>9</v>
      </c>
      <c r="B21" s="28" t="s">
        <v>22</v>
      </c>
      <c r="C21" s="22">
        <f>SUM(C22:C23)</f>
        <v>37759.496999999996</v>
      </c>
      <c r="D21" s="22">
        <f t="shared" ref="D21:F21" si="3">SUM(D22:D23)</f>
        <v>37732.767</v>
      </c>
      <c r="E21" s="22">
        <f t="shared" si="3"/>
        <v>37732.767</v>
      </c>
      <c r="F21" s="22">
        <f t="shared" si="3"/>
        <v>37732.767</v>
      </c>
      <c r="G21" s="8">
        <f>SUM(G22:G23)</f>
        <v>150957.79800000001</v>
      </c>
      <c r="H21" s="185"/>
    </row>
    <row r="22" spans="1:15" ht="20.100000000000001" customHeight="1" outlineLevel="1">
      <c r="A22" s="170"/>
      <c r="B22" s="79" t="s">
        <v>21</v>
      </c>
      <c r="C22" s="164">
        <v>31991.096999999998</v>
      </c>
      <c r="D22" s="164">
        <f>тх2!D24+тх4!D24+тх6!D24+КТ!D24+УВ1!D24+УВ3!D24+УВ5!D24+УВ7!D24+УВ9!D24+УВ11!D24+УВ13!D24+УВ15!D24+УВ17!D24+УВ19!D24+УВ21!D24</f>
        <v>31968.129000000001</v>
      </c>
      <c r="E22" s="164">
        <f>тх2!E24+тх4!E24+тх6!E24+КТ!E24+УВ1!E24+УВ3!E24+УВ5!E24+УВ7!E24+УВ9!E24+УВ11!E24+УВ13!E24+УВ15!E24+УВ17!E24+УВ19!E24+УВ21!E24</f>
        <v>31968.129000000001</v>
      </c>
      <c r="F22" s="164">
        <f>тх2!F24+тх4!F24+тх6!F24+КТ!F24+УВ1!F24+УВ3!F24+УВ5!F24+УВ7!F24+УВ9!F24+УВ11!F24+УВ13!F24+УВ15!F24+УВ17!F24+УВ19!F24+УВ21!F24</f>
        <v>31968.129000000001</v>
      </c>
      <c r="G22" s="162">
        <f t="shared" ref="G22:G28" si="4">SUM(C22:F22)</f>
        <v>127895.484</v>
      </c>
      <c r="H22" s="186"/>
      <c r="I22" s="186"/>
      <c r="J22" s="186"/>
    </row>
    <row r="23" spans="1:15" ht="20.100000000000001" customHeight="1" outlineLevel="1" thickBot="1">
      <c r="A23" s="176"/>
      <c r="B23" s="177" t="s">
        <v>60</v>
      </c>
      <c r="C23" s="178">
        <v>5768.4000000000005</v>
      </c>
      <c r="D23" s="178">
        <f>тх2!D25+тх4!D25+тх6!D25+КТ!D25+УВ1!D25+УВ3!D25+УВ5!D25+УВ7!D25+УВ9!D25+УВ11!D25+УВ13!D25+УВ15!D25+УВ17!D25+УВ19!D25+УВ21!D25</f>
        <v>5764.637999999999</v>
      </c>
      <c r="E23" s="178">
        <f>тх2!E25+тх4!E25+тх6!E25+КТ!E25+УВ1!E25+УВ3!E25+УВ5!E25+УВ7!E25+УВ9!E25+УВ11!E25+УВ13!E25+УВ15!E25+УВ17!E25+УВ19!E25+УВ21!E25</f>
        <v>5764.637999999999</v>
      </c>
      <c r="F23" s="178">
        <f>тх2!F25+тх4!F25+тх6!F25+КТ!F25+УВ1!F25+УВ3!F25+УВ5!F25+УВ7!F25+УВ9!F25+УВ11!F25+УВ13!F25+УВ15!F25+УВ17!F25+УВ19!F25+УВ21!F25</f>
        <v>5764.637999999999</v>
      </c>
      <c r="G23" s="179">
        <f t="shared" si="4"/>
        <v>23062.313999999998</v>
      </c>
      <c r="H23" s="186"/>
      <c r="I23" s="186"/>
      <c r="J23" s="186"/>
    </row>
    <row r="24" spans="1:15" ht="20.100000000000001" customHeight="1" outlineLevel="1">
      <c r="A24" s="180" t="s">
        <v>7</v>
      </c>
      <c r="B24" s="160" t="s">
        <v>4</v>
      </c>
      <c r="C24" s="166">
        <f>SUM(C25:C27)</f>
        <v>3800</v>
      </c>
      <c r="D24" s="166">
        <f>SUM(D25:D27)</f>
        <v>4000</v>
      </c>
      <c r="E24" s="166">
        <f>SUM(E25:E27)</f>
        <v>4000</v>
      </c>
      <c r="F24" s="166">
        <f>SUM(F25:F27)</f>
        <v>4000</v>
      </c>
      <c r="G24" s="167">
        <f t="shared" si="4"/>
        <v>15800</v>
      </c>
    </row>
    <row r="25" spans="1:15" s="1" customFormat="1" ht="20.100000000000001" customHeight="1" outlineLevel="1">
      <c r="A25" s="170"/>
      <c r="B25" s="237" t="s">
        <v>5</v>
      </c>
      <c r="C25" s="171">
        <v>600</v>
      </c>
      <c r="D25" s="171">
        <v>600</v>
      </c>
      <c r="E25" s="171">
        <v>600</v>
      </c>
      <c r="F25" s="171">
        <v>600</v>
      </c>
      <c r="G25" s="162">
        <f t="shared" si="4"/>
        <v>2400</v>
      </c>
      <c r="H25" s="187"/>
      <c r="I25" s="187"/>
      <c r="J25" s="187"/>
      <c r="K25" s="187"/>
      <c r="L25" s="187"/>
      <c r="M25" s="187"/>
      <c r="N25" s="187"/>
    </row>
    <row r="26" spans="1:15" s="1" customFormat="1" ht="20.100000000000001" customHeight="1" outlineLevel="1">
      <c r="A26" s="170"/>
      <c r="B26" s="237" t="s">
        <v>19</v>
      </c>
      <c r="C26" s="171">
        <v>450</v>
      </c>
      <c r="D26" s="171">
        <v>650</v>
      </c>
      <c r="E26" s="171">
        <v>650</v>
      </c>
      <c r="F26" s="171">
        <v>650</v>
      </c>
      <c r="G26" s="162">
        <f t="shared" si="4"/>
        <v>2400</v>
      </c>
      <c r="H26" s="187"/>
      <c r="I26" s="187"/>
      <c r="J26" s="187"/>
      <c r="K26" s="187"/>
      <c r="L26" s="187"/>
      <c r="M26" s="187"/>
      <c r="N26" s="187"/>
    </row>
    <row r="27" spans="1:15" s="1" customFormat="1" ht="20.100000000000001" customHeight="1" outlineLevel="1" thickBot="1">
      <c r="A27" s="306"/>
      <c r="B27" s="307" t="s">
        <v>254</v>
      </c>
      <c r="C27" s="308">
        <v>2750</v>
      </c>
      <c r="D27" s="308">
        <v>2750</v>
      </c>
      <c r="E27" s="308">
        <v>2750</v>
      </c>
      <c r="F27" s="308">
        <v>2750</v>
      </c>
      <c r="G27" s="169">
        <f>SUM(C27:F27)</f>
        <v>11000</v>
      </c>
      <c r="H27" s="187"/>
      <c r="I27" s="187"/>
      <c r="J27" s="187"/>
      <c r="K27" s="187"/>
      <c r="L27" s="187"/>
      <c r="M27" s="187"/>
      <c r="N27" s="187"/>
    </row>
    <row r="28" spans="1:15" ht="26.1" customHeight="1" outlineLevel="1" thickBot="1">
      <c r="A28" s="281" t="s">
        <v>6</v>
      </c>
      <c r="B28" s="282"/>
      <c r="C28" s="174">
        <f>C9+C14+C18+C21+C24</f>
        <v>58750.947</v>
      </c>
      <c r="D28" s="174">
        <f>D9+D14+D18+D21+D24</f>
        <v>58624.631498000002</v>
      </c>
      <c r="E28" s="174">
        <f>E9+E14+E18+E21+E24</f>
        <v>58930.335963000005</v>
      </c>
      <c r="F28" s="174">
        <f>F9+F14+F18+F21+F24</f>
        <v>60961.950593000001</v>
      </c>
      <c r="G28" s="175">
        <f t="shared" si="4"/>
        <v>237267.86505399999</v>
      </c>
    </row>
    <row r="29" spans="1:15" ht="26.1" customHeight="1" thickBot="1">
      <c r="A29" s="279" t="s">
        <v>34</v>
      </c>
      <c r="B29" s="280"/>
      <c r="C29" s="52" t="s">
        <v>8</v>
      </c>
      <c r="D29" s="52" t="s">
        <v>8</v>
      </c>
      <c r="E29" s="52" t="s">
        <v>8</v>
      </c>
      <c r="F29" s="52" t="s">
        <v>8</v>
      </c>
      <c r="G29" s="53" t="s">
        <v>8</v>
      </c>
    </row>
    <row r="30" spans="1:15" ht="20.100000000000001" customHeight="1">
      <c r="A30" s="43">
        <v>1</v>
      </c>
      <c r="B30" s="21" t="s">
        <v>15</v>
      </c>
      <c r="C30" s="62">
        <f>SUM(C31:C34)</f>
        <v>14899.900000000001</v>
      </c>
      <c r="D30" s="62">
        <f>SUM(D31:D34)</f>
        <v>15104.342929999999</v>
      </c>
      <c r="E30" s="62">
        <f>SUM(E31:E34)</f>
        <v>15160.42769</v>
      </c>
      <c r="F30" s="62">
        <f>SUM(F31:F34)</f>
        <v>15936.425950000001</v>
      </c>
      <c r="G30" s="62">
        <f>SUM(G31:G34)</f>
        <v>61101.096570000009</v>
      </c>
    </row>
    <row r="31" spans="1:15" ht="20.100000000000001" customHeight="1">
      <c r="A31" s="44"/>
      <c r="B31" s="10" t="s">
        <v>3</v>
      </c>
      <c r="C31" s="42">
        <v>6360.0300000000007</v>
      </c>
      <c r="D31" s="42">
        <f>D10</f>
        <v>6738.5629300000001</v>
      </c>
      <c r="E31" s="42">
        <f>E10</f>
        <v>6425.3685600000008</v>
      </c>
      <c r="F31" s="42">
        <f>F10</f>
        <v>6425.3685600000008</v>
      </c>
      <c r="G31" s="72">
        <f>SUM(C31:F31)</f>
        <v>25949.330050000004</v>
      </c>
      <c r="J31" s="184"/>
      <c r="K31" s="184"/>
      <c r="L31" s="184"/>
      <c r="M31" s="184"/>
    </row>
    <row r="32" spans="1:15" ht="20.100000000000001" customHeight="1">
      <c r="A32" s="44"/>
      <c r="B32" s="10" t="s">
        <v>10</v>
      </c>
      <c r="C32" s="42">
        <v>857.37</v>
      </c>
      <c r="D32" s="42">
        <f>D11</f>
        <v>683.28000000000009</v>
      </c>
      <c r="E32" s="42">
        <f>E11</f>
        <v>1052.5591299999999</v>
      </c>
      <c r="F32" s="42">
        <f>F11</f>
        <v>1828.5573900000002</v>
      </c>
      <c r="G32" s="72">
        <f>SUM(C32:F32)</f>
        <v>4421.7665200000001</v>
      </c>
      <c r="J32" s="184"/>
      <c r="K32" s="184"/>
      <c r="L32" s="184"/>
      <c r="M32" s="184"/>
    </row>
    <row r="33" spans="1:21" ht="57.75" customHeight="1">
      <c r="A33" s="44"/>
      <c r="B33" s="79" t="s">
        <v>83</v>
      </c>
      <c r="C33" s="164">
        <v>4582.5</v>
      </c>
      <c r="D33" s="164">
        <v>4582.5</v>
      </c>
      <c r="E33" s="164">
        <v>4582.5</v>
      </c>
      <c r="F33" s="164">
        <v>4582.5</v>
      </c>
      <c r="G33" s="80">
        <f>SUM(C33:F33)</f>
        <v>18330</v>
      </c>
      <c r="H33" s="182" t="s">
        <v>246</v>
      </c>
      <c r="J33" s="188"/>
      <c r="K33" s="188"/>
      <c r="L33" s="188"/>
      <c r="M33" s="184"/>
    </row>
    <row r="34" spans="1:21" ht="20.100000000000001" customHeight="1" thickBot="1">
      <c r="A34" s="44"/>
      <c r="B34" s="79" t="s">
        <v>12</v>
      </c>
      <c r="C34" s="66">
        <v>3100</v>
      </c>
      <c r="D34" s="66">
        <v>3100</v>
      </c>
      <c r="E34" s="66">
        <v>3100</v>
      </c>
      <c r="F34" s="66">
        <v>3100</v>
      </c>
      <c r="G34" s="80">
        <f>SUM(C34:F34)</f>
        <v>12400</v>
      </c>
      <c r="H34" s="182" t="s">
        <v>247</v>
      </c>
      <c r="J34" s="192"/>
      <c r="K34" s="188"/>
      <c r="L34" s="191"/>
      <c r="M34" s="184"/>
    </row>
    <row r="35" spans="1:21" ht="20.100000000000001" customHeight="1">
      <c r="A35" s="43">
        <v>2</v>
      </c>
      <c r="B35" s="160" t="s">
        <v>16</v>
      </c>
      <c r="C35" s="172">
        <f>SUM(C36:C38)</f>
        <v>8051.5599999999995</v>
      </c>
      <c r="D35" s="172">
        <f t="shared" ref="D35:F35" si="5">SUM(D36:D38)</f>
        <v>6796.3600000000006</v>
      </c>
      <c r="E35" s="172">
        <f t="shared" si="5"/>
        <v>6796.3600000000006</v>
      </c>
      <c r="F35" s="172">
        <f t="shared" si="5"/>
        <v>8051.5599999999995</v>
      </c>
      <c r="G35" s="62">
        <f>SUM(G36:G38)</f>
        <v>29695.84</v>
      </c>
      <c r="J35" s="188"/>
      <c r="K35" s="188"/>
      <c r="L35" s="188"/>
    </row>
    <row r="36" spans="1:21" ht="39.950000000000003" customHeight="1">
      <c r="A36" s="29"/>
      <c r="B36" s="79" t="s">
        <v>20</v>
      </c>
      <c r="C36" s="66">
        <v>4393.2</v>
      </c>
      <c r="D36" s="66">
        <v>3138</v>
      </c>
      <c r="E36" s="66">
        <v>3138</v>
      </c>
      <c r="F36" s="66">
        <v>4393.2</v>
      </c>
      <c r="G36" s="80">
        <f>SUM(C36:F36)</f>
        <v>15062.400000000001</v>
      </c>
      <c r="H36" s="182" t="s">
        <v>178</v>
      </c>
      <c r="N36" s="182" t="s">
        <v>176</v>
      </c>
      <c r="Q36" s="2" t="s">
        <v>177</v>
      </c>
      <c r="T36" s="2">
        <v>0.2092</v>
      </c>
      <c r="U36" s="2" t="s">
        <v>179</v>
      </c>
    </row>
    <row r="37" spans="1:21" ht="39.950000000000003" customHeight="1" thickBot="1">
      <c r="A37" s="27"/>
      <c r="B37" s="168" t="s">
        <v>14</v>
      </c>
      <c r="C37" s="66">
        <v>690.36</v>
      </c>
      <c r="D37" s="66">
        <v>690.36</v>
      </c>
      <c r="E37" s="66">
        <v>690.36</v>
      </c>
      <c r="F37" s="66">
        <v>690.36</v>
      </c>
      <c r="G37" s="80">
        <f>SUM(C37:F37)</f>
        <v>2761.44</v>
      </c>
      <c r="H37" s="182" t="s">
        <v>178</v>
      </c>
      <c r="N37" s="182">
        <v>1100</v>
      </c>
      <c r="O37" s="2" t="s">
        <v>175</v>
      </c>
      <c r="P37" s="2">
        <v>0.2092</v>
      </c>
      <c r="Q37" s="2" t="s">
        <v>179</v>
      </c>
    </row>
    <row r="38" spans="1:21" ht="39.950000000000003" customHeight="1" thickBot="1">
      <c r="A38" s="120"/>
      <c r="B38" s="173" t="s">
        <v>87</v>
      </c>
      <c r="C38" s="244">
        <v>2968</v>
      </c>
      <c r="D38" s="244">
        <v>2968</v>
      </c>
      <c r="E38" s="244">
        <v>2968</v>
      </c>
      <c r="F38" s="244">
        <v>2968</v>
      </c>
      <c r="G38" s="72">
        <f>SUM(C38:F38)</f>
        <v>11872</v>
      </c>
      <c r="H38" s="182" t="s">
        <v>178</v>
      </c>
      <c r="N38" s="182">
        <v>0.38894299999999998</v>
      </c>
      <c r="O38" s="2" t="s">
        <v>180</v>
      </c>
    </row>
    <row r="39" spans="1:21" ht="20.100000000000001" customHeight="1">
      <c r="A39" s="43" t="s">
        <v>28</v>
      </c>
      <c r="B39" s="28" t="s">
        <v>17</v>
      </c>
      <c r="C39" s="62">
        <f>SUM(C40:C40)</f>
        <v>3744</v>
      </c>
      <c r="D39" s="62">
        <f>SUM(D40:D40)</f>
        <v>3744</v>
      </c>
      <c r="E39" s="62">
        <f>SUM(E40:E40)</f>
        <v>3744</v>
      </c>
      <c r="F39" s="62">
        <f>SUM(F40:F40)</f>
        <v>3744</v>
      </c>
      <c r="G39" s="62">
        <f>SUM(G40:G40)</f>
        <v>14976</v>
      </c>
    </row>
    <row r="40" spans="1:21" ht="36.75" customHeight="1" thickBot="1">
      <c r="A40" s="216"/>
      <c r="B40" s="245" t="s">
        <v>245</v>
      </c>
      <c r="C40" s="213">
        <v>3744</v>
      </c>
      <c r="D40" s="213">
        <v>3744</v>
      </c>
      <c r="E40" s="213">
        <v>3744</v>
      </c>
      <c r="F40" s="213">
        <v>3744</v>
      </c>
      <c r="G40" s="212">
        <f>SUM(C40:F40)</f>
        <v>14976</v>
      </c>
      <c r="H40" s="182" t="s">
        <v>248</v>
      </c>
    </row>
    <row r="41" spans="1:21" ht="20.100000000000001" customHeight="1">
      <c r="A41" s="220" t="s">
        <v>9</v>
      </c>
      <c r="B41" s="221" t="s">
        <v>33</v>
      </c>
      <c r="C41" s="231">
        <f>SUM(C42:C59)</f>
        <v>37596.105758599988</v>
      </c>
      <c r="D41" s="231">
        <f>SUM(D42:D59)</f>
        <v>44811.938850936953</v>
      </c>
      <c r="E41" s="231">
        <f>SUM(E42:E59)</f>
        <v>43270.369786315758</v>
      </c>
      <c r="F41" s="231">
        <f>SUM(F42:F59)</f>
        <v>38941.800654737359</v>
      </c>
      <c r="G41" s="232">
        <f>SUM(G42:G59)</f>
        <v>164620.21505059008</v>
      </c>
    </row>
    <row r="42" spans="1:21" ht="20.100000000000001" customHeight="1">
      <c r="A42" s="227"/>
      <c r="B42" s="225" t="s">
        <v>40</v>
      </c>
      <c r="C42" s="222">
        <f>C22</f>
        <v>31991.096999999998</v>
      </c>
      <c r="D42" s="222">
        <f>D22</f>
        <v>31968.129000000001</v>
      </c>
      <c r="E42" s="222">
        <f>E22</f>
        <v>31968.129000000001</v>
      </c>
      <c r="F42" s="222">
        <f>F22</f>
        <v>31968.129000000001</v>
      </c>
      <c r="G42" s="236">
        <f t="shared" ref="G42:G49" si="6">SUM(C42:F42)</f>
        <v>127895.484</v>
      </c>
    </row>
    <row r="43" spans="1:21" ht="20.100000000000001" customHeight="1">
      <c r="A43" s="224"/>
      <c r="B43" s="225" t="s">
        <v>23</v>
      </c>
      <c r="C43" s="222">
        <f>$H$43*3</f>
        <v>2267.4299999999998</v>
      </c>
      <c r="D43" s="222">
        <f t="shared" ref="D43:F43" si="7">$H$43*3</f>
        <v>2267.4299999999998</v>
      </c>
      <c r="E43" s="222">
        <f t="shared" si="7"/>
        <v>2267.4299999999998</v>
      </c>
      <c r="F43" s="222">
        <f t="shared" si="7"/>
        <v>2267.4299999999998</v>
      </c>
      <c r="G43" s="236">
        <f>SUM(C43:F43)</f>
        <v>9069.7199999999993</v>
      </c>
      <c r="H43" s="182">
        <v>755.81</v>
      </c>
      <c r="I43" s="182">
        <f>H43*14/100</f>
        <v>105.8134</v>
      </c>
      <c r="J43" s="182">
        <f>H43-I43</f>
        <v>649.99659999999994</v>
      </c>
    </row>
    <row r="44" spans="1:21" ht="20.100000000000001" customHeight="1">
      <c r="A44" s="224"/>
      <c r="B44" s="225" t="s">
        <v>31</v>
      </c>
      <c r="C44" s="222">
        <f>C43*11.6/100</f>
        <v>263.02188000000001</v>
      </c>
      <c r="D44" s="222">
        <f t="shared" ref="D44:F44" si="8">D43*11.6/100</f>
        <v>263.02188000000001</v>
      </c>
      <c r="E44" s="222">
        <f t="shared" si="8"/>
        <v>263.02188000000001</v>
      </c>
      <c r="F44" s="222">
        <f t="shared" si="8"/>
        <v>263.02188000000001</v>
      </c>
      <c r="G44" s="236">
        <f t="shared" si="6"/>
        <v>1052.08752</v>
      </c>
      <c r="H44" s="182">
        <v>11.6</v>
      </c>
    </row>
    <row r="45" spans="1:21" ht="20.100000000000001" customHeight="1">
      <c r="A45" s="224"/>
      <c r="B45" s="237" t="s">
        <v>29</v>
      </c>
      <c r="C45" s="233">
        <v>60</v>
      </c>
      <c r="D45" s="233">
        <v>60</v>
      </c>
      <c r="E45" s="233">
        <v>60</v>
      </c>
      <c r="F45" s="233">
        <v>60</v>
      </c>
      <c r="G45" s="238">
        <f t="shared" si="6"/>
        <v>240</v>
      </c>
      <c r="H45" s="182" t="s">
        <v>108</v>
      </c>
      <c r="I45" s="182" t="s">
        <v>81</v>
      </c>
    </row>
    <row r="46" spans="1:21" ht="20.100000000000001" customHeight="1">
      <c r="A46" s="223"/>
      <c r="B46" s="237" t="s">
        <v>30</v>
      </c>
      <c r="C46" s="233">
        <v>60</v>
      </c>
      <c r="D46" s="233">
        <v>60</v>
      </c>
      <c r="E46" s="233">
        <v>60</v>
      </c>
      <c r="F46" s="233">
        <v>120</v>
      </c>
      <c r="G46" s="238">
        <f t="shared" si="6"/>
        <v>300</v>
      </c>
    </row>
    <row r="47" spans="1:21" ht="20.100000000000001" customHeight="1">
      <c r="A47" s="227"/>
      <c r="B47" s="237" t="s">
        <v>85</v>
      </c>
      <c r="C47" s="233">
        <v>113.01</v>
      </c>
      <c r="D47" s="233">
        <v>113.01</v>
      </c>
      <c r="E47" s="233">
        <v>113.01</v>
      </c>
      <c r="F47" s="233">
        <v>113.01</v>
      </c>
      <c r="G47" s="238">
        <f t="shared" si="6"/>
        <v>452.04</v>
      </c>
      <c r="H47" s="190" t="s">
        <v>181</v>
      </c>
      <c r="J47" s="182" t="s">
        <v>183</v>
      </c>
    </row>
    <row r="48" spans="1:21" ht="20.100000000000001" customHeight="1">
      <c r="A48" s="227"/>
      <c r="B48" s="237" t="s">
        <v>109</v>
      </c>
      <c r="C48" s="233">
        <v>0</v>
      </c>
      <c r="D48" s="233">
        <v>3114.45</v>
      </c>
      <c r="E48" s="233">
        <v>1557.25</v>
      </c>
      <c r="F48" s="233">
        <v>0</v>
      </c>
      <c r="G48" s="238">
        <f t="shared" si="6"/>
        <v>4671.7</v>
      </c>
      <c r="H48" s="190" t="s">
        <v>182</v>
      </c>
      <c r="P48" s="2" t="s">
        <v>80</v>
      </c>
      <c r="Q48" s="2">
        <v>2.0762499999999999</v>
      </c>
    </row>
    <row r="49" spans="1:14" ht="20.100000000000001" customHeight="1">
      <c r="A49" s="223"/>
      <c r="B49" s="237" t="s">
        <v>24</v>
      </c>
      <c r="C49" s="233">
        <v>78.150000000000006</v>
      </c>
      <c r="D49" s="233">
        <v>90</v>
      </c>
      <c r="E49" s="233">
        <v>90</v>
      </c>
      <c r="F49" s="233">
        <v>90</v>
      </c>
      <c r="G49" s="238">
        <f t="shared" si="6"/>
        <v>348.15</v>
      </c>
      <c r="H49" s="182" t="s">
        <v>113</v>
      </c>
      <c r="J49" s="182">
        <v>15</v>
      </c>
      <c r="K49" s="186">
        <f>J43*1.7/100</f>
        <v>11.049942199999998</v>
      </c>
      <c r="L49" s="186">
        <f>(J49+K49)*3</f>
        <v>78.149826599999983</v>
      </c>
    </row>
    <row r="50" spans="1:14" ht="20.100000000000001" customHeight="1">
      <c r="A50" s="230"/>
      <c r="B50" s="225" t="s">
        <v>37</v>
      </c>
      <c r="C50" s="233">
        <v>603.55693860000008</v>
      </c>
      <c r="D50" s="233">
        <v>591.85797093695987</v>
      </c>
      <c r="E50" s="233">
        <v>607.48890631576</v>
      </c>
      <c r="F50" s="233">
        <v>711.91977473736006</v>
      </c>
      <c r="G50" s="238">
        <f>SUM(C50:F50)</f>
        <v>2514.8235905900801</v>
      </c>
      <c r="H50" s="182" t="s">
        <v>84</v>
      </c>
      <c r="I50" s="189"/>
      <c r="J50" s="189"/>
      <c r="K50" s="189"/>
      <c r="L50" s="189"/>
      <c r="M50" s="189"/>
      <c r="N50" s="189"/>
    </row>
    <row r="51" spans="1:14" ht="40.5" customHeight="1">
      <c r="A51" s="230"/>
      <c r="B51" s="225" t="s">
        <v>48</v>
      </c>
      <c r="C51" s="246">
        <v>825.18993999999986</v>
      </c>
      <c r="D51" s="233">
        <v>866.82</v>
      </c>
      <c r="E51" s="233">
        <v>866.82</v>
      </c>
      <c r="F51" s="233">
        <v>866.82</v>
      </c>
      <c r="G51" s="238">
        <f t="shared" ref="G51:G53" si="9">SUM(C51:F51)</f>
        <v>3425.6499400000002</v>
      </c>
      <c r="I51" s="189"/>
      <c r="J51" s="189"/>
      <c r="K51" s="189"/>
      <c r="L51" s="189"/>
      <c r="M51" s="189"/>
      <c r="N51" s="189"/>
    </row>
    <row r="52" spans="1:14" ht="40.5" customHeight="1">
      <c r="A52" s="230"/>
      <c r="B52" s="225" t="s">
        <v>47</v>
      </c>
      <c r="C52" s="246">
        <v>172.38</v>
      </c>
      <c r="D52" s="233">
        <v>169.2</v>
      </c>
      <c r="E52" s="233">
        <v>169.2</v>
      </c>
      <c r="F52" s="233">
        <v>169.2</v>
      </c>
      <c r="G52" s="238">
        <f t="shared" si="9"/>
        <v>679.98</v>
      </c>
      <c r="I52" s="189"/>
      <c r="J52" s="189"/>
      <c r="K52" s="189"/>
      <c r="L52" s="189"/>
      <c r="M52" s="189"/>
      <c r="N52" s="189"/>
    </row>
    <row r="53" spans="1:14" ht="20.100000000000001" customHeight="1">
      <c r="A53" s="230"/>
      <c r="B53" s="217" t="s">
        <v>173</v>
      </c>
      <c r="C53" s="233">
        <v>0</v>
      </c>
      <c r="D53" s="222">
        <v>300</v>
      </c>
      <c r="E53" s="222">
        <v>300</v>
      </c>
      <c r="F53" s="222">
        <v>300</v>
      </c>
      <c r="G53" s="238">
        <f t="shared" si="9"/>
        <v>900</v>
      </c>
      <c r="I53" s="189"/>
      <c r="J53" s="189"/>
      <c r="K53" s="189"/>
      <c r="L53" s="189"/>
      <c r="M53" s="189"/>
      <c r="N53" s="189"/>
    </row>
    <row r="54" spans="1:14" ht="20.100000000000001" customHeight="1">
      <c r="A54" s="230"/>
      <c r="B54" s="225" t="s">
        <v>172</v>
      </c>
      <c r="C54" s="233">
        <v>0</v>
      </c>
      <c r="D54" s="222">
        <v>50</v>
      </c>
      <c r="E54" s="222">
        <v>50</v>
      </c>
      <c r="F54" s="222">
        <v>50</v>
      </c>
      <c r="G54" s="238">
        <f>SUM(C54:F54)</f>
        <v>150</v>
      </c>
      <c r="I54" s="189"/>
      <c r="J54" s="189"/>
      <c r="K54" s="189"/>
      <c r="L54" s="189"/>
      <c r="M54" s="189"/>
      <c r="N54" s="189"/>
    </row>
    <row r="55" spans="1:14" ht="20.100000000000001" customHeight="1">
      <c r="A55" s="229"/>
      <c r="B55" s="226" t="s">
        <v>174</v>
      </c>
      <c r="C55" s="222">
        <f>133.63+183.94</f>
        <v>317.57</v>
      </c>
      <c r="D55" s="222">
        <f>133.63+183.94</f>
        <v>317.57</v>
      </c>
      <c r="E55" s="222">
        <f t="shared" ref="E55:F55" si="10">133.63+183.94</f>
        <v>317.57</v>
      </c>
      <c r="F55" s="222">
        <f t="shared" si="10"/>
        <v>317.57</v>
      </c>
      <c r="G55" s="236">
        <f t="shared" ref="G55:G58" si="11">SUM(C55:F55)</f>
        <v>1270.28</v>
      </c>
      <c r="I55" s="182">
        <v>1</v>
      </c>
    </row>
    <row r="56" spans="1:14" ht="41.25" customHeight="1">
      <c r="A56" s="229"/>
      <c r="B56" s="225" t="s">
        <v>26</v>
      </c>
      <c r="C56" s="222">
        <f>21.9*3</f>
        <v>65.699999999999989</v>
      </c>
      <c r="D56" s="222">
        <f t="shared" ref="D56:F56" si="12">21.9*3</f>
        <v>65.699999999999989</v>
      </c>
      <c r="E56" s="222">
        <f t="shared" si="12"/>
        <v>65.699999999999989</v>
      </c>
      <c r="F56" s="222">
        <f t="shared" si="12"/>
        <v>65.699999999999989</v>
      </c>
      <c r="G56" s="236">
        <f t="shared" si="11"/>
        <v>262.79999999999995</v>
      </c>
    </row>
    <row r="57" spans="1:14" ht="39" customHeight="1">
      <c r="A57" s="230"/>
      <c r="B57" s="237" t="s">
        <v>50</v>
      </c>
      <c r="C57" s="233">
        <v>200</v>
      </c>
      <c r="D57" s="233">
        <v>2348.75</v>
      </c>
      <c r="E57" s="233">
        <v>2348.75</v>
      </c>
      <c r="F57" s="233">
        <v>1000</v>
      </c>
      <c r="G57" s="238">
        <f t="shared" si="11"/>
        <v>5897.5</v>
      </c>
      <c r="H57" s="182" t="s">
        <v>244</v>
      </c>
    </row>
    <row r="58" spans="1:14" ht="60" customHeight="1">
      <c r="A58" s="228"/>
      <c r="B58" s="210" t="s">
        <v>53</v>
      </c>
      <c r="C58" s="233">
        <f>183*3</f>
        <v>549</v>
      </c>
      <c r="D58" s="233">
        <v>2136</v>
      </c>
      <c r="E58" s="233">
        <v>2136</v>
      </c>
      <c r="F58" s="233">
        <v>549</v>
      </c>
      <c r="G58" s="238">
        <f t="shared" si="11"/>
        <v>5370</v>
      </c>
      <c r="H58" s="182" t="s">
        <v>244</v>
      </c>
    </row>
    <row r="59" spans="1:14" ht="20.100000000000001" customHeight="1" thickBot="1">
      <c r="A59" s="250"/>
      <c r="B59" s="251" t="s">
        <v>27</v>
      </c>
      <c r="C59" s="252">
        <f>C25*5/100</f>
        <v>30</v>
      </c>
      <c r="D59" s="252">
        <f>D25*5/100</f>
        <v>30</v>
      </c>
      <c r="E59" s="252">
        <f>E25*5/100</f>
        <v>30</v>
      </c>
      <c r="F59" s="252">
        <f>F25*5/100</f>
        <v>30</v>
      </c>
      <c r="G59" s="253">
        <f>SUM(C59:F59)</f>
        <v>120</v>
      </c>
      <c r="H59" s="182" t="s">
        <v>82</v>
      </c>
    </row>
    <row r="60" spans="1:14" ht="21" thickBot="1">
      <c r="A60" s="254">
        <v>5</v>
      </c>
      <c r="B60" s="255" t="s">
        <v>249</v>
      </c>
      <c r="C60" s="256"/>
      <c r="D60" s="256"/>
      <c r="E60" s="256"/>
      <c r="F60" s="256"/>
      <c r="G60" s="39">
        <v>13028.7</v>
      </c>
    </row>
    <row r="61" spans="1:14" ht="20.100000000000001" customHeight="1" outlineLevel="1" thickBot="1">
      <c r="A61" s="272" t="s">
        <v>39</v>
      </c>
      <c r="B61" s="273"/>
      <c r="C61" s="215">
        <f>C30+C35+C39+C41</f>
        <v>64291.565758599987</v>
      </c>
      <c r="D61" s="215">
        <f>D30+D35+D39+D41</f>
        <v>70456.641780936945</v>
      </c>
      <c r="E61" s="215">
        <f>E30+E35+E39+E41</f>
        <v>68971.157476315755</v>
      </c>
      <c r="F61" s="215">
        <f>F30+F35+F39+F41</f>
        <v>66673.786604737368</v>
      </c>
      <c r="G61" s="214">
        <f>G30+G35+G39+G41+G60</f>
        <v>283421.85162059008</v>
      </c>
    </row>
    <row r="62" spans="1:14" ht="26.1" customHeight="1" outlineLevel="1">
      <c r="A62" s="69"/>
      <c r="B62" s="70"/>
      <c r="C62" s="71">
        <f>C28-C61</f>
        <v>-5540.6187585999869</v>
      </c>
      <c r="D62" s="71">
        <f>D28-D61</f>
        <v>-11832.010282936943</v>
      </c>
      <c r="E62" s="71">
        <f>E28-E61</f>
        <v>-10040.82151331575</v>
      </c>
      <c r="F62" s="71">
        <f>F28-F61</f>
        <v>-5711.8360117373668</v>
      </c>
      <c r="G62" s="71">
        <f>G28-G61</f>
        <v>-46153.986566590087</v>
      </c>
    </row>
    <row r="63" spans="1:14" ht="26.1" customHeight="1" outlineLevel="1">
      <c r="A63" s="69"/>
      <c r="B63" s="70"/>
      <c r="C63" s="71"/>
      <c r="D63" s="71"/>
      <c r="E63" s="71"/>
      <c r="F63" s="71"/>
      <c r="G63" s="78">
        <f>G62/H1/12</f>
        <v>-0.20357622120445884</v>
      </c>
    </row>
    <row r="64" spans="1:14" ht="26.1" customHeight="1" outlineLevel="1" thickBot="1">
      <c r="A64" s="209"/>
      <c r="B64" s="70"/>
      <c r="C64" s="71"/>
      <c r="D64" s="71"/>
      <c r="E64" s="71"/>
      <c r="F64" s="71"/>
      <c r="G64" s="78"/>
    </row>
    <row r="65" spans="1:14" ht="26.1" customHeight="1" outlineLevel="1" thickBot="1">
      <c r="A65" s="209"/>
      <c r="B65" s="211" t="s">
        <v>249</v>
      </c>
      <c r="C65" s="265">
        <v>-13028.7</v>
      </c>
      <c r="D65" s="266"/>
      <c r="E65" s="266"/>
      <c r="F65" s="267"/>
      <c r="G65" s="235"/>
    </row>
    <row r="66" spans="1:14" ht="26.1" customHeight="1" outlineLevel="1" thickBot="1">
      <c r="A66" s="209"/>
      <c r="B66" s="211" t="s">
        <v>250</v>
      </c>
      <c r="C66" s="265">
        <v>-44125.29</v>
      </c>
      <c r="D66" s="266"/>
      <c r="E66" s="266"/>
      <c r="F66" s="267"/>
      <c r="G66" s="78"/>
    </row>
    <row r="67" spans="1:14" ht="26.1" customHeight="1" outlineLevel="1">
      <c r="A67" s="209"/>
      <c r="B67" s="70"/>
      <c r="C67" s="71"/>
      <c r="D67" s="71"/>
      <c r="E67" s="71"/>
      <c r="F67" s="71"/>
      <c r="G67" s="78"/>
    </row>
    <row r="68" spans="1:14" ht="37.5">
      <c r="A68" s="67"/>
      <c r="B68" s="79" t="s">
        <v>47</v>
      </c>
      <c r="C68" s="262" t="s">
        <v>51</v>
      </c>
      <c r="D68" s="263"/>
      <c r="E68" s="263"/>
      <c r="F68" s="263"/>
      <c r="G68" s="264"/>
      <c r="H68" s="182">
        <v>236.16</v>
      </c>
    </row>
    <row r="69" spans="1:14" ht="39.75" customHeight="1">
      <c r="A69" s="67"/>
      <c r="B69" s="79" t="s">
        <v>48</v>
      </c>
      <c r="C69" s="262" t="s">
        <v>52</v>
      </c>
      <c r="D69" s="263"/>
      <c r="E69" s="263"/>
      <c r="F69" s="263"/>
      <c r="G69" s="264"/>
      <c r="H69" s="182">
        <v>389.19</v>
      </c>
    </row>
    <row r="70" spans="1:14">
      <c r="A70" s="67"/>
      <c r="B70" s="47" t="s">
        <v>13</v>
      </c>
      <c r="C70" s="258" t="s">
        <v>59</v>
      </c>
      <c r="D70" s="259"/>
      <c r="E70" s="259"/>
      <c r="F70" s="259"/>
      <c r="G70" s="260"/>
    </row>
    <row r="71" spans="1:14">
      <c r="A71" s="67"/>
      <c r="B71" s="47" t="s">
        <v>49</v>
      </c>
      <c r="C71" s="258" t="s">
        <v>112</v>
      </c>
      <c r="D71" s="259"/>
      <c r="E71" s="259"/>
      <c r="F71" s="259"/>
      <c r="G71" s="259"/>
      <c r="H71" s="261"/>
      <c r="I71" s="261"/>
      <c r="J71" s="261"/>
      <c r="K71" s="261"/>
      <c r="L71" s="261"/>
    </row>
    <row r="72" spans="1:14">
      <c r="A72" s="67"/>
      <c r="B72" s="81"/>
      <c r="C72" s="82"/>
      <c r="D72" s="82"/>
      <c r="E72" s="82"/>
      <c r="F72" s="82"/>
      <c r="G72" s="82"/>
      <c r="H72" s="191"/>
      <c r="I72" s="191"/>
      <c r="J72" s="191"/>
      <c r="K72" s="191"/>
      <c r="L72" s="191"/>
    </row>
    <row r="73" spans="1:14">
      <c r="A73" s="67"/>
      <c r="B73" s="83" t="s">
        <v>56</v>
      </c>
      <c r="C73" s="82"/>
      <c r="D73" s="82"/>
      <c r="E73" s="82"/>
      <c r="F73" s="82"/>
      <c r="G73" s="82"/>
      <c r="H73" s="191"/>
      <c r="I73" s="191"/>
      <c r="J73" s="191"/>
      <c r="K73" s="191"/>
      <c r="L73" s="191"/>
    </row>
    <row r="74" spans="1:14">
      <c r="A74" s="67"/>
      <c r="B74" s="81" t="s">
        <v>251</v>
      </c>
      <c r="C74" s="82"/>
      <c r="D74" s="82"/>
      <c r="E74" s="82"/>
      <c r="F74" s="82"/>
      <c r="G74" s="82"/>
      <c r="H74" s="191"/>
      <c r="I74" s="191"/>
      <c r="J74" s="191"/>
      <c r="K74" s="191"/>
      <c r="L74" s="191"/>
    </row>
    <row r="75" spans="1:14">
      <c r="A75" s="67"/>
      <c r="B75" s="81" t="s">
        <v>114</v>
      </c>
      <c r="C75" s="82"/>
      <c r="D75" s="82"/>
      <c r="E75" s="82"/>
      <c r="F75" s="82"/>
      <c r="G75" s="82"/>
      <c r="H75" s="191"/>
      <c r="I75" s="191"/>
      <c r="J75" s="191"/>
      <c r="K75" s="191"/>
      <c r="L75" s="191"/>
    </row>
    <row r="76" spans="1:14">
      <c r="A76" s="67"/>
      <c r="B76" s="81"/>
      <c r="C76" s="86">
        <v>2020</v>
      </c>
      <c r="D76" s="86">
        <v>2021</v>
      </c>
      <c r="E76" s="82"/>
      <c r="F76" s="82"/>
      <c r="G76" s="82"/>
      <c r="H76" s="191"/>
      <c r="I76" s="191"/>
      <c r="J76" s="191"/>
      <c r="K76" s="191"/>
      <c r="L76" s="191"/>
    </row>
    <row r="77" spans="1:14" ht="19.5" customHeight="1">
      <c r="A77" s="67"/>
      <c r="B77" s="240" t="s">
        <v>252</v>
      </c>
      <c r="C77" s="241">
        <f>C78+C79</f>
        <v>0.42</v>
      </c>
      <c r="D77" s="241">
        <f>D78+D79</f>
        <v>0.42</v>
      </c>
      <c r="E77" s="82"/>
      <c r="F77" s="82"/>
      <c r="G77" s="82"/>
      <c r="H77" s="191"/>
      <c r="I77" s="191"/>
      <c r="J77" s="191"/>
      <c r="K77" s="191"/>
      <c r="L77" s="191"/>
    </row>
    <row r="78" spans="1:14" ht="19.5" customHeight="1">
      <c r="A78" s="67"/>
      <c r="B78" s="219" t="s">
        <v>21</v>
      </c>
      <c r="C78" s="249">
        <v>0.35</v>
      </c>
      <c r="D78" s="249">
        <v>0.35</v>
      </c>
      <c r="E78" s="82"/>
      <c r="F78" s="82"/>
      <c r="G78" s="82"/>
      <c r="H78" s="191"/>
      <c r="I78" s="191"/>
      <c r="J78" s="191"/>
      <c r="K78" s="191"/>
      <c r="L78" s="191"/>
    </row>
    <row r="79" spans="1:14" ht="19.5" customHeight="1">
      <c r="A79" s="67"/>
      <c r="B79" s="219" t="s">
        <v>60</v>
      </c>
      <c r="C79" s="249">
        <v>7.0000000000000007E-2</v>
      </c>
      <c r="D79" s="249">
        <v>7.0000000000000007E-2</v>
      </c>
      <c r="E79" s="82"/>
      <c r="F79" s="82"/>
      <c r="G79" s="82"/>
      <c r="H79" s="191"/>
      <c r="I79" s="191"/>
      <c r="J79" s="191"/>
      <c r="K79" s="191"/>
      <c r="L79" s="191"/>
    </row>
    <row r="80" spans="1:14" s="218" customFormat="1" ht="19.5" customHeight="1">
      <c r="A80" s="234"/>
      <c r="B80" s="242"/>
      <c r="C80" s="239"/>
      <c r="D80" s="239"/>
      <c r="E80" s="239"/>
      <c r="F80" s="239"/>
      <c r="G80" s="239"/>
      <c r="H80" s="248"/>
      <c r="I80" s="248"/>
      <c r="J80" s="248"/>
      <c r="K80" s="248"/>
      <c r="L80" s="248"/>
      <c r="M80" s="247"/>
      <c r="N80" s="247"/>
    </row>
    <row r="81" spans="1:14" s="218" customFormat="1" ht="19.5" customHeight="1">
      <c r="A81" s="234"/>
      <c r="B81" s="240" t="s">
        <v>253</v>
      </c>
      <c r="C81" s="241">
        <f>C82+C83</f>
        <v>0.73</v>
      </c>
      <c r="D81" s="241">
        <f>D82+D83</f>
        <v>0.73</v>
      </c>
      <c r="E81" s="239"/>
      <c r="F81" s="239"/>
      <c r="G81" s="239"/>
      <c r="H81" s="248"/>
      <c r="I81" s="248"/>
      <c r="J81" s="248"/>
      <c r="K81" s="248"/>
      <c r="L81" s="248"/>
      <c r="M81" s="247"/>
      <c r="N81" s="247"/>
    </row>
    <row r="82" spans="1:14" s="218" customFormat="1" ht="19.5" customHeight="1">
      <c r="A82" s="234"/>
      <c r="B82" s="219" t="s">
        <v>21</v>
      </c>
      <c r="C82" s="249">
        <v>0.62</v>
      </c>
      <c r="D82" s="249">
        <v>0.62</v>
      </c>
      <c r="E82" s="239"/>
      <c r="F82" s="239"/>
      <c r="G82" s="239"/>
      <c r="H82" s="248"/>
      <c r="I82" s="248"/>
      <c r="J82" s="248"/>
      <c r="K82" s="248"/>
      <c r="L82" s="248"/>
      <c r="M82" s="247"/>
      <c r="N82" s="247"/>
    </row>
    <row r="83" spans="1:14" ht="18" customHeight="1">
      <c r="A83" s="67"/>
      <c r="B83" s="219" t="s">
        <v>60</v>
      </c>
      <c r="C83" s="249">
        <v>0.11</v>
      </c>
      <c r="D83" s="249">
        <v>0.11</v>
      </c>
      <c r="E83" s="87"/>
      <c r="F83" s="87"/>
      <c r="G83" s="87"/>
      <c r="H83" s="191"/>
      <c r="I83" s="191"/>
      <c r="J83" s="191"/>
      <c r="K83" s="191"/>
      <c r="L83" s="191"/>
    </row>
    <row r="84" spans="1:14" ht="19.5" customHeight="1">
      <c r="A84" s="67"/>
      <c r="B84" s="257" t="s">
        <v>61</v>
      </c>
      <c r="C84" s="257"/>
      <c r="D84" s="257"/>
      <c r="E84" s="257"/>
      <c r="F84" s="257"/>
      <c r="G84" s="257"/>
      <c r="H84" s="191"/>
      <c r="I84" s="191"/>
      <c r="J84" s="191"/>
      <c r="K84" s="191"/>
      <c r="L84" s="191"/>
    </row>
    <row r="85" spans="1:14" ht="39.75" customHeight="1">
      <c r="A85" s="67"/>
      <c r="B85" s="81"/>
      <c r="C85" s="82"/>
      <c r="D85" s="82"/>
      <c r="E85" s="82"/>
      <c r="F85" s="82"/>
      <c r="G85" s="82"/>
      <c r="H85" s="191"/>
      <c r="I85" s="191"/>
      <c r="J85" s="191"/>
      <c r="K85" s="191"/>
      <c r="L85" s="191"/>
    </row>
    <row r="86" spans="1:14">
      <c r="A86" s="67"/>
      <c r="C86" s="65">
        <f>(C15+C16)*1.2/100</f>
        <v>18.144359999999995</v>
      </c>
      <c r="D86" s="65">
        <f>D14*1.2/100</f>
        <v>52.463999999999999</v>
      </c>
      <c r="E86" s="65">
        <f>E14*1.2/100</f>
        <v>52.505281199999999</v>
      </c>
      <c r="F86" s="65">
        <f>F14*1.2/100</f>
        <v>52.587843600000006</v>
      </c>
    </row>
    <row r="87" spans="1:14">
      <c r="A87" s="68"/>
      <c r="C87" s="65">
        <f>(C15+C16-C86)*0.5/100</f>
        <v>7.4694281999999985</v>
      </c>
      <c r="D87" s="65">
        <f>(D14-D86)*0.5/100</f>
        <v>21.59768</v>
      </c>
      <c r="E87" s="65">
        <f>(E14-E86)*0.5/100</f>
        <v>21.614674093999998</v>
      </c>
      <c r="F87" s="65">
        <f>(F14-F86)*0.5/100</f>
        <v>21.648662282</v>
      </c>
    </row>
    <row r="88" spans="1:14">
      <c r="C88" s="3">
        <f>C9*1.2/100</f>
        <v>127.74923999999997</v>
      </c>
      <c r="D88" s="3">
        <f>D9*1.2/100</f>
        <v>125.450573976</v>
      </c>
      <c r="E88" s="3">
        <f>E9*1.2/100</f>
        <v>129.07774635600001</v>
      </c>
      <c r="F88" s="3">
        <f>F9*1.2/100</f>
        <v>153.37455951600001</v>
      </c>
    </row>
    <row r="89" spans="1:14">
      <c r="C89" s="3">
        <f>(C9-C88)*4/100</f>
        <v>420.72083039999995</v>
      </c>
      <c r="D89" s="3">
        <f>(D9-D88)*4/100</f>
        <v>413.15055696095993</v>
      </c>
      <c r="E89" s="3">
        <f>(E9-E88)*4/100</f>
        <v>425.09604466575996</v>
      </c>
      <c r="F89" s="3">
        <f>(F9-F88)*4/100</f>
        <v>505.11354933936002</v>
      </c>
    </row>
    <row r="90" spans="1:14">
      <c r="C90" s="3">
        <f>(H1*0.13)*1.2/100</f>
        <v>29.47308</v>
      </c>
      <c r="D90" s="3">
        <f>C90</f>
        <v>29.47308</v>
      </c>
      <c r="E90" s="3">
        <f>C90</f>
        <v>29.47308</v>
      </c>
      <c r="F90" s="3">
        <f>C90</f>
        <v>29.47308</v>
      </c>
    </row>
    <row r="91" spans="1:14">
      <c r="C91" s="3">
        <f>SUM(C86:C90)</f>
        <v>603.55693859999997</v>
      </c>
      <c r="D91" s="3">
        <f t="shared" ref="D91:F91" si="13">SUM(D86:D90)</f>
        <v>642.13589093695987</v>
      </c>
      <c r="E91" s="3">
        <f t="shared" si="13"/>
        <v>657.76682631576</v>
      </c>
      <c r="F91" s="3">
        <f t="shared" si="13"/>
        <v>762.19769473736005</v>
      </c>
    </row>
  </sheetData>
  <dataConsolidate/>
  <mergeCells count="22">
    <mergeCell ref="C65:F65"/>
    <mergeCell ref="C66:F66"/>
    <mergeCell ref="A1:C1"/>
    <mergeCell ref="A2:G2"/>
    <mergeCell ref="A3:G3"/>
    <mergeCell ref="G5:G6"/>
    <mergeCell ref="E5:E6"/>
    <mergeCell ref="F5:F6"/>
    <mergeCell ref="A61:B61"/>
    <mergeCell ref="A8:B8"/>
    <mergeCell ref="D5:D6"/>
    <mergeCell ref="A4:A6"/>
    <mergeCell ref="B4:B6"/>
    <mergeCell ref="C5:C6"/>
    <mergeCell ref="A29:B29"/>
    <mergeCell ref="A28:B28"/>
    <mergeCell ref="B84:G84"/>
    <mergeCell ref="C70:G70"/>
    <mergeCell ref="C71:G71"/>
    <mergeCell ref="H71:L71"/>
    <mergeCell ref="C68:G68"/>
    <mergeCell ref="C69:G69"/>
  </mergeCells>
  <phoneticPr fontId="28" type="noConversion"/>
  <pageMargins left="0.70866141732283472" right="0.70866141732283472" top="0.74803149606299213" bottom="0.74803149606299213" header="0.31496062992125984" footer="0.31496062992125984"/>
  <pageSetup paperSize="9" scale="34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3768-197F-4D57-9B62-B18E79372990}">
  <sheetPr>
    <tabColor rgb="FFFFC000"/>
    <pageSetUpPr fitToPage="1"/>
  </sheetPr>
  <dimension ref="A1:AA81"/>
  <sheetViews>
    <sheetView showGridLines="0" view="pageBreakPreview" topLeftCell="A4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4" width="7" style="2" customWidth="1"/>
    <col min="15" max="15" width="16.140625" style="2" customWidth="1"/>
    <col min="16" max="20" width="10.140625" style="2"/>
    <col min="21" max="21" width="20.42578125" style="2" customWidth="1"/>
    <col min="22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1256.5999999999999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12</v>
      </c>
      <c r="K4" s="150" t="s">
        <v>170</v>
      </c>
      <c r="L4" s="2">
        <f>SUM(J1/L1)</f>
        <v>62.83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21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867.53773200000001</v>
      </c>
      <c r="D9" s="22">
        <f t="shared" ref="D9:F9" si="0">SUM(D10:D15)</f>
        <v>837.22213199999987</v>
      </c>
      <c r="E9" s="22">
        <f t="shared" si="0"/>
        <v>852.27884199999994</v>
      </c>
      <c r="F9" s="22">
        <f t="shared" si="0"/>
        <v>1003.6546619999999</v>
      </c>
      <c r="G9" s="22">
        <f>SUM(G10:G15)</f>
        <v>3560.6933679999993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498.36756000000003</v>
      </c>
      <c r="D10" s="12">
        <f>SUM(I10*2+O10*1)</f>
        <v>487.81211999999999</v>
      </c>
      <c r="E10" s="12">
        <f>SUM(O10*2)+U10*1</f>
        <v>466.70123999999993</v>
      </c>
      <c r="F10" s="12">
        <f>SUM(U10*3)</f>
        <v>466.70123999999993</v>
      </c>
      <c r="G10" s="75">
        <f>SUM(C10:F10)</f>
        <v>1919.5821599999997</v>
      </c>
      <c r="H10" s="144" t="s">
        <v>157</v>
      </c>
      <c r="I10" s="149">
        <f>SUM(M10*K10)</f>
        <v>166.12252000000001</v>
      </c>
      <c r="J10" s="149"/>
      <c r="K10" s="149">
        <v>0.13220000000000001</v>
      </c>
      <c r="L10" s="149"/>
      <c r="M10" s="154">
        <f>SUM(J1)</f>
        <v>1256.5999999999999</v>
      </c>
      <c r="N10" s="127"/>
      <c r="O10" s="149">
        <f>SUM(S10*Q10)</f>
        <v>155.56707999999998</v>
      </c>
      <c r="P10" s="149" t="s">
        <v>161</v>
      </c>
      <c r="Q10" s="149">
        <v>0.12379999999999999</v>
      </c>
      <c r="R10" s="149"/>
      <c r="S10" s="154">
        <f>SUM(J1)</f>
        <v>1256.5999999999999</v>
      </c>
      <c r="T10" s="127"/>
      <c r="U10" s="149">
        <f>SUM(Y10*W10)</f>
        <v>155.56707999999998</v>
      </c>
      <c r="V10" s="149" t="s">
        <v>161</v>
      </c>
      <c r="W10" s="149">
        <v>0.12379999999999999</v>
      </c>
      <c r="X10" s="149"/>
      <c r="Y10" s="154">
        <f>SUM(J1)</f>
        <v>1256.5999999999999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0.100000000000001" customHeight="1">
      <c r="A13" s="114"/>
      <c r="B13" s="10" t="s">
        <v>10</v>
      </c>
      <c r="C13" s="12">
        <f>SUM(I13*3)</f>
        <v>69.929999999999993</v>
      </c>
      <c r="D13" s="12">
        <f>SUM(I13*2+O13)</f>
        <v>68.984999999999999</v>
      </c>
      <c r="E13" s="12">
        <f>SUM(O13*2+U13)</f>
        <v>95.873619999999988</v>
      </c>
      <c r="F13" s="12">
        <f>SUM(U13*3)</f>
        <v>153.43086</v>
      </c>
      <c r="G13" s="75">
        <f t="shared" ref="G13:G14" si="1">SUM(C13:F13)</f>
        <v>388.21947999999998</v>
      </c>
      <c r="H13" s="144" t="s">
        <v>152</v>
      </c>
      <c r="I13" s="149">
        <f>SUM(J5*1.5*K13)</f>
        <v>23.31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22.364999999999998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51.143619999999999</v>
      </c>
      <c r="V13" s="149" t="s">
        <v>161</v>
      </c>
      <c r="W13" s="149">
        <v>4.07E-2</v>
      </c>
      <c r="X13" s="149"/>
      <c r="Y13" s="154">
        <f>SUM(J1)</f>
        <v>1256.5999999999999</v>
      </c>
      <c r="Z13" s="41"/>
    </row>
    <row r="14" spans="1:26" ht="20.100000000000001" customHeight="1" outlineLevel="1">
      <c r="A14" s="24"/>
      <c r="B14" s="10" t="s">
        <v>11</v>
      </c>
      <c r="C14" s="12">
        <f>SUM(I14*3)</f>
        <v>148.995</v>
      </c>
      <c r="D14" s="12">
        <f>SUM(I14*2+O14)</f>
        <v>131.77500000000001</v>
      </c>
      <c r="E14" s="12">
        <f>SUM(O14*2+U14)</f>
        <v>144.24428999999998</v>
      </c>
      <c r="F14" s="12">
        <f>SUM(U14*3)</f>
        <v>238.06286999999998</v>
      </c>
      <c r="G14" s="75">
        <f t="shared" si="1"/>
        <v>663.07715999999994</v>
      </c>
      <c r="H14" s="144" t="s">
        <v>11</v>
      </c>
      <c r="I14" s="149">
        <f>SUM((K14+L14/2))*J5</f>
        <v>49.665000000000006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32.445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79.354289999999992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1256.5999999999999</v>
      </c>
      <c r="Z14" s="41"/>
    </row>
    <row r="15" spans="1:26" ht="20.100000000000001" customHeight="1" outlineLevel="1" thickBot="1">
      <c r="A15" s="24"/>
      <c r="B15" s="10" t="s">
        <v>12</v>
      </c>
      <c r="C15" s="9">
        <f>SUM(I15*3)</f>
        <v>150.24517199999997</v>
      </c>
      <c r="D15" s="9">
        <f>SUM(I15*2+O15)</f>
        <v>148.650012</v>
      </c>
      <c r="E15" s="9">
        <f>SUM(O15*2+U15)</f>
        <v>145.45969200000002</v>
      </c>
      <c r="F15" s="9">
        <f>SUM(U15*3)</f>
        <v>145.45969200000002</v>
      </c>
      <c r="G15" s="75">
        <f t="shared" ref="G15" si="2">SUM(C15:F15)</f>
        <v>589.81456800000001</v>
      </c>
      <c r="H15" s="144" t="s">
        <v>150</v>
      </c>
      <c r="I15" s="149">
        <f>SUM(J15*((K15+L15))/2)*M15</f>
        <v>50.081723999999994</v>
      </c>
      <c r="J15" s="149">
        <v>0.24</v>
      </c>
      <c r="K15" s="149">
        <v>9.2583000000000002</v>
      </c>
      <c r="L15" s="149">
        <v>10.615399999999999</v>
      </c>
      <c r="M15" s="149">
        <f>SUM(J5)</f>
        <v>21</v>
      </c>
      <c r="N15" s="86"/>
      <c r="O15" s="149">
        <f>SUM(P15*((Q15+R15)/2)*S15)</f>
        <v>48.486564000000001</v>
      </c>
      <c r="P15" s="149">
        <v>0.24</v>
      </c>
      <c r="Q15" s="149">
        <v>8.9418000000000006</v>
      </c>
      <c r="R15" s="149">
        <v>10.2989</v>
      </c>
      <c r="S15" s="149">
        <f>SUM(J5)</f>
        <v>21</v>
      </c>
      <c r="T15" s="86"/>
      <c r="U15" s="149">
        <f>SUM(V15*((W15+X15)/2)*Y15)</f>
        <v>48.486564000000001</v>
      </c>
      <c r="V15" s="149">
        <v>0.24</v>
      </c>
      <c r="W15" s="149">
        <v>8.9418000000000006</v>
      </c>
      <c r="X15" s="149">
        <v>10.2989</v>
      </c>
      <c r="Y15" s="149">
        <f>SUM(J5)</f>
        <v>21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141.75</v>
      </c>
      <c r="D16" s="35">
        <f t="shared" ref="D16:F16" si="3">SUM(D17:D19)</f>
        <v>141.75</v>
      </c>
      <c r="E16" s="35">
        <f t="shared" si="3"/>
        <v>141.75</v>
      </c>
      <c r="F16" s="35">
        <f t="shared" si="3"/>
        <v>141.75</v>
      </c>
      <c r="G16" s="35">
        <f t="shared" ref="G16" si="4">SUM(G17:G19)</f>
        <v>567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$I$17*3</f>
        <v>67.094999999999999</v>
      </c>
      <c r="D17" s="12">
        <f t="shared" ref="D17:F17" si="5">$I$17*3</f>
        <v>67.094999999999999</v>
      </c>
      <c r="E17" s="12">
        <f t="shared" si="5"/>
        <v>67.094999999999999</v>
      </c>
      <c r="F17" s="12">
        <f t="shared" si="5"/>
        <v>67.094999999999999</v>
      </c>
      <c r="G17" s="76">
        <f>SUM(C17:F17)</f>
        <v>268.38</v>
      </c>
      <c r="H17" s="146" t="s">
        <v>153</v>
      </c>
      <c r="I17" s="149">
        <f>SUM(K17*M17)*1.5</f>
        <v>22.365000000000002</v>
      </c>
      <c r="J17" s="149" t="s">
        <v>163</v>
      </c>
      <c r="K17" s="149">
        <v>0.71</v>
      </c>
      <c r="L17" s="149"/>
      <c r="M17" s="149">
        <f>SUM(J5)</f>
        <v>21</v>
      </c>
      <c r="N17" s="86"/>
      <c r="O17" s="149">
        <f>SUM(Q17*S17*1.5)</f>
        <v>22.365000000000002</v>
      </c>
      <c r="P17" s="149" t="s">
        <v>163</v>
      </c>
      <c r="Q17" s="149">
        <v>0.71</v>
      </c>
      <c r="R17" s="149"/>
      <c r="S17" s="149">
        <f>SUM(J5)</f>
        <v>21</v>
      </c>
      <c r="T17" s="86"/>
      <c r="U17" s="149">
        <f>SUM(W17*Y17)</f>
        <v>24.880680000000002</v>
      </c>
      <c r="V17" s="149" t="s">
        <v>163</v>
      </c>
      <c r="W17" s="149">
        <v>1.9800000000000002E-2</v>
      </c>
      <c r="X17" s="149"/>
      <c r="Y17" s="149">
        <f>SUM(J1)</f>
        <v>1256.5999999999999</v>
      </c>
      <c r="Z17" s="40"/>
    </row>
    <row r="18" spans="1:27" ht="40.5" customHeight="1" outlineLevel="1">
      <c r="A18" s="29"/>
      <c r="B18" s="10" t="s">
        <v>14</v>
      </c>
      <c r="C18" s="9">
        <f>$I$18*3</f>
        <v>74.655000000000001</v>
      </c>
      <c r="D18" s="9">
        <f t="shared" ref="D18:F18" si="6">$I$18*3</f>
        <v>74.655000000000001</v>
      </c>
      <c r="E18" s="9">
        <f t="shared" si="6"/>
        <v>74.655000000000001</v>
      </c>
      <c r="F18" s="9">
        <f t="shared" si="6"/>
        <v>74.655000000000001</v>
      </c>
      <c r="G18" s="76">
        <f>SUM(C18:F18)</f>
        <v>298.62</v>
      </c>
      <c r="H18" s="146" t="s">
        <v>154</v>
      </c>
      <c r="I18" s="149">
        <f>SUM(K18*M18)*1.5</f>
        <v>24.884999999999998</v>
      </c>
      <c r="J18" s="149" t="s">
        <v>163</v>
      </c>
      <c r="K18" s="149">
        <v>0.79</v>
      </c>
      <c r="L18" s="149"/>
      <c r="M18" s="149">
        <f>SUM(J5)</f>
        <v>21</v>
      </c>
      <c r="N18" s="86"/>
      <c r="O18" s="149">
        <f>SUM(Q18*S18)*1.5</f>
        <v>24.884999999999998</v>
      </c>
      <c r="P18" s="149" t="s">
        <v>163</v>
      </c>
      <c r="Q18" s="149">
        <v>0.79</v>
      </c>
      <c r="R18" s="149"/>
      <c r="S18" s="149">
        <f>SUM(J5)</f>
        <v>21</v>
      </c>
      <c r="T18" s="86"/>
      <c r="U18" s="149">
        <f>SUM(W18*Y18)*1.5</f>
        <v>24.884999999999998</v>
      </c>
      <c r="V18" s="149" t="s">
        <v>163</v>
      </c>
      <c r="W18" s="149">
        <v>0.79</v>
      </c>
      <c r="X18" s="149"/>
      <c r="Y18" s="149">
        <f>SUM(J5)</f>
        <v>21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184.59</v>
      </c>
      <c r="D20" s="22">
        <f t="shared" ref="D20:F20" si="7">SUM(D21:D22)</f>
        <v>184.59</v>
      </c>
      <c r="E20" s="22">
        <f t="shared" si="7"/>
        <v>184.59</v>
      </c>
      <c r="F20" s="22">
        <f t="shared" si="7"/>
        <v>184.59</v>
      </c>
      <c r="G20" s="8">
        <f>SUM(G21:G22)</f>
        <v>738.36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58.59</v>
      </c>
      <c r="D21" s="11">
        <f>SUM(M21*3)</f>
        <v>58.59</v>
      </c>
      <c r="E21" s="11">
        <f>SUM(M21*3)</f>
        <v>58.59</v>
      </c>
      <c r="F21" s="11">
        <f>SUM(M21*3)</f>
        <v>58.59</v>
      </c>
      <c r="G21" s="76">
        <f>SUM(C21:F21)</f>
        <v>234.36</v>
      </c>
      <c r="H21" s="145" t="s">
        <v>149</v>
      </c>
      <c r="I21" s="105">
        <f>SUM(J5)</f>
        <v>21</v>
      </c>
      <c r="J21" s="106"/>
      <c r="K21" s="243">
        <v>0.93</v>
      </c>
      <c r="L21" s="106"/>
      <c r="M21" s="107">
        <f>I21*K21</f>
        <v>19.53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126</v>
      </c>
      <c r="D22" s="26">
        <f>SUM(M22*3)</f>
        <v>126</v>
      </c>
      <c r="E22" s="26">
        <f>SUM(M22*3)</f>
        <v>126</v>
      </c>
      <c r="F22" s="26">
        <f>SUM(M22*3)</f>
        <v>126</v>
      </c>
      <c r="G22" s="77">
        <f>SUM(C22:F22)</f>
        <v>504</v>
      </c>
      <c r="H22" s="146" t="s">
        <v>156</v>
      </c>
      <c r="I22" s="108">
        <f>SUM(J5)</f>
        <v>21</v>
      </c>
      <c r="J22" s="109"/>
      <c r="K22" s="109">
        <v>2</v>
      </c>
      <c r="L22" s="109"/>
      <c r="M22" s="110">
        <f>I22*K22</f>
        <v>42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2751.9539999999997</v>
      </c>
      <c r="D23" s="22">
        <f t="shared" ref="D23:F23" si="8">SUM(D24:D25)</f>
        <v>2751.9539999999997</v>
      </c>
      <c r="E23" s="22">
        <f t="shared" si="8"/>
        <v>2751.9539999999997</v>
      </c>
      <c r="F23" s="22">
        <f t="shared" si="8"/>
        <v>2751.9539999999997</v>
      </c>
      <c r="G23" s="8">
        <f>SUM(G24:G25)</f>
        <v>11007.815999999999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2337.2759999999998</v>
      </c>
      <c r="D24" s="9">
        <f>SUM(M24*3)</f>
        <v>2337.2759999999998</v>
      </c>
      <c r="E24" s="9">
        <f>SUM(M24*3)</f>
        <v>2337.2759999999998</v>
      </c>
      <c r="F24" s="9">
        <f>SUM(M24*3)</f>
        <v>2337.2759999999998</v>
      </c>
      <c r="G24" s="76">
        <f t="shared" ref="G24:G25" si="9">SUM(C24:F24)</f>
        <v>9349.1039999999994</v>
      </c>
      <c r="H24" s="148" t="s">
        <v>158</v>
      </c>
      <c r="I24" s="99">
        <f>SUM(J1)</f>
        <v>1256.5999999999999</v>
      </c>
      <c r="J24" s="100"/>
      <c r="K24" s="106">
        <v>0.62</v>
      </c>
      <c r="L24" s="106"/>
      <c r="M24" s="101">
        <f>SUM(I24*K24)</f>
        <v>779.09199999999998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414.678</v>
      </c>
      <c r="D25" s="26">
        <f>SUM(M25*3)</f>
        <v>414.678</v>
      </c>
      <c r="E25" s="26">
        <f>SUM(M25*3)</f>
        <v>414.678</v>
      </c>
      <c r="F25" s="26">
        <f>SUM(M25*3)</f>
        <v>414.678</v>
      </c>
      <c r="G25" s="77">
        <f t="shared" si="9"/>
        <v>1658.712</v>
      </c>
      <c r="H25" s="148" t="s">
        <v>159</v>
      </c>
      <c r="I25" s="102">
        <f>SUM(J1)</f>
        <v>1256.5999999999999</v>
      </c>
      <c r="J25" s="104"/>
      <c r="K25" s="109">
        <v>0.11</v>
      </c>
      <c r="L25" s="109"/>
      <c r="M25" s="101">
        <f>SUM(I25*K25)</f>
        <v>138.226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3945.8317319999996</v>
      </c>
      <c r="D29" s="50">
        <f>D9+D16+D20+D23+D26</f>
        <v>3915.5161319999997</v>
      </c>
      <c r="E29" s="50">
        <f>E9+E16+E20+E23+E26</f>
        <v>3930.5728419999996</v>
      </c>
      <c r="F29" s="50">
        <f>F9+F16+F20+F23+F26</f>
        <v>4081.9486619999998</v>
      </c>
      <c r="G29" s="51">
        <f t="shared" si="11"/>
        <v>15873.869368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952.80663791852248</v>
      </c>
      <c r="D31" s="62">
        <f>SUM(D32:D35)</f>
        <v>941.30619791852246</v>
      </c>
      <c r="E31" s="62">
        <f>SUM(E32:E35)</f>
        <v>947.08393791852245</v>
      </c>
      <c r="F31" s="62">
        <f>SUM(F32:F35)</f>
        <v>1004.6411779185223</v>
      </c>
      <c r="G31" s="62">
        <f>SUM(G32:G35)</f>
        <v>3845.8379516740897</v>
      </c>
    </row>
    <row r="32" spans="1:27" ht="20.100000000000001" customHeight="1">
      <c r="A32" s="44"/>
      <c r="B32" s="10" t="s">
        <v>3</v>
      </c>
      <c r="C32" s="42">
        <f>C10</f>
        <v>498.36756000000003</v>
      </c>
      <c r="D32" s="42">
        <f>D10</f>
        <v>487.81211999999999</v>
      </c>
      <c r="E32" s="42">
        <f>E10</f>
        <v>466.70123999999993</v>
      </c>
      <c r="F32" s="42">
        <f>F10</f>
        <v>466.70123999999993</v>
      </c>
      <c r="G32" s="72">
        <f>SUM(C32:F32)</f>
        <v>1919.5821599999997</v>
      </c>
    </row>
    <row r="33" spans="1:10" ht="20.100000000000001" customHeight="1">
      <c r="A33" s="44"/>
      <c r="B33" s="10" t="s">
        <v>10</v>
      </c>
      <c r="C33" s="42">
        <f t="shared" ref="C33:F33" si="12">C13</f>
        <v>69.929999999999993</v>
      </c>
      <c r="D33" s="42">
        <f t="shared" si="12"/>
        <v>68.984999999999999</v>
      </c>
      <c r="E33" s="42">
        <f t="shared" si="12"/>
        <v>95.873619999999988</v>
      </c>
      <c r="F33" s="42">
        <f t="shared" si="12"/>
        <v>153.43086</v>
      </c>
      <c r="G33" s="72">
        <f>SUM(C33:F33)</f>
        <v>388.21947999999998</v>
      </c>
    </row>
    <row r="34" spans="1:10" ht="57.75" customHeight="1">
      <c r="A34" s="44"/>
      <c r="B34" s="10" t="s">
        <v>46</v>
      </c>
      <c r="C34" s="42">
        <f>Лист15!D10</f>
        <v>384.50907791852245</v>
      </c>
      <c r="D34" s="42">
        <f>C34</f>
        <v>384.50907791852245</v>
      </c>
      <c r="E34" s="42">
        <f t="shared" ref="E34:F34" si="13">D34</f>
        <v>384.50907791852245</v>
      </c>
      <c r="F34" s="42">
        <f t="shared" si="13"/>
        <v>384.50907791852245</v>
      </c>
      <c r="G34" s="72">
        <f>SUM(C34:F34)</f>
        <v>1538.0363116740898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184.59</v>
      </c>
      <c r="D39" s="62">
        <f t="shared" ref="D39:G39" si="15">SUM(D40:D41)</f>
        <v>184.59</v>
      </c>
      <c r="E39" s="62">
        <f t="shared" si="15"/>
        <v>184.59</v>
      </c>
      <c r="F39" s="62">
        <f t="shared" si="15"/>
        <v>184.59</v>
      </c>
      <c r="G39" s="62">
        <f t="shared" si="15"/>
        <v>738.36</v>
      </c>
    </row>
    <row r="40" spans="1:10" ht="20.100000000000001" customHeight="1">
      <c r="A40" s="44"/>
      <c r="B40" s="10" t="s">
        <v>45</v>
      </c>
      <c r="C40" s="42">
        <f t="shared" ref="C40:F41" si="16">C21</f>
        <v>58.59</v>
      </c>
      <c r="D40" s="42">
        <f t="shared" si="16"/>
        <v>58.59</v>
      </c>
      <c r="E40" s="42">
        <f t="shared" si="16"/>
        <v>58.59</v>
      </c>
      <c r="F40" s="42">
        <f t="shared" si="16"/>
        <v>58.59</v>
      </c>
      <c r="G40" s="72">
        <f>SUM(C40:F40)</f>
        <v>234.36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6"/>
        <v>126</v>
      </c>
      <c r="D41" s="55">
        <f t="shared" si="16"/>
        <v>126</v>
      </c>
      <c r="E41" s="55">
        <f t="shared" si="16"/>
        <v>126</v>
      </c>
      <c r="F41" s="55">
        <f t="shared" si="16"/>
        <v>126</v>
      </c>
      <c r="G41" s="72">
        <f>SUM(C41:F41)</f>
        <v>504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2337.2759999999998</v>
      </c>
      <c r="D42" s="62">
        <f>SUM(D43:D58)</f>
        <v>2337.2759999999998</v>
      </c>
      <c r="E42" s="62">
        <f>SUM(E43:E58)</f>
        <v>2337.2759999999998</v>
      </c>
      <c r="F42" s="62">
        <f>SUM(F43:F58)</f>
        <v>2337.2759999999998</v>
      </c>
      <c r="G42" s="64">
        <f t="shared" ref="G42:G51" si="17">SUM(C42:F42)</f>
        <v>9349.1039999999994</v>
      </c>
    </row>
    <row r="43" spans="1:10" ht="20.100000000000001" customHeight="1">
      <c r="A43" s="56"/>
      <c r="B43" s="47" t="s">
        <v>40</v>
      </c>
      <c r="C43" s="42">
        <f>C24</f>
        <v>2337.2759999999998</v>
      </c>
      <c r="D43" s="42">
        <f>D24</f>
        <v>2337.2759999999998</v>
      </c>
      <c r="E43" s="42">
        <f>E24</f>
        <v>2337.2759999999998</v>
      </c>
      <c r="F43" s="42">
        <f>F24</f>
        <v>2337.2759999999998</v>
      </c>
      <c r="G43" s="72">
        <f t="shared" si="17"/>
        <v>9349.1039999999994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3474.672637918522</v>
      </c>
      <c r="D59" s="38">
        <f>D31+D36+D39+D42</f>
        <v>3463.1721979185222</v>
      </c>
      <c r="E59" s="38">
        <f>E31+E36+E39+E42</f>
        <v>3468.9499379185222</v>
      </c>
      <c r="F59" s="38">
        <f>F31+F36+F39+F42</f>
        <v>3526.5071779185218</v>
      </c>
      <c r="G59" s="39">
        <f>G31+G36+G39+G42</f>
        <v>13933.30195167409</v>
      </c>
    </row>
    <row r="60" spans="1:14" ht="26.1" hidden="1" customHeight="1" outlineLevel="1">
      <c r="A60" s="111"/>
      <c r="B60" s="70"/>
      <c r="C60" s="71">
        <f>C29-C59</f>
        <v>471.15909408147763</v>
      </c>
      <c r="D60" s="71">
        <f>D29-D59</f>
        <v>452.34393408147753</v>
      </c>
      <c r="E60" s="71">
        <f>E29-E59</f>
        <v>461.62290408147737</v>
      </c>
      <c r="F60" s="71">
        <f>F29-F59</f>
        <v>555.44148408147794</v>
      </c>
      <c r="G60" s="71">
        <f>G29-G59</f>
        <v>1940.56741632591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1.7009999999999998</v>
      </c>
      <c r="D77" s="65">
        <f>D16*1.2/100</f>
        <v>1.7009999999999998</v>
      </c>
      <c r="E77" s="65">
        <f>E16*1.2/100</f>
        <v>1.7009999999999998</v>
      </c>
      <c r="F77" s="65">
        <f>F16*1.2/100</f>
        <v>1.7009999999999998</v>
      </c>
    </row>
    <row r="78" spans="1:15" hidden="1">
      <c r="A78" s="68"/>
      <c r="C78" s="65">
        <f>(C16-C77)*0.5/100</f>
        <v>0.70024500000000001</v>
      </c>
      <c r="D78" s="65">
        <f>(D16-D77)*0.5/100</f>
        <v>0.70024500000000001</v>
      </c>
      <c r="E78" s="65">
        <f>(E16-E77)*0.5/100</f>
        <v>0.70024500000000001</v>
      </c>
      <c r="F78" s="65">
        <f>(F16-F77)*0.5/100</f>
        <v>0.70024500000000001</v>
      </c>
    </row>
    <row r="79" spans="1:15" hidden="1">
      <c r="C79" s="3">
        <f>C9*1.2/100</f>
        <v>10.410452783999999</v>
      </c>
      <c r="D79" s="3">
        <f>D9*1.2/100</f>
        <v>10.046665583999998</v>
      </c>
      <c r="E79" s="3">
        <f>E9*1.2/100</f>
        <v>10.227346103999999</v>
      </c>
      <c r="F79" s="3">
        <f>F9*1.2/100</f>
        <v>12.043855943999999</v>
      </c>
    </row>
    <row r="80" spans="1:15" s="3" customFormat="1" hidden="1">
      <c r="A80" s="2"/>
      <c r="B80" s="2"/>
      <c r="C80" s="3">
        <f>(C9-C79)*4/100</f>
        <v>34.285091168640001</v>
      </c>
      <c r="D80" s="3">
        <f>(D9-D79)*4/100</f>
        <v>33.087018656639991</v>
      </c>
      <c r="E80" s="3">
        <f>(E9-E79)*4/100</f>
        <v>33.682059835839993</v>
      </c>
      <c r="F80" s="3">
        <f>(F9-F79)*4/100</f>
        <v>39.664432242239997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47.096788952639997</v>
      </c>
      <c r="D81" s="3">
        <f t="shared" ref="D81:F81" si="20">SUM(D77:D80)</f>
        <v>45.53492924063999</v>
      </c>
      <c r="E81" s="3">
        <f t="shared" si="20"/>
        <v>46.310650939839988</v>
      </c>
      <c r="F81" s="3">
        <f t="shared" si="20"/>
        <v>54.109533186239993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105C-AC42-4317-AE38-F93BA946F30E}">
  <sheetPr>
    <tabColor rgb="FFFFC000"/>
    <pageSetUpPr fitToPage="1"/>
  </sheetPr>
  <dimension ref="A1:AA81"/>
  <sheetViews>
    <sheetView showGridLines="0" view="pageBreakPreview" topLeftCell="A4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1418.5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14</v>
      </c>
      <c r="K4" s="150" t="s">
        <v>170</v>
      </c>
      <c r="L4" s="2">
        <f>SUM(J1/L1)</f>
        <v>70.924999999999997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18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879.00867600000004</v>
      </c>
      <c r="D9" s="22">
        <f t="shared" ref="D9:F9" si="0">SUM(D10:D15)</f>
        <v>850.15599600000019</v>
      </c>
      <c r="E9" s="22">
        <f t="shared" si="0"/>
        <v>892.78186099999994</v>
      </c>
      <c r="F9" s="22">
        <f t="shared" si="0"/>
        <v>1093.444311</v>
      </c>
      <c r="G9" s="22">
        <f>SUM(G10:G15)</f>
        <v>3715.390844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562.57710000000009</v>
      </c>
      <c r="D10" s="12">
        <f>SUM(I10*2+O10*1)</f>
        <v>550.66170000000011</v>
      </c>
      <c r="E10" s="12">
        <f>SUM(O10*2)+U10*1</f>
        <v>526.83089999999993</v>
      </c>
      <c r="F10" s="12">
        <f>SUM(U10*3)</f>
        <v>526.83089999999993</v>
      </c>
      <c r="G10" s="75">
        <f>SUM(C10:F10)</f>
        <v>2166.9005999999999</v>
      </c>
      <c r="H10" s="144" t="s">
        <v>157</v>
      </c>
      <c r="I10" s="149">
        <f>SUM(M10*K10)</f>
        <v>187.52570000000003</v>
      </c>
      <c r="J10" s="149"/>
      <c r="K10" s="149">
        <v>0.13220000000000001</v>
      </c>
      <c r="L10" s="149"/>
      <c r="M10" s="154">
        <f>SUM(J1)</f>
        <v>1418.5</v>
      </c>
      <c r="N10" s="127"/>
      <c r="O10" s="149">
        <f>SUM(S10*Q10)</f>
        <v>175.6103</v>
      </c>
      <c r="P10" s="149" t="s">
        <v>161</v>
      </c>
      <c r="Q10" s="149">
        <v>0.12379999999999999</v>
      </c>
      <c r="R10" s="149"/>
      <c r="S10" s="154">
        <f>SUM(J1)</f>
        <v>1418.5</v>
      </c>
      <c r="T10" s="127"/>
      <c r="U10" s="149">
        <f>SUM(Y10*W10)</f>
        <v>175.6103</v>
      </c>
      <c r="V10" s="149" t="s">
        <v>161</v>
      </c>
      <c r="W10" s="149">
        <v>0.12379999999999999</v>
      </c>
      <c r="X10" s="149"/>
      <c r="Y10" s="154">
        <f>SUM(J1)</f>
        <v>1418.5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0.100000000000001" customHeight="1">
      <c r="A13" s="114"/>
      <c r="B13" s="10" t="s">
        <v>10</v>
      </c>
      <c r="C13" s="12">
        <f>SUM(I13*3)</f>
        <v>59.94</v>
      </c>
      <c r="D13" s="12">
        <f>SUM(I13*2+O13)</f>
        <v>59.129999999999995</v>
      </c>
      <c r="E13" s="12">
        <f>SUM(O13*2+U13)</f>
        <v>96.072949999999992</v>
      </c>
      <c r="F13" s="12">
        <f>SUM(U13*3)</f>
        <v>173.19884999999999</v>
      </c>
      <c r="G13" s="75">
        <f t="shared" ref="G13:G14" si="1">SUM(C13:F13)</f>
        <v>388.34179999999998</v>
      </c>
      <c r="H13" s="144" t="s">
        <v>152</v>
      </c>
      <c r="I13" s="149">
        <f>SUM(J5*1.5*K13)</f>
        <v>19.98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19.169999999999998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57.732950000000002</v>
      </c>
      <c r="V13" s="149" t="s">
        <v>161</v>
      </c>
      <c r="W13" s="149">
        <v>4.07E-2</v>
      </c>
      <c r="X13" s="149"/>
      <c r="Y13" s="154">
        <f>SUM(J1)</f>
        <v>1418.5</v>
      </c>
      <c r="Z13" s="41"/>
    </row>
    <row r="14" spans="1:26" ht="20.100000000000001" customHeight="1" outlineLevel="1">
      <c r="A14" s="24"/>
      <c r="B14" s="10" t="s">
        <v>11</v>
      </c>
      <c r="C14" s="12">
        <f>SUM(I14*3)</f>
        <v>127.71000000000002</v>
      </c>
      <c r="D14" s="12">
        <f>SUM(I14*2+O14)</f>
        <v>112.95000000000002</v>
      </c>
      <c r="E14" s="12">
        <f>SUM(O14*2+U14)</f>
        <v>145.198275</v>
      </c>
      <c r="F14" s="12">
        <f>SUM(U14*3)</f>
        <v>268.734825</v>
      </c>
      <c r="G14" s="75">
        <f t="shared" si="1"/>
        <v>654.59310000000005</v>
      </c>
      <c r="H14" s="144" t="s">
        <v>11</v>
      </c>
      <c r="I14" s="149">
        <f>SUM((K14+L14/2))*J5</f>
        <v>42.570000000000007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27.81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89.578274999999991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1418.5</v>
      </c>
      <c r="Z14" s="41"/>
    </row>
    <row r="15" spans="1:26" ht="20.100000000000001" customHeight="1" outlineLevel="1" thickBot="1">
      <c r="A15" s="24"/>
      <c r="B15" s="10" t="s">
        <v>12</v>
      </c>
      <c r="C15" s="9">
        <f>SUM(I15*3)</f>
        <v>128.781576</v>
      </c>
      <c r="D15" s="9">
        <f>SUM(I15*2+O15)</f>
        <v>127.41429599999999</v>
      </c>
      <c r="E15" s="9">
        <f>SUM(O15*2+U15)</f>
        <v>124.67973599999999</v>
      </c>
      <c r="F15" s="9">
        <f>SUM(U15*3)</f>
        <v>124.67973599999999</v>
      </c>
      <c r="G15" s="75">
        <f t="shared" ref="G15" si="2">SUM(C15:F15)</f>
        <v>505.55534399999999</v>
      </c>
      <c r="H15" s="144" t="s">
        <v>150</v>
      </c>
      <c r="I15" s="149">
        <f>SUM(J15*((K15+L15))/2)*M15</f>
        <v>42.927191999999998</v>
      </c>
      <c r="J15" s="149">
        <v>0.24</v>
      </c>
      <c r="K15" s="149">
        <v>9.2583000000000002</v>
      </c>
      <c r="L15" s="149">
        <v>10.615399999999999</v>
      </c>
      <c r="M15" s="149">
        <f>SUM(J5)</f>
        <v>18</v>
      </c>
      <c r="N15" s="86"/>
      <c r="O15" s="149">
        <f>SUM(P15*((Q15+R15)/2)*S15)</f>
        <v>41.559911999999997</v>
      </c>
      <c r="P15" s="149">
        <v>0.24</v>
      </c>
      <c r="Q15" s="149">
        <v>8.9418000000000006</v>
      </c>
      <c r="R15" s="149">
        <v>10.2989</v>
      </c>
      <c r="S15" s="149">
        <f>SUM(J5)</f>
        <v>18</v>
      </c>
      <c r="T15" s="86"/>
      <c r="U15" s="149">
        <f>SUM(V15*((W15+X15)/2)*Y15)</f>
        <v>41.559911999999997</v>
      </c>
      <c r="V15" s="149">
        <v>0.24</v>
      </c>
      <c r="W15" s="149">
        <v>8.9418000000000006</v>
      </c>
      <c r="X15" s="149">
        <v>10.2989</v>
      </c>
      <c r="Y15" s="149">
        <f>SUM(J5)</f>
        <v>18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121.5</v>
      </c>
      <c r="D16" s="35">
        <f t="shared" ref="D16:F16" si="3">SUM(D17:D19)</f>
        <v>121.5</v>
      </c>
      <c r="E16" s="35">
        <f t="shared" si="3"/>
        <v>121.5</v>
      </c>
      <c r="F16" s="35">
        <f t="shared" si="3"/>
        <v>121.5</v>
      </c>
      <c r="G16" s="35">
        <f t="shared" ref="G16" si="4">SUM(G17:G19)</f>
        <v>486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$I$17*3</f>
        <v>57.509999999999991</v>
      </c>
      <c r="D17" s="12">
        <f t="shared" ref="D17:F17" si="5">$I$17*3</f>
        <v>57.509999999999991</v>
      </c>
      <c r="E17" s="12">
        <f t="shared" si="5"/>
        <v>57.509999999999991</v>
      </c>
      <c r="F17" s="12">
        <f t="shared" si="5"/>
        <v>57.509999999999991</v>
      </c>
      <c r="G17" s="76">
        <f>SUM(C17:F17)</f>
        <v>230.03999999999996</v>
      </c>
      <c r="H17" s="146" t="s">
        <v>153</v>
      </c>
      <c r="I17" s="149">
        <f>SUM(K17*M17)*1.5</f>
        <v>19.169999999999998</v>
      </c>
      <c r="J17" s="149" t="s">
        <v>163</v>
      </c>
      <c r="K17" s="149">
        <v>0.71</v>
      </c>
      <c r="L17" s="149"/>
      <c r="M17" s="149">
        <f>SUM(J5)</f>
        <v>18</v>
      </c>
      <c r="N17" s="86"/>
      <c r="O17" s="149">
        <f>SUM(Q17*S17*1.5)</f>
        <v>19.169999999999998</v>
      </c>
      <c r="P17" s="149" t="s">
        <v>163</v>
      </c>
      <c r="Q17" s="149">
        <v>0.71</v>
      </c>
      <c r="R17" s="149"/>
      <c r="S17" s="149">
        <f>SUM(J5)</f>
        <v>18</v>
      </c>
      <c r="T17" s="86"/>
      <c r="U17" s="149">
        <f>SUM(W17*Y17)</f>
        <v>28.086300000000001</v>
      </c>
      <c r="V17" s="149" t="s">
        <v>163</v>
      </c>
      <c r="W17" s="149">
        <v>1.9800000000000002E-2</v>
      </c>
      <c r="X17" s="149"/>
      <c r="Y17" s="149">
        <f>SUM(J1)</f>
        <v>1418.5</v>
      </c>
      <c r="Z17" s="40"/>
    </row>
    <row r="18" spans="1:27" ht="40.5" customHeight="1" outlineLevel="1">
      <c r="A18" s="29"/>
      <c r="B18" s="10" t="s">
        <v>14</v>
      </c>
      <c r="C18" s="9">
        <f>$I$18*3</f>
        <v>63.990000000000009</v>
      </c>
      <c r="D18" s="9">
        <f t="shared" ref="D18:F18" si="6">$I$18*3</f>
        <v>63.990000000000009</v>
      </c>
      <c r="E18" s="9">
        <f t="shared" si="6"/>
        <v>63.990000000000009</v>
      </c>
      <c r="F18" s="9">
        <f t="shared" si="6"/>
        <v>63.990000000000009</v>
      </c>
      <c r="G18" s="76">
        <f>SUM(C18:F18)</f>
        <v>255.96000000000004</v>
      </c>
      <c r="H18" s="146" t="s">
        <v>154</v>
      </c>
      <c r="I18" s="149">
        <f>SUM(K18*M18)*1.5</f>
        <v>21.330000000000002</v>
      </c>
      <c r="J18" s="149" t="s">
        <v>163</v>
      </c>
      <c r="K18" s="149">
        <v>0.79</v>
      </c>
      <c r="L18" s="149"/>
      <c r="M18" s="149">
        <f>SUM(J5)</f>
        <v>18</v>
      </c>
      <c r="N18" s="86"/>
      <c r="O18" s="149">
        <f>SUM(Q18*S18)*1.5</f>
        <v>21.330000000000002</v>
      </c>
      <c r="P18" s="149" t="s">
        <v>163</v>
      </c>
      <c r="Q18" s="149">
        <v>0.79</v>
      </c>
      <c r="R18" s="149"/>
      <c r="S18" s="149">
        <f>SUM(J5)</f>
        <v>18</v>
      </c>
      <c r="T18" s="86"/>
      <c r="U18" s="149">
        <f>SUM(W18*Y18)*1.5</f>
        <v>21.330000000000002</v>
      </c>
      <c r="V18" s="149" t="s">
        <v>163</v>
      </c>
      <c r="W18" s="149">
        <v>0.79</v>
      </c>
      <c r="X18" s="149"/>
      <c r="Y18" s="149">
        <f>SUM(J5)</f>
        <v>18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158.22</v>
      </c>
      <c r="D20" s="22">
        <f t="shared" ref="D20:F20" si="7">SUM(D21:D22)</f>
        <v>158.22</v>
      </c>
      <c r="E20" s="22">
        <f t="shared" si="7"/>
        <v>158.22</v>
      </c>
      <c r="F20" s="22">
        <f t="shared" si="7"/>
        <v>158.22</v>
      </c>
      <c r="G20" s="8">
        <f>SUM(G21:G22)</f>
        <v>632.88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50.220000000000006</v>
      </c>
      <c r="D21" s="11">
        <f>SUM(M21*3)</f>
        <v>50.220000000000006</v>
      </c>
      <c r="E21" s="11">
        <f>SUM(M21*3)</f>
        <v>50.220000000000006</v>
      </c>
      <c r="F21" s="11">
        <f>SUM(M21*3)</f>
        <v>50.220000000000006</v>
      </c>
      <c r="G21" s="76">
        <f>SUM(C21:F21)</f>
        <v>200.88000000000002</v>
      </c>
      <c r="H21" s="145" t="s">
        <v>149</v>
      </c>
      <c r="I21" s="105">
        <f>SUM(J5)</f>
        <v>18</v>
      </c>
      <c r="J21" s="106"/>
      <c r="K21" s="243">
        <v>0.93</v>
      </c>
      <c r="L21" s="106"/>
      <c r="M21" s="107">
        <f>I21*K21</f>
        <v>16.740000000000002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108</v>
      </c>
      <c r="D22" s="26">
        <f>SUM(M22*3)</f>
        <v>108</v>
      </c>
      <c r="E22" s="26">
        <f>SUM(M22*3)</f>
        <v>108</v>
      </c>
      <c r="F22" s="26">
        <f>SUM(M22*3)</f>
        <v>108</v>
      </c>
      <c r="G22" s="77">
        <f>SUM(C22:F22)</f>
        <v>432</v>
      </c>
      <c r="H22" s="146" t="s">
        <v>156</v>
      </c>
      <c r="I22" s="108">
        <f>SUM(J5)</f>
        <v>18</v>
      </c>
      <c r="J22" s="109"/>
      <c r="K22" s="109">
        <v>2</v>
      </c>
      <c r="L22" s="109"/>
      <c r="M22" s="110">
        <f>I22*K22</f>
        <v>36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3106.5149999999999</v>
      </c>
      <c r="D23" s="22">
        <f t="shared" ref="D23:F23" si="8">SUM(D24:D25)</f>
        <v>3106.5149999999999</v>
      </c>
      <c r="E23" s="22">
        <f t="shared" si="8"/>
        <v>3106.5149999999999</v>
      </c>
      <c r="F23" s="22">
        <f t="shared" si="8"/>
        <v>3106.5149999999999</v>
      </c>
      <c r="G23" s="8">
        <f>SUM(G24:G25)</f>
        <v>12426.06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2638.41</v>
      </c>
      <c r="D24" s="9">
        <f>SUM(M24*3)</f>
        <v>2638.41</v>
      </c>
      <c r="E24" s="9">
        <f>SUM(M24*3)</f>
        <v>2638.41</v>
      </c>
      <c r="F24" s="9">
        <f>SUM(M24*3)</f>
        <v>2638.41</v>
      </c>
      <c r="G24" s="76">
        <f t="shared" ref="G24:G25" si="9">SUM(C24:F24)</f>
        <v>10553.64</v>
      </c>
      <c r="H24" s="148" t="s">
        <v>158</v>
      </c>
      <c r="I24" s="99">
        <f>SUM(J1)</f>
        <v>1418.5</v>
      </c>
      <c r="J24" s="100"/>
      <c r="K24" s="106">
        <v>0.62</v>
      </c>
      <c r="L24" s="106"/>
      <c r="M24" s="101">
        <f>SUM(I24*K24)</f>
        <v>879.47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468.10500000000002</v>
      </c>
      <c r="D25" s="26">
        <f>SUM(M25*3)</f>
        <v>468.10500000000002</v>
      </c>
      <c r="E25" s="26">
        <f>SUM(M25*3)</f>
        <v>468.10500000000002</v>
      </c>
      <c r="F25" s="26">
        <f>SUM(M25*3)</f>
        <v>468.10500000000002</v>
      </c>
      <c r="G25" s="77">
        <f t="shared" si="9"/>
        <v>1872.42</v>
      </c>
      <c r="H25" s="148" t="s">
        <v>159</v>
      </c>
      <c r="I25" s="102">
        <f>SUM(J1)</f>
        <v>1418.5</v>
      </c>
      <c r="J25" s="104"/>
      <c r="K25" s="109">
        <v>0.11</v>
      </c>
      <c r="L25" s="109"/>
      <c r="M25" s="101">
        <f>SUM(I25*K25)</f>
        <v>156.035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4265.2436760000001</v>
      </c>
      <c r="D29" s="50">
        <f>D9+D16+D20+D23+D26</f>
        <v>4236.3909960000001</v>
      </c>
      <c r="E29" s="50">
        <f>E9+E16+E20+E23+E26</f>
        <v>4279.0168610000001</v>
      </c>
      <c r="F29" s="50">
        <f>F9+F16+F20+F23+F26</f>
        <v>4479.6793109999999</v>
      </c>
      <c r="G29" s="51">
        <f t="shared" si="11"/>
        <v>17260.330844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1056.5662222564254</v>
      </c>
      <c r="D31" s="62">
        <f>SUM(D32:D35)</f>
        <v>1043.8408222564253</v>
      </c>
      <c r="E31" s="62">
        <f>SUM(E32:E35)</f>
        <v>1056.9529722564253</v>
      </c>
      <c r="F31" s="62">
        <f>SUM(F32:F35)</f>
        <v>1134.0788722564253</v>
      </c>
      <c r="G31" s="62">
        <f>SUM(G32:G35)</f>
        <v>4291.4388890257014</v>
      </c>
    </row>
    <row r="32" spans="1:27" ht="20.100000000000001" customHeight="1">
      <c r="A32" s="44"/>
      <c r="B32" s="10" t="s">
        <v>3</v>
      </c>
      <c r="C32" s="42">
        <f>C10</f>
        <v>562.57710000000009</v>
      </c>
      <c r="D32" s="42">
        <f>D10</f>
        <v>550.66170000000011</v>
      </c>
      <c r="E32" s="42">
        <f>E10</f>
        <v>526.83089999999993</v>
      </c>
      <c r="F32" s="42">
        <f>F10</f>
        <v>526.83089999999993</v>
      </c>
      <c r="G32" s="72">
        <f>SUM(C32:F32)</f>
        <v>2166.9005999999999</v>
      </c>
    </row>
    <row r="33" spans="1:10" ht="20.100000000000001" customHeight="1">
      <c r="A33" s="44"/>
      <c r="B33" s="10" t="s">
        <v>10</v>
      </c>
      <c r="C33" s="42">
        <f t="shared" ref="C33:F33" si="12">C13</f>
        <v>59.94</v>
      </c>
      <c r="D33" s="42">
        <f t="shared" si="12"/>
        <v>59.129999999999995</v>
      </c>
      <c r="E33" s="42">
        <f t="shared" si="12"/>
        <v>96.072949999999992</v>
      </c>
      <c r="F33" s="42">
        <f t="shared" si="12"/>
        <v>173.19884999999999</v>
      </c>
      <c r="G33" s="72">
        <f>SUM(C33:F33)</f>
        <v>388.34179999999998</v>
      </c>
    </row>
    <row r="34" spans="1:10" ht="57.75" customHeight="1">
      <c r="A34" s="44"/>
      <c r="B34" s="10" t="s">
        <v>46</v>
      </c>
      <c r="C34" s="42">
        <f>Лист15!D11</f>
        <v>434.04912225642533</v>
      </c>
      <c r="D34" s="42">
        <f>C34</f>
        <v>434.04912225642533</v>
      </c>
      <c r="E34" s="42">
        <f t="shared" ref="E34:F34" si="13">D34</f>
        <v>434.04912225642533</v>
      </c>
      <c r="F34" s="42">
        <f t="shared" si="13"/>
        <v>434.04912225642533</v>
      </c>
      <c r="G34" s="72">
        <f>SUM(C34:F34)</f>
        <v>1736.1964890257013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158.22</v>
      </c>
      <c r="D39" s="62">
        <f t="shared" ref="D39:G39" si="15">SUM(D40:D41)</f>
        <v>158.22</v>
      </c>
      <c r="E39" s="62">
        <f t="shared" si="15"/>
        <v>158.22</v>
      </c>
      <c r="F39" s="62">
        <f t="shared" si="15"/>
        <v>158.22</v>
      </c>
      <c r="G39" s="62">
        <f t="shared" si="15"/>
        <v>632.88</v>
      </c>
    </row>
    <row r="40" spans="1:10" ht="20.100000000000001" customHeight="1">
      <c r="A40" s="44"/>
      <c r="B40" s="10" t="s">
        <v>45</v>
      </c>
      <c r="C40" s="42">
        <f t="shared" ref="C40:F41" si="16">C21</f>
        <v>50.220000000000006</v>
      </c>
      <c r="D40" s="42">
        <f t="shared" si="16"/>
        <v>50.220000000000006</v>
      </c>
      <c r="E40" s="42">
        <f t="shared" si="16"/>
        <v>50.220000000000006</v>
      </c>
      <c r="F40" s="42">
        <f t="shared" si="16"/>
        <v>50.220000000000006</v>
      </c>
      <c r="G40" s="72">
        <f>SUM(C40:F40)</f>
        <v>200.88000000000002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6"/>
        <v>108</v>
      </c>
      <c r="D41" s="55">
        <f t="shared" si="16"/>
        <v>108</v>
      </c>
      <c r="E41" s="55">
        <f t="shared" si="16"/>
        <v>108</v>
      </c>
      <c r="F41" s="55">
        <f t="shared" si="16"/>
        <v>108</v>
      </c>
      <c r="G41" s="72">
        <f>SUM(C41:F41)</f>
        <v>432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2638.41</v>
      </c>
      <c r="D42" s="62">
        <f>SUM(D43:D58)</f>
        <v>2638.41</v>
      </c>
      <c r="E42" s="62">
        <f>SUM(E43:E58)</f>
        <v>2638.41</v>
      </c>
      <c r="F42" s="62">
        <f>SUM(F43:F58)</f>
        <v>2638.41</v>
      </c>
      <c r="G42" s="64">
        <f t="shared" ref="G42:G51" si="17">SUM(C42:F42)</f>
        <v>10553.64</v>
      </c>
    </row>
    <row r="43" spans="1:10" ht="20.100000000000001" customHeight="1">
      <c r="A43" s="56"/>
      <c r="B43" s="47" t="s">
        <v>40</v>
      </c>
      <c r="C43" s="42">
        <f>C24</f>
        <v>2638.41</v>
      </c>
      <c r="D43" s="42">
        <f>D24</f>
        <v>2638.41</v>
      </c>
      <c r="E43" s="42">
        <f>E24</f>
        <v>2638.41</v>
      </c>
      <c r="F43" s="42">
        <f>F24</f>
        <v>2638.41</v>
      </c>
      <c r="G43" s="72">
        <f t="shared" si="17"/>
        <v>10553.64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3853.1962222564252</v>
      </c>
      <c r="D59" s="38">
        <f>D31+D36+D39+D42</f>
        <v>3840.470822256425</v>
      </c>
      <c r="E59" s="38">
        <f>E31+E36+E39+E42</f>
        <v>3853.5829722564249</v>
      </c>
      <c r="F59" s="38">
        <f>F31+F36+F39+F42</f>
        <v>3930.7088722564249</v>
      </c>
      <c r="G59" s="39">
        <f>G31+G36+G39+G42</f>
        <v>15477.9588890257</v>
      </c>
    </row>
    <row r="60" spans="1:14" ht="26.1" hidden="1" customHeight="1" outlineLevel="1">
      <c r="A60" s="111"/>
      <c r="B60" s="70"/>
      <c r="C60" s="71">
        <f>C29-C59</f>
        <v>412.04745374357481</v>
      </c>
      <c r="D60" s="71">
        <f>D29-D59</f>
        <v>395.92017374357511</v>
      </c>
      <c r="E60" s="71">
        <f>E29-E59</f>
        <v>425.43388874357515</v>
      </c>
      <c r="F60" s="71">
        <f>F29-F59</f>
        <v>548.97043874357496</v>
      </c>
      <c r="G60" s="71">
        <f>G29-G59</f>
        <v>1782.3719549743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1.4579999999999997</v>
      </c>
      <c r="D77" s="65">
        <f>D16*1.2/100</f>
        <v>1.4579999999999997</v>
      </c>
      <c r="E77" s="65">
        <f>E16*1.2/100</f>
        <v>1.4579999999999997</v>
      </c>
      <c r="F77" s="65">
        <f>F16*1.2/100</f>
        <v>1.4579999999999997</v>
      </c>
    </row>
    <row r="78" spans="1:15" hidden="1">
      <c r="A78" s="68"/>
      <c r="C78" s="65">
        <f>(C16-C77)*0.5/100</f>
        <v>0.60021000000000002</v>
      </c>
      <c r="D78" s="65">
        <f>(D16-D77)*0.5/100</f>
        <v>0.60021000000000002</v>
      </c>
      <c r="E78" s="65">
        <f>(E16-E77)*0.5/100</f>
        <v>0.60021000000000002</v>
      </c>
      <c r="F78" s="65">
        <f>(F16-F77)*0.5/100</f>
        <v>0.60021000000000002</v>
      </c>
    </row>
    <row r="79" spans="1:15" hidden="1">
      <c r="C79" s="3">
        <f>C9*1.2/100</f>
        <v>10.548104112000001</v>
      </c>
      <c r="D79" s="3">
        <f>D9*1.2/100</f>
        <v>10.201871952000001</v>
      </c>
      <c r="E79" s="3">
        <f>E9*1.2/100</f>
        <v>10.713382331999998</v>
      </c>
      <c r="F79" s="3">
        <f>F9*1.2/100</f>
        <v>13.121331731999998</v>
      </c>
    </row>
    <row r="80" spans="1:15" s="3" customFormat="1" hidden="1">
      <c r="A80" s="2"/>
      <c r="B80" s="2"/>
      <c r="C80" s="3">
        <f>(C9-C79)*4/100</f>
        <v>34.738422875520001</v>
      </c>
      <c r="D80" s="3">
        <f>(D9-D79)*4/100</f>
        <v>33.598164961920006</v>
      </c>
      <c r="E80" s="3">
        <f>(E9-E79)*4/100</f>
        <v>35.282739146719997</v>
      </c>
      <c r="F80" s="3">
        <f>(F9-F79)*4/100</f>
        <v>43.212919170719999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47.344736987520001</v>
      </c>
      <c r="D81" s="3">
        <f t="shared" ref="D81:F81" si="20">SUM(D77:D80)</f>
        <v>45.858246913920006</v>
      </c>
      <c r="E81" s="3">
        <f t="shared" si="20"/>
        <v>48.054331478719995</v>
      </c>
      <c r="F81" s="3">
        <f t="shared" si="20"/>
        <v>58.392460902719996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66F7-9584-4697-A11D-41B656080FA3}">
  <sheetPr>
    <tabColor rgb="FFFFC000"/>
    <pageSetUpPr fitToPage="1"/>
  </sheetPr>
  <dimension ref="A1:AA81"/>
  <sheetViews>
    <sheetView showGridLines="0" view="pageBreakPreview" topLeftCell="A6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1259.8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116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97"/>
      <c r="L3" s="2">
        <v>20</v>
      </c>
    </row>
    <row r="4" spans="1:26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16</v>
      </c>
      <c r="K4" s="97"/>
      <c r="L4" s="131"/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21</v>
      </c>
      <c r="K5" s="6"/>
      <c r="L5" s="132"/>
    </row>
    <row r="6" spans="1:26" ht="37.5">
      <c r="A6" s="276"/>
      <c r="B6" s="278"/>
      <c r="C6" s="271"/>
      <c r="D6" s="271"/>
      <c r="E6" s="271"/>
      <c r="F6" s="271"/>
      <c r="G6" s="270"/>
      <c r="I6" s="4"/>
      <c r="J6" s="4"/>
      <c r="K6" s="150" t="s">
        <v>170</v>
      </c>
      <c r="L6" s="2">
        <f>SUM(J3/L3)</f>
        <v>0</v>
      </c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868.80685199999994</v>
      </c>
      <c r="D9" s="22">
        <f t="shared" ref="D9:F9" si="0">SUM(D10:D15)</f>
        <v>838.46437199999991</v>
      </c>
      <c r="E9" s="22">
        <f t="shared" si="0"/>
        <v>853.79964199999995</v>
      </c>
      <c r="F9" s="22">
        <f t="shared" si="0"/>
        <v>1005.840102</v>
      </c>
      <c r="G9" s="22">
        <f>SUM(G10:G15)</f>
        <v>3566.9109680000001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499.63668000000007</v>
      </c>
      <c r="D10" s="12">
        <f>SUM(I10*2+O10*1)</f>
        <v>489.05436000000003</v>
      </c>
      <c r="E10" s="12">
        <f>SUM(O10*2)+U10*1</f>
        <v>467.88971999999995</v>
      </c>
      <c r="F10" s="12">
        <f>SUM(U10*3)</f>
        <v>467.88971999999995</v>
      </c>
      <c r="G10" s="75">
        <f>SUM(C10:F10)</f>
        <v>1924.47048</v>
      </c>
      <c r="H10" s="144" t="s">
        <v>157</v>
      </c>
      <c r="I10" s="149">
        <f>SUM(M10*K10)</f>
        <v>166.54556000000002</v>
      </c>
      <c r="J10" s="149"/>
      <c r="K10" s="149">
        <v>0.13220000000000001</v>
      </c>
      <c r="L10" s="149"/>
      <c r="M10" s="154">
        <f>SUM(J1)</f>
        <v>1259.8</v>
      </c>
      <c r="N10" s="127"/>
      <c r="O10" s="149">
        <f>SUM(S10*Q10)</f>
        <v>155.96323999999998</v>
      </c>
      <c r="P10" s="149" t="s">
        <v>161</v>
      </c>
      <c r="Q10" s="149">
        <v>0.12379999999999999</v>
      </c>
      <c r="R10" s="149"/>
      <c r="S10" s="154">
        <f>SUM(J1)</f>
        <v>1259.8</v>
      </c>
      <c r="T10" s="127"/>
      <c r="U10" s="149">
        <f>SUM(Y10*W10)</f>
        <v>155.96323999999998</v>
      </c>
      <c r="V10" s="149" t="s">
        <v>161</v>
      </c>
      <c r="W10" s="149">
        <v>0.12379999999999999</v>
      </c>
      <c r="X10" s="149"/>
      <c r="Y10" s="154">
        <f>SUM(J1)</f>
        <v>1259.8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0.100000000000001" customHeight="1">
      <c r="A13" s="114"/>
      <c r="B13" s="10" t="s">
        <v>10</v>
      </c>
      <c r="C13" s="12">
        <f>SUM(I13*3)</f>
        <v>69.929999999999993</v>
      </c>
      <c r="D13" s="12">
        <f>SUM(I13*2+O13)</f>
        <v>68.984999999999999</v>
      </c>
      <c r="E13" s="12">
        <f>SUM(O13*2+U13)</f>
        <v>96.003860000000003</v>
      </c>
      <c r="F13" s="12">
        <f>SUM(U13*3)</f>
        <v>153.82157999999998</v>
      </c>
      <c r="G13" s="75">
        <f t="shared" ref="G13:G14" si="1">SUM(C13:F13)</f>
        <v>388.74043999999998</v>
      </c>
      <c r="H13" s="144" t="s">
        <v>152</v>
      </c>
      <c r="I13" s="149">
        <f>SUM(J5*1.5*K13)</f>
        <v>23.31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22.364999999999998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51.273859999999999</v>
      </c>
      <c r="V13" s="149" t="s">
        <v>161</v>
      </c>
      <c r="W13" s="149">
        <v>4.07E-2</v>
      </c>
      <c r="X13" s="149"/>
      <c r="Y13" s="154">
        <f>SUM(J1)</f>
        <v>1259.8</v>
      </c>
      <c r="Z13" s="41"/>
    </row>
    <row r="14" spans="1:26" ht="20.100000000000001" customHeight="1" outlineLevel="1">
      <c r="A14" s="24"/>
      <c r="B14" s="10" t="s">
        <v>11</v>
      </c>
      <c r="C14" s="12">
        <f>SUM(I14*3)</f>
        <v>148.995</v>
      </c>
      <c r="D14" s="12">
        <f>SUM(I14*2+O14)</f>
        <v>131.77500000000001</v>
      </c>
      <c r="E14" s="12">
        <f>SUM(O14*2+U14)</f>
        <v>144.44637</v>
      </c>
      <c r="F14" s="12">
        <f>SUM(U14*3)</f>
        <v>238.66910999999999</v>
      </c>
      <c r="G14" s="75">
        <f t="shared" si="1"/>
        <v>663.88547999999992</v>
      </c>
      <c r="H14" s="144" t="s">
        <v>11</v>
      </c>
      <c r="I14" s="149">
        <f>SUM((K14+L14/2))*J5</f>
        <v>49.665000000000006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32.445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79.556370000000001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1259.8</v>
      </c>
      <c r="Z14" s="41"/>
    </row>
    <row r="15" spans="1:26" ht="20.100000000000001" customHeight="1" outlineLevel="1" thickBot="1">
      <c r="A15" s="24"/>
      <c r="B15" s="10" t="s">
        <v>12</v>
      </c>
      <c r="C15" s="9">
        <f>SUM(I15*3)</f>
        <v>150.24517199999997</v>
      </c>
      <c r="D15" s="9">
        <f>SUM(I15*2+O15)</f>
        <v>148.650012</v>
      </c>
      <c r="E15" s="9">
        <f>SUM(O15*2+U15)</f>
        <v>145.45969200000002</v>
      </c>
      <c r="F15" s="9">
        <f>SUM(U15*3)</f>
        <v>145.45969200000002</v>
      </c>
      <c r="G15" s="75">
        <f t="shared" ref="G15" si="2">SUM(C15:F15)</f>
        <v>589.81456800000001</v>
      </c>
      <c r="H15" s="144" t="s">
        <v>150</v>
      </c>
      <c r="I15" s="149">
        <f>SUM(J15*((K15+L15))/2)*M15</f>
        <v>50.081723999999994</v>
      </c>
      <c r="J15" s="149">
        <v>0.24</v>
      </c>
      <c r="K15" s="149">
        <v>9.2583000000000002</v>
      </c>
      <c r="L15" s="149">
        <v>10.615399999999999</v>
      </c>
      <c r="M15" s="149">
        <f>SUM(J5)</f>
        <v>21</v>
      </c>
      <c r="N15" s="86"/>
      <c r="O15" s="149">
        <f>SUM(P15*((Q15+R15)/2)*S15)</f>
        <v>48.486564000000001</v>
      </c>
      <c r="P15" s="149">
        <v>0.24</v>
      </c>
      <c r="Q15" s="149">
        <v>8.9418000000000006</v>
      </c>
      <c r="R15" s="149">
        <v>10.2989</v>
      </c>
      <c r="S15" s="149">
        <f>SUM(J5)</f>
        <v>21</v>
      </c>
      <c r="T15" s="86"/>
      <c r="U15" s="149">
        <f>SUM(V15*((W15+X15)/2)*Y15)</f>
        <v>48.486564000000001</v>
      </c>
      <c r="V15" s="149">
        <v>0.24</v>
      </c>
      <c r="W15" s="149">
        <v>8.9418000000000006</v>
      </c>
      <c r="X15" s="149">
        <v>10.2989</v>
      </c>
      <c r="Y15" s="149">
        <f>SUM(J5)</f>
        <v>21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141.75</v>
      </c>
      <c r="D16" s="35">
        <f t="shared" ref="D16:F16" si="3">SUM(D17:D19)</f>
        <v>141.75</v>
      </c>
      <c r="E16" s="35">
        <f t="shared" si="3"/>
        <v>141.75</v>
      </c>
      <c r="F16" s="35">
        <f t="shared" si="3"/>
        <v>141.75</v>
      </c>
      <c r="G16" s="35">
        <f t="shared" ref="G16" si="4">SUM(G17:G19)</f>
        <v>567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$I$17*3</f>
        <v>67.094999999999999</v>
      </c>
      <c r="D17" s="12">
        <f t="shared" ref="D17:F17" si="5">$I$17*3</f>
        <v>67.094999999999999</v>
      </c>
      <c r="E17" s="12">
        <f t="shared" si="5"/>
        <v>67.094999999999999</v>
      </c>
      <c r="F17" s="12">
        <f t="shared" si="5"/>
        <v>67.094999999999999</v>
      </c>
      <c r="G17" s="76">
        <f>SUM(C17:F17)</f>
        <v>268.38</v>
      </c>
      <c r="H17" s="146" t="s">
        <v>153</v>
      </c>
      <c r="I17" s="149">
        <f>SUM(K17*M17)*1.5</f>
        <v>22.365000000000002</v>
      </c>
      <c r="J17" s="149" t="s">
        <v>163</v>
      </c>
      <c r="K17" s="149">
        <v>0.71</v>
      </c>
      <c r="L17" s="149"/>
      <c r="M17" s="149">
        <f>SUM(J5)</f>
        <v>21</v>
      </c>
      <c r="N17" s="86"/>
      <c r="O17" s="149">
        <f>SUM(Q17*S17*1.5)</f>
        <v>22.365000000000002</v>
      </c>
      <c r="P17" s="149" t="s">
        <v>163</v>
      </c>
      <c r="Q17" s="149">
        <v>0.71</v>
      </c>
      <c r="R17" s="149"/>
      <c r="S17" s="149">
        <f>SUM(J5)</f>
        <v>21</v>
      </c>
      <c r="T17" s="86"/>
      <c r="U17" s="149">
        <f>SUM(W17*Y17)</f>
        <v>24.944040000000001</v>
      </c>
      <c r="V17" s="149" t="s">
        <v>163</v>
      </c>
      <c r="W17" s="149">
        <v>1.9800000000000002E-2</v>
      </c>
      <c r="X17" s="149"/>
      <c r="Y17" s="149">
        <f>SUM(J1)</f>
        <v>1259.8</v>
      </c>
      <c r="Z17" s="40"/>
    </row>
    <row r="18" spans="1:27" ht="40.5" customHeight="1" outlineLevel="1">
      <c r="A18" s="29"/>
      <c r="B18" s="10" t="s">
        <v>14</v>
      </c>
      <c r="C18" s="9">
        <f>$I$18*3</f>
        <v>74.655000000000001</v>
      </c>
      <c r="D18" s="9">
        <f t="shared" ref="D18:F18" si="6">$I$18*3</f>
        <v>74.655000000000001</v>
      </c>
      <c r="E18" s="9">
        <f t="shared" si="6"/>
        <v>74.655000000000001</v>
      </c>
      <c r="F18" s="9">
        <f t="shared" si="6"/>
        <v>74.655000000000001</v>
      </c>
      <c r="G18" s="76">
        <f>SUM(C18:F18)</f>
        <v>298.62</v>
      </c>
      <c r="H18" s="146" t="s">
        <v>154</v>
      </c>
      <c r="I18" s="149">
        <f>SUM(K18*M18)*1.5</f>
        <v>24.884999999999998</v>
      </c>
      <c r="J18" s="149" t="s">
        <v>163</v>
      </c>
      <c r="K18" s="149">
        <v>0.79</v>
      </c>
      <c r="L18" s="149"/>
      <c r="M18" s="149">
        <f>SUM(J5)</f>
        <v>21</v>
      </c>
      <c r="N18" s="86"/>
      <c r="O18" s="149">
        <f>SUM(Q18*S18)*1.5</f>
        <v>24.884999999999998</v>
      </c>
      <c r="P18" s="149" t="s">
        <v>163</v>
      </c>
      <c r="Q18" s="149">
        <v>0.79</v>
      </c>
      <c r="R18" s="149"/>
      <c r="S18" s="149">
        <f>SUM(J5)</f>
        <v>21</v>
      </c>
      <c r="T18" s="86"/>
      <c r="U18" s="149">
        <f>SUM(W18*Y18)*1.5</f>
        <v>24.884999999999998</v>
      </c>
      <c r="V18" s="149" t="s">
        <v>163</v>
      </c>
      <c r="W18" s="149">
        <v>0.79</v>
      </c>
      <c r="X18" s="149"/>
      <c r="Y18" s="149">
        <f>SUM(J5)</f>
        <v>21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184.59</v>
      </c>
      <c r="D20" s="22">
        <f t="shared" ref="D20:F20" si="7">SUM(D21:D22)</f>
        <v>184.59</v>
      </c>
      <c r="E20" s="22">
        <f t="shared" si="7"/>
        <v>184.59</v>
      </c>
      <c r="F20" s="22">
        <f t="shared" si="7"/>
        <v>184.59</v>
      </c>
      <c r="G20" s="8">
        <f>SUM(G21:G22)</f>
        <v>738.36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58.59</v>
      </c>
      <c r="D21" s="11">
        <f>SUM(M21*3)</f>
        <v>58.59</v>
      </c>
      <c r="E21" s="11">
        <f>SUM(M21*3)</f>
        <v>58.59</v>
      </c>
      <c r="F21" s="11">
        <f>SUM(M21*3)</f>
        <v>58.59</v>
      </c>
      <c r="G21" s="76">
        <f>SUM(C21:F21)</f>
        <v>234.36</v>
      </c>
      <c r="H21" s="145" t="s">
        <v>149</v>
      </c>
      <c r="I21" s="105">
        <f>SUM(J5)</f>
        <v>21</v>
      </c>
      <c r="J21" s="106"/>
      <c r="K21" s="243">
        <v>0.93</v>
      </c>
      <c r="L21" s="106"/>
      <c r="M21" s="107">
        <f>I21*K21</f>
        <v>19.53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126</v>
      </c>
      <c r="D22" s="26">
        <f>SUM(M22*3)</f>
        <v>126</v>
      </c>
      <c r="E22" s="26">
        <f>SUM(M22*3)</f>
        <v>126</v>
      </c>
      <c r="F22" s="26">
        <f>SUM(M22*3)</f>
        <v>126</v>
      </c>
      <c r="G22" s="77">
        <f>SUM(C22:F22)</f>
        <v>504</v>
      </c>
      <c r="H22" s="146" t="s">
        <v>156</v>
      </c>
      <c r="I22" s="108">
        <f>SUM(J5)</f>
        <v>21</v>
      </c>
      <c r="J22" s="109"/>
      <c r="K22" s="109">
        <v>2</v>
      </c>
      <c r="L22" s="109"/>
      <c r="M22" s="110">
        <f>I22*K22</f>
        <v>42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2758.962</v>
      </c>
      <c r="D23" s="22">
        <f t="shared" ref="D23:F23" si="8">SUM(D24:D25)</f>
        <v>2758.962</v>
      </c>
      <c r="E23" s="22">
        <f t="shared" si="8"/>
        <v>2758.962</v>
      </c>
      <c r="F23" s="22">
        <f t="shared" si="8"/>
        <v>2758.962</v>
      </c>
      <c r="G23" s="8">
        <f>SUM(G24:G25)</f>
        <v>11035.848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2343.2280000000001</v>
      </c>
      <c r="D24" s="9">
        <f>SUM(M24*3)</f>
        <v>2343.2280000000001</v>
      </c>
      <c r="E24" s="9">
        <f>SUM(M24*3)</f>
        <v>2343.2280000000001</v>
      </c>
      <c r="F24" s="9">
        <f>SUM(M24*3)</f>
        <v>2343.2280000000001</v>
      </c>
      <c r="G24" s="76">
        <f t="shared" ref="G24:G25" si="9">SUM(C24:F24)</f>
        <v>9372.9120000000003</v>
      </c>
      <c r="H24" s="148" t="s">
        <v>158</v>
      </c>
      <c r="I24" s="99">
        <f>SUM(J1)</f>
        <v>1259.8</v>
      </c>
      <c r="J24" s="100"/>
      <c r="K24" s="106">
        <v>0.62</v>
      </c>
      <c r="L24" s="106"/>
      <c r="M24" s="101">
        <f>SUM(I24*K24)</f>
        <v>781.07600000000002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415.73400000000004</v>
      </c>
      <c r="D25" s="26">
        <f>SUM(M25*3)</f>
        <v>415.73400000000004</v>
      </c>
      <c r="E25" s="26">
        <f>SUM(M25*3)</f>
        <v>415.73400000000004</v>
      </c>
      <c r="F25" s="26">
        <f>SUM(M25*3)</f>
        <v>415.73400000000004</v>
      </c>
      <c r="G25" s="77">
        <f t="shared" si="9"/>
        <v>1662.9360000000001</v>
      </c>
      <c r="H25" s="148" t="s">
        <v>159</v>
      </c>
      <c r="I25" s="102">
        <f>SUM(J1)</f>
        <v>1259.8</v>
      </c>
      <c r="J25" s="104"/>
      <c r="K25" s="109">
        <v>0.11</v>
      </c>
      <c r="L25" s="109"/>
      <c r="M25" s="101">
        <f>SUM(I25*K25)</f>
        <v>138.578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3954.1088519999998</v>
      </c>
      <c r="D29" s="50">
        <f>D9+D16+D20+D23+D26</f>
        <v>3923.766372</v>
      </c>
      <c r="E29" s="50">
        <f>E9+E16+E20+E23+E26</f>
        <v>3939.1016419999996</v>
      </c>
      <c r="F29" s="50">
        <f>F9+F16+F20+F23+F26</f>
        <v>4091.1421019999998</v>
      </c>
      <c r="G29" s="51">
        <f t="shared" si="11"/>
        <v>15908.118967999999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955.05493112347176</v>
      </c>
      <c r="D31" s="62">
        <f>SUM(D32:D35)</f>
        <v>943.52761112347173</v>
      </c>
      <c r="E31" s="62">
        <f>SUM(E32:E35)</f>
        <v>949.38183112347167</v>
      </c>
      <c r="F31" s="62">
        <f>SUM(F32:F35)</f>
        <v>1007.1995511234717</v>
      </c>
      <c r="G31" s="62">
        <f>SUM(G32:G35)</f>
        <v>3855.163924493887</v>
      </c>
    </row>
    <row r="32" spans="1:27" ht="20.100000000000001" customHeight="1">
      <c r="A32" s="44"/>
      <c r="B32" s="10" t="s">
        <v>3</v>
      </c>
      <c r="C32" s="42">
        <f>C10</f>
        <v>499.63668000000007</v>
      </c>
      <c r="D32" s="42">
        <f>D10</f>
        <v>489.05436000000003</v>
      </c>
      <c r="E32" s="42">
        <f>E10</f>
        <v>467.88971999999995</v>
      </c>
      <c r="F32" s="42">
        <f>F10</f>
        <v>467.88971999999995</v>
      </c>
      <c r="G32" s="72">
        <f>SUM(C32:F32)</f>
        <v>1924.47048</v>
      </c>
    </row>
    <row r="33" spans="1:10" ht="20.100000000000001" customHeight="1">
      <c r="A33" s="44"/>
      <c r="B33" s="10" t="s">
        <v>10</v>
      </c>
      <c r="C33" s="42">
        <f t="shared" ref="C33:F33" si="12">C13</f>
        <v>69.929999999999993</v>
      </c>
      <c r="D33" s="42">
        <f t="shared" si="12"/>
        <v>68.984999999999999</v>
      </c>
      <c r="E33" s="42">
        <f t="shared" si="12"/>
        <v>96.003860000000003</v>
      </c>
      <c r="F33" s="42">
        <f t="shared" si="12"/>
        <v>153.82157999999998</v>
      </c>
      <c r="G33" s="72">
        <f>SUM(C33:F33)</f>
        <v>388.74043999999998</v>
      </c>
    </row>
    <row r="34" spans="1:10" ht="57.75" customHeight="1">
      <c r="A34" s="44"/>
      <c r="B34" s="10" t="s">
        <v>46</v>
      </c>
      <c r="C34" s="42">
        <f>Лист15!D12</f>
        <v>385.48825112347174</v>
      </c>
      <c r="D34" s="42">
        <f>C34</f>
        <v>385.48825112347174</v>
      </c>
      <c r="E34" s="42">
        <f t="shared" ref="E34:F34" si="13">D34</f>
        <v>385.48825112347174</v>
      </c>
      <c r="F34" s="42">
        <f t="shared" si="13"/>
        <v>385.48825112347174</v>
      </c>
      <c r="G34" s="72">
        <f>SUM(C34:F34)</f>
        <v>1541.953004493887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184.59</v>
      </c>
      <c r="D39" s="62">
        <f t="shared" ref="D39:G39" si="15">SUM(D40:D41)</f>
        <v>184.59</v>
      </c>
      <c r="E39" s="62">
        <f t="shared" si="15"/>
        <v>184.59</v>
      </c>
      <c r="F39" s="62">
        <f t="shared" si="15"/>
        <v>184.59</v>
      </c>
      <c r="G39" s="62">
        <f t="shared" si="15"/>
        <v>738.36</v>
      </c>
    </row>
    <row r="40" spans="1:10" ht="20.100000000000001" customHeight="1">
      <c r="A40" s="44"/>
      <c r="B40" s="10" t="s">
        <v>45</v>
      </c>
      <c r="C40" s="42">
        <f t="shared" ref="C40:F41" si="16">C21</f>
        <v>58.59</v>
      </c>
      <c r="D40" s="42">
        <f t="shared" si="16"/>
        <v>58.59</v>
      </c>
      <c r="E40" s="42">
        <f t="shared" si="16"/>
        <v>58.59</v>
      </c>
      <c r="F40" s="42">
        <f t="shared" si="16"/>
        <v>58.59</v>
      </c>
      <c r="G40" s="72">
        <f>SUM(C40:F40)</f>
        <v>234.36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6"/>
        <v>126</v>
      </c>
      <c r="D41" s="55">
        <f t="shared" si="16"/>
        <v>126</v>
      </c>
      <c r="E41" s="55">
        <f t="shared" si="16"/>
        <v>126</v>
      </c>
      <c r="F41" s="55">
        <f t="shared" si="16"/>
        <v>126</v>
      </c>
      <c r="G41" s="72">
        <f>SUM(C41:F41)</f>
        <v>504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2343.2280000000001</v>
      </c>
      <c r="D42" s="62">
        <f>SUM(D43:D58)</f>
        <v>2343.2280000000001</v>
      </c>
      <c r="E42" s="62">
        <f>SUM(E43:E58)</f>
        <v>2343.2280000000001</v>
      </c>
      <c r="F42" s="62">
        <f>SUM(F43:F58)</f>
        <v>2343.2280000000001</v>
      </c>
      <c r="G42" s="64">
        <f t="shared" ref="G42:G51" si="17">SUM(C42:F42)</f>
        <v>9372.9120000000003</v>
      </c>
    </row>
    <row r="43" spans="1:10" ht="20.100000000000001" customHeight="1">
      <c r="A43" s="56"/>
      <c r="B43" s="47" t="s">
        <v>40</v>
      </c>
      <c r="C43" s="42">
        <f>C24</f>
        <v>2343.2280000000001</v>
      </c>
      <c r="D43" s="42">
        <f>D24</f>
        <v>2343.2280000000001</v>
      </c>
      <c r="E43" s="42">
        <f>E24</f>
        <v>2343.2280000000001</v>
      </c>
      <c r="F43" s="42">
        <f>F24</f>
        <v>2343.2280000000001</v>
      </c>
      <c r="G43" s="72">
        <f t="shared" si="17"/>
        <v>9372.9120000000003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3482.872931123472</v>
      </c>
      <c r="D59" s="38">
        <f>D31+D36+D39+D42</f>
        <v>3471.3456111234718</v>
      </c>
      <c r="E59" s="38">
        <f>E31+E36+E39+E42</f>
        <v>3477.199831123472</v>
      </c>
      <c r="F59" s="38">
        <f>F31+F36+F39+F42</f>
        <v>3535.017551123472</v>
      </c>
      <c r="G59" s="39">
        <f>G31+G36+G39+G42</f>
        <v>13966.435924493886</v>
      </c>
    </row>
    <row r="60" spans="1:14" ht="26.1" hidden="1" customHeight="1" outlineLevel="1">
      <c r="A60" s="111"/>
      <c r="B60" s="70"/>
      <c r="C60" s="71">
        <f>C29-C59</f>
        <v>471.23592087652787</v>
      </c>
      <c r="D60" s="71">
        <f>D29-D59</f>
        <v>452.42076087652822</v>
      </c>
      <c r="E60" s="71">
        <f>E29-E59</f>
        <v>461.90181087652763</v>
      </c>
      <c r="F60" s="71">
        <f>F29-F59</f>
        <v>556.12455087652779</v>
      </c>
      <c r="G60" s="71">
        <f>G29-G59</f>
        <v>1941.6830435061129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1.7009999999999998</v>
      </c>
      <c r="D77" s="65">
        <f>D16*1.2/100</f>
        <v>1.7009999999999998</v>
      </c>
      <c r="E77" s="65">
        <f>E16*1.2/100</f>
        <v>1.7009999999999998</v>
      </c>
      <c r="F77" s="65">
        <f>F16*1.2/100</f>
        <v>1.7009999999999998</v>
      </c>
    </row>
    <row r="78" spans="1:15" hidden="1">
      <c r="A78" s="68"/>
      <c r="C78" s="65">
        <f>(C16-C77)*0.5/100</f>
        <v>0.70024500000000001</v>
      </c>
      <c r="D78" s="65">
        <f>(D16-D77)*0.5/100</f>
        <v>0.70024500000000001</v>
      </c>
      <c r="E78" s="65">
        <f>(E16-E77)*0.5/100</f>
        <v>0.70024500000000001</v>
      </c>
      <c r="F78" s="65">
        <f>(F16-F77)*0.5/100</f>
        <v>0.70024500000000001</v>
      </c>
    </row>
    <row r="79" spans="1:15" hidden="1">
      <c r="C79" s="3">
        <f>C9*1.2/100</f>
        <v>10.425682223999999</v>
      </c>
      <c r="D79" s="3">
        <f>D9*1.2/100</f>
        <v>10.061572463999999</v>
      </c>
      <c r="E79" s="3">
        <f>E9*1.2/100</f>
        <v>10.245595703999999</v>
      </c>
      <c r="F79" s="3">
        <f>F9*1.2/100</f>
        <v>12.070081224000001</v>
      </c>
    </row>
    <row r="80" spans="1:15" s="3" customFormat="1" hidden="1">
      <c r="A80" s="2"/>
      <c r="B80" s="2"/>
      <c r="C80" s="3">
        <f>(C9-C79)*4/100</f>
        <v>34.335246791039999</v>
      </c>
      <c r="D80" s="3">
        <f>(D9-D79)*4/100</f>
        <v>33.136111981439996</v>
      </c>
      <c r="E80" s="3">
        <f>(E9-E79)*4/100</f>
        <v>33.742161851839995</v>
      </c>
      <c r="F80" s="3">
        <f>(F9-F79)*4/100</f>
        <v>39.750800831040003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47.162174015039994</v>
      </c>
      <c r="D81" s="3">
        <f t="shared" ref="D81:F81" si="20">SUM(D77:D80)</f>
        <v>45.598929445439992</v>
      </c>
      <c r="E81" s="3">
        <f t="shared" si="20"/>
        <v>46.389002555839994</v>
      </c>
      <c r="F81" s="3">
        <f t="shared" si="20"/>
        <v>54.222127055040005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550B-1BF9-4DD5-A48B-4BD1E7185BDF}">
  <sheetPr>
    <tabColor rgb="FFFFC000"/>
    <pageSetUpPr fitToPage="1"/>
  </sheetPr>
  <dimension ref="A1:AA81"/>
  <sheetViews>
    <sheetView showGridLines="0" view="pageBreakPreview" topLeftCell="A7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1261.9000000000001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21</v>
      </c>
      <c r="K4" s="150" t="s">
        <v>170</v>
      </c>
      <c r="L4" s="2">
        <f>SUM(J1/L1)</f>
        <v>63.095000000000006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21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869.63971200000015</v>
      </c>
      <c r="D9" s="22">
        <f t="shared" ref="D9:F9" si="0">SUM(D10:D15)</f>
        <v>839.27959200000009</v>
      </c>
      <c r="E9" s="22">
        <f t="shared" si="0"/>
        <v>854.79766700000005</v>
      </c>
      <c r="F9" s="22">
        <f t="shared" si="0"/>
        <v>1007.274297</v>
      </c>
      <c r="G9" s="22">
        <f>SUM(G10:G15)</f>
        <v>3570.9912679999998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500.46954000000011</v>
      </c>
      <c r="D10" s="12">
        <f>SUM(I10*2+O10*1)</f>
        <v>489.86958000000004</v>
      </c>
      <c r="E10" s="12">
        <f>SUM(O10*2)+U10*1</f>
        <v>468.66966000000002</v>
      </c>
      <c r="F10" s="12">
        <f>SUM(U10*3)</f>
        <v>468.66966000000002</v>
      </c>
      <c r="G10" s="75">
        <f>SUM(C10:F10)</f>
        <v>1927.6784400000001</v>
      </c>
      <c r="H10" s="144" t="s">
        <v>157</v>
      </c>
      <c r="I10" s="149">
        <f>SUM(M10*K10)</f>
        <v>166.82318000000004</v>
      </c>
      <c r="J10" s="149"/>
      <c r="K10" s="149">
        <v>0.13220000000000001</v>
      </c>
      <c r="L10" s="149"/>
      <c r="M10" s="154">
        <f>SUM(J1)</f>
        <v>1261.9000000000001</v>
      </c>
      <c r="N10" s="127"/>
      <c r="O10" s="149">
        <f>SUM(S10*Q10)</f>
        <v>156.22322</v>
      </c>
      <c r="P10" s="149" t="s">
        <v>161</v>
      </c>
      <c r="Q10" s="149">
        <v>0.12379999999999999</v>
      </c>
      <c r="R10" s="149"/>
      <c r="S10" s="154">
        <f>SUM(J1)</f>
        <v>1261.9000000000001</v>
      </c>
      <c r="T10" s="127"/>
      <c r="U10" s="149">
        <f>SUM(Y10*W10)</f>
        <v>156.22322</v>
      </c>
      <c r="V10" s="149" t="s">
        <v>161</v>
      </c>
      <c r="W10" s="149">
        <v>0.12379999999999999</v>
      </c>
      <c r="X10" s="149"/>
      <c r="Y10" s="154">
        <f>SUM(J1)</f>
        <v>1261.9000000000001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0.100000000000001" customHeight="1">
      <c r="A13" s="114"/>
      <c r="B13" s="10" t="s">
        <v>10</v>
      </c>
      <c r="C13" s="12">
        <f>SUM(I13*3)</f>
        <v>69.929999999999993</v>
      </c>
      <c r="D13" s="12">
        <f>SUM(I13*2+O13)</f>
        <v>68.984999999999999</v>
      </c>
      <c r="E13" s="12">
        <f>SUM(O13*2+U13)</f>
        <v>96.089330000000004</v>
      </c>
      <c r="F13" s="12">
        <f>SUM(U13*3)</f>
        <v>154.07799000000003</v>
      </c>
      <c r="G13" s="75">
        <f t="shared" ref="G13:G14" si="1">SUM(C13:F13)</f>
        <v>389.08231999999998</v>
      </c>
      <c r="H13" s="144" t="s">
        <v>152</v>
      </c>
      <c r="I13" s="149">
        <f>SUM(J5*1.5*K13)</f>
        <v>23.31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22.364999999999998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51.359330000000007</v>
      </c>
      <c r="V13" s="149" t="s">
        <v>161</v>
      </c>
      <c r="W13" s="149">
        <v>4.07E-2</v>
      </c>
      <c r="X13" s="149"/>
      <c r="Y13" s="154">
        <f>SUM(J1)</f>
        <v>1261.9000000000001</v>
      </c>
      <c r="Z13" s="41"/>
    </row>
    <row r="14" spans="1:26" ht="20.100000000000001" customHeight="1" outlineLevel="1">
      <c r="A14" s="24"/>
      <c r="B14" s="10" t="s">
        <v>11</v>
      </c>
      <c r="C14" s="12">
        <f>SUM(I14*3)</f>
        <v>148.995</v>
      </c>
      <c r="D14" s="12">
        <f>SUM(I14*2+O14)</f>
        <v>131.77500000000001</v>
      </c>
      <c r="E14" s="12">
        <f>SUM(O14*2+U14)</f>
        <v>144.57898499999999</v>
      </c>
      <c r="F14" s="12">
        <f>SUM(U14*3)</f>
        <v>239.06695500000001</v>
      </c>
      <c r="G14" s="75">
        <f t="shared" si="1"/>
        <v>664.41593999999998</v>
      </c>
      <c r="H14" s="144" t="s">
        <v>11</v>
      </c>
      <c r="I14" s="149">
        <f>SUM((K14+L14/2))*J5</f>
        <v>49.665000000000006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32.445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79.688985000000002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1261.9000000000001</v>
      </c>
      <c r="Z14" s="41"/>
    </row>
    <row r="15" spans="1:26" ht="20.100000000000001" customHeight="1" outlineLevel="1" thickBot="1">
      <c r="A15" s="24"/>
      <c r="B15" s="10" t="s">
        <v>12</v>
      </c>
      <c r="C15" s="9">
        <f>SUM(I15*3)</f>
        <v>150.24517199999997</v>
      </c>
      <c r="D15" s="9">
        <f>SUM(I15*2+O15)</f>
        <v>148.650012</v>
      </c>
      <c r="E15" s="9">
        <f>SUM(O15*2+U15)</f>
        <v>145.45969200000002</v>
      </c>
      <c r="F15" s="9">
        <f>SUM(U15*3)</f>
        <v>145.45969200000002</v>
      </c>
      <c r="G15" s="75">
        <f t="shared" ref="G15" si="2">SUM(C15:F15)</f>
        <v>589.81456800000001</v>
      </c>
      <c r="H15" s="144" t="s">
        <v>150</v>
      </c>
      <c r="I15" s="149">
        <f>SUM(J15*((K15+L15))/2)*M15</f>
        <v>50.081723999999994</v>
      </c>
      <c r="J15" s="149">
        <v>0.24</v>
      </c>
      <c r="K15" s="149">
        <v>9.2583000000000002</v>
      </c>
      <c r="L15" s="149">
        <v>10.615399999999999</v>
      </c>
      <c r="M15" s="149">
        <f>SUM(J5)</f>
        <v>21</v>
      </c>
      <c r="N15" s="86"/>
      <c r="O15" s="149">
        <f>SUM(P15*((Q15+R15)/2)*S15)</f>
        <v>48.486564000000001</v>
      </c>
      <c r="P15" s="149">
        <v>0.24</v>
      </c>
      <c r="Q15" s="149">
        <v>8.9418000000000006</v>
      </c>
      <c r="R15" s="149">
        <v>10.2989</v>
      </c>
      <c r="S15" s="149">
        <f>SUM(J5)</f>
        <v>21</v>
      </c>
      <c r="T15" s="86"/>
      <c r="U15" s="149">
        <f>SUM(V15*((W15+X15)/2)*Y15)</f>
        <v>48.486564000000001</v>
      </c>
      <c r="V15" s="149">
        <v>0.24</v>
      </c>
      <c r="W15" s="149">
        <v>8.9418000000000006</v>
      </c>
      <c r="X15" s="149">
        <v>10.2989</v>
      </c>
      <c r="Y15" s="149">
        <f>SUM(J5)</f>
        <v>21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141.75</v>
      </c>
      <c r="D16" s="35">
        <f t="shared" ref="D16:F16" si="3">SUM(D17:D19)</f>
        <v>141.75</v>
      </c>
      <c r="E16" s="35">
        <f t="shared" si="3"/>
        <v>141.75</v>
      </c>
      <c r="F16" s="35">
        <f t="shared" si="3"/>
        <v>141.75</v>
      </c>
      <c r="G16" s="35">
        <f t="shared" ref="G16" si="4">SUM(G17:G19)</f>
        <v>567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$I$17*3</f>
        <v>67.094999999999999</v>
      </c>
      <c r="D17" s="12">
        <f t="shared" ref="D17:F17" si="5">$I$17*3</f>
        <v>67.094999999999999</v>
      </c>
      <c r="E17" s="12">
        <f t="shared" si="5"/>
        <v>67.094999999999999</v>
      </c>
      <c r="F17" s="12">
        <f t="shared" si="5"/>
        <v>67.094999999999999</v>
      </c>
      <c r="G17" s="76">
        <f>SUM(C17:F17)</f>
        <v>268.38</v>
      </c>
      <c r="H17" s="146" t="s">
        <v>153</v>
      </c>
      <c r="I17" s="149">
        <f>SUM(K17*M17)*1.5</f>
        <v>22.365000000000002</v>
      </c>
      <c r="J17" s="149" t="s">
        <v>163</v>
      </c>
      <c r="K17" s="149">
        <v>0.71</v>
      </c>
      <c r="L17" s="149"/>
      <c r="M17" s="149">
        <f>SUM(J5)</f>
        <v>21</v>
      </c>
      <c r="N17" s="86"/>
      <c r="O17" s="149">
        <f>SUM(Q17*S17*1.5)</f>
        <v>22.365000000000002</v>
      </c>
      <c r="P17" s="149" t="s">
        <v>163</v>
      </c>
      <c r="Q17" s="149">
        <v>0.71</v>
      </c>
      <c r="R17" s="149"/>
      <c r="S17" s="149">
        <f>SUM(J5)</f>
        <v>21</v>
      </c>
      <c r="T17" s="86"/>
      <c r="U17" s="149">
        <f>SUM(W17*Y17)</f>
        <v>24.985620000000004</v>
      </c>
      <c r="V17" s="149" t="s">
        <v>163</v>
      </c>
      <c r="W17" s="149">
        <v>1.9800000000000002E-2</v>
      </c>
      <c r="X17" s="149"/>
      <c r="Y17" s="149">
        <f>SUM(J1)</f>
        <v>1261.9000000000001</v>
      </c>
      <c r="Z17" s="40"/>
    </row>
    <row r="18" spans="1:27" ht="40.5" customHeight="1" outlineLevel="1">
      <c r="A18" s="29"/>
      <c r="B18" s="10" t="s">
        <v>14</v>
      </c>
      <c r="C18" s="9">
        <f>$I$18*3</f>
        <v>74.655000000000001</v>
      </c>
      <c r="D18" s="9">
        <f t="shared" ref="D18:F18" si="6">$I$18*3</f>
        <v>74.655000000000001</v>
      </c>
      <c r="E18" s="9">
        <f t="shared" si="6"/>
        <v>74.655000000000001</v>
      </c>
      <c r="F18" s="9">
        <f t="shared" si="6"/>
        <v>74.655000000000001</v>
      </c>
      <c r="G18" s="76">
        <f>SUM(C18:F18)</f>
        <v>298.62</v>
      </c>
      <c r="H18" s="146" t="s">
        <v>154</v>
      </c>
      <c r="I18" s="149">
        <f>SUM(K18*M18)*1.5</f>
        <v>24.884999999999998</v>
      </c>
      <c r="J18" s="149" t="s">
        <v>163</v>
      </c>
      <c r="K18" s="149">
        <v>0.79</v>
      </c>
      <c r="L18" s="149"/>
      <c r="M18" s="149">
        <f>SUM(J5)</f>
        <v>21</v>
      </c>
      <c r="N18" s="86"/>
      <c r="O18" s="149">
        <f>SUM(Q18*S18)*1.5</f>
        <v>24.884999999999998</v>
      </c>
      <c r="P18" s="149" t="s">
        <v>163</v>
      </c>
      <c r="Q18" s="149">
        <v>0.79</v>
      </c>
      <c r="R18" s="149"/>
      <c r="S18" s="149">
        <f>SUM(J5)</f>
        <v>21</v>
      </c>
      <c r="T18" s="86"/>
      <c r="U18" s="149">
        <f>SUM(W18*Y18)*1.5</f>
        <v>24.884999999999998</v>
      </c>
      <c r="V18" s="149" t="s">
        <v>163</v>
      </c>
      <c r="W18" s="149">
        <v>0.79</v>
      </c>
      <c r="X18" s="149"/>
      <c r="Y18" s="149">
        <f>SUM(J5)</f>
        <v>21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184.59</v>
      </c>
      <c r="D20" s="22">
        <f t="shared" ref="D20:F20" si="7">SUM(D21:D22)</f>
        <v>184.59</v>
      </c>
      <c r="E20" s="22">
        <f t="shared" si="7"/>
        <v>184.59</v>
      </c>
      <c r="F20" s="22">
        <f t="shared" si="7"/>
        <v>184.59</v>
      </c>
      <c r="G20" s="8">
        <f>SUM(G21:G22)</f>
        <v>738.36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58.59</v>
      </c>
      <c r="D21" s="11">
        <f>SUM(M21*3)</f>
        <v>58.59</v>
      </c>
      <c r="E21" s="11">
        <f>SUM(M21*3)</f>
        <v>58.59</v>
      </c>
      <c r="F21" s="11">
        <f>SUM(M21*3)</f>
        <v>58.59</v>
      </c>
      <c r="G21" s="76">
        <f>SUM(C21:F21)</f>
        <v>234.36</v>
      </c>
      <c r="H21" s="145" t="s">
        <v>149</v>
      </c>
      <c r="I21" s="105">
        <f>SUM(J5)</f>
        <v>21</v>
      </c>
      <c r="J21" s="106"/>
      <c r="K21" s="243">
        <v>0.93</v>
      </c>
      <c r="L21" s="106"/>
      <c r="M21" s="107">
        <f>I21*K21</f>
        <v>19.53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126</v>
      </c>
      <c r="D22" s="26">
        <f>SUM(M22*3)</f>
        <v>126</v>
      </c>
      <c r="E22" s="26">
        <f>SUM(M22*3)</f>
        <v>126</v>
      </c>
      <c r="F22" s="26">
        <f>SUM(M22*3)</f>
        <v>126</v>
      </c>
      <c r="G22" s="77">
        <f>SUM(C22:F22)</f>
        <v>504</v>
      </c>
      <c r="H22" s="146" t="s">
        <v>156</v>
      </c>
      <c r="I22" s="108">
        <f>SUM(J5)</f>
        <v>21</v>
      </c>
      <c r="J22" s="109"/>
      <c r="K22" s="109">
        <v>2</v>
      </c>
      <c r="L22" s="109"/>
      <c r="M22" s="110">
        <f>I22*K22</f>
        <v>42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2763.5610000000001</v>
      </c>
      <c r="D23" s="22">
        <f t="shared" ref="D23:F23" si="8">SUM(D24:D25)</f>
        <v>2763.5610000000001</v>
      </c>
      <c r="E23" s="22">
        <f t="shared" si="8"/>
        <v>2763.5610000000001</v>
      </c>
      <c r="F23" s="22">
        <f t="shared" si="8"/>
        <v>2763.5610000000001</v>
      </c>
      <c r="G23" s="8">
        <f>SUM(G24:G25)</f>
        <v>11054.244000000001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2347.134</v>
      </c>
      <c r="D24" s="9">
        <f>SUM(M24*3)</f>
        <v>2347.134</v>
      </c>
      <c r="E24" s="9">
        <f>SUM(M24*3)</f>
        <v>2347.134</v>
      </c>
      <c r="F24" s="9">
        <f>SUM(M24*3)</f>
        <v>2347.134</v>
      </c>
      <c r="G24" s="76">
        <f t="shared" ref="G24:G25" si="9">SUM(C24:F24)</f>
        <v>9388.5360000000001</v>
      </c>
      <c r="H24" s="148" t="s">
        <v>158</v>
      </c>
      <c r="I24" s="99">
        <f>SUM(J1)</f>
        <v>1261.9000000000001</v>
      </c>
      <c r="J24" s="100"/>
      <c r="K24" s="106">
        <v>0.62</v>
      </c>
      <c r="L24" s="106"/>
      <c r="M24" s="101">
        <f>SUM(I24*K24)</f>
        <v>782.37800000000004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416.42700000000002</v>
      </c>
      <c r="D25" s="26">
        <f>SUM(M25*3)</f>
        <v>416.42700000000002</v>
      </c>
      <c r="E25" s="26">
        <f>SUM(M25*3)</f>
        <v>416.42700000000002</v>
      </c>
      <c r="F25" s="26">
        <f>SUM(M25*3)</f>
        <v>416.42700000000002</v>
      </c>
      <c r="G25" s="77">
        <f t="shared" si="9"/>
        <v>1665.7080000000001</v>
      </c>
      <c r="H25" s="148" t="s">
        <v>159</v>
      </c>
      <c r="I25" s="102">
        <f>SUM(J1)</f>
        <v>1261.9000000000001</v>
      </c>
      <c r="J25" s="104"/>
      <c r="K25" s="109">
        <v>0.11</v>
      </c>
      <c r="L25" s="109"/>
      <c r="M25" s="101">
        <f>SUM(I25*K25)</f>
        <v>138.809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3959.540712</v>
      </c>
      <c r="D29" s="50">
        <f>D9+D16+D20+D23+D26</f>
        <v>3929.1805920000002</v>
      </c>
      <c r="E29" s="50">
        <f>E9+E16+E20+E23+E26</f>
        <v>3944.6986670000001</v>
      </c>
      <c r="F29" s="50">
        <f>F9+F16+F20+F23+F26</f>
        <v>4097.1752969999998</v>
      </c>
      <c r="G29" s="51">
        <f t="shared" si="11"/>
        <v>15930.595268000001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956.5303735392198</v>
      </c>
      <c r="D31" s="62">
        <f>SUM(D32:D35)</f>
        <v>944.98541353921973</v>
      </c>
      <c r="E31" s="62">
        <f>SUM(E32:E35)</f>
        <v>950.88982353921972</v>
      </c>
      <c r="F31" s="62">
        <f>SUM(F32:F35)</f>
        <v>1008.8784835392197</v>
      </c>
      <c r="G31" s="62">
        <f>SUM(G32:G35)</f>
        <v>3861.2840941568788</v>
      </c>
    </row>
    <row r="32" spans="1:27" ht="20.100000000000001" customHeight="1">
      <c r="A32" s="44"/>
      <c r="B32" s="10" t="s">
        <v>3</v>
      </c>
      <c r="C32" s="42">
        <f>C10</f>
        <v>500.46954000000011</v>
      </c>
      <c r="D32" s="42">
        <f>D10</f>
        <v>489.86958000000004</v>
      </c>
      <c r="E32" s="42">
        <f>E10</f>
        <v>468.66966000000002</v>
      </c>
      <c r="F32" s="42">
        <f>F10</f>
        <v>468.66966000000002</v>
      </c>
      <c r="G32" s="72">
        <f>SUM(C32:F32)</f>
        <v>1927.6784400000001</v>
      </c>
    </row>
    <row r="33" spans="1:10" ht="20.100000000000001" customHeight="1">
      <c r="A33" s="44"/>
      <c r="B33" s="10" t="s">
        <v>10</v>
      </c>
      <c r="C33" s="42">
        <f t="shared" ref="C33:F33" si="12">C13</f>
        <v>69.929999999999993</v>
      </c>
      <c r="D33" s="42">
        <f t="shared" si="12"/>
        <v>68.984999999999999</v>
      </c>
      <c r="E33" s="42">
        <f t="shared" si="12"/>
        <v>96.089330000000004</v>
      </c>
      <c r="F33" s="42">
        <f t="shared" si="12"/>
        <v>154.07799000000003</v>
      </c>
      <c r="G33" s="72">
        <f>SUM(C33:F33)</f>
        <v>389.08231999999998</v>
      </c>
    </row>
    <row r="34" spans="1:10" ht="57.75" customHeight="1">
      <c r="A34" s="44"/>
      <c r="B34" s="10" t="s">
        <v>46</v>
      </c>
      <c r="C34" s="42">
        <f>Лист15!D13</f>
        <v>386.13083353921968</v>
      </c>
      <c r="D34" s="42">
        <f>C34</f>
        <v>386.13083353921968</v>
      </c>
      <c r="E34" s="42">
        <f t="shared" ref="E34:F34" si="13">D34</f>
        <v>386.13083353921968</v>
      </c>
      <c r="F34" s="42">
        <f t="shared" si="13"/>
        <v>386.13083353921968</v>
      </c>
      <c r="G34" s="72">
        <f>SUM(C34:F34)</f>
        <v>1544.5233341568787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184.59</v>
      </c>
      <c r="D39" s="62">
        <f t="shared" ref="D39:G39" si="15">SUM(D40:D41)</f>
        <v>184.59</v>
      </c>
      <c r="E39" s="62">
        <f t="shared" si="15"/>
        <v>184.59</v>
      </c>
      <c r="F39" s="62">
        <f t="shared" si="15"/>
        <v>184.59</v>
      </c>
      <c r="G39" s="62">
        <f t="shared" si="15"/>
        <v>738.36</v>
      </c>
    </row>
    <row r="40" spans="1:10" ht="20.100000000000001" customHeight="1">
      <c r="A40" s="44"/>
      <c r="B40" s="10" t="s">
        <v>45</v>
      </c>
      <c r="C40" s="42">
        <f t="shared" ref="C40:F41" si="16">C21</f>
        <v>58.59</v>
      </c>
      <c r="D40" s="42">
        <f t="shared" si="16"/>
        <v>58.59</v>
      </c>
      <c r="E40" s="42">
        <f t="shared" si="16"/>
        <v>58.59</v>
      </c>
      <c r="F40" s="42">
        <f t="shared" si="16"/>
        <v>58.59</v>
      </c>
      <c r="G40" s="72">
        <f>SUM(C40:F40)</f>
        <v>234.36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6"/>
        <v>126</v>
      </c>
      <c r="D41" s="55">
        <f t="shared" si="16"/>
        <v>126</v>
      </c>
      <c r="E41" s="55">
        <f t="shared" si="16"/>
        <v>126</v>
      </c>
      <c r="F41" s="55">
        <f t="shared" si="16"/>
        <v>126</v>
      </c>
      <c r="G41" s="72">
        <f>SUM(C41:F41)</f>
        <v>504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2347.134</v>
      </c>
      <c r="D42" s="62">
        <f>SUM(D43:D58)</f>
        <v>2347.134</v>
      </c>
      <c r="E42" s="62">
        <f>SUM(E43:E58)</f>
        <v>2347.134</v>
      </c>
      <c r="F42" s="62">
        <f>SUM(F43:F58)</f>
        <v>2347.134</v>
      </c>
      <c r="G42" s="64">
        <f t="shared" ref="G42:G51" si="17">SUM(C42:F42)</f>
        <v>9388.5360000000001</v>
      </c>
    </row>
    <row r="43" spans="1:10" ht="20.100000000000001" customHeight="1">
      <c r="A43" s="56"/>
      <c r="B43" s="47" t="s">
        <v>40</v>
      </c>
      <c r="C43" s="42">
        <f>C24</f>
        <v>2347.134</v>
      </c>
      <c r="D43" s="42">
        <f>D24</f>
        <v>2347.134</v>
      </c>
      <c r="E43" s="42">
        <f>E24</f>
        <v>2347.134</v>
      </c>
      <c r="F43" s="42">
        <f>F24</f>
        <v>2347.134</v>
      </c>
      <c r="G43" s="72">
        <f t="shared" si="17"/>
        <v>9388.5360000000001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3488.2543735392201</v>
      </c>
      <c r="D59" s="38">
        <f>D31+D36+D39+D42</f>
        <v>3476.7094135392199</v>
      </c>
      <c r="E59" s="38">
        <f>E31+E36+E39+E42</f>
        <v>3482.61382353922</v>
      </c>
      <c r="F59" s="38">
        <f>F31+F36+F39+F42</f>
        <v>3540.60248353922</v>
      </c>
      <c r="G59" s="39">
        <f>G31+G36+G39+G42</f>
        <v>13988.18009415688</v>
      </c>
    </row>
    <row r="60" spans="1:14" ht="26.1" hidden="1" customHeight="1" outlineLevel="1">
      <c r="A60" s="111"/>
      <c r="B60" s="70"/>
      <c r="C60" s="71">
        <f>C29-C59</f>
        <v>471.28633846077992</v>
      </c>
      <c r="D60" s="71">
        <f>D29-D59</f>
        <v>452.47117846078027</v>
      </c>
      <c r="E60" s="71">
        <f>E29-E59</f>
        <v>462.08484346078012</v>
      </c>
      <c r="F60" s="71">
        <f>F29-F59</f>
        <v>556.5728134607798</v>
      </c>
      <c r="G60" s="71">
        <f>G29-G59</f>
        <v>1942.415173843121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1.7009999999999998</v>
      </c>
      <c r="D77" s="65">
        <f>D16*1.2/100</f>
        <v>1.7009999999999998</v>
      </c>
      <c r="E77" s="65">
        <f>E16*1.2/100</f>
        <v>1.7009999999999998</v>
      </c>
      <c r="F77" s="65">
        <f>F16*1.2/100</f>
        <v>1.7009999999999998</v>
      </c>
    </row>
    <row r="78" spans="1:15" hidden="1">
      <c r="A78" s="68"/>
      <c r="C78" s="65">
        <f>(C16-C77)*0.5/100</f>
        <v>0.70024500000000001</v>
      </c>
      <c r="D78" s="65">
        <f>(D16-D77)*0.5/100</f>
        <v>0.70024500000000001</v>
      </c>
      <c r="E78" s="65">
        <f>(E16-E77)*0.5/100</f>
        <v>0.70024500000000001</v>
      </c>
      <c r="F78" s="65">
        <f>(F16-F77)*0.5/100</f>
        <v>0.70024500000000001</v>
      </c>
    </row>
    <row r="79" spans="1:15" hidden="1">
      <c r="C79" s="3">
        <f>C9*1.2/100</f>
        <v>10.435676544</v>
      </c>
      <c r="D79" s="3">
        <f>D9*1.2/100</f>
        <v>10.071355104</v>
      </c>
      <c r="E79" s="3">
        <f>E9*1.2/100</f>
        <v>10.257572004000002</v>
      </c>
      <c r="F79" s="3">
        <f>F9*1.2/100</f>
        <v>12.087291563999999</v>
      </c>
    </row>
    <row r="80" spans="1:15" s="3" customFormat="1" hidden="1">
      <c r="A80" s="2"/>
      <c r="B80" s="2"/>
      <c r="C80" s="3">
        <f>(C9-C79)*4/100</f>
        <v>34.368161418240007</v>
      </c>
      <c r="D80" s="3">
        <f>(D9-D79)*4/100</f>
        <v>33.168329475840004</v>
      </c>
      <c r="E80" s="3">
        <f>(E9-E79)*4/100</f>
        <v>33.781603799839999</v>
      </c>
      <c r="F80" s="3">
        <f>(F9-F79)*4/100</f>
        <v>39.807480217440002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47.205082962240006</v>
      </c>
      <c r="D81" s="3">
        <f t="shared" ref="D81:F81" si="20">SUM(D77:D80)</f>
        <v>45.640929579840005</v>
      </c>
      <c r="E81" s="3">
        <f t="shared" si="20"/>
        <v>46.440420803839999</v>
      </c>
      <c r="F81" s="3">
        <f t="shared" si="20"/>
        <v>54.296016781440002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3FF3-30A9-4FFF-8AB1-0FA28B3071FC}">
  <sheetPr>
    <tabColor rgb="FFFFC000"/>
    <pageSetUpPr fitToPage="1"/>
  </sheetPr>
  <dimension ref="A1:AA81"/>
  <sheetViews>
    <sheetView showGridLines="0" view="pageBreakPreview" topLeftCell="A4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1420.9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27</v>
      </c>
      <c r="K4" s="150" t="s">
        <v>170</v>
      </c>
      <c r="L4" s="2">
        <f>SUM(J1/L1)</f>
        <v>71.045000000000002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18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879.96051600000021</v>
      </c>
      <c r="D9" s="22">
        <f t="shared" ref="D9:F9" si="0">SUM(D10:D15)</f>
        <v>851.0876760000001</v>
      </c>
      <c r="E9" s="22">
        <f t="shared" si="0"/>
        <v>893.92246099999988</v>
      </c>
      <c r="F9" s="22">
        <f t="shared" si="0"/>
        <v>1095.0833910000001</v>
      </c>
      <c r="G9" s="22">
        <f>SUM(G10:G15)</f>
        <v>3720.0540440000004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563.52894000000015</v>
      </c>
      <c r="D10" s="12">
        <f>SUM(I10*2+O10*1)</f>
        <v>551.59338000000002</v>
      </c>
      <c r="E10" s="12">
        <f>SUM(O10*2)+U10*1</f>
        <v>527.72226000000001</v>
      </c>
      <c r="F10" s="12">
        <f>SUM(U10*3)</f>
        <v>527.72226000000001</v>
      </c>
      <c r="G10" s="75">
        <f>SUM(C10:F10)</f>
        <v>2170.5668400000004</v>
      </c>
      <c r="H10" s="144" t="s">
        <v>157</v>
      </c>
      <c r="I10" s="149">
        <f>SUM(M10*K10)</f>
        <v>187.84298000000004</v>
      </c>
      <c r="J10" s="149"/>
      <c r="K10" s="149">
        <v>0.13220000000000001</v>
      </c>
      <c r="L10" s="149"/>
      <c r="M10" s="154">
        <f>SUM(J1)</f>
        <v>1420.9</v>
      </c>
      <c r="N10" s="127"/>
      <c r="O10" s="149">
        <f>SUM(S10*Q10)</f>
        <v>175.90742</v>
      </c>
      <c r="P10" s="149" t="s">
        <v>161</v>
      </c>
      <c r="Q10" s="149">
        <v>0.12379999999999999</v>
      </c>
      <c r="R10" s="149"/>
      <c r="S10" s="154">
        <f>SUM(J1)</f>
        <v>1420.9</v>
      </c>
      <c r="T10" s="127"/>
      <c r="U10" s="149">
        <f>SUM(Y10*W10)</f>
        <v>175.90742</v>
      </c>
      <c r="V10" s="149" t="s">
        <v>161</v>
      </c>
      <c r="W10" s="149">
        <v>0.12379999999999999</v>
      </c>
      <c r="X10" s="149"/>
      <c r="Y10" s="154">
        <f>SUM(J1)</f>
        <v>1420.9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0.100000000000001" customHeight="1">
      <c r="A13" s="114"/>
      <c r="B13" s="10" t="s">
        <v>10</v>
      </c>
      <c r="C13" s="12">
        <f>SUM(I13*3)</f>
        <v>59.94</v>
      </c>
      <c r="D13" s="12">
        <f>SUM(I13*2+O13)</f>
        <v>59.129999999999995</v>
      </c>
      <c r="E13" s="12">
        <f>SUM(O13*2+U13)</f>
        <v>96.170630000000003</v>
      </c>
      <c r="F13" s="12">
        <f>SUM(U13*3)</f>
        <v>173.49189000000001</v>
      </c>
      <c r="G13" s="75">
        <f t="shared" ref="G13:G14" si="1">SUM(C13:F13)</f>
        <v>388.73252000000002</v>
      </c>
      <c r="H13" s="144" t="s">
        <v>152</v>
      </c>
      <c r="I13" s="149">
        <f>SUM(J5*1.5*K13)</f>
        <v>19.98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19.169999999999998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57.830630000000006</v>
      </c>
      <c r="V13" s="149" t="s">
        <v>161</v>
      </c>
      <c r="W13" s="149">
        <v>4.07E-2</v>
      </c>
      <c r="X13" s="149"/>
      <c r="Y13" s="154">
        <f>SUM(J1)</f>
        <v>1420.9</v>
      </c>
      <c r="Z13" s="41"/>
    </row>
    <row r="14" spans="1:26" ht="20.100000000000001" customHeight="1" outlineLevel="1">
      <c r="A14" s="24"/>
      <c r="B14" s="10" t="s">
        <v>11</v>
      </c>
      <c r="C14" s="12">
        <f>SUM(I14*3)</f>
        <v>127.71000000000002</v>
      </c>
      <c r="D14" s="12">
        <f>SUM(I14*2+O14)</f>
        <v>112.95000000000002</v>
      </c>
      <c r="E14" s="12">
        <f>SUM(O14*2+U14)</f>
        <v>145.34983500000001</v>
      </c>
      <c r="F14" s="12">
        <f>SUM(U14*3)</f>
        <v>269.18950500000005</v>
      </c>
      <c r="G14" s="75">
        <f t="shared" si="1"/>
        <v>655.19934000000012</v>
      </c>
      <c r="H14" s="144" t="s">
        <v>11</v>
      </c>
      <c r="I14" s="149">
        <f>SUM((K14+L14/2))*J5</f>
        <v>42.570000000000007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27.81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89.729835000000008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1420.9</v>
      </c>
      <c r="Z14" s="41"/>
    </row>
    <row r="15" spans="1:26" ht="20.100000000000001" customHeight="1" outlineLevel="1" thickBot="1">
      <c r="A15" s="24"/>
      <c r="B15" s="10" t="s">
        <v>12</v>
      </c>
      <c r="C15" s="9">
        <f>SUM(I15*3)</f>
        <v>128.781576</v>
      </c>
      <c r="D15" s="9">
        <f>SUM(I15*2+O15)</f>
        <v>127.41429599999999</v>
      </c>
      <c r="E15" s="9">
        <f>SUM(O15*2+U15)</f>
        <v>124.67973599999999</v>
      </c>
      <c r="F15" s="9">
        <f>SUM(U15*3)</f>
        <v>124.67973599999999</v>
      </c>
      <c r="G15" s="75">
        <f t="shared" ref="G15" si="2">SUM(C15:F15)</f>
        <v>505.55534399999999</v>
      </c>
      <c r="H15" s="144" t="s">
        <v>150</v>
      </c>
      <c r="I15" s="149">
        <f>SUM(J15*((K15+L15))/2)*M15</f>
        <v>42.927191999999998</v>
      </c>
      <c r="J15" s="149">
        <v>0.24</v>
      </c>
      <c r="K15" s="149">
        <v>9.2583000000000002</v>
      </c>
      <c r="L15" s="149">
        <v>10.615399999999999</v>
      </c>
      <c r="M15" s="149">
        <f>SUM(J5)</f>
        <v>18</v>
      </c>
      <c r="N15" s="86"/>
      <c r="O15" s="149">
        <f>SUM(P15*((Q15+R15)/2)*S15)</f>
        <v>41.559911999999997</v>
      </c>
      <c r="P15" s="149">
        <v>0.24</v>
      </c>
      <c r="Q15" s="149">
        <v>8.9418000000000006</v>
      </c>
      <c r="R15" s="149">
        <v>10.2989</v>
      </c>
      <c r="S15" s="149">
        <f>SUM(J5)</f>
        <v>18</v>
      </c>
      <c r="T15" s="86"/>
      <c r="U15" s="149">
        <f>SUM(V15*((W15+X15)/2)*Y15)</f>
        <v>41.559911999999997</v>
      </c>
      <c r="V15" s="149">
        <v>0.24</v>
      </c>
      <c r="W15" s="149">
        <v>8.9418000000000006</v>
      </c>
      <c r="X15" s="149">
        <v>10.2989</v>
      </c>
      <c r="Y15" s="149">
        <f>SUM(J5)</f>
        <v>18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121.5</v>
      </c>
      <c r="D16" s="35">
        <f t="shared" ref="D16:F16" si="3">SUM(D17:D19)</f>
        <v>121.5</v>
      </c>
      <c r="E16" s="35">
        <f t="shared" si="3"/>
        <v>121.5</v>
      </c>
      <c r="F16" s="35">
        <f t="shared" si="3"/>
        <v>121.5</v>
      </c>
      <c r="G16" s="35">
        <f t="shared" ref="G16" si="4">SUM(G17:G19)</f>
        <v>486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$I$17*3</f>
        <v>57.509999999999991</v>
      </c>
      <c r="D17" s="12">
        <f t="shared" ref="D17:F17" si="5">$I$17*3</f>
        <v>57.509999999999991</v>
      </c>
      <c r="E17" s="12">
        <f t="shared" si="5"/>
        <v>57.509999999999991</v>
      </c>
      <c r="F17" s="12">
        <f t="shared" si="5"/>
        <v>57.509999999999991</v>
      </c>
      <c r="G17" s="76">
        <f>SUM(C17:F17)</f>
        <v>230.03999999999996</v>
      </c>
      <c r="H17" s="146" t="s">
        <v>153</v>
      </c>
      <c r="I17" s="149">
        <f>SUM(K17*M17)*1.5</f>
        <v>19.169999999999998</v>
      </c>
      <c r="J17" s="149" t="s">
        <v>163</v>
      </c>
      <c r="K17" s="149">
        <v>0.71</v>
      </c>
      <c r="L17" s="149"/>
      <c r="M17" s="149">
        <f>SUM(J5)</f>
        <v>18</v>
      </c>
      <c r="N17" s="86"/>
      <c r="O17" s="149">
        <f>SUM(Q17*S17*1.5)</f>
        <v>19.169999999999998</v>
      </c>
      <c r="P17" s="149" t="s">
        <v>163</v>
      </c>
      <c r="Q17" s="149">
        <v>0.71</v>
      </c>
      <c r="R17" s="149"/>
      <c r="S17" s="149">
        <f>SUM(J5)</f>
        <v>18</v>
      </c>
      <c r="T17" s="86"/>
      <c r="U17" s="149">
        <f>SUM(W17*Y17)</f>
        <v>28.133820000000004</v>
      </c>
      <c r="V17" s="149" t="s">
        <v>163</v>
      </c>
      <c r="W17" s="149">
        <v>1.9800000000000002E-2</v>
      </c>
      <c r="X17" s="149"/>
      <c r="Y17" s="149">
        <f>SUM(J1)</f>
        <v>1420.9</v>
      </c>
      <c r="Z17" s="40"/>
    </row>
    <row r="18" spans="1:27" ht="40.5" customHeight="1" outlineLevel="1">
      <c r="A18" s="29"/>
      <c r="B18" s="10" t="s">
        <v>14</v>
      </c>
      <c r="C18" s="9">
        <f>$I$18*3</f>
        <v>63.990000000000009</v>
      </c>
      <c r="D18" s="9">
        <f t="shared" ref="D18:F18" si="6">$I$18*3</f>
        <v>63.990000000000009</v>
      </c>
      <c r="E18" s="9">
        <f t="shared" si="6"/>
        <v>63.990000000000009</v>
      </c>
      <c r="F18" s="9">
        <f t="shared" si="6"/>
        <v>63.990000000000009</v>
      </c>
      <c r="G18" s="76">
        <f>SUM(C18:F18)</f>
        <v>255.96000000000004</v>
      </c>
      <c r="H18" s="146" t="s">
        <v>154</v>
      </c>
      <c r="I18" s="149">
        <f>SUM(K18*M18)*1.5</f>
        <v>21.330000000000002</v>
      </c>
      <c r="J18" s="149" t="s">
        <v>163</v>
      </c>
      <c r="K18" s="149">
        <v>0.79</v>
      </c>
      <c r="L18" s="149"/>
      <c r="M18" s="149">
        <f>SUM(J5)</f>
        <v>18</v>
      </c>
      <c r="N18" s="86"/>
      <c r="O18" s="149">
        <f>SUM(Q18*S18)*1.5</f>
        <v>21.330000000000002</v>
      </c>
      <c r="P18" s="149" t="s">
        <v>163</v>
      </c>
      <c r="Q18" s="149">
        <v>0.79</v>
      </c>
      <c r="R18" s="149"/>
      <c r="S18" s="149">
        <f>SUM(J5)</f>
        <v>18</v>
      </c>
      <c r="T18" s="86"/>
      <c r="U18" s="149">
        <f>SUM(W18*Y18)*1.5</f>
        <v>21.330000000000002</v>
      </c>
      <c r="V18" s="149" t="s">
        <v>163</v>
      </c>
      <c r="W18" s="149">
        <v>0.79</v>
      </c>
      <c r="X18" s="149"/>
      <c r="Y18" s="149">
        <f>SUM(J5)</f>
        <v>18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158.22</v>
      </c>
      <c r="D20" s="22">
        <f t="shared" ref="D20:F20" si="7">SUM(D21:D22)</f>
        <v>158.22</v>
      </c>
      <c r="E20" s="22">
        <f t="shared" si="7"/>
        <v>158.22</v>
      </c>
      <c r="F20" s="22">
        <f t="shared" si="7"/>
        <v>158.22</v>
      </c>
      <c r="G20" s="8">
        <f>SUM(G21:G22)</f>
        <v>632.88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50.220000000000006</v>
      </c>
      <c r="D21" s="11">
        <f>SUM(M21*3)</f>
        <v>50.220000000000006</v>
      </c>
      <c r="E21" s="11">
        <f>SUM(M21*3)</f>
        <v>50.220000000000006</v>
      </c>
      <c r="F21" s="11">
        <f>SUM(M21*3)</f>
        <v>50.220000000000006</v>
      </c>
      <c r="G21" s="76">
        <f>SUM(C21:F21)</f>
        <v>200.88000000000002</v>
      </c>
      <c r="H21" s="145" t="s">
        <v>149</v>
      </c>
      <c r="I21" s="105">
        <f>SUM(J5)</f>
        <v>18</v>
      </c>
      <c r="J21" s="106"/>
      <c r="K21" s="243">
        <v>0.93</v>
      </c>
      <c r="L21" s="106"/>
      <c r="M21" s="107">
        <f>I21*K21</f>
        <v>16.740000000000002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108</v>
      </c>
      <c r="D22" s="26">
        <f>SUM(M22*3)</f>
        <v>108</v>
      </c>
      <c r="E22" s="26">
        <f>SUM(M22*3)</f>
        <v>108</v>
      </c>
      <c r="F22" s="26">
        <f>SUM(M22*3)</f>
        <v>108</v>
      </c>
      <c r="G22" s="77">
        <f>SUM(C22:F22)</f>
        <v>432</v>
      </c>
      <c r="H22" s="146" t="s">
        <v>156</v>
      </c>
      <c r="I22" s="108">
        <f>SUM(J5)</f>
        <v>18</v>
      </c>
      <c r="J22" s="109"/>
      <c r="K22" s="109">
        <v>2</v>
      </c>
      <c r="L22" s="109"/>
      <c r="M22" s="110">
        <f>I22*K22</f>
        <v>36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3111.7710000000002</v>
      </c>
      <c r="D23" s="22">
        <f t="shared" ref="D23:F23" si="8">SUM(D24:D25)</f>
        <v>3111.7710000000002</v>
      </c>
      <c r="E23" s="22">
        <f t="shared" si="8"/>
        <v>3111.7710000000002</v>
      </c>
      <c r="F23" s="22">
        <f t="shared" si="8"/>
        <v>3111.7710000000002</v>
      </c>
      <c r="G23" s="8">
        <f>SUM(G24:G25)</f>
        <v>12447.084000000001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2642.8740000000003</v>
      </c>
      <c r="D24" s="9">
        <f>SUM(M24*3)</f>
        <v>2642.8740000000003</v>
      </c>
      <c r="E24" s="9">
        <f>SUM(M24*3)</f>
        <v>2642.8740000000003</v>
      </c>
      <c r="F24" s="9">
        <f>SUM(M24*3)</f>
        <v>2642.8740000000003</v>
      </c>
      <c r="G24" s="76">
        <f t="shared" ref="G24:G25" si="9">SUM(C24:F24)</f>
        <v>10571.496000000001</v>
      </c>
      <c r="H24" s="148" t="s">
        <v>158</v>
      </c>
      <c r="I24" s="99">
        <f>SUM(J1)</f>
        <v>1420.9</v>
      </c>
      <c r="J24" s="100"/>
      <c r="K24" s="106">
        <v>0.62</v>
      </c>
      <c r="L24" s="106"/>
      <c r="M24" s="101">
        <f>SUM(I24*K24)</f>
        <v>880.95800000000008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468.89700000000005</v>
      </c>
      <c r="D25" s="26">
        <f>SUM(M25*3)</f>
        <v>468.89700000000005</v>
      </c>
      <c r="E25" s="26">
        <f>SUM(M25*3)</f>
        <v>468.89700000000005</v>
      </c>
      <c r="F25" s="26">
        <f>SUM(M25*3)</f>
        <v>468.89700000000005</v>
      </c>
      <c r="G25" s="77">
        <f t="shared" si="9"/>
        <v>1875.5880000000002</v>
      </c>
      <c r="H25" s="148" t="s">
        <v>159</v>
      </c>
      <c r="I25" s="102">
        <f>SUM(J1)</f>
        <v>1420.9</v>
      </c>
      <c r="J25" s="104"/>
      <c r="K25" s="109">
        <v>0.11</v>
      </c>
      <c r="L25" s="109"/>
      <c r="M25" s="101">
        <f>SUM(I25*K25)</f>
        <v>156.29900000000001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4271.4515160000001</v>
      </c>
      <c r="D29" s="50">
        <f>D9+D16+D20+D23+D26</f>
        <v>4242.5786760000001</v>
      </c>
      <c r="E29" s="50">
        <f>E9+E16+E20+E23+E26</f>
        <v>4285.4134610000001</v>
      </c>
      <c r="F29" s="50">
        <f>F9+F16+F20+F23+F26</f>
        <v>4486.5743910000001</v>
      </c>
      <c r="G29" s="51">
        <f t="shared" si="11"/>
        <v>17286.018044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1058.2524421601374</v>
      </c>
      <c r="D31" s="62">
        <f>SUM(D32:D35)</f>
        <v>1045.5068821601374</v>
      </c>
      <c r="E31" s="62">
        <f>SUM(E32:E35)</f>
        <v>1058.6763921601373</v>
      </c>
      <c r="F31" s="62">
        <f>SUM(F32:F35)</f>
        <v>1135.9976521601372</v>
      </c>
      <c r="G31" s="62">
        <f>SUM(G32:G35)</f>
        <v>4298.4333686405498</v>
      </c>
    </row>
    <row r="32" spans="1:27" ht="20.100000000000001" customHeight="1">
      <c r="A32" s="44"/>
      <c r="B32" s="10" t="s">
        <v>3</v>
      </c>
      <c r="C32" s="42">
        <f>C10</f>
        <v>563.52894000000015</v>
      </c>
      <c r="D32" s="42">
        <f>D10</f>
        <v>551.59338000000002</v>
      </c>
      <c r="E32" s="42">
        <f>E10</f>
        <v>527.72226000000001</v>
      </c>
      <c r="F32" s="42">
        <f>F10</f>
        <v>527.72226000000001</v>
      </c>
      <c r="G32" s="72">
        <f>SUM(C32:F32)</f>
        <v>2170.5668400000004</v>
      </c>
    </row>
    <row r="33" spans="1:10" ht="20.100000000000001" customHeight="1">
      <c r="A33" s="44"/>
      <c r="B33" s="10" t="s">
        <v>10</v>
      </c>
      <c r="C33" s="42">
        <f t="shared" ref="C33:F33" si="12">C13</f>
        <v>59.94</v>
      </c>
      <c r="D33" s="42">
        <f t="shared" si="12"/>
        <v>59.129999999999995</v>
      </c>
      <c r="E33" s="42">
        <f t="shared" si="12"/>
        <v>96.170630000000003</v>
      </c>
      <c r="F33" s="42">
        <f t="shared" si="12"/>
        <v>173.49189000000001</v>
      </c>
      <c r="G33" s="72">
        <f>SUM(C33:F33)</f>
        <v>388.73252000000002</v>
      </c>
    </row>
    <row r="34" spans="1:10" ht="57.75" customHeight="1">
      <c r="A34" s="44"/>
      <c r="B34" s="10" t="s">
        <v>46</v>
      </c>
      <c r="C34" s="42">
        <f>Лист15!D14</f>
        <v>434.78350216013729</v>
      </c>
      <c r="D34" s="42">
        <f>C34</f>
        <v>434.78350216013729</v>
      </c>
      <c r="E34" s="42">
        <f t="shared" ref="E34:F34" si="13">D34</f>
        <v>434.78350216013729</v>
      </c>
      <c r="F34" s="42">
        <f t="shared" si="13"/>
        <v>434.78350216013729</v>
      </c>
      <c r="G34" s="72">
        <f>SUM(C34:F34)</f>
        <v>1739.1340086405492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158.22</v>
      </c>
      <c r="D39" s="62">
        <f t="shared" ref="D39:G39" si="15">SUM(D40:D41)</f>
        <v>158.22</v>
      </c>
      <c r="E39" s="62">
        <f t="shared" si="15"/>
        <v>158.22</v>
      </c>
      <c r="F39" s="62">
        <f t="shared" si="15"/>
        <v>158.22</v>
      </c>
      <c r="G39" s="62">
        <f t="shared" si="15"/>
        <v>632.88</v>
      </c>
    </row>
    <row r="40" spans="1:10" ht="20.100000000000001" customHeight="1">
      <c r="A40" s="44"/>
      <c r="B40" s="10" t="s">
        <v>45</v>
      </c>
      <c r="C40" s="42">
        <f t="shared" ref="C40:F41" si="16">C21</f>
        <v>50.220000000000006</v>
      </c>
      <c r="D40" s="42">
        <f t="shared" si="16"/>
        <v>50.220000000000006</v>
      </c>
      <c r="E40" s="42">
        <f t="shared" si="16"/>
        <v>50.220000000000006</v>
      </c>
      <c r="F40" s="42">
        <f t="shared" si="16"/>
        <v>50.220000000000006</v>
      </c>
      <c r="G40" s="72">
        <f>SUM(C40:F40)</f>
        <v>200.88000000000002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6"/>
        <v>108</v>
      </c>
      <c r="D41" s="55">
        <f t="shared" si="16"/>
        <v>108</v>
      </c>
      <c r="E41" s="55">
        <f t="shared" si="16"/>
        <v>108</v>
      </c>
      <c r="F41" s="55">
        <f t="shared" si="16"/>
        <v>108</v>
      </c>
      <c r="G41" s="72">
        <f>SUM(C41:F41)</f>
        <v>432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2642.8740000000003</v>
      </c>
      <c r="D42" s="62">
        <f>SUM(D43:D58)</f>
        <v>2642.8740000000003</v>
      </c>
      <c r="E42" s="62">
        <f>SUM(E43:E58)</f>
        <v>2642.8740000000003</v>
      </c>
      <c r="F42" s="62">
        <f>SUM(F43:F58)</f>
        <v>2642.8740000000003</v>
      </c>
      <c r="G42" s="64">
        <f t="shared" ref="G42:G51" si="17">SUM(C42:F42)</f>
        <v>10571.496000000001</v>
      </c>
    </row>
    <row r="43" spans="1:10" ht="20.100000000000001" customHeight="1">
      <c r="A43" s="56"/>
      <c r="B43" s="47" t="s">
        <v>40</v>
      </c>
      <c r="C43" s="42">
        <f>C24</f>
        <v>2642.8740000000003</v>
      </c>
      <c r="D43" s="42">
        <f>D24</f>
        <v>2642.8740000000003</v>
      </c>
      <c r="E43" s="42">
        <f>E24</f>
        <v>2642.8740000000003</v>
      </c>
      <c r="F43" s="42">
        <f>F24</f>
        <v>2642.8740000000003</v>
      </c>
      <c r="G43" s="72">
        <f t="shared" si="17"/>
        <v>10571.496000000001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3859.3464421601375</v>
      </c>
      <c r="D59" s="38">
        <f>D31+D36+D39+D42</f>
        <v>3846.6008821601376</v>
      </c>
      <c r="E59" s="38">
        <f>E31+E36+E39+E42</f>
        <v>3859.7703921601378</v>
      </c>
      <c r="F59" s="38">
        <f>F31+F36+F39+F42</f>
        <v>3937.0916521601375</v>
      </c>
      <c r="G59" s="39">
        <f>G31+G36+G39+G42</f>
        <v>15502.809368640552</v>
      </c>
    </row>
    <row r="60" spans="1:14" ht="26.1" hidden="1" customHeight="1" outlineLevel="1">
      <c r="A60" s="111"/>
      <c r="B60" s="70"/>
      <c r="C60" s="71">
        <f>C29-C59</f>
        <v>412.1050738398626</v>
      </c>
      <c r="D60" s="71">
        <f>D29-D59</f>
        <v>395.97779383986244</v>
      </c>
      <c r="E60" s="71">
        <f>E29-E59</f>
        <v>425.64306883986228</v>
      </c>
      <c r="F60" s="71">
        <f>F29-F59</f>
        <v>549.48273883986258</v>
      </c>
      <c r="G60" s="71">
        <f>G29-G59</f>
        <v>1783.2086753594485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1.4579999999999997</v>
      </c>
      <c r="D77" s="65">
        <f>D16*1.2/100</f>
        <v>1.4579999999999997</v>
      </c>
      <c r="E77" s="65">
        <f>E16*1.2/100</f>
        <v>1.4579999999999997</v>
      </c>
      <c r="F77" s="65">
        <f>F16*1.2/100</f>
        <v>1.4579999999999997</v>
      </c>
    </row>
    <row r="78" spans="1:15" hidden="1">
      <c r="A78" s="68"/>
      <c r="C78" s="65">
        <f>(C16-C77)*0.5/100</f>
        <v>0.60021000000000002</v>
      </c>
      <c r="D78" s="65">
        <f>(D16-D77)*0.5/100</f>
        <v>0.60021000000000002</v>
      </c>
      <c r="E78" s="65">
        <f>(E16-E77)*0.5/100</f>
        <v>0.60021000000000002</v>
      </c>
      <c r="F78" s="65">
        <f>(F16-F77)*0.5/100</f>
        <v>0.60021000000000002</v>
      </c>
    </row>
    <row r="79" spans="1:15" hidden="1">
      <c r="C79" s="3">
        <f>C9*1.2/100</f>
        <v>10.559526192000003</v>
      </c>
      <c r="D79" s="3">
        <f>D9*1.2/100</f>
        <v>10.213052112</v>
      </c>
      <c r="E79" s="3">
        <f>E9*1.2/100</f>
        <v>10.727069531999998</v>
      </c>
      <c r="F79" s="3">
        <f>F9*1.2/100</f>
        <v>13.141000692</v>
      </c>
    </row>
    <row r="80" spans="1:15" s="3" customFormat="1" hidden="1">
      <c r="A80" s="2"/>
      <c r="B80" s="2"/>
      <c r="C80" s="3">
        <f>(C9-C79)*4/100</f>
        <v>34.776039592320011</v>
      </c>
      <c r="D80" s="3">
        <f>(D9-D79)*4/100</f>
        <v>33.634984955520004</v>
      </c>
      <c r="E80" s="3">
        <f>(E9-E79)*4/100</f>
        <v>35.327815658719999</v>
      </c>
      <c r="F80" s="3">
        <f>(F9-F79)*4/100</f>
        <v>43.277695612320002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47.393775784320013</v>
      </c>
      <c r="D81" s="3">
        <f t="shared" ref="D81:F81" si="20">SUM(D77:D80)</f>
        <v>45.906247067519999</v>
      </c>
      <c r="E81" s="3">
        <f t="shared" si="20"/>
        <v>48.113095190719996</v>
      </c>
      <c r="F81" s="3">
        <f t="shared" si="20"/>
        <v>58.476906304320003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351D-2866-4006-939B-4AF16F2BAB1F}">
  <sheetPr>
    <tabColor rgb="FFFFC000"/>
    <pageSetUpPr fitToPage="1"/>
  </sheetPr>
  <dimension ref="A1:AA81"/>
  <sheetViews>
    <sheetView showGridLines="0" view="pageBreakPreview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7" width="10.140625" style="2"/>
    <col min="18" max="18" width="12.7109375" style="2" customWidth="1"/>
    <col min="19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1419.1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19</v>
      </c>
      <c r="K4" s="150" t="s">
        <v>170</v>
      </c>
      <c r="L4" s="2">
        <f>SUM(J1/L1)</f>
        <v>70.954999999999998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17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861.66710399999999</v>
      </c>
      <c r="D9" s="22">
        <f t="shared" ref="D9:F9" si="0">SUM(D10:D15)</f>
        <v>833.75034400000004</v>
      </c>
      <c r="E9" s="22">
        <f t="shared" si="0"/>
        <v>880.92035899999996</v>
      </c>
      <c r="F9" s="22">
        <f t="shared" si="0"/>
        <v>1086.9274289999998</v>
      </c>
      <c r="G9" s="22">
        <f>SUM(G10:G15)</f>
        <v>3663.2652360000002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562.81506000000002</v>
      </c>
      <c r="D10" s="12">
        <f>SUM(I10*2+O10*1)</f>
        <v>550.89462000000003</v>
      </c>
      <c r="E10" s="12">
        <f>SUM(O10*2)+U10*1</f>
        <v>527.05373999999995</v>
      </c>
      <c r="F10" s="12">
        <f>SUM(U10*3)</f>
        <v>527.05373999999995</v>
      </c>
      <c r="G10" s="75">
        <f>SUM(C10:F10)</f>
        <v>2167.8171599999996</v>
      </c>
      <c r="H10" s="144" t="s">
        <v>157</v>
      </c>
      <c r="I10" s="149">
        <f>SUM(M10*K10)</f>
        <v>187.60502</v>
      </c>
      <c r="J10" s="149"/>
      <c r="K10" s="149">
        <v>0.13220000000000001</v>
      </c>
      <c r="L10" s="149"/>
      <c r="M10" s="154">
        <f>SUM(J1)</f>
        <v>1419.1</v>
      </c>
      <c r="N10" s="127"/>
      <c r="O10" s="149">
        <f>SUM(S10*Q10)</f>
        <v>175.68457999999998</v>
      </c>
      <c r="P10" s="149" t="s">
        <v>161</v>
      </c>
      <c r="Q10" s="149">
        <v>0.12379999999999999</v>
      </c>
      <c r="R10" s="149"/>
      <c r="S10" s="154">
        <f>SUM(J1)</f>
        <v>1419.1</v>
      </c>
      <c r="T10" s="127"/>
      <c r="U10" s="149">
        <f>SUM(Y10*W10)</f>
        <v>175.68457999999998</v>
      </c>
      <c r="V10" s="149" t="s">
        <v>161</v>
      </c>
      <c r="W10" s="149">
        <v>0.12379999999999999</v>
      </c>
      <c r="X10" s="149"/>
      <c r="Y10" s="154">
        <f>SUM(J1)</f>
        <v>1419.1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0.100000000000001" customHeight="1">
      <c r="A13" s="114"/>
      <c r="B13" s="10" t="s">
        <v>10</v>
      </c>
      <c r="C13" s="12">
        <f>SUM(I13*3)</f>
        <v>56.61</v>
      </c>
      <c r="D13" s="12">
        <f>SUM(I13*2+O13)</f>
        <v>55.844999999999999</v>
      </c>
      <c r="E13" s="12">
        <f>SUM(O13*2+U13)</f>
        <v>93.967369999999988</v>
      </c>
      <c r="F13" s="12">
        <f>SUM(U13*3)</f>
        <v>173.27211</v>
      </c>
      <c r="G13" s="75">
        <f t="shared" ref="G13:G14" si="1">SUM(C13:F13)</f>
        <v>379.69448</v>
      </c>
      <c r="H13" s="144" t="s">
        <v>152</v>
      </c>
      <c r="I13" s="149">
        <f>SUM(J5*1.5*K13)</f>
        <v>18.87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18.105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57.757369999999995</v>
      </c>
      <c r="V13" s="149" t="s">
        <v>161</v>
      </c>
      <c r="W13" s="149">
        <v>4.07E-2</v>
      </c>
      <c r="X13" s="149"/>
      <c r="Y13" s="154">
        <f>SUM(J1)</f>
        <v>1419.1</v>
      </c>
      <c r="Z13" s="41"/>
    </row>
    <row r="14" spans="1:26" ht="20.100000000000001" customHeight="1" outlineLevel="1">
      <c r="A14" s="24"/>
      <c r="B14" s="10" t="s">
        <v>11</v>
      </c>
      <c r="C14" s="12">
        <f>SUM(I14*3)</f>
        <v>120.61500000000001</v>
      </c>
      <c r="D14" s="12">
        <f>SUM(I14*2+O14)</f>
        <v>106.67500000000001</v>
      </c>
      <c r="E14" s="12">
        <f>SUM(O14*2+U14)</f>
        <v>142.146165</v>
      </c>
      <c r="F14" s="12">
        <f>SUM(U14*3)</f>
        <v>268.84849499999996</v>
      </c>
      <c r="G14" s="75">
        <f t="shared" si="1"/>
        <v>638.28466000000003</v>
      </c>
      <c r="H14" s="144" t="s">
        <v>11</v>
      </c>
      <c r="I14" s="149">
        <f>SUM((K14+L14/2))*J5</f>
        <v>40.205000000000005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26.265000000000001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89.616164999999995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1419.1</v>
      </c>
      <c r="Z14" s="41"/>
    </row>
    <row r="15" spans="1:26" ht="20.100000000000001" customHeight="1" outlineLevel="1" thickBot="1">
      <c r="A15" s="24"/>
      <c r="B15" s="10" t="s">
        <v>12</v>
      </c>
      <c r="C15" s="9">
        <f>SUM(I15*3)</f>
        <v>121.62704399999998</v>
      </c>
      <c r="D15" s="9">
        <f>SUM(I15*2+O15)</f>
        <v>120.335724</v>
      </c>
      <c r="E15" s="9">
        <f>SUM(O15*2+U15)</f>
        <v>117.753084</v>
      </c>
      <c r="F15" s="9">
        <f>SUM(U15*3)</f>
        <v>117.753084</v>
      </c>
      <c r="G15" s="75">
        <f t="shared" ref="G15" si="2">SUM(C15:F15)</f>
        <v>477.46893599999999</v>
      </c>
      <c r="H15" s="144" t="s">
        <v>150</v>
      </c>
      <c r="I15" s="149">
        <f>SUM(J15*((K15+L15))/2)*M15</f>
        <v>40.542347999999997</v>
      </c>
      <c r="J15" s="149">
        <v>0.24</v>
      </c>
      <c r="K15" s="149">
        <v>9.2583000000000002</v>
      </c>
      <c r="L15" s="149">
        <v>10.615399999999999</v>
      </c>
      <c r="M15" s="149">
        <f>SUM(J5)</f>
        <v>17</v>
      </c>
      <c r="N15" s="86"/>
      <c r="O15" s="149">
        <f>SUM(P15*((Q15+R15)/2)*S15)</f>
        <v>39.251027999999998</v>
      </c>
      <c r="P15" s="149">
        <v>0.24</v>
      </c>
      <c r="Q15" s="149">
        <v>8.9418000000000006</v>
      </c>
      <c r="R15" s="149">
        <v>10.2989</v>
      </c>
      <c r="S15" s="149">
        <f>SUM(J5)</f>
        <v>17</v>
      </c>
      <c r="T15" s="86"/>
      <c r="U15" s="149">
        <f>SUM(V15*((W15+X15)/2)*Y15)</f>
        <v>39.251027999999998</v>
      </c>
      <c r="V15" s="149">
        <v>0.24</v>
      </c>
      <c r="W15" s="149">
        <v>8.9418000000000006</v>
      </c>
      <c r="X15" s="149">
        <v>10.2989</v>
      </c>
      <c r="Y15" s="149">
        <f>SUM(J5)</f>
        <v>17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114.75</v>
      </c>
      <c r="D16" s="35">
        <f t="shared" ref="D16:F16" si="3">SUM(D17:D19)</f>
        <v>114.75</v>
      </c>
      <c r="E16" s="35">
        <f t="shared" si="3"/>
        <v>114.75</v>
      </c>
      <c r="F16" s="35">
        <f t="shared" si="3"/>
        <v>114.75</v>
      </c>
      <c r="G16" s="35">
        <f t="shared" ref="G16" si="4">SUM(G17:G19)</f>
        <v>459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$I$17*3</f>
        <v>54.314999999999998</v>
      </c>
      <c r="D17" s="12">
        <f t="shared" ref="D17:F17" si="5">$I$17*3</f>
        <v>54.314999999999998</v>
      </c>
      <c r="E17" s="12">
        <f t="shared" si="5"/>
        <v>54.314999999999998</v>
      </c>
      <c r="F17" s="12">
        <f t="shared" si="5"/>
        <v>54.314999999999998</v>
      </c>
      <c r="G17" s="76">
        <f>SUM(C17:F17)</f>
        <v>217.26</v>
      </c>
      <c r="H17" s="146" t="s">
        <v>153</v>
      </c>
      <c r="I17" s="149">
        <f>SUM(K17*M17)*1.5</f>
        <v>18.105</v>
      </c>
      <c r="J17" s="149" t="s">
        <v>163</v>
      </c>
      <c r="K17" s="149">
        <v>0.71</v>
      </c>
      <c r="L17" s="149"/>
      <c r="M17" s="149">
        <f>SUM(J5)</f>
        <v>17</v>
      </c>
      <c r="N17" s="86"/>
      <c r="O17" s="149">
        <f>SUM(Q17*S17*1.5)</f>
        <v>18.105</v>
      </c>
      <c r="P17" s="149" t="s">
        <v>163</v>
      </c>
      <c r="Q17" s="149">
        <v>0.71</v>
      </c>
      <c r="R17" s="149"/>
      <c r="S17" s="149">
        <f>SUM(J5)</f>
        <v>17</v>
      </c>
      <c r="T17" s="86"/>
      <c r="U17" s="149">
        <f>SUM(W17*Y17)</f>
        <v>28.098179999999999</v>
      </c>
      <c r="V17" s="149" t="s">
        <v>163</v>
      </c>
      <c r="W17" s="149">
        <v>1.9800000000000002E-2</v>
      </c>
      <c r="X17" s="149"/>
      <c r="Y17" s="149">
        <f>SUM(J1)</f>
        <v>1419.1</v>
      </c>
      <c r="Z17" s="40"/>
    </row>
    <row r="18" spans="1:27" ht="40.5" customHeight="1" outlineLevel="1">
      <c r="A18" s="29"/>
      <c r="B18" s="10" t="s">
        <v>14</v>
      </c>
      <c r="C18" s="9">
        <f>$I$18*3</f>
        <v>60.435000000000002</v>
      </c>
      <c r="D18" s="9">
        <f t="shared" ref="D18:F18" si="6">$I$18*3</f>
        <v>60.435000000000002</v>
      </c>
      <c r="E18" s="9">
        <f t="shared" si="6"/>
        <v>60.435000000000002</v>
      </c>
      <c r="F18" s="9">
        <f t="shared" si="6"/>
        <v>60.435000000000002</v>
      </c>
      <c r="G18" s="76">
        <f>SUM(C18:F18)</f>
        <v>241.74</v>
      </c>
      <c r="H18" s="146" t="s">
        <v>154</v>
      </c>
      <c r="I18" s="149">
        <f>SUM(K18*M18)*1.5</f>
        <v>20.145</v>
      </c>
      <c r="J18" s="149" t="s">
        <v>163</v>
      </c>
      <c r="K18" s="149">
        <v>0.79</v>
      </c>
      <c r="L18" s="149"/>
      <c r="M18" s="149">
        <f>SUM(J5)</f>
        <v>17</v>
      </c>
      <c r="N18" s="86"/>
      <c r="O18" s="149">
        <f>SUM(Q18*S18)*1.5</f>
        <v>20.145</v>
      </c>
      <c r="P18" s="149" t="s">
        <v>163</v>
      </c>
      <c r="Q18" s="149">
        <v>0.79</v>
      </c>
      <c r="R18" s="149"/>
      <c r="S18" s="149">
        <f>SUM(J5)</f>
        <v>17</v>
      </c>
      <c r="T18" s="86"/>
      <c r="U18" s="149">
        <f>SUM(W18*Y18)*1.5</f>
        <v>20.145</v>
      </c>
      <c r="V18" s="149" t="s">
        <v>163</v>
      </c>
      <c r="W18" s="149">
        <v>0.79</v>
      </c>
      <c r="X18" s="149"/>
      <c r="Y18" s="149">
        <f>SUM(J5)</f>
        <v>17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149.43</v>
      </c>
      <c r="D20" s="22">
        <f t="shared" ref="D20:F20" si="7">SUM(D21:D22)</f>
        <v>149.43</v>
      </c>
      <c r="E20" s="22">
        <f t="shared" si="7"/>
        <v>149.43</v>
      </c>
      <c r="F20" s="22">
        <f t="shared" si="7"/>
        <v>149.43</v>
      </c>
      <c r="G20" s="8">
        <f>SUM(G21:G22)</f>
        <v>597.72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47.43</v>
      </c>
      <c r="D21" s="11">
        <f>SUM(M21*3)</f>
        <v>47.43</v>
      </c>
      <c r="E21" s="11">
        <f>SUM(M21*3)</f>
        <v>47.43</v>
      </c>
      <c r="F21" s="11">
        <f>SUM(M21*3)</f>
        <v>47.43</v>
      </c>
      <c r="G21" s="76">
        <f>SUM(C21:F21)</f>
        <v>189.72</v>
      </c>
      <c r="H21" s="145" t="s">
        <v>149</v>
      </c>
      <c r="I21" s="105">
        <f>SUM(J5)</f>
        <v>17</v>
      </c>
      <c r="J21" s="106"/>
      <c r="K21" s="243">
        <v>0.93</v>
      </c>
      <c r="L21" s="106"/>
      <c r="M21" s="107">
        <f>I21*K21</f>
        <v>15.81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102</v>
      </c>
      <c r="D22" s="26">
        <f>SUM(M22*3)</f>
        <v>102</v>
      </c>
      <c r="E22" s="26">
        <f>SUM(M22*3)</f>
        <v>102</v>
      </c>
      <c r="F22" s="26">
        <f>SUM(M22*3)</f>
        <v>102</v>
      </c>
      <c r="G22" s="77">
        <f>SUM(C22:F22)</f>
        <v>408</v>
      </c>
      <c r="H22" s="146" t="s">
        <v>156</v>
      </c>
      <c r="I22" s="108">
        <f>SUM(J5)</f>
        <v>17</v>
      </c>
      <c r="J22" s="109"/>
      <c r="K22" s="109">
        <v>2</v>
      </c>
      <c r="L22" s="109"/>
      <c r="M22" s="110">
        <f>I22*K22</f>
        <v>34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3107.8289999999997</v>
      </c>
      <c r="D23" s="22">
        <f t="shared" ref="D23:F23" si="8">SUM(D24:D25)</f>
        <v>3107.8289999999997</v>
      </c>
      <c r="E23" s="22">
        <f t="shared" si="8"/>
        <v>3107.8289999999997</v>
      </c>
      <c r="F23" s="22">
        <f t="shared" si="8"/>
        <v>3107.8289999999997</v>
      </c>
      <c r="G23" s="8">
        <f>SUM(G24:G25)</f>
        <v>12431.315999999999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2639.5259999999998</v>
      </c>
      <c r="D24" s="9">
        <f>SUM(M24*3)</f>
        <v>2639.5259999999998</v>
      </c>
      <c r="E24" s="9">
        <f>SUM(M24*3)</f>
        <v>2639.5259999999998</v>
      </c>
      <c r="F24" s="9">
        <f>SUM(M24*3)</f>
        <v>2639.5259999999998</v>
      </c>
      <c r="G24" s="76">
        <f t="shared" ref="G24:G25" si="9">SUM(C24:F24)</f>
        <v>10558.103999999999</v>
      </c>
      <c r="H24" s="148" t="s">
        <v>158</v>
      </c>
      <c r="I24" s="99">
        <f>SUM(J1)</f>
        <v>1419.1</v>
      </c>
      <c r="J24" s="100"/>
      <c r="K24" s="106">
        <v>0.62</v>
      </c>
      <c r="L24" s="106"/>
      <c r="M24" s="101">
        <f>SUM(I24*K24)</f>
        <v>879.84199999999998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468.303</v>
      </c>
      <c r="D25" s="26">
        <f>SUM(M25*3)</f>
        <v>468.303</v>
      </c>
      <c r="E25" s="26">
        <f>SUM(M25*3)</f>
        <v>468.303</v>
      </c>
      <c r="F25" s="26">
        <f>SUM(M25*3)</f>
        <v>468.303</v>
      </c>
      <c r="G25" s="77">
        <f t="shared" si="9"/>
        <v>1873.212</v>
      </c>
      <c r="H25" s="148" t="s">
        <v>159</v>
      </c>
      <c r="I25" s="102">
        <f>SUM(J1)</f>
        <v>1419.1</v>
      </c>
      <c r="J25" s="104"/>
      <c r="K25" s="109">
        <v>0.11</v>
      </c>
      <c r="L25" s="109"/>
      <c r="M25" s="101">
        <f>SUM(I25*K25)</f>
        <v>156.101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4233.6761040000001</v>
      </c>
      <c r="D29" s="50">
        <f>D9+D16+D20+D23+D26</f>
        <v>4205.7593440000001</v>
      </c>
      <c r="E29" s="50">
        <f>E9+E16+E20+E23+E26</f>
        <v>4252.9293589999997</v>
      </c>
      <c r="F29" s="50">
        <f>F9+F16+F20+F23+F26</f>
        <v>4458.9364289999994</v>
      </c>
      <c r="G29" s="51">
        <f t="shared" si="11"/>
        <v>17151.301235999999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1053.6577772323533</v>
      </c>
      <c r="D31" s="62">
        <f>SUM(D32:D35)</f>
        <v>1040.9723372323533</v>
      </c>
      <c r="E31" s="62">
        <f>SUM(E32:E35)</f>
        <v>1055.2538272323532</v>
      </c>
      <c r="F31" s="62">
        <f>SUM(F32:F35)</f>
        <v>1134.5585672323532</v>
      </c>
      <c r="G31" s="62">
        <f>SUM(G32:G35)</f>
        <v>4284.4425089294127</v>
      </c>
    </row>
    <row r="32" spans="1:27" ht="20.100000000000001" customHeight="1">
      <c r="A32" s="44"/>
      <c r="B32" s="10" t="s">
        <v>3</v>
      </c>
      <c r="C32" s="42">
        <f>C10</f>
        <v>562.81506000000002</v>
      </c>
      <c r="D32" s="42">
        <f>D10</f>
        <v>550.89462000000003</v>
      </c>
      <c r="E32" s="42">
        <f>E10</f>
        <v>527.05373999999995</v>
      </c>
      <c r="F32" s="42">
        <f>F10</f>
        <v>527.05373999999995</v>
      </c>
      <c r="G32" s="72">
        <f>SUM(C32:F32)</f>
        <v>2167.8171599999996</v>
      </c>
    </row>
    <row r="33" spans="1:10" ht="20.100000000000001" customHeight="1">
      <c r="A33" s="44"/>
      <c r="B33" s="10" t="s">
        <v>10</v>
      </c>
      <c r="C33" s="42">
        <f t="shared" ref="C33:F33" si="12">C13</f>
        <v>56.61</v>
      </c>
      <c r="D33" s="42">
        <f t="shared" si="12"/>
        <v>55.844999999999999</v>
      </c>
      <c r="E33" s="42">
        <f t="shared" si="12"/>
        <v>93.967369999999988</v>
      </c>
      <c r="F33" s="42">
        <f t="shared" si="12"/>
        <v>173.27211</v>
      </c>
      <c r="G33" s="72">
        <f>SUM(C33:F33)</f>
        <v>379.69448</v>
      </c>
    </row>
    <row r="34" spans="1:10" ht="57.75" customHeight="1">
      <c r="A34" s="44"/>
      <c r="B34" s="10" t="s">
        <v>46</v>
      </c>
      <c r="C34" s="42">
        <f>Лист15!D15</f>
        <v>434.23271723235331</v>
      </c>
      <c r="D34" s="42">
        <f>C34</f>
        <v>434.23271723235331</v>
      </c>
      <c r="E34" s="42">
        <f t="shared" ref="E34:F34" si="13">D34</f>
        <v>434.23271723235331</v>
      </c>
      <c r="F34" s="42">
        <f t="shared" si="13"/>
        <v>434.23271723235331</v>
      </c>
      <c r="G34" s="72">
        <f>SUM(C34:F34)</f>
        <v>1736.9308689294132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149.43</v>
      </c>
      <c r="D39" s="62">
        <f t="shared" ref="D39:G39" si="15">SUM(D40:D41)</f>
        <v>149.43</v>
      </c>
      <c r="E39" s="62">
        <f t="shared" si="15"/>
        <v>149.43</v>
      </c>
      <c r="F39" s="62">
        <f t="shared" si="15"/>
        <v>149.43</v>
      </c>
      <c r="G39" s="62">
        <f t="shared" si="15"/>
        <v>597.72</v>
      </c>
    </row>
    <row r="40" spans="1:10" ht="20.100000000000001" customHeight="1">
      <c r="A40" s="44"/>
      <c r="B40" s="10" t="s">
        <v>45</v>
      </c>
      <c r="C40" s="42">
        <f t="shared" ref="C40:F41" si="16">C21</f>
        <v>47.43</v>
      </c>
      <c r="D40" s="42">
        <f t="shared" si="16"/>
        <v>47.43</v>
      </c>
      <c r="E40" s="42">
        <f t="shared" si="16"/>
        <v>47.43</v>
      </c>
      <c r="F40" s="42">
        <f t="shared" si="16"/>
        <v>47.43</v>
      </c>
      <c r="G40" s="72">
        <f>SUM(C40:F40)</f>
        <v>189.72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6"/>
        <v>102</v>
      </c>
      <c r="D41" s="55">
        <f t="shared" si="16"/>
        <v>102</v>
      </c>
      <c r="E41" s="55">
        <f t="shared" si="16"/>
        <v>102</v>
      </c>
      <c r="F41" s="55">
        <f t="shared" si="16"/>
        <v>102</v>
      </c>
      <c r="G41" s="72">
        <f>SUM(C41:F41)</f>
        <v>408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2639.5259999999998</v>
      </c>
      <c r="D42" s="62">
        <f>SUM(D43:D58)</f>
        <v>2639.5259999999998</v>
      </c>
      <c r="E42" s="62">
        <f>SUM(E43:E58)</f>
        <v>2639.5259999999998</v>
      </c>
      <c r="F42" s="62">
        <f>SUM(F43:F58)</f>
        <v>2639.5259999999998</v>
      </c>
      <c r="G42" s="64">
        <f t="shared" ref="G42:G51" si="17">SUM(C42:F42)</f>
        <v>10558.103999999999</v>
      </c>
    </row>
    <row r="43" spans="1:10" ht="20.100000000000001" customHeight="1">
      <c r="A43" s="56"/>
      <c r="B43" s="47" t="s">
        <v>40</v>
      </c>
      <c r="C43" s="42">
        <f>C24</f>
        <v>2639.5259999999998</v>
      </c>
      <c r="D43" s="42">
        <f>D24</f>
        <v>2639.5259999999998</v>
      </c>
      <c r="E43" s="42">
        <f>E24</f>
        <v>2639.5259999999998</v>
      </c>
      <c r="F43" s="42">
        <f>F24</f>
        <v>2639.5259999999998</v>
      </c>
      <c r="G43" s="72">
        <f t="shared" si="17"/>
        <v>10558.103999999999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3842.6137772323532</v>
      </c>
      <c r="D59" s="38">
        <f>D31+D36+D39+D42</f>
        <v>3829.9283372323534</v>
      </c>
      <c r="E59" s="38">
        <f>E31+E36+E39+E42</f>
        <v>3844.2098272323528</v>
      </c>
      <c r="F59" s="38">
        <f>F31+F36+F39+F42</f>
        <v>3923.5145672323533</v>
      </c>
      <c r="G59" s="39">
        <f>G31+G36+G39+G42</f>
        <v>15440.266508929413</v>
      </c>
    </row>
    <row r="60" spans="1:14" ht="26.1" hidden="1" customHeight="1" outlineLevel="1">
      <c r="A60" s="111"/>
      <c r="B60" s="70"/>
      <c r="C60" s="71">
        <f>C29-C59</f>
        <v>391.06232676764694</v>
      </c>
      <c r="D60" s="71">
        <f>D29-D59</f>
        <v>375.83100676764661</v>
      </c>
      <c r="E60" s="71">
        <f>E29-E59</f>
        <v>408.71953176764691</v>
      </c>
      <c r="F60" s="71">
        <f>F29-F59</f>
        <v>535.42186176764608</v>
      </c>
      <c r="G60" s="71">
        <f>G29-G59</f>
        <v>1711.0347270705861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1.3769999999999998</v>
      </c>
      <c r="D77" s="65">
        <f>D16*1.2/100</f>
        <v>1.3769999999999998</v>
      </c>
      <c r="E77" s="65">
        <f>E16*1.2/100</f>
        <v>1.3769999999999998</v>
      </c>
      <c r="F77" s="65">
        <f>F16*1.2/100</f>
        <v>1.3769999999999998</v>
      </c>
    </row>
    <row r="78" spans="1:15" hidden="1">
      <c r="A78" s="68"/>
      <c r="C78" s="65">
        <f>(C16-C77)*0.5/100</f>
        <v>0.56686500000000006</v>
      </c>
      <c r="D78" s="65">
        <f>(D16-D77)*0.5/100</f>
        <v>0.56686500000000006</v>
      </c>
      <c r="E78" s="65">
        <f>(E16-E77)*0.5/100</f>
        <v>0.56686500000000006</v>
      </c>
      <c r="F78" s="65">
        <f>(F16-F77)*0.5/100</f>
        <v>0.56686500000000006</v>
      </c>
    </row>
    <row r="79" spans="1:15" hidden="1">
      <c r="C79" s="3">
        <f>C9*1.2/100</f>
        <v>10.340005248000001</v>
      </c>
      <c r="D79" s="3">
        <f>D9*1.2/100</f>
        <v>10.005004128000001</v>
      </c>
      <c r="E79" s="3">
        <f>E9*1.2/100</f>
        <v>10.571044307999998</v>
      </c>
      <c r="F79" s="3">
        <f>F9*1.2/100</f>
        <v>13.043129147999998</v>
      </c>
    </row>
    <row r="80" spans="1:15" s="3" customFormat="1" hidden="1">
      <c r="A80" s="2"/>
      <c r="B80" s="2"/>
      <c r="C80" s="3">
        <f>(C9-C79)*4/100</f>
        <v>34.053083950080001</v>
      </c>
      <c r="D80" s="3">
        <f>(D9-D79)*4/100</f>
        <v>32.949813594879998</v>
      </c>
      <c r="E80" s="3">
        <f>(E9-E79)*4/100</f>
        <v>34.813972587679999</v>
      </c>
      <c r="F80" s="3">
        <f>(F9-F79)*4/100</f>
        <v>42.955371994079997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46.336954198080001</v>
      </c>
      <c r="D81" s="3">
        <f t="shared" ref="D81:F81" si="20">SUM(D77:D80)</f>
        <v>44.898682722879997</v>
      </c>
      <c r="E81" s="3">
        <f t="shared" si="20"/>
        <v>47.328881895679999</v>
      </c>
      <c r="F81" s="3">
        <f t="shared" si="20"/>
        <v>57.94236614207999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6E3B-A198-4D3E-991A-4118857E0B51}">
  <sheetPr>
    <tabColor rgb="FFFFC000"/>
    <pageSetUpPr fitToPage="1"/>
  </sheetPr>
  <dimension ref="A1:AA81"/>
  <sheetViews>
    <sheetView showGridLines="0" view="pageBreakPreview" topLeftCell="A25" zoomScale="60" zoomScaleNormal="70" workbookViewId="0">
      <selection activeCell="M34" sqref="M34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57.85546875" style="2" customWidth="1"/>
    <col min="9" max="9" width="33.85546875" style="2" customWidth="1"/>
    <col min="10" max="10" width="11.7109375" style="2" bestFit="1" customWidth="1"/>
    <col min="11" max="12" width="29.85546875" style="2" bestFit="1" customWidth="1"/>
    <col min="13" max="13" width="17.85546875" style="2" customWidth="1"/>
    <col min="14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1421.6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27</v>
      </c>
      <c r="K4" s="150" t="s">
        <v>170</v>
      </c>
      <c r="L4" s="2">
        <f>SUM(J1/L1)</f>
        <v>71.08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18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27.95" customHeight="1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7.95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7.95" customHeight="1">
      <c r="A9" s="113">
        <v>1</v>
      </c>
      <c r="B9" s="21" t="s">
        <v>15</v>
      </c>
      <c r="C9" s="22">
        <f>SUM(C10:C15)</f>
        <v>880.23813600000005</v>
      </c>
      <c r="D9" s="22">
        <f t="shared" ref="D9:F9" si="0">SUM(D10:D15)</f>
        <v>851.35941600000001</v>
      </c>
      <c r="E9" s="22">
        <f t="shared" si="0"/>
        <v>894.25513599999999</v>
      </c>
      <c r="F9" s="22">
        <f t="shared" si="0"/>
        <v>1095.5614559999999</v>
      </c>
      <c r="G9" s="22">
        <f>SUM(G10:G15)</f>
        <v>3721.4141439999994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7.95" customHeight="1">
      <c r="A10" s="114"/>
      <c r="B10" s="10" t="s">
        <v>3</v>
      </c>
      <c r="C10" s="12">
        <f>SUM(I10*3)</f>
        <v>563.80655999999999</v>
      </c>
      <c r="D10" s="12">
        <f>SUM(I10*2+O10*1)</f>
        <v>551.86511999999993</v>
      </c>
      <c r="E10" s="12">
        <f>SUM(O10*2)+U10*1</f>
        <v>527.98223999999993</v>
      </c>
      <c r="F10" s="12">
        <f>SUM(U10*3)</f>
        <v>527.98223999999993</v>
      </c>
      <c r="G10" s="75">
        <f>SUM(C10:F10)</f>
        <v>2171.6361599999996</v>
      </c>
      <c r="H10" s="144" t="s">
        <v>157</v>
      </c>
      <c r="I10" s="149">
        <f>SUM(M10*K10)</f>
        <v>187.93552</v>
      </c>
      <c r="J10" s="149"/>
      <c r="K10" s="149">
        <v>0.13220000000000001</v>
      </c>
      <c r="L10" s="149"/>
      <c r="M10" s="154">
        <f>SUM(J1)</f>
        <v>1421.6</v>
      </c>
      <c r="N10" s="127"/>
      <c r="O10" s="149">
        <f>SUM(S10*Q10)</f>
        <v>175.99407999999997</v>
      </c>
      <c r="P10" s="149" t="s">
        <v>161</v>
      </c>
      <c r="Q10" s="149">
        <v>0.12379999999999999</v>
      </c>
      <c r="R10" s="149"/>
      <c r="S10" s="154">
        <f>SUM(J1)</f>
        <v>1421.6</v>
      </c>
      <c r="T10" s="127"/>
      <c r="U10" s="149">
        <f>SUM(Y10*W10)</f>
        <v>175.99407999999997</v>
      </c>
      <c r="V10" s="149" t="s">
        <v>161</v>
      </c>
      <c r="W10" s="149">
        <v>0.12379999999999999</v>
      </c>
      <c r="X10" s="149"/>
      <c r="Y10" s="154">
        <f>SUM(J1)</f>
        <v>1421.6</v>
      </c>
      <c r="Z10" s="284"/>
    </row>
    <row r="11" spans="1:26" ht="27.95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7.95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7.95" customHeight="1">
      <c r="A13" s="114"/>
      <c r="B13" s="10" t="s">
        <v>10</v>
      </c>
      <c r="C13" s="12">
        <f>SUM(I13*3)</f>
        <v>59.94</v>
      </c>
      <c r="D13" s="12">
        <f>SUM(I13*2+O13)</f>
        <v>59.129999999999995</v>
      </c>
      <c r="E13" s="12">
        <f>SUM(O13*2+U13)</f>
        <v>96.199119999999994</v>
      </c>
      <c r="F13" s="12">
        <f>SUM(U13*3)</f>
        <v>173.57736</v>
      </c>
      <c r="G13" s="75">
        <f t="shared" ref="G13:G14" si="1">SUM(C13:F13)</f>
        <v>388.84647999999999</v>
      </c>
      <c r="H13" s="144" t="s">
        <v>152</v>
      </c>
      <c r="I13" s="149">
        <f>SUM(J5*1.5*K13)</f>
        <v>19.98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19.169999999999998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57.859119999999997</v>
      </c>
      <c r="V13" s="149" t="s">
        <v>161</v>
      </c>
      <c r="W13" s="149">
        <v>4.07E-2</v>
      </c>
      <c r="X13" s="149"/>
      <c r="Y13" s="154">
        <f>SUM(J1)</f>
        <v>1421.6</v>
      </c>
      <c r="Z13" s="41"/>
    </row>
    <row r="14" spans="1:26" ht="27.95" customHeight="1" outlineLevel="1">
      <c r="A14" s="24"/>
      <c r="B14" s="10" t="s">
        <v>11</v>
      </c>
      <c r="C14" s="12">
        <f>SUM(I14*3)</f>
        <v>127.71000000000002</v>
      </c>
      <c r="D14" s="12">
        <f>SUM(I14*2+O14)</f>
        <v>112.95000000000002</v>
      </c>
      <c r="E14" s="12">
        <f>SUM(O14*2+U14)</f>
        <v>145.39403999999999</v>
      </c>
      <c r="F14" s="12">
        <f>SUM(U14*3)</f>
        <v>269.32211999999993</v>
      </c>
      <c r="G14" s="75">
        <f t="shared" si="1"/>
        <v>655.37615999999991</v>
      </c>
      <c r="H14" s="144" t="s">
        <v>11</v>
      </c>
      <c r="I14" s="149">
        <f>SUM((K14+L14/2))*J5</f>
        <v>42.570000000000007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27.81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89.774039999999985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1421.6</v>
      </c>
      <c r="Z14" s="41"/>
    </row>
    <row r="15" spans="1:26" ht="48" customHeight="1" outlineLevel="1" thickBot="1">
      <c r="A15" s="24"/>
      <c r="B15" s="10" t="s">
        <v>12</v>
      </c>
      <c r="C15" s="9">
        <f>SUM(I15*3)</f>
        <v>128.781576</v>
      </c>
      <c r="D15" s="9">
        <f>SUM(I15*2+O15)</f>
        <v>127.41429599999999</v>
      </c>
      <c r="E15" s="9">
        <f>SUM(O15*2+U15)</f>
        <v>124.67973599999999</v>
      </c>
      <c r="F15" s="9">
        <f>SUM(U15*3)</f>
        <v>124.67973599999999</v>
      </c>
      <c r="G15" s="75">
        <f t="shared" ref="G15" si="2">SUM(C15:F15)</f>
        <v>505.55534399999999</v>
      </c>
      <c r="H15" s="144" t="s">
        <v>150</v>
      </c>
      <c r="I15" s="149">
        <f>SUM(J15*((K15+L15))/2)*M15</f>
        <v>42.927191999999998</v>
      </c>
      <c r="J15" s="149">
        <v>0.24</v>
      </c>
      <c r="K15" s="149">
        <v>9.2583000000000002</v>
      </c>
      <c r="L15" s="149">
        <v>10.615399999999999</v>
      </c>
      <c r="M15" s="149">
        <f>SUM(J5)</f>
        <v>18</v>
      </c>
      <c r="N15" s="86"/>
      <c r="O15" s="149">
        <f>SUM(P15*((Q15+R15)/2)*S15)</f>
        <v>41.559911999999997</v>
      </c>
      <c r="P15" s="149">
        <v>0.24</v>
      </c>
      <c r="Q15" s="149">
        <v>8.9418000000000006</v>
      </c>
      <c r="R15" s="149">
        <v>10.2989</v>
      </c>
      <c r="S15" s="149">
        <f>SUM(J5)</f>
        <v>18</v>
      </c>
      <c r="T15" s="86"/>
      <c r="U15" s="149">
        <f>SUM(V15*((W15+X15)/2)*Y15)</f>
        <v>41.559911999999997</v>
      </c>
      <c r="V15" s="149">
        <v>0.24</v>
      </c>
      <c r="W15" s="149">
        <v>8.9418000000000006</v>
      </c>
      <c r="X15" s="149">
        <v>10.2989</v>
      </c>
      <c r="Y15" s="149">
        <f>SUM(J5)</f>
        <v>18</v>
      </c>
      <c r="Z15" s="40"/>
    </row>
    <row r="16" spans="1:26" ht="27.95" customHeight="1">
      <c r="A16" s="113">
        <v>2</v>
      </c>
      <c r="B16" s="28" t="s">
        <v>16</v>
      </c>
      <c r="C16" s="35">
        <f>SUM(C17:C19)</f>
        <v>121.5</v>
      </c>
      <c r="D16" s="35">
        <f t="shared" ref="D16:F16" si="3">SUM(D17:D19)</f>
        <v>121.5</v>
      </c>
      <c r="E16" s="35">
        <f t="shared" si="3"/>
        <v>121.5</v>
      </c>
      <c r="F16" s="35">
        <f t="shared" si="3"/>
        <v>121.5</v>
      </c>
      <c r="G16" s="35">
        <f t="shared" ref="G16" si="4">SUM(G17:G19)</f>
        <v>486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27.95" customHeight="1" outlineLevel="1">
      <c r="A17" s="29"/>
      <c r="B17" s="10" t="s">
        <v>20</v>
      </c>
      <c r="C17" s="12">
        <f>$I$17*3</f>
        <v>57.509999999999991</v>
      </c>
      <c r="D17" s="12">
        <f t="shared" ref="D17:F17" si="5">$I$17*3</f>
        <v>57.509999999999991</v>
      </c>
      <c r="E17" s="12">
        <f t="shared" si="5"/>
        <v>57.509999999999991</v>
      </c>
      <c r="F17" s="12">
        <f t="shared" si="5"/>
        <v>57.509999999999991</v>
      </c>
      <c r="G17" s="76">
        <f>SUM(C17:F17)</f>
        <v>230.03999999999996</v>
      </c>
      <c r="H17" s="146" t="s">
        <v>153</v>
      </c>
      <c r="I17" s="149">
        <f>SUM(K17*M17)*1.5</f>
        <v>19.169999999999998</v>
      </c>
      <c r="J17" s="149" t="s">
        <v>163</v>
      </c>
      <c r="K17" s="149">
        <v>0.71</v>
      </c>
      <c r="L17" s="149"/>
      <c r="M17" s="149">
        <f>SUM(J5)</f>
        <v>18</v>
      </c>
      <c r="N17" s="86"/>
      <c r="O17" s="149">
        <f>SUM(Q17*S17*1.5)</f>
        <v>19.169999999999998</v>
      </c>
      <c r="P17" s="149" t="s">
        <v>163</v>
      </c>
      <c r="Q17" s="149">
        <v>0.71</v>
      </c>
      <c r="R17" s="149"/>
      <c r="S17" s="149">
        <f>SUM(J5)</f>
        <v>18</v>
      </c>
      <c r="T17" s="86"/>
      <c r="U17" s="149">
        <f>SUM(W17*Y17)</f>
        <v>28.147680000000001</v>
      </c>
      <c r="V17" s="149" t="s">
        <v>163</v>
      </c>
      <c r="W17" s="149">
        <v>1.9800000000000002E-2</v>
      </c>
      <c r="X17" s="149"/>
      <c r="Y17" s="149">
        <f>SUM(J1)</f>
        <v>1421.6</v>
      </c>
      <c r="Z17" s="40"/>
    </row>
    <row r="18" spans="1:27" ht="27.95" customHeight="1" outlineLevel="1">
      <c r="A18" s="29"/>
      <c r="B18" s="10" t="s">
        <v>14</v>
      </c>
      <c r="C18" s="9">
        <f>$I$18*3</f>
        <v>63.990000000000009</v>
      </c>
      <c r="D18" s="9">
        <f t="shared" ref="D18:F18" si="6">$I$18*3</f>
        <v>63.990000000000009</v>
      </c>
      <c r="E18" s="9">
        <f t="shared" si="6"/>
        <v>63.990000000000009</v>
      </c>
      <c r="F18" s="9">
        <f t="shared" si="6"/>
        <v>63.990000000000009</v>
      </c>
      <c r="G18" s="76">
        <f>SUM(C18:F18)</f>
        <v>255.96000000000004</v>
      </c>
      <c r="H18" s="146" t="s">
        <v>154</v>
      </c>
      <c r="I18" s="149">
        <f>SUM(K18*M18)*1.5</f>
        <v>21.330000000000002</v>
      </c>
      <c r="J18" s="149" t="s">
        <v>163</v>
      </c>
      <c r="K18" s="149">
        <v>0.79</v>
      </c>
      <c r="L18" s="149"/>
      <c r="M18" s="149">
        <f>SUM(J5)</f>
        <v>18</v>
      </c>
      <c r="N18" s="86"/>
      <c r="O18" s="149">
        <f>SUM(Q18*S18)*1.5</f>
        <v>21.330000000000002</v>
      </c>
      <c r="P18" s="149" t="s">
        <v>163</v>
      </c>
      <c r="Q18" s="149">
        <v>0.79</v>
      </c>
      <c r="R18" s="149"/>
      <c r="S18" s="149">
        <f>SUM(J5)</f>
        <v>18</v>
      </c>
      <c r="T18" s="86"/>
      <c r="U18" s="149">
        <f>SUM(W18*Y18)*1.5</f>
        <v>21.330000000000002</v>
      </c>
      <c r="V18" s="149" t="s">
        <v>163</v>
      </c>
      <c r="W18" s="149">
        <v>0.79</v>
      </c>
      <c r="X18" s="149"/>
      <c r="Y18" s="149">
        <f>SUM(J5)</f>
        <v>18</v>
      </c>
      <c r="Z18" s="40"/>
    </row>
    <row r="19" spans="1:27" ht="27.9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7.95" customHeight="1" outlineLevel="1" thickBot="1">
      <c r="A20" s="113">
        <v>3</v>
      </c>
      <c r="B20" s="28" t="s">
        <v>17</v>
      </c>
      <c r="C20" s="22">
        <f>SUM(C21:C22)</f>
        <v>158.22</v>
      </c>
      <c r="D20" s="22">
        <f t="shared" ref="D20:F20" si="7">SUM(D21:D22)</f>
        <v>158.22</v>
      </c>
      <c r="E20" s="22">
        <f t="shared" si="7"/>
        <v>158.22</v>
      </c>
      <c r="F20" s="22">
        <f t="shared" si="7"/>
        <v>158.22</v>
      </c>
      <c r="G20" s="8">
        <f>SUM(G21:G22)</f>
        <v>632.88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7.95" customHeight="1" outlineLevel="1">
      <c r="A21" s="29"/>
      <c r="B21" s="10" t="s">
        <v>45</v>
      </c>
      <c r="C21" s="11">
        <f>SUM(M21)*3</f>
        <v>50.220000000000006</v>
      </c>
      <c r="D21" s="11">
        <f>SUM(M21*3)</f>
        <v>50.220000000000006</v>
      </c>
      <c r="E21" s="11">
        <f>SUM(M21*3)</f>
        <v>50.220000000000006</v>
      </c>
      <c r="F21" s="11">
        <f>SUM(M21*3)</f>
        <v>50.220000000000006</v>
      </c>
      <c r="G21" s="76">
        <f>SUM(C21:F21)</f>
        <v>200.88000000000002</v>
      </c>
      <c r="H21" s="145" t="s">
        <v>149</v>
      </c>
      <c r="I21" s="105">
        <f>SUM(J5)</f>
        <v>18</v>
      </c>
      <c r="J21" s="106"/>
      <c r="K21" s="243">
        <v>0.93</v>
      </c>
      <c r="L21" s="106"/>
      <c r="M21" s="107">
        <f>I21*K21</f>
        <v>16.740000000000002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7.95" customHeight="1" outlineLevel="1" thickBot="1">
      <c r="A22" s="27"/>
      <c r="B22" s="25" t="s">
        <v>18</v>
      </c>
      <c r="C22" s="26">
        <f>SUM(M22)*3</f>
        <v>108</v>
      </c>
      <c r="D22" s="26">
        <f>SUM(M22*3)</f>
        <v>108</v>
      </c>
      <c r="E22" s="26">
        <f>SUM(M22*3)</f>
        <v>108</v>
      </c>
      <c r="F22" s="26">
        <f>SUM(M22*3)</f>
        <v>108</v>
      </c>
      <c r="G22" s="77">
        <f>SUM(C22:F22)</f>
        <v>432</v>
      </c>
      <c r="H22" s="146" t="s">
        <v>156</v>
      </c>
      <c r="I22" s="108">
        <f>SUM(J5)</f>
        <v>18</v>
      </c>
      <c r="J22" s="109"/>
      <c r="K22" s="109">
        <v>2</v>
      </c>
      <c r="L22" s="109"/>
      <c r="M22" s="110">
        <f>I22*K22</f>
        <v>36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7.95" customHeight="1" thickBot="1">
      <c r="A23" s="31" t="s">
        <v>9</v>
      </c>
      <c r="B23" s="28" t="s">
        <v>22</v>
      </c>
      <c r="C23" s="22">
        <f>SUM(C24:C25)</f>
        <v>3113.3040000000001</v>
      </c>
      <c r="D23" s="22">
        <f t="shared" ref="D23:F23" si="8">SUM(D24:D25)</f>
        <v>3113.3040000000001</v>
      </c>
      <c r="E23" s="22">
        <f t="shared" si="8"/>
        <v>3113.3040000000001</v>
      </c>
      <c r="F23" s="22">
        <f t="shared" si="8"/>
        <v>3113.3040000000001</v>
      </c>
      <c r="G23" s="8">
        <f>SUM(G24:G25)</f>
        <v>12453.216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7.95" customHeight="1" outlineLevel="1" thickBot="1">
      <c r="A24" s="32"/>
      <c r="B24" s="10" t="s">
        <v>21</v>
      </c>
      <c r="C24" s="9">
        <f>SUM(M24)*3</f>
        <v>2644.1759999999999</v>
      </c>
      <c r="D24" s="9">
        <f>SUM(M24*3)</f>
        <v>2644.1759999999999</v>
      </c>
      <c r="E24" s="9">
        <f>SUM(M24*3)</f>
        <v>2644.1759999999999</v>
      </c>
      <c r="F24" s="9">
        <f>SUM(M24*3)</f>
        <v>2644.1759999999999</v>
      </c>
      <c r="G24" s="76">
        <f t="shared" ref="G24:G25" si="9">SUM(C24:F24)</f>
        <v>10576.704</v>
      </c>
      <c r="H24" s="148" t="s">
        <v>158</v>
      </c>
      <c r="I24" s="99">
        <f>SUM(J1)</f>
        <v>1421.6</v>
      </c>
      <c r="J24" s="100"/>
      <c r="K24" s="106">
        <v>0.62</v>
      </c>
      <c r="L24" s="106"/>
      <c r="M24" s="101">
        <f>SUM(I24*K24)</f>
        <v>881.39199999999994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7.95" customHeight="1" outlineLevel="1" thickBot="1">
      <c r="A25" s="33"/>
      <c r="B25" s="25" t="s">
        <v>60</v>
      </c>
      <c r="C25" s="26">
        <f>SUM(M25)*3</f>
        <v>469.12800000000004</v>
      </c>
      <c r="D25" s="26">
        <f>SUM(M25*3)</f>
        <v>469.12800000000004</v>
      </c>
      <c r="E25" s="26">
        <f>SUM(M25*3)</f>
        <v>469.12800000000004</v>
      </c>
      <c r="F25" s="26">
        <f>SUM(M25*3)</f>
        <v>469.12800000000004</v>
      </c>
      <c r="G25" s="77">
        <f t="shared" si="9"/>
        <v>1876.5120000000002</v>
      </c>
      <c r="H25" s="148" t="s">
        <v>159</v>
      </c>
      <c r="I25" s="102">
        <f>SUM(J1)</f>
        <v>1421.6</v>
      </c>
      <c r="J25" s="104"/>
      <c r="K25" s="109">
        <v>0.11</v>
      </c>
      <c r="L25" s="109"/>
      <c r="M25" s="101">
        <f>SUM(I25*K25)</f>
        <v>156.376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7.95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7.95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7.95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7.95" customHeight="1" outlineLevel="1" thickBot="1">
      <c r="A29" s="289" t="s">
        <v>6</v>
      </c>
      <c r="B29" s="290"/>
      <c r="C29" s="50">
        <f>C9+C16+C20+C23+C26</f>
        <v>4273.2621360000003</v>
      </c>
      <c r="D29" s="50">
        <f>D9+D16+D20+D23+D26</f>
        <v>4244.3834160000006</v>
      </c>
      <c r="E29" s="50">
        <f>E9+E16+E20+E23+E26</f>
        <v>4287.2791360000001</v>
      </c>
      <c r="F29" s="50">
        <f>F9+F16+F20+F23+F26</f>
        <v>4488.5854559999998</v>
      </c>
      <c r="G29" s="51">
        <f t="shared" si="11"/>
        <v>17293.510144000003</v>
      </c>
    </row>
    <row r="30" spans="1:27" ht="27.95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7.95" customHeight="1">
      <c r="A31" s="113">
        <v>1</v>
      </c>
      <c r="B31" s="21" t="s">
        <v>15</v>
      </c>
      <c r="C31" s="62">
        <f>SUM(C32:C35)</f>
        <v>1058.7442562987201</v>
      </c>
      <c r="D31" s="62">
        <f>SUM(D32:D35)</f>
        <v>1045.9928162987198</v>
      </c>
      <c r="E31" s="62">
        <f>SUM(E32:E35)</f>
        <v>1059.1790562987198</v>
      </c>
      <c r="F31" s="62">
        <f>SUM(F32:F35)</f>
        <v>1136.5572962987198</v>
      </c>
      <c r="G31" s="62">
        <f>SUM(G32:G35)</f>
        <v>4300.4734251948794</v>
      </c>
    </row>
    <row r="32" spans="1:27" ht="27.95" customHeight="1">
      <c r="A32" s="44"/>
      <c r="B32" s="10" t="s">
        <v>3</v>
      </c>
      <c r="C32" s="42">
        <f>C10</f>
        <v>563.80655999999999</v>
      </c>
      <c r="D32" s="42">
        <f>D10</f>
        <v>551.86511999999993</v>
      </c>
      <c r="E32" s="42">
        <f>E10</f>
        <v>527.98223999999993</v>
      </c>
      <c r="F32" s="42">
        <f>F10</f>
        <v>527.98223999999993</v>
      </c>
      <c r="G32" s="72">
        <f>SUM(C32:F32)</f>
        <v>2171.6361599999996</v>
      </c>
    </row>
    <row r="33" spans="1:10" ht="27.95" customHeight="1">
      <c r="A33" s="44"/>
      <c r="B33" s="10" t="s">
        <v>10</v>
      </c>
      <c r="C33" s="42">
        <f t="shared" ref="C33:F33" si="12">C13</f>
        <v>59.94</v>
      </c>
      <c r="D33" s="42">
        <f t="shared" si="12"/>
        <v>59.129999999999995</v>
      </c>
      <c r="E33" s="42">
        <f t="shared" si="12"/>
        <v>96.199119999999994</v>
      </c>
      <c r="F33" s="42">
        <f t="shared" si="12"/>
        <v>173.57736</v>
      </c>
      <c r="G33" s="72">
        <f>SUM(C33:F33)</f>
        <v>388.84647999999999</v>
      </c>
    </row>
    <row r="34" spans="1:10" ht="27.95" customHeight="1">
      <c r="A34" s="44"/>
      <c r="B34" s="10" t="s">
        <v>46</v>
      </c>
      <c r="C34" s="42">
        <f>Лист15!D16</f>
        <v>434.99769629871997</v>
      </c>
      <c r="D34" s="42">
        <f>C34</f>
        <v>434.99769629871997</v>
      </c>
      <c r="E34" s="42">
        <f t="shared" ref="E34:F34" si="13">D34</f>
        <v>434.99769629871997</v>
      </c>
      <c r="F34" s="42">
        <f t="shared" si="13"/>
        <v>434.99769629871997</v>
      </c>
      <c r="G34" s="72">
        <f>SUM(C34:F34)</f>
        <v>1739.9907851948799</v>
      </c>
    </row>
    <row r="35" spans="1:10" ht="27.95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7.95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27.95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27.95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7.95" customHeight="1">
      <c r="A39" s="113" t="s">
        <v>28</v>
      </c>
      <c r="B39" s="28" t="s">
        <v>17</v>
      </c>
      <c r="C39" s="62">
        <f>SUM(C40:C41)</f>
        <v>158.22</v>
      </c>
      <c r="D39" s="62">
        <f t="shared" ref="D39:G39" si="15">SUM(D40:D41)</f>
        <v>158.22</v>
      </c>
      <c r="E39" s="62">
        <f t="shared" si="15"/>
        <v>158.22</v>
      </c>
      <c r="F39" s="62">
        <f t="shared" si="15"/>
        <v>158.22</v>
      </c>
      <c r="G39" s="62">
        <f t="shared" si="15"/>
        <v>632.88</v>
      </c>
    </row>
    <row r="40" spans="1:10" ht="27.95" customHeight="1">
      <c r="A40" s="44"/>
      <c r="B40" s="10" t="s">
        <v>45</v>
      </c>
      <c r="C40" s="42">
        <f t="shared" ref="C40:F41" si="16">C21</f>
        <v>50.220000000000006</v>
      </c>
      <c r="D40" s="42">
        <f t="shared" si="16"/>
        <v>50.220000000000006</v>
      </c>
      <c r="E40" s="42">
        <f t="shared" si="16"/>
        <v>50.220000000000006</v>
      </c>
      <c r="F40" s="42">
        <f t="shared" si="16"/>
        <v>50.220000000000006</v>
      </c>
      <c r="G40" s="72">
        <f>SUM(C40:F40)</f>
        <v>200.88000000000002</v>
      </c>
      <c r="H40" s="2">
        <v>0.93</v>
      </c>
    </row>
    <row r="41" spans="1:10" s="4" customFormat="1" ht="27.95" customHeight="1" thickBot="1">
      <c r="A41" s="54"/>
      <c r="B41" s="25" t="s">
        <v>18</v>
      </c>
      <c r="C41" s="55">
        <f t="shared" si="16"/>
        <v>108</v>
      </c>
      <c r="D41" s="55">
        <f t="shared" si="16"/>
        <v>108</v>
      </c>
      <c r="E41" s="55">
        <f t="shared" si="16"/>
        <v>108</v>
      </c>
      <c r="F41" s="55">
        <f t="shared" si="16"/>
        <v>108</v>
      </c>
      <c r="G41" s="72">
        <f>SUM(C41:F41)</f>
        <v>432</v>
      </c>
    </row>
    <row r="42" spans="1:10" ht="27.95" customHeight="1">
      <c r="A42" s="113" t="s">
        <v>9</v>
      </c>
      <c r="B42" s="28" t="s">
        <v>33</v>
      </c>
      <c r="C42" s="62">
        <f>SUM(C43:C58)</f>
        <v>2644.1759999999999</v>
      </c>
      <c r="D42" s="62">
        <f>SUM(D43:D58)</f>
        <v>2644.1759999999999</v>
      </c>
      <c r="E42" s="62">
        <f>SUM(E43:E58)</f>
        <v>2644.1759999999999</v>
      </c>
      <c r="F42" s="62">
        <f>SUM(F43:F58)</f>
        <v>2644.1759999999999</v>
      </c>
      <c r="G42" s="64">
        <f t="shared" ref="G42:G51" si="17">SUM(C42:F42)</f>
        <v>10576.704</v>
      </c>
    </row>
    <row r="43" spans="1:10" ht="27.95" customHeight="1">
      <c r="A43" s="56"/>
      <c r="B43" s="47" t="s">
        <v>40</v>
      </c>
      <c r="C43" s="42">
        <f>C24</f>
        <v>2644.1759999999999</v>
      </c>
      <c r="D43" s="42">
        <f>D24</f>
        <v>2644.1759999999999</v>
      </c>
      <c r="E43" s="42">
        <f>E24</f>
        <v>2644.1759999999999</v>
      </c>
      <c r="F43" s="42">
        <f>F24</f>
        <v>2644.1759999999999</v>
      </c>
      <c r="G43" s="72">
        <f t="shared" si="17"/>
        <v>10576.704</v>
      </c>
    </row>
    <row r="44" spans="1:10" ht="27.95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7.95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7.95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7.95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7.95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27.95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7.95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7.95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7.95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7.95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7.95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27.9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27.95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27.95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7.95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7.95" customHeight="1" outlineLevel="1" thickBot="1">
      <c r="A59" s="287" t="s">
        <v>39</v>
      </c>
      <c r="B59" s="288"/>
      <c r="C59" s="38">
        <f>C31+C36+C39+C42</f>
        <v>3861.14025629872</v>
      </c>
      <c r="D59" s="38">
        <f>D31+D36+D39+D42</f>
        <v>3848.3888162987196</v>
      </c>
      <c r="E59" s="38">
        <f>E31+E36+E39+E42</f>
        <v>3861.5750562987196</v>
      </c>
      <c r="F59" s="38">
        <f>F31+F36+F39+F42</f>
        <v>3938.9532962987196</v>
      </c>
      <c r="G59" s="39">
        <f>G31+G36+G39+G42</f>
        <v>15510.057425194878</v>
      </c>
    </row>
    <row r="60" spans="1:14" ht="27.95" customHeight="1" outlineLevel="1">
      <c r="A60" s="111"/>
      <c r="B60" s="70"/>
      <c r="C60" s="71">
        <f>C29-C59</f>
        <v>412.12187970128025</v>
      </c>
      <c r="D60" s="71">
        <f>D29-D59</f>
        <v>395.994599701281</v>
      </c>
      <c r="E60" s="71">
        <f>E29-E59</f>
        <v>425.70407970128053</v>
      </c>
      <c r="F60" s="71">
        <f>F29-F59</f>
        <v>549.63215970128022</v>
      </c>
      <c r="G60" s="71">
        <f>G29-G59</f>
        <v>1783.4527188051252</v>
      </c>
    </row>
    <row r="61" spans="1:14" ht="27.95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27.95" customHeight="1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27.9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 ht="27.95" customHeight="1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 ht="27.95" customHeight="1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1.4579999999999997</v>
      </c>
      <c r="D77" s="65">
        <f>D16*1.2/100</f>
        <v>1.4579999999999997</v>
      </c>
      <c r="E77" s="65">
        <f>E16*1.2/100</f>
        <v>1.4579999999999997</v>
      </c>
      <c r="F77" s="65">
        <f>F16*1.2/100</f>
        <v>1.4579999999999997</v>
      </c>
    </row>
    <row r="78" spans="1:15" hidden="1">
      <c r="A78" s="68"/>
      <c r="C78" s="65">
        <f>(C16-C77)*0.5/100</f>
        <v>0.60021000000000002</v>
      </c>
      <c r="D78" s="65">
        <f>(D16-D77)*0.5/100</f>
        <v>0.60021000000000002</v>
      </c>
      <c r="E78" s="65">
        <f>(E16-E77)*0.5/100</f>
        <v>0.60021000000000002</v>
      </c>
      <c r="F78" s="65">
        <f>(F16-F77)*0.5/100</f>
        <v>0.60021000000000002</v>
      </c>
    </row>
    <row r="79" spans="1:15" hidden="1">
      <c r="C79" s="3">
        <f>C9*1.2/100</f>
        <v>10.562857632</v>
      </c>
      <c r="D79" s="3">
        <f>D9*1.2/100</f>
        <v>10.216312991999999</v>
      </c>
      <c r="E79" s="3">
        <f>E9*1.2/100</f>
        <v>10.731061631999999</v>
      </c>
      <c r="F79" s="3">
        <f>F9*1.2/100</f>
        <v>13.146737471999998</v>
      </c>
    </row>
    <row r="80" spans="1:15" s="3" customFormat="1" hidden="1">
      <c r="A80" s="2"/>
      <c r="B80" s="2"/>
      <c r="C80" s="3">
        <f>(C9-C79)*4/100</f>
        <v>34.787011134720004</v>
      </c>
      <c r="D80" s="3">
        <f>(D9-D79)*4/100</f>
        <v>33.645724120320004</v>
      </c>
      <c r="E80" s="3">
        <f>(E9-E79)*4/100</f>
        <v>35.34096297472</v>
      </c>
      <c r="F80" s="3">
        <f>(F9-F79)*4/100</f>
        <v>43.296588741119997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47.408078766720003</v>
      </c>
      <c r="D81" s="3">
        <f t="shared" ref="D81:F81" si="20">SUM(D77:D80)</f>
        <v>45.920247112319998</v>
      </c>
      <c r="E81" s="3">
        <f t="shared" si="20"/>
        <v>48.130234606719995</v>
      </c>
      <c r="F81" s="3">
        <f t="shared" si="20"/>
        <v>58.501536213119991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37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F80B-6A23-4443-81A3-0AE871FCB37A}">
  <sheetPr>
    <tabColor rgb="FFFFC000"/>
  </sheetPr>
  <dimension ref="A1:U26"/>
  <sheetViews>
    <sheetView topLeftCell="K4" workbookViewId="0">
      <selection activeCell="S10" sqref="S10"/>
    </sheetView>
  </sheetViews>
  <sheetFormatPr defaultRowHeight="15"/>
  <cols>
    <col min="1" max="5" width="9.140625" hidden="1" customWidth="1"/>
    <col min="6" max="6" width="0" hidden="1" customWidth="1"/>
    <col min="7" max="7" width="8.85546875" hidden="1" customWidth="1"/>
    <col min="8" max="8" width="9.140625" hidden="1" customWidth="1"/>
    <col min="9" max="9" width="28.7109375" hidden="1" customWidth="1"/>
    <col min="10" max="10" width="0" hidden="1" customWidth="1"/>
    <col min="17" max="17" width="19.42578125" customWidth="1"/>
    <col min="18" max="18" width="13.85546875" customWidth="1"/>
    <col min="19" max="19" width="23.140625" customWidth="1"/>
    <col min="20" max="20" width="18.5703125" customWidth="1"/>
  </cols>
  <sheetData>
    <row r="1" spans="1:21" ht="26.25" customHeight="1" thickBot="1">
      <c r="N1" s="292" t="s">
        <v>167</v>
      </c>
      <c r="O1" s="293"/>
      <c r="P1" s="294"/>
      <c r="Q1" t="s">
        <v>165</v>
      </c>
      <c r="R1" s="152" t="s">
        <v>168</v>
      </c>
      <c r="S1" t="s">
        <v>169</v>
      </c>
      <c r="T1" t="s">
        <v>171</v>
      </c>
      <c r="U1" t="s">
        <v>147</v>
      </c>
    </row>
    <row r="2" spans="1:21">
      <c r="A2" t="s">
        <v>93</v>
      </c>
      <c r="B2" s="124">
        <f>тх2!J1</f>
        <v>776.1</v>
      </c>
      <c r="F2" s="133" t="s">
        <v>96</v>
      </c>
      <c r="G2" s="134">
        <v>169.1</v>
      </c>
      <c r="H2" s="135"/>
      <c r="I2" s="136" t="s">
        <v>115</v>
      </c>
      <c r="K2" s="153" t="s">
        <v>96</v>
      </c>
      <c r="L2" s="154">
        <v>169.1</v>
      </c>
      <c r="M2" s="153"/>
      <c r="N2" s="153" t="s">
        <v>115</v>
      </c>
      <c r="O2" s="153"/>
      <c r="P2" s="153"/>
      <c r="Q2" s="153">
        <v>1</v>
      </c>
      <c r="R2" s="155">
        <v>0</v>
      </c>
      <c r="S2" s="153">
        <v>8</v>
      </c>
      <c r="T2" s="153">
        <f>SUM(L5+L7+L8+L9)</f>
        <v>718.2</v>
      </c>
      <c r="U2" s="154">
        <f>SUM(L2+L3+L4+L6+L10)</f>
        <v>874.4</v>
      </c>
    </row>
    <row r="3" spans="1:21">
      <c r="A3" t="s">
        <v>94</v>
      </c>
      <c r="B3" s="124">
        <f>тх4!J1</f>
        <v>774</v>
      </c>
      <c r="F3" s="137" t="s">
        <v>96</v>
      </c>
      <c r="G3" s="138">
        <v>178</v>
      </c>
      <c r="H3" s="138"/>
      <c r="I3" s="139" t="s">
        <v>116</v>
      </c>
      <c r="K3" s="153" t="s">
        <v>96</v>
      </c>
      <c r="L3" s="153">
        <v>178</v>
      </c>
      <c r="M3" s="153"/>
      <c r="N3" s="153" t="s">
        <v>116</v>
      </c>
      <c r="O3" s="153"/>
      <c r="P3" s="153"/>
      <c r="Q3" s="153">
        <v>1</v>
      </c>
      <c r="R3" s="155">
        <v>0</v>
      </c>
      <c r="S3" s="153">
        <v>8</v>
      </c>
      <c r="T3" s="153"/>
      <c r="U3" s="153"/>
    </row>
    <row r="4" spans="1:21">
      <c r="A4" t="s">
        <v>95</v>
      </c>
      <c r="B4" s="124">
        <f>тх6!J1</f>
        <v>774.4</v>
      </c>
      <c r="F4" s="137" t="s">
        <v>96</v>
      </c>
      <c r="G4" s="138">
        <v>181</v>
      </c>
      <c r="H4" s="138"/>
      <c r="I4" s="139" t="s">
        <v>117</v>
      </c>
      <c r="K4" s="153" t="s">
        <v>96</v>
      </c>
      <c r="L4" s="153">
        <v>181</v>
      </c>
      <c r="M4" s="153"/>
      <c r="N4" s="153" t="s">
        <v>117</v>
      </c>
      <c r="O4" s="153"/>
      <c r="P4" s="153"/>
      <c r="Q4" s="153">
        <v>1</v>
      </c>
      <c r="R4" s="155">
        <v>0</v>
      </c>
      <c r="S4" s="153">
        <v>9</v>
      </c>
      <c r="T4" s="153"/>
      <c r="U4" s="153"/>
    </row>
    <row r="5" spans="1:21">
      <c r="A5" t="s">
        <v>96</v>
      </c>
      <c r="B5" s="124">
        <f>КТ!J1</f>
        <v>1592.6</v>
      </c>
      <c r="C5" s="125"/>
      <c r="F5" s="137" t="s">
        <v>96</v>
      </c>
      <c r="G5" s="138">
        <v>181</v>
      </c>
      <c r="H5" s="138"/>
      <c r="I5" s="139" t="s">
        <v>118</v>
      </c>
      <c r="K5" s="153" t="s">
        <v>96</v>
      </c>
      <c r="L5" s="153">
        <v>181</v>
      </c>
      <c r="M5" s="153"/>
      <c r="N5" s="153" t="s">
        <v>118</v>
      </c>
      <c r="O5" s="153"/>
      <c r="P5" s="153"/>
      <c r="Q5" s="153">
        <v>1</v>
      </c>
      <c r="R5" s="155">
        <v>1</v>
      </c>
      <c r="S5" s="153">
        <v>1</v>
      </c>
      <c r="T5" s="153"/>
      <c r="U5" s="153"/>
    </row>
    <row r="6" spans="1:21">
      <c r="A6" t="s">
        <v>97</v>
      </c>
      <c r="B6" s="124">
        <f>УВ1!J1</f>
        <v>1249.5</v>
      </c>
      <c r="C6" s="125">
        <f>$C$17*B6/$B$17</f>
        <v>1529.3461494801647</v>
      </c>
      <c r="D6" s="125">
        <f>C6/4</f>
        <v>382.33653737004119</v>
      </c>
      <c r="F6" s="137" t="s">
        <v>96</v>
      </c>
      <c r="G6" s="138">
        <v>169.9</v>
      </c>
      <c r="H6" s="138"/>
      <c r="I6" s="139" t="s">
        <v>119</v>
      </c>
      <c r="K6" s="153" t="s">
        <v>96</v>
      </c>
      <c r="L6" s="153">
        <v>169.9</v>
      </c>
      <c r="M6" s="153"/>
      <c r="N6" s="153" t="s">
        <v>119</v>
      </c>
      <c r="O6" s="153"/>
      <c r="P6" s="153"/>
      <c r="Q6" s="153">
        <v>1</v>
      </c>
      <c r="R6" s="155">
        <v>0</v>
      </c>
      <c r="S6" s="153">
        <v>8</v>
      </c>
      <c r="T6" s="153"/>
      <c r="U6" s="153"/>
    </row>
    <row r="7" spans="1:21">
      <c r="A7" t="s">
        <v>98</v>
      </c>
      <c r="B7" s="124">
        <f>УВ3!J1</f>
        <v>1425.9</v>
      </c>
      <c r="C7" s="125">
        <f t="shared" ref="C7:C16" si="0">$C$17*B7/$B$17</f>
        <v>1745.2538411714822</v>
      </c>
      <c r="D7" s="125">
        <f t="shared" ref="D7:D16" si="1">C7/4</f>
        <v>436.31346029287056</v>
      </c>
      <c r="F7" s="137" t="s">
        <v>96</v>
      </c>
      <c r="G7" s="138">
        <v>178</v>
      </c>
      <c r="H7" s="138"/>
      <c r="I7" s="139" t="s">
        <v>120</v>
      </c>
      <c r="K7" s="153" t="s">
        <v>96</v>
      </c>
      <c r="L7" s="153">
        <v>178</v>
      </c>
      <c r="M7" s="153"/>
      <c r="N7" s="153" t="s">
        <v>120</v>
      </c>
      <c r="O7" s="153"/>
      <c r="P7" s="153"/>
      <c r="Q7" s="153">
        <v>1</v>
      </c>
      <c r="R7" s="155">
        <v>4</v>
      </c>
      <c r="S7" s="153">
        <v>4</v>
      </c>
      <c r="T7" s="153"/>
      <c r="U7" s="153"/>
    </row>
    <row r="8" spans="1:21">
      <c r="A8" t="s">
        <v>99</v>
      </c>
      <c r="B8" s="124">
        <f>УВ5!J1</f>
        <v>1419.4</v>
      </c>
      <c r="C8" s="125">
        <f t="shared" si="0"/>
        <v>1737.2980588812693</v>
      </c>
      <c r="D8" s="125">
        <f t="shared" si="1"/>
        <v>434.32451472031732</v>
      </c>
      <c r="F8" s="137" t="s">
        <v>96</v>
      </c>
      <c r="G8" s="138">
        <v>183</v>
      </c>
      <c r="H8" s="138"/>
      <c r="I8" s="139" t="s">
        <v>121</v>
      </c>
      <c r="K8" s="153" t="s">
        <v>96</v>
      </c>
      <c r="L8" s="153">
        <v>183</v>
      </c>
      <c r="M8" s="153"/>
      <c r="N8" s="153" t="s">
        <v>121</v>
      </c>
      <c r="O8" s="153"/>
      <c r="P8" s="153"/>
      <c r="Q8" s="153">
        <v>1</v>
      </c>
      <c r="R8" s="155">
        <v>1</v>
      </c>
      <c r="S8" s="153">
        <v>1</v>
      </c>
      <c r="T8" s="153"/>
      <c r="U8" s="153"/>
    </row>
    <row r="9" spans="1:21">
      <c r="A9" t="s">
        <v>100</v>
      </c>
      <c r="B9" s="124">
        <f>УВ7!J1</f>
        <v>1422.7</v>
      </c>
      <c r="C9" s="125">
        <f t="shared" si="0"/>
        <v>1741.3371483516851</v>
      </c>
      <c r="D9" s="125">
        <f t="shared" si="1"/>
        <v>435.33428708792127</v>
      </c>
      <c r="F9" s="137" t="s">
        <v>96</v>
      </c>
      <c r="G9" s="138">
        <v>176.2</v>
      </c>
      <c r="H9" s="138"/>
      <c r="I9" s="139" t="s">
        <v>122</v>
      </c>
      <c r="K9" s="153" t="s">
        <v>96</v>
      </c>
      <c r="L9" s="153">
        <v>176.2</v>
      </c>
      <c r="M9" s="153"/>
      <c r="N9" s="153" t="s">
        <v>122</v>
      </c>
      <c r="O9" s="153"/>
      <c r="P9" s="153"/>
      <c r="Q9" s="153">
        <v>1</v>
      </c>
      <c r="R9" s="155">
        <v>1</v>
      </c>
      <c r="S9" s="153">
        <v>1</v>
      </c>
      <c r="T9" s="153"/>
      <c r="U9" s="153"/>
    </row>
    <row r="10" spans="1:21" ht="15.75" thickBot="1">
      <c r="A10" t="s">
        <v>101</v>
      </c>
      <c r="B10" s="124">
        <f>УВ9!J1</f>
        <v>1256.5999999999999</v>
      </c>
      <c r="C10" s="125">
        <f t="shared" si="0"/>
        <v>1538.0363116740898</v>
      </c>
      <c r="D10" s="125">
        <f t="shared" si="1"/>
        <v>384.50907791852245</v>
      </c>
      <c r="F10" s="140" t="s">
        <v>96</v>
      </c>
      <c r="G10" s="141">
        <v>176.4</v>
      </c>
      <c r="H10" s="141"/>
      <c r="I10" s="142" t="s">
        <v>123</v>
      </c>
      <c r="K10" s="153" t="s">
        <v>96</v>
      </c>
      <c r="L10" s="153">
        <v>176.4</v>
      </c>
      <c r="M10" s="153"/>
      <c r="N10" s="153" t="s">
        <v>123</v>
      </c>
      <c r="O10" s="153"/>
      <c r="P10" s="153"/>
      <c r="Q10" s="153">
        <v>1</v>
      </c>
      <c r="R10" s="155">
        <v>0</v>
      </c>
      <c r="S10" s="153">
        <v>8</v>
      </c>
      <c r="T10" s="153"/>
      <c r="U10" s="153"/>
    </row>
    <row r="11" spans="1:21">
      <c r="A11" t="s">
        <v>102</v>
      </c>
      <c r="B11" s="124">
        <f>УВ11!J1</f>
        <v>1418.5</v>
      </c>
      <c r="C11" s="125">
        <f t="shared" si="0"/>
        <v>1736.1964890257013</v>
      </c>
      <c r="D11" s="125">
        <f t="shared" si="1"/>
        <v>434.04912225642533</v>
      </c>
      <c r="F11" t="s">
        <v>97</v>
      </c>
      <c r="G11">
        <v>1249.5</v>
      </c>
      <c r="I11" t="s">
        <v>124</v>
      </c>
      <c r="L11" s="156"/>
    </row>
    <row r="12" spans="1:21">
      <c r="A12" t="s">
        <v>103</v>
      </c>
      <c r="B12" s="124">
        <f>УВ13!J1</f>
        <v>1259.8</v>
      </c>
      <c r="C12" s="125">
        <f t="shared" si="0"/>
        <v>1541.953004493887</v>
      </c>
      <c r="D12" s="125">
        <f t="shared" si="1"/>
        <v>385.48825112347174</v>
      </c>
      <c r="F12" t="s">
        <v>102</v>
      </c>
      <c r="G12" s="124">
        <v>1418.5</v>
      </c>
      <c r="I12" t="s">
        <v>125</v>
      </c>
      <c r="K12" s="153" t="s">
        <v>93</v>
      </c>
      <c r="L12" s="157">
        <v>776.1</v>
      </c>
      <c r="M12" s="153"/>
      <c r="N12" s="153" t="s">
        <v>130</v>
      </c>
      <c r="O12" s="153"/>
      <c r="P12" s="153"/>
      <c r="Q12" s="153">
        <v>6</v>
      </c>
      <c r="R12" s="155">
        <v>9</v>
      </c>
      <c r="S12" s="153">
        <v>38</v>
      </c>
      <c r="T12" s="153">
        <v>776.1</v>
      </c>
      <c r="U12" s="153"/>
    </row>
    <row r="13" spans="1:21">
      <c r="A13" t="s">
        <v>104</v>
      </c>
      <c r="B13" s="124">
        <f>УВ15!J1</f>
        <v>1261.9000000000001</v>
      </c>
      <c r="C13" s="125">
        <f t="shared" si="0"/>
        <v>1544.5233341568787</v>
      </c>
      <c r="D13" s="125">
        <f t="shared" si="1"/>
        <v>386.13083353921968</v>
      </c>
      <c r="F13" t="s">
        <v>103</v>
      </c>
      <c r="G13" s="124">
        <v>1259.8</v>
      </c>
      <c r="I13" t="s">
        <v>126</v>
      </c>
      <c r="K13" s="153" t="s">
        <v>94</v>
      </c>
      <c r="L13" s="157">
        <v>774</v>
      </c>
      <c r="M13" s="153"/>
      <c r="N13" s="153" t="s">
        <v>133</v>
      </c>
      <c r="O13" s="153"/>
      <c r="P13" s="153"/>
      <c r="Q13" s="153">
        <v>6</v>
      </c>
      <c r="R13" s="155">
        <v>6</v>
      </c>
      <c r="S13" s="153">
        <v>38</v>
      </c>
      <c r="T13" s="153">
        <v>774</v>
      </c>
      <c r="U13" s="153"/>
    </row>
    <row r="14" spans="1:21">
      <c r="A14" t="s">
        <v>105</v>
      </c>
      <c r="B14" s="124">
        <f>УВ17!J1</f>
        <v>1420.9</v>
      </c>
      <c r="C14" s="125">
        <f t="shared" si="0"/>
        <v>1739.1340086405492</v>
      </c>
      <c r="D14" s="125">
        <f t="shared" si="1"/>
        <v>434.78350216013729</v>
      </c>
      <c r="F14" t="s">
        <v>104</v>
      </c>
      <c r="G14" s="124">
        <v>1261.9000000000001</v>
      </c>
      <c r="I14" t="s">
        <v>127</v>
      </c>
      <c r="K14" s="153" t="s">
        <v>95</v>
      </c>
      <c r="L14" s="157">
        <v>774.4</v>
      </c>
      <c r="M14" s="153"/>
      <c r="N14" s="153" t="s">
        <v>135</v>
      </c>
      <c r="O14" s="153"/>
      <c r="P14" s="153"/>
      <c r="Q14" s="153">
        <v>6</v>
      </c>
      <c r="R14" s="155">
        <v>1</v>
      </c>
      <c r="S14" s="153">
        <v>38</v>
      </c>
      <c r="T14" s="153">
        <v>774.4</v>
      </c>
      <c r="U14" s="153"/>
    </row>
    <row r="15" spans="1:21">
      <c r="A15" t="s">
        <v>106</v>
      </c>
      <c r="B15" s="124">
        <f>УВ19!J1</f>
        <v>1419.1</v>
      </c>
      <c r="C15" s="125">
        <f t="shared" si="0"/>
        <v>1736.9308689294132</v>
      </c>
      <c r="D15" s="125">
        <f t="shared" si="1"/>
        <v>434.23271723235331</v>
      </c>
      <c r="F15" t="s">
        <v>105</v>
      </c>
      <c r="G15" s="124">
        <v>1420.9</v>
      </c>
      <c r="I15" t="s">
        <v>128</v>
      </c>
    </row>
    <row r="16" spans="1:21">
      <c r="A16" t="s">
        <v>107</v>
      </c>
      <c r="B16" s="124">
        <f>УВ21!J1</f>
        <v>1421.6</v>
      </c>
      <c r="C16" s="125">
        <f t="shared" si="0"/>
        <v>1739.9907851948799</v>
      </c>
      <c r="D16" s="125">
        <f t="shared" si="1"/>
        <v>434.99769629871997</v>
      </c>
      <c r="F16" t="s">
        <v>106</v>
      </c>
      <c r="G16" s="124">
        <v>1419.1</v>
      </c>
      <c r="I16" t="s">
        <v>129</v>
      </c>
      <c r="K16" s="153" t="s">
        <v>140</v>
      </c>
      <c r="L16" s="153">
        <v>1249.5</v>
      </c>
      <c r="M16" s="153"/>
      <c r="N16" s="153" t="s">
        <v>124</v>
      </c>
      <c r="O16" s="153"/>
      <c r="P16" s="153"/>
      <c r="Q16" s="153">
        <v>20</v>
      </c>
      <c r="R16" s="155">
        <v>13</v>
      </c>
      <c r="S16" s="153">
        <v>62</v>
      </c>
      <c r="T16" s="153">
        <f>SUM(L16-U16)</f>
        <v>744.7</v>
      </c>
      <c r="U16" s="153">
        <v>504.8</v>
      </c>
    </row>
    <row r="17" spans="1:21">
      <c r="A17" t="s">
        <v>110</v>
      </c>
      <c r="B17" s="124">
        <f>SUM(B6:B16)</f>
        <v>14975.9</v>
      </c>
      <c r="C17">
        <v>18330</v>
      </c>
      <c r="F17" t="s">
        <v>93</v>
      </c>
      <c r="G17">
        <v>776.1</v>
      </c>
      <c r="I17" t="s">
        <v>130</v>
      </c>
      <c r="K17" s="153" t="s">
        <v>138</v>
      </c>
      <c r="L17" s="154">
        <v>1425.9</v>
      </c>
      <c r="M17" s="153"/>
      <c r="N17" s="153" t="s">
        <v>132</v>
      </c>
      <c r="O17" s="153"/>
      <c r="P17" s="153"/>
      <c r="Q17" s="153">
        <v>18</v>
      </c>
      <c r="R17" s="155">
        <v>16</v>
      </c>
      <c r="S17" s="153">
        <v>71</v>
      </c>
      <c r="T17" s="153">
        <f>SUM(L17-U17)</f>
        <v>870.60000000000014</v>
      </c>
      <c r="U17" s="153">
        <v>555.29999999999995</v>
      </c>
    </row>
    <row r="18" spans="1:21">
      <c r="A18" t="s">
        <v>111</v>
      </c>
      <c r="B18" s="124">
        <f>B2+B3+B4</f>
        <v>2324.5</v>
      </c>
      <c r="F18" t="s">
        <v>107</v>
      </c>
      <c r="G18" s="124">
        <v>1421.6</v>
      </c>
      <c r="I18" t="s">
        <v>131</v>
      </c>
      <c r="K18" s="153" t="s">
        <v>139</v>
      </c>
      <c r="L18" s="154">
        <v>1419.4</v>
      </c>
      <c r="M18" s="153"/>
      <c r="N18" s="153" t="s">
        <v>134</v>
      </c>
      <c r="O18" s="153"/>
      <c r="P18" s="153"/>
      <c r="Q18" s="153">
        <v>18</v>
      </c>
      <c r="R18" s="155">
        <v>17</v>
      </c>
      <c r="S18" s="153">
        <v>70</v>
      </c>
      <c r="T18" s="153">
        <f t="shared" ref="T18:T26" si="2">SUM(L18-U18)</f>
        <v>685.60000000000014</v>
      </c>
      <c r="U18" s="153">
        <v>733.8</v>
      </c>
    </row>
    <row r="19" spans="1:21">
      <c r="A19" t="s">
        <v>96</v>
      </c>
      <c r="B19" s="124">
        <f>B5</f>
        <v>1592.6</v>
      </c>
      <c r="F19" t="s">
        <v>110</v>
      </c>
      <c r="G19" s="124">
        <v>1425.9</v>
      </c>
      <c r="I19" t="s">
        <v>132</v>
      </c>
      <c r="K19" s="153" t="s">
        <v>141</v>
      </c>
      <c r="L19" s="154">
        <v>1422.7</v>
      </c>
      <c r="M19" s="153"/>
      <c r="N19" s="153" t="s">
        <v>136</v>
      </c>
      <c r="O19" s="153"/>
      <c r="P19" s="153"/>
      <c r="Q19" s="153">
        <v>18</v>
      </c>
      <c r="R19" s="155">
        <v>20</v>
      </c>
      <c r="S19" s="153">
        <v>71</v>
      </c>
      <c r="T19" s="153">
        <f t="shared" si="2"/>
        <v>944</v>
      </c>
      <c r="U19" s="153">
        <v>478.7</v>
      </c>
    </row>
    <row r="20" spans="1:21">
      <c r="B20" s="124">
        <f>SUM(B17:B19)</f>
        <v>18893</v>
      </c>
      <c r="F20" t="s">
        <v>94</v>
      </c>
      <c r="G20">
        <v>774</v>
      </c>
      <c r="I20" t="s">
        <v>133</v>
      </c>
      <c r="K20" s="153" t="s">
        <v>142</v>
      </c>
      <c r="L20" s="154">
        <v>1256.5999999999999</v>
      </c>
      <c r="M20" s="153"/>
      <c r="N20" s="153" t="s">
        <v>137</v>
      </c>
      <c r="O20" s="153"/>
      <c r="P20" s="153"/>
      <c r="Q20" s="153">
        <v>21</v>
      </c>
      <c r="R20" s="155">
        <v>12</v>
      </c>
      <c r="S20" s="153">
        <v>62</v>
      </c>
      <c r="T20" s="153">
        <f t="shared" si="2"/>
        <v>794.09999999999991</v>
      </c>
      <c r="U20" s="153">
        <v>462.5</v>
      </c>
    </row>
    <row r="21" spans="1:21">
      <c r="F21" t="s">
        <v>110</v>
      </c>
      <c r="G21" s="124">
        <v>1419.4</v>
      </c>
      <c r="I21" t="s">
        <v>134</v>
      </c>
      <c r="K21" s="153" t="s">
        <v>102</v>
      </c>
      <c r="L21" s="154">
        <v>1418.5</v>
      </c>
      <c r="M21" s="153"/>
      <c r="N21" s="153" t="s">
        <v>125</v>
      </c>
      <c r="O21" s="153"/>
      <c r="P21" s="153"/>
      <c r="Q21" s="153">
        <v>18</v>
      </c>
      <c r="R21" s="155">
        <v>14</v>
      </c>
      <c r="S21" s="153">
        <v>70</v>
      </c>
      <c r="T21" s="153">
        <f t="shared" si="2"/>
        <v>681.2</v>
      </c>
      <c r="U21" s="153">
        <v>737.3</v>
      </c>
    </row>
    <row r="22" spans="1:21">
      <c r="F22" t="s">
        <v>95</v>
      </c>
      <c r="G22">
        <v>774.4</v>
      </c>
      <c r="I22" t="s">
        <v>135</v>
      </c>
      <c r="K22" s="153" t="s">
        <v>103</v>
      </c>
      <c r="L22" s="154">
        <v>1259.8</v>
      </c>
      <c r="M22" s="153"/>
      <c r="N22" s="153" t="s">
        <v>126</v>
      </c>
      <c r="O22" s="153"/>
      <c r="P22" s="153"/>
      <c r="Q22" s="153">
        <v>21</v>
      </c>
      <c r="R22" s="155">
        <v>16</v>
      </c>
      <c r="S22" s="153">
        <v>62</v>
      </c>
      <c r="T22" s="153">
        <f t="shared" si="2"/>
        <v>769.19999999999993</v>
      </c>
      <c r="U22" s="153">
        <v>490.6</v>
      </c>
    </row>
    <row r="23" spans="1:21">
      <c r="F23" t="s">
        <v>110</v>
      </c>
      <c r="G23" s="124">
        <v>1422.7</v>
      </c>
      <c r="I23" t="s">
        <v>136</v>
      </c>
      <c r="K23" s="153" t="s">
        <v>104</v>
      </c>
      <c r="L23" s="154">
        <v>1261.9000000000001</v>
      </c>
      <c r="M23" s="153"/>
      <c r="N23" s="153" t="s">
        <v>127</v>
      </c>
      <c r="O23" s="153"/>
      <c r="P23" s="153"/>
      <c r="Q23" s="153">
        <v>21</v>
      </c>
      <c r="R23" s="155">
        <v>21</v>
      </c>
      <c r="S23" s="153">
        <v>63</v>
      </c>
      <c r="T23" s="153">
        <f t="shared" si="2"/>
        <v>738.00000000000011</v>
      </c>
      <c r="U23" s="153">
        <v>523.9</v>
      </c>
    </row>
    <row r="24" spans="1:21">
      <c r="F24" t="s">
        <v>110</v>
      </c>
      <c r="G24" s="124">
        <v>1256.5999999999999</v>
      </c>
      <c r="I24" t="s">
        <v>137</v>
      </c>
      <c r="K24" s="153" t="s">
        <v>105</v>
      </c>
      <c r="L24" s="154">
        <v>1420.9</v>
      </c>
      <c r="M24" s="153"/>
      <c r="N24" s="153" t="s">
        <v>128</v>
      </c>
      <c r="O24" s="153"/>
      <c r="P24" s="153"/>
      <c r="Q24" s="153">
        <v>18</v>
      </c>
      <c r="R24" s="155">
        <v>27</v>
      </c>
      <c r="S24" s="153">
        <v>71</v>
      </c>
      <c r="T24" s="153">
        <f t="shared" si="2"/>
        <v>1305.8000000000002</v>
      </c>
      <c r="U24" s="153">
        <v>115.1</v>
      </c>
    </row>
    <row r="25" spans="1:21">
      <c r="K25" s="153" t="s">
        <v>106</v>
      </c>
      <c r="L25" s="154">
        <v>1419.1</v>
      </c>
      <c r="M25" s="153"/>
      <c r="N25" s="153" t="s">
        <v>129</v>
      </c>
      <c r="O25" s="153"/>
      <c r="P25" s="153"/>
      <c r="Q25" s="153">
        <v>17</v>
      </c>
      <c r="R25" s="155">
        <v>19</v>
      </c>
      <c r="S25" s="153">
        <v>70</v>
      </c>
      <c r="T25" s="153">
        <f t="shared" si="2"/>
        <v>1186.3</v>
      </c>
      <c r="U25" s="153">
        <v>232.8</v>
      </c>
    </row>
    <row r="26" spans="1:21">
      <c r="K26" s="153" t="s">
        <v>107</v>
      </c>
      <c r="L26" s="154">
        <v>1421.6</v>
      </c>
      <c r="M26" s="153"/>
      <c r="N26" s="153" t="s">
        <v>131</v>
      </c>
      <c r="O26" s="153"/>
      <c r="P26" s="153"/>
      <c r="Q26" s="153">
        <v>18</v>
      </c>
      <c r="R26" s="155">
        <v>27</v>
      </c>
      <c r="S26" s="153">
        <v>71</v>
      </c>
      <c r="T26" s="153">
        <f t="shared" si="2"/>
        <v>1356.3</v>
      </c>
      <c r="U26" s="153">
        <v>65.3</v>
      </c>
    </row>
  </sheetData>
  <mergeCells count="1">
    <mergeCell ref="N1:P1"/>
  </mergeCells>
  <phoneticPr fontId="2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0586-3D14-413E-9DD1-0F1F2F4B48EC}">
  <sheetPr>
    <tabColor rgb="FFFFC000"/>
    <pageSetUpPr fitToPage="1"/>
  </sheetPr>
  <dimension ref="A1:AC67"/>
  <sheetViews>
    <sheetView showGridLines="0" view="pageBreakPreview" zoomScale="60" zoomScaleNormal="70" workbookViewId="0">
      <selection activeCell="I21" sqref="I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60.5703125" style="2" customWidth="1"/>
    <col min="9" max="9" width="27.5703125" style="2" customWidth="1"/>
    <col min="10" max="10" width="28.5703125" style="2" customWidth="1"/>
    <col min="11" max="11" width="15.42578125" style="2" customWidth="1"/>
    <col min="12" max="12" width="31.140625" style="2" customWidth="1"/>
    <col min="13" max="13" width="19.42578125" style="2" customWidth="1"/>
    <col min="14" max="14" width="6.7109375" style="2" customWidth="1"/>
    <col min="15" max="17" width="14.7109375" style="2" customWidth="1"/>
    <col min="18" max="18" width="19.42578125" style="2" customWidth="1"/>
    <col min="19" max="19" width="18.140625" style="2" customWidth="1"/>
    <col min="20" max="20" width="6.140625" style="2" customWidth="1"/>
    <col min="21" max="22" width="23.42578125" style="2" customWidth="1"/>
    <col min="23" max="23" width="11" style="2" customWidth="1"/>
    <col min="24" max="24" width="17.85546875" style="2" customWidth="1"/>
    <col min="25" max="25" width="19.42578125" style="2" customWidth="1"/>
    <col min="26" max="26" width="20.28515625" style="2" customWidth="1"/>
    <col min="27" max="27" width="10.42578125" style="2" bestFit="1" customWidth="1"/>
    <col min="28" max="16384" width="10.140625" style="2"/>
  </cols>
  <sheetData>
    <row r="1" spans="1:29">
      <c r="A1" s="268"/>
      <c r="B1" s="268"/>
      <c r="C1" s="268"/>
      <c r="D1" s="131"/>
      <c r="E1" s="131"/>
      <c r="F1" s="131"/>
      <c r="G1" s="131"/>
      <c r="I1" s="98" t="s">
        <v>67</v>
      </c>
      <c r="J1" s="98"/>
      <c r="K1" s="97">
        <v>776.1</v>
      </c>
      <c r="L1" s="97"/>
      <c r="M1" s="2">
        <v>20</v>
      </c>
    </row>
    <row r="2" spans="1:29">
      <c r="A2" s="268"/>
      <c r="B2" s="268"/>
      <c r="C2" s="268"/>
      <c r="D2" s="268"/>
      <c r="E2" s="268"/>
      <c r="F2" s="268"/>
      <c r="G2" s="268"/>
      <c r="I2" s="98"/>
      <c r="J2" s="98"/>
      <c r="K2" s="97"/>
      <c r="L2" s="97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</row>
    <row r="3" spans="1:29" ht="19.5" thickBot="1">
      <c r="A3" s="269"/>
      <c r="B3" s="269"/>
      <c r="C3" s="269"/>
      <c r="D3" s="269"/>
      <c r="E3" s="269"/>
      <c r="F3" s="269"/>
      <c r="G3" s="269"/>
      <c r="I3" s="7"/>
      <c r="J3" s="7"/>
      <c r="K3" s="6"/>
      <c r="L3" s="6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</row>
    <row r="4" spans="1:29" ht="56.25">
      <c r="A4" s="275" t="s">
        <v>0</v>
      </c>
      <c r="B4" s="277" t="s">
        <v>1</v>
      </c>
      <c r="C4" s="130"/>
      <c r="D4" s="130"/>
      <c r="E4" s="130"/>
      <c r="F4" s="130"/>
      <c r="G4" s="14"/>
      <c r="I4" s="151" t="s">
        <v>68</v>
      </c>
      <c r="J4" s="4"/>
      <c r="K4" s="4">
        <v>0</v>
      </c>
      <c r="L4" s="150" t="s">
        <v>170</v>
      </c>
      <c r="M4" s="2">
        <f>SUM(K1/M1)</f>
        <v>38.805</v>
      </c>
    </row>
    <row r="5" spans="1:29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151" t="s">
        <v>69</v>
      </c>
      <c r="J5" s="4"/>
      <c r="K5" s="4">
        <v>0</v>
      </c>
      <c r="L5" s="4"/>
    </row>
    <row r="6" spans="1:29">
      <c r="A6" s="276"/>
      <c r="B6" s="278"/>
      <c r="C6" s="271"/>
      <c r="D6" s="271"/>
      <c r="E6" s="271"/>
      <c r="F6" s="271"/>
      <c r="G6" s="270"/>
      <c r="I6" s="4"/>
      <c r="J6" s="4"/>
      <c r="K6" s="4"/>
      <c r="L6" s="4"/>
    </row>
    <row r="7" spans="1:29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9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9" ht="42" customHeight="1">
      <c r="A9" s="128">
        <v>1</v>
      </c>
      <c r="B9" s="21" t="s">
        <v>15</v>
      </c>
      <c r="C9" s="22">
        <f>SUM(C10:C15)</f>
        <v>0</v>
      </c>
      <c r="D9" s="22">
        <f>SUM(D10:D15)</f>
        <v>0</v>
      </c>
      <c r="E9" s="22">
        <f>SUM(E10:E15)</f>
        <v>0</v>
      </c>
      <c r="F9" s="22">
        <f>SUM(F10:F15)</f>
        <v>0</v>
      </c>
      <c r="G9" s="8">
        <f>SUM(G10:G15)</f>
        <v>0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9" ht="20.100000000000001" customHeight="1">
      <c r="A10" s="129"/>
      <c r="B10" s="10" t="s">
        <v>3</v>
      </c>
      <c r="C10" s="12">
        <f>SUM(C11:C12)</f>
        <v>0</v>
      </c>
      <c r="D10" s="12">
        <f>SUM(D11:D12)</f>
        <v>0</v>
      </c>
      <c r="E10" s="12">
        <f>SUM(E11:E12)</f>
        <v>0</v>
      </c>
      <c r="F10" s="12">
        <f>SUM(F11:F12)</f>
        <v>0</v>
      </c>
      <c r="G10" s="75">
        <f>SUM(C10:F10)</f>
        <v>0</v>
      </c>
      <c r="H10" s="144" t="s">
        <v>157</v>
      </c>
      <c r="I10" s="149"/>
      <c r="J10" s="149"/>
      <c r="K10" s="149">
        <v>0.13220000000000001</v>
      </c>
      <c r="L10" s="149"/>
      <c r="M10" s="149"/>
      <c r="N10" s="127"/>
      <c r="O10" s="149"/>
      <c r="P10" s="149" t="s">
        <v>161</v>
      </c>
      <c r="Q10" s="149">
        <v>0.12379999999999999</v>
      </c>
      <c r="R10" s="149"/>
      <c r="S10" s="149"/>
      <c r="T10" s="127"/>
      <c r="U10" s="149"/>
      <c r="V10" s="149" t="s">
        <v>161</v>
      </c>
      <c r="W10" s="149">
        <v>0.12379999999999999</v>
      </c>
      <c r="X10" s="149"/>
      <c r="Y10" s="149"/>
      <c r="Z10" s="284" t="s">
        <v>66</v>
      </c>
      <c r="AB10" s="41"/>
      <c r="AC10" s="40"/>
    </row>
    <row r="11" spans="1:29" ht="20.100000000000001" customHeight="1">
      <c r="A11" s="129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  <c r="AB11" s="41"/>
      <c r="AC11" s="40"/>
    </row>
    <row r="12" spans="1:29" ht="20.100000000000001" customHeight="1">
      <c r="A12" s="129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  <c r="AB12" s="41"/>
      <c r="AC12" s="40"/>
    </row>
    <row r="13" spans="1:29" ht="45.75" customHeight="1">
      <c r="A13" s="129"/>
      <c r="B13" s="10" t="s">
        <v>10</v>
      </c>
      <c r="C13" s="12"/>
      <c r="D13" s="12"/>
      <c r="E13" s="12"/>
      <c r="F13" s="12"/>
      <c r="G13" s="75"/>
      <c r="H13" s="144" t="s">
        <v>152</v>
      </c>
      <c r="I13" s="149"/>
      <c r="J13" s="149" t="s">
        <v>161</v>
      </c>
      <c r="K13" s="149">
        <v>0.74</v>
      </c>
      <c r="L13" s="149"/>
      <c r="M13" s="149"/>
      <c r="N13" s="86"/>
      <c r="O13" s="149"/>
      <c r="P13" s="149" t="s">
        <v>161</v>
      </c>
      <c r="Q13" s="149">
        <v>0.71</v>
      </c>
      <c r="R13" s="149"/>
      <c r="S13" s="149"/>
      <c r="T13" s="86"/>
      <c r="U13" s="149"/>
      <c r="V13" s="149" t="s">
        <v>161</v>
      </c>
      <c r="W13" s="149">
        <v>4.07E-2</v>
      </c>
      <c r="X13" s="149"/>
      <c r="Y13" s="149"/>
      <c r="Z13" s="41" t="s">
        <v>70</v>
      </c>
      <c r="AA13" s="2" t="s">
        <v>71</v>
      </c>
      <c r="AB13" s="41"/>
      <c r="AC13" s="40"/>
    </row>
    <row r="14" spans="1:29" ht="20.100000000000001" customHeight="1" outlineLevel="1">
      <c r="A14" s="24"/>
      <c r="B14" s="10" t="s">
        <v>11</v>
      </c>
      <c r="C14" s="12"/>
      <c r="D14" s="12"/>
      <c r="E14" s="12"/>
      <c r="F14" s="12"/>
      <c r="G14" s="75"/>
      <c r="H14" s="144" t="s">
        <v>11</v>
      </c>
      <c r="I14" s="149"/>
      <c r="J14" s="149" t="s">
        <v>161</v>
      </c>
      <c r="K14" s="149">
        <v>1.5</v>
      </c>
      <c r="L14" s="149">
        <v>1.73</v>
      </c>
      <c r="M14" s="149"/>
      <c r="N14" s="86"/>
      <c r="O14" s="149"/>
      <c r="P14" s="149" t="s">
        <v>161</v>
      </c>
      <c r="Q14" s="149">
        <v>1.43</v>
      </c>
      <c r="R14" s="149">
        <v>1.66</v>
      </c>
      <c r="S14" s="149"/>
      <c r="T14" s="86"/>
      <c r="U14" s="149"/>
      <c r="V14" s="149" t="s">
        <v>161</v>
      </c>
      <c r="W14" s="149">
        <v>5.8400000000000001E-2</v>
      </c>
      <c r="X14" s="149">
        <v>6.7900000000000002E-2</v>
      </c>
      <c r="Y14" s="149"/>
      <c r="Z14" s="41" t="s">
        <v>70</v>
      </c>
      <c r="AA14" s="2" t="s">
        <v>73</v>
      </c>
      <c r="AB14" s="41"/>
      <c r="AC14" s="40"/>
    </row>
    <row r="15" spans="1:29" ht="20.100000000000001" customHeight="1" outlineLevel="1" thickBot="1">
      <c r="A15" s="24"/>
      <c r="B15" s="10" t="s">
        <v>12</v>
      </c>
      <c r="C15" s="9">
        <f>$I$15*3</f>
        <v>0</v>
      </c>
      <c r="D15" s="9">
        <f t="shared" ref="D15:F15" si="0">$I$15*3</f>
        <v>0</v>
      </c>
      <c r="E15" s="9">
        <f t="shared" si="0"/>
        <v>0</v>
      </c>
      <c r="F15" s="9">
        <f t="shared" si="0"/>
        <v>0</v>
      </c>
      <c r="G15" s="75">
        <f t="shared" ref="G15" si="1">SUM(C15:F15)</f>
        <v>0</v>
      </c>
      <c r="H15" s="144" t="s">
        <v>150</v>
      </c>
      <c r="I15" s="149"/>
      <c r="J15" s="149">
        <v>0.24</v>
      </c>
      <c r="K15" s="149">
        <v>9.2583000000000002</v>
      </c>
      <c r="L15" s="149">
        <v>10.615399999999999</v>
      </c>
      <c r="M15" s="149"/>
      <c r="N15" s="86"/>
      <c r="O15" s="149"/>
      <c r="P15" s="149" t="s">
        <v>162</v>
      </c>
      <c r="Q15" s="149">
        <v>8.9418000000000006</v>
      </c>
      <c r="R15" s="149">
        <v>10.2989</v>
      </c>
      <c r="S15" s="149"/>
      <c r="T15" s="86"/>
      <c r="U15" s="149"/>
      <c r="V15" s="149" t="s">
        <v>162</v>
      </c>
      <c r="W15" s="149">
        <v>8.9418000000000006</v>
      </c>
      <c r="X15" s="149">
        <v>10.2989</v>
      </c>
      <c r="Y15" s="149"/>
      <c r="Z15" s="40" t="s">
        <v>70</v>
      </c>
      <c r="AA15" s="2" t="s">
        <v>72</v>
      </c>
      <c r="AB15" s="41"/>
      <c r="AC15" s="40"/>
    </row>
    <row r="16" spans="1:29" ht="20.100000000000001" customHeight="1">
      <c r="A16" s="128">
        <v>2</v>
      </c>
      <c r="B16" s="28" t="s">
        <v>16</v>
      </c>
      <c r="C16" s="35">
        <f>SUM(C17:C19)</f>
        <v>0</v>
      </c>
      <c r="D16" s="35">
        <f t="shared" ref="D16:G16" si="2">SUM(D17:D19)</f>
        <v>0</v>
      </c>
      <c r="E16" s="35">
        <f t="shared" si="2"/>
        <v>0</v>
      </c>
      <c r="F16" s="35">
        <f t="shared" si="2"/>
        <v>0</v>
      </c>
      <c r="G16" s="35">
        <f t="shared" si="2"/>
        <v>0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  <c r="AB16" s="3"/>
      <c r="AC16" s="40"/>
    </row>
    <row r="17" spans="1:29" ht="39" customHeight="1" outlineLevel="1">
      <c r="A17" s="29"/>
      <c r="B17" s="10" t="s">
        <v>20</v>
      </c>
      <c r="C17" s="12"/>
      <c r="D17" s="12"/>
      <c r="E17" s="12"/>
      <c r="F17" s="12"/>
      <c r="G17" s="76"/>
      <c r="H17" s="146" t="s">
        <v>153</v>
      </c>
      <c r="I17" s="149"/>
      <c r="J17" s="149" t="s">
        <v>163</v>
      </c>
      <c r="K17" s="149">
        <v>0.71</v>
      </c>
      <c r="L17" s="149"/>
      <c r="M17" s="149"/>
      <c r="N17" s="86"/>
      <c r="O17" s="149"/>
      <c r="P17" s="149" t="s">
        <v>163</v>
      </c>
      <c r="Q17" s="149">
        <v>0.71</v>
      </c>
      <c r="R17" s="149"/>
      <c r="S17" s="149"/>
      <c r="T17" s="86"/>
      <c r="U17" s="149"/>
      <c r="V17" s="149" t="s">
        <v>163</v>
      </c>
      <c r="W17" s="149">
        <v>1.9800000000000002E-2</v>
      </c>
      <c r="X17" s="149"/>
      <c r="Y17" s="149"/>
      <c r="Z17" s="40" t="s">
        <v>74</v>
      </c>
      <c r="AA17" s="2" t="s">
        <v>71</v>
      </c>
      <c r="AB17" s="41"/>
      <c r="AC17" s="40"/>
    </row>
    <row r="18" spans="1:29" ht="40.5" customHeight="1" outlineLevel="1">
      <c r="A18" s="29"/>
      <c r="B18" s="10" t="s">
        <v>14</v>
      </c>
      <c r="C18" s="9"/>
      <c r="D18" s="9"/>
      <c r="E18" s="9"/>
      <c r="F18" s="9"/>
      <c r="G18" s="76"/>
      <c r="H18" s="146" t="s">
        <v>154</v>
      </c>
      <c r="I18" s="149"/>
      <c r="J18" s="149" t="s">
        <v>163</v>
      </c>
      <c r="K18" s="149">
        <v>0.79</v>
      </c>
      <c r="L18" s="149"/>
      <c r="M18" s="149"/>
      <c r="N18" s="86"/>
      <c r="O18" s="149"/>
      <c r="P18" s="149" t="s">
        <v>163</v>
      </c>
      <c r="Q18" s="149">
        <v>0.79</v>
      </c>
      <c r="R18" s="149"/>
      <c r="S18" s="149"/>
      <c r="T18" s="86"/>
      <c r="U18" s="149"/>
      <c r="V18" s="149" t="s">
        <v>163</v>
      </c>
      <c r="W18" s="149">
        <v>0.79</v>
      </c>
      <c r="X18" s="149"/>
      <c r="Y18" s="149"/>
      <c r="Z18" s="40" t="s">
        <v>74</v>
      </c>
      <c r="AA18" s="2" t="s">
        <v>73</v>
      </c>
      <c r="AB18" s="41"/>
      <c r="AC18" s="40"/>
    </row>
    <row r="19" spans="1:29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  <c r="AB19" s="41"/>
      <c r="AC19" s="40"/>
    </row>
    <row r="20" spans="1:29" ht="20.100000000000001" customHeight="1" outlineLevel="1" thickBot="1">
      <c r="A20" s="128">
        <v>3</v>
      </c>
      <c r="B20" s="28" t="s">
        <v>17</v>
      </c>
      <c r="C20" s="22">
        <f>SUM(C21:C22)</f>
        <v>17.82</v>
      </c>
      <c r="D20" s="22">
        <f t="shared" ref="D20:F20" si="3">SUM(D21:D22)</f>
        <v>17.82</v>
      </c>
      <c r="E20" s="22">
        <f t="shared" si="3"/>
        <v>17.82</v>
      </c>
      <c r="F20" s="22">
        <f t="shared" si="3"/>
        <v>17.82</v>
      </c>
      <c r="G20" s="8">
        <f>SUM(G21:G22)</f>
        <v>71.28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 t="s">
        <v>77</v>
      </c>
      <c r="P20" s="118"/>
      <c r="Q20" s="118" t="s">
        <v>65</v>
      </c>
      <c r="R20" s="118"/>
      <c r="S20" s="118" t="s">
        <v>78</v>
      </c>
      <c r="T20" s="118"/>
      <c r="U20" s="118" t="s">
        <v>77</v>
      </c>
      <c r="V20" s="118"/>
      <c r="W20" s="118" t="s">
        <v>65</v>
      </c>
      <c r="X20" s="118"/>
      <c r="Y20" s="118" t="s">
        <v>78</v>
      </c>
    </row>
    <row r="21" spans="1:29" ht="49.5" customHeight="1" outlineLevel="1">
      <c r="A21" s="29"/>
      <c r="B21" s="10" t="s">
        <v>45</v>
      </c>
      <c r="C21" s="11">
        <f>$M$21</f>
        <v>17.82</v>
      </c>
      <c r="D21" s="11">
        <f t="shared" ref="D21:F21" si="4">$M$21</f>
        <v>17.82</v>
      </c>
      <c r="E21" s="11">
        <f t="shared" si="4"/>
        <v>17.82</v>
      </c>
      <c r="F21" s="11">
        <f t="shared" si="4"/>
        <v>17.82</v>
      </c>
      <c r="G21" s="76">
        <f>SUM(C21:F21)</f>
        <v>71.28</v>
      </c>
      <c r="H21" s="145" t="s">
        <v>149</v>
      </c>
      <c r="I21" s="105">
        <f>SUM(тх2!I21)</f>
        <v>6</v>
      </c>
      <c r="J21" s="106"/>
      <c r="K21" s="106">
        <v>0.99</v>
      </c>
      <c r="L21" s="106"/>
      <c r="M21" s="107">
        <f>I21*K21*3</f>
        <v>17.82</v>
      </c>
      <c r="N21" s="95"/>
      <c r="O21" s="105">
        <v>18</v>
      </c>
      <c r="P21" s="106"/>
      <c r="Q21" s="106">
        <v>0.99</v>
      </c>
      <c r="R21" s="106"/>
      <c r="S21" s="107">
        <f>O21*Q21*3</f>
        <v>53.46</v>
      </c>
      <c r="T21" s="95"/>
      <c r="U21" s="105">
        <v>18</v>
      </c>
      <c r="V21" s="106"/>
      <c r="W21" s="106">
        <v>0.99</v>
      </c>
      <c r="X21" s="106"/>
      <c r="Y21" s="107">
        <f>U21*W21*3</f>
        <v>53.46</v>
      </c>
      <c r="Z21" s="2" t="s">
        <v>75</v>
      </c>
    </row>
    <row r="22" spans="1:29" ht="20.100000000000001" customHeight="1" outlineLevel="1" thickBot="1">
      <c r="A22" s="27"/>
      <c r="B22" s="25" t="s">
        <v>18</v>
      </c>
      <c r="C22" s="26">
        <f>$M$22</f>
        <v>0</v>
      </c>
      <c r="D22" s="26">
        <f t="shared" ref="D22:F22" si="5">$M$22</f>
        <v>0</v>
      </c>
      <c r="E22" s="26">
        <f t="shared" si="5"/>
        <v>0</v>
      </c>
      <c r="F22" s="26">
        <f t="shared" si="5"/>
        <v>0</v>
      </c>
      <c r="G22" s="77">
        <f>SUM(C22:F22)</f>
        <v>0</v>
      </c>
      <c r="H22" s="146" t="s">
        <v>156</v>
      </c>
      <c r="I22" s="108">
        <f>SUM(K5)</f>
        <v>0</v>
      </c>
      <c r="J22" s="109"/>
      <c r="K22" s="109">
        <v>2</v>
      </c>
      <c r="L22" s="109"/>
      <c r="M22" s="110">
        <f>I22*K22*3</f>
        <v>0</v>
      </c>
      <c r="N22" s="95"/>
      <c r="O22" s="108">
        <v>18</v>
      </c>
      <c r="P22" s="109"/>
      <c r="Q22" s="109">
        <v>2</v>
      </c>
      <c r="R22" s="109"/>
      <c r="S22" s="110">
        <f>O22*Q22*3</f>
        <v>108</v>
      </c>
      <c r="T22" s="95"/>
      <c r="U22" s="108">
        <v>18</v>
      </c>
      <c r="V22" s="109"/>
      <c r="W22" s="109">
        <v>2</v>
      </c>
      <c r="X22" s="109"/>
      <c r="Y22" s="110">
        <f>U22*W22*3</f>
        <v>108</v>
      </c>
      <c r="Z22" s="2" t="s">
        <v>76</v>
      </c>
    </row>
    <row r="23" spans="1:29" ht="20.100000000000001" customHeight="1" thickBot="1">
      <c r="A23" s="31" t="s">
        <v>9</v>
      </c>
      <c r="B23" s="28" t="s">
        <v>22</v>
      </c>
      <c r="C23" s="22">
        <f>SUM(C24:C25)</f>
        <v>977.88599999999997</v>
      </c>
      <c r="D23" s="22">
        <f t="shared" ref="D23:F23" si="6">SUM(D24:D25)</f>
        <v>977.88599999999997</v>
      </c>
      <c r="E23" s="22">
        <f t="shared" si="6"/>
        <v>977.88599999999997</v>
      </c>
      <c r="F23" s="22">
        <f t="shared" si="6"/>
        <v>977.88599999999997</v>
      </c>
      <c r="G23" s="8">
        <f>SUM(G24:G25)</f>
        <v>3911.5439999999999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 t="s">
        <v>79</v>
      </c>
      <c r="P23" s="118"/>
      <c r="Q23" s="118" t="s">
        <v>65</v>
      </c>
      <c r="R23" s="118"/>
      <c r="S23" s="118" t="s">
        <v>78</v>
      </c>
      <c r="T23" s="118"/>
      <c r="U23" s="118" t="s">
        <v>79</v>
      </c>
      <c r="V23" s="118"/>
      <c r="W23" s="118" t="s">
        <v>65</v>
      </c>
      <c r="X23" s="118"/>
      <c r="Y23" s="118" t="s">
        <v>78</v>
      </c>
    </row>
    <row r="24" spans="1:29" ht="45.75" customHeight="1" outlineLevel="1">
      <c r="A24" s="32"/>
      <c r="B24" s="10" t="s">
        <v>21</v>
      </c>
      <c r="C24" s="9">
        <f>$M$24</f>
        <v>814.90499999999997</v>
      </c>
      <c r="D24" s="9">
        <f t="shared" ref="D24:F24" si="7">$M$24</f>
        <v>814.90499999999997</v>
      </c>
      <c r="E24" s="9">
        <f t="shared" si="7"/>
        <v>814.90499999999997</v>
      </c>
      <c r="F24" s="9">
        <f t="shared" si="7"/>
        <v>814.90499999999997</v>
      </c>
      <c r="G24" s="76">
        <f t="shared" ref="G24:G29" si="8">SUM(C24:F24)</f>
        <v>3259.62</v>
      </c>
      <c r="H24" s="148" t="s">
        <v>158</v>
      </c>
      <c r="I24" s="99">
        <f>SUM(K1)</f>
        <v>776.1</v>
      </c>
      <c r="J24" s="100"/>
      <c r="K24" s="106">
        <v>0.35</v>
      </c>
      <c r="L24" s="106"/>
      <c r="M24" s="101">
        <f>I24*K24*3</f>
        <v>814.90499999999997</v>
      </c>
      <c r="N24" s="127"/>
      <c r="O24" s="99">
        <v>776.1</v>
      </c>
      <c r="P24" s="100"/>
      <c r="Q24" s="106">
        <v>0.35</v>
      </c>
      <c r="R24" s="106"/>
      <c r="S24" s="101">
        <f>O24*Q24*3</f>
        <v>814.90499999999997</v>
      </c>
      <c r="T24" s="127"/>
      <c r="U24" s="99">
        <v>776.1</v>
      </c>
      <c r="V24" s="100"/>
      <c r="W24" s="106">
        <v>0.35</v>
      </c>
      <c r="X24" s="106"/>
      <c r="Y24" s="101">
        <f>U24*W24*3</f>
        <v>814.90499999999997</v>
      </c>
    </row>
    <row r="25" spans="1:29" ht="36" customHeight="1" outlineLevel="1" thickBot="1">
      <c r="A25" s="33"/>
      <c r="B25" s="25" t="s">
        <v>60</v>
      </c>
      <c r="C25" s="26">
        <f>$M$25</f>
        <v>162.98100000000002</v>
      </c>
      <c r="D25" s="26">
        <f t="shared" ref="D25:F25" si="9">$M$25</f>
        <v>162.98100000000002</v>
      </c>
      <c r="E25" s="26">
        <f t="shared" si="9"/>
        <v>162.98100000000002</v>
      </c>
      <c r="F25" s="26">
        <f t="shared" si="9"/>
        <v>162.98100000000002</v>
      </c>
      <c r="G25" s="77">
        <f t="shared" si="8"/>
        <v>651.92400000000009</v>
      </c>
      <c r="H25" s="148" t="s">
        <v>159</v>
      </c>
      <c r="I25" s="102">
        <f>SUM(K1)</f>
        <v>776.1</v>
      </c>
      <c r="J25" s="104"/>
      <c r="K25" s="109">
        <v>7.0000000000000007E-2</v>
      </c>
      <c r="L25" s="109"/>
      <c r="M25" s="103">
        <f>I25*K25*3</f>
        <v>162.98100000000002</v>
      </c>
      <c r="N25" s="127"/>
      <c r="O25" s="102">
        <v>776.1</v>
      </c>
      <c r="P25" s="104"/>
      <c r="Q25" s="109">
        <v>7.0000000000000007E-2</v>
      </c>
      <c r="R25" s="109"/>
      <c r="S25" s="103">
        <f>O25*Q25*3</f>
        <v>162.98100000000002</v>
      </c>
      <c r="T25" s="127"/>
      <c r="U25" s="102">
        <v>776.1</v>
      </c>
      <c r="V25" s="104"/>
      <c r="W25" s="109">
        <v>7.0000000000000007E-2</v>
      </c>
      <c r="X25" s="109"/>
      <c r="Y25" s="103">
        <f>U25*W25*3</f>
        <v>162.98100000000002</v>
      </c>
    </row>
    <row r="26" spans="1:29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si="8"/>
        <v>0</v>
      </c>
    </row>
    <row r="27" spans="1:29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8"/>
        <v>0</v>
      </c>
    </row>
    <row r="28" spans="1:29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8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9" ht="26.1" customHeight="1" outlineLevel="1" thickBot="1">
      <c r="A29" s="289" t="s">
        <v>6</v>
      </c>
      <c r="B29" s="290"/>
      <c r="C29" s="50">
        <f>C9+C16+C20+C23+C26</f>
        <v>995.70600000000002</v>
      </c>
      <c r="D29" s="50">
        <f>D9+D16+D20+D23+D26</f>
        <v>995.70600000000002</v>
      </c>
      <c r="E29" s="50">
        <f>E9+E16+E20+E23+E26</f>
        <v>995.70600000000002</v>
      </c>
      <c r="F29" s="50">
        <f>F9+F16+F20+F23+F26</f>
        <v>995.70600000000002</v>
      </c>
      <c r="G29" s="51">
        <f t="shared" si="8"/>
        <v>3982.8240000000001</v>
      </c>
    </row>
    <row r="30" spans="1:29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9" ht="20.100000000000001" customHeight="1">
      <c r="A31" s="128">
        <v>1</v>
      </c>
      <c r="B31" s="21" t="s">
        <v>15</v>
      </c>
      <c r="C31" s="62">
        <f>SUM(C32:C35)</f>
        <v>0</v>
      </c>
      <c r="D31" s="62">
        <f>SUM(D32:D35)</f>
        <v>0</v>
      </c>
      <c r="E31" s="62">
        <f>SUM(E32:E35)</f>
        <v>0</v>
      </c>
      <c r="F31" s="62">
        <f>SUM(F32:F35)</f>
        <v>0</v>
      </c>
      <c r="G31" s="62">
        <f>SUM(G32:G35)</f>
        <v>0</v>
      </c>
    </row>
    <row r="32" spans="1:29" ht="20.100000000000001" customHeight="1">
      <c r="A32" s="44"/>
      <c r="B32" s="10" t="s">
        <v>3</v>
      </c>
      <c r="C32" s="42">
        <f>C10</f>
        <v>0</v>
      </c>
      <c r="D32" s="42">
        <f>D10</f>
        <v>0</v>
      </c>
      <c r="E32" s="42">
        <f>E10</f>
        <v>0</v>
      </c>
      <c r="F32" s="42">
        <f>F10</f>
        <v>0</v>
      </c>
      <c r="G32" s="72">
        <f>SUM(C32:F32)</f>
        <v>0</v>
      </c>
    </row>
    <row r="33" spans="1:7" ht="20.100000000000001" customHeight="1">
      <c r="A33" s="44"/>
      <c r="B33" s="10" t="s">
        <v>10</v>
      </c>
      <c r="C33" s="42">
        <f t="shared" ref="C33:F33" si="11">C13</f>
        <v>0</v>
      </c>
      <c r="D33" s="42">
        <f t="shared" si="11"/>
        <v>0</v>
      </c>
      <c r="E33" s="42">
        <f t="shared" si="11"/>
        <v>0</v>
      </c>
      <c r="F33" s="42">
        <f t="shared" si="11"/>
        <v>0</v>
      </c>
      <c r="G33" s="72">
        <f>SUM(C33:F33)</f>
        <v>0</v>
      </c>
    </row>
    <row r="34" spans="1:7" ht="57.75" customHeight="1">
      <c r="A34" s="44"/>
      <c r="B34" s="10" t="s">
        <v>46</v>
      </c>
      <c r="C34" s="42"/>
      <c r="D34" s="42"/>
      <c r="E34" s="42"/>
      <c r="F34" s="42"/>
      <c r="G34" s="72">
        <f>SUM(C34:F34)</f>
        <v>0</v>
      </c>
    </row>
    <row r="35" spans="1:7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</row>
    <row r="36" spans="1:7" ht="20.100000000000001" customHeight="1">
      <c r="A36" s="128">
        <v>2</v>
      </c>
      <c r="B36" s="28" t="s">
        <v>16</v>
      </c>
      <c r="C36" s="62">
        <f>SUM(C37:C38)</f>
        <v>0</v>
      </c>
      <c r="D36" s="62">
        <f t="shared" ref="D36:G36" si="12">SUM(D37:D38)</f>
        <v>0</v>
      </c>
      <c r="E36" s="62">
        <f t="shared" si="12"/>
        <v>0</v>
      </c>
      <c r="F36" s="62">
        <f t="shared" si="12"/>
        <v>0</v>
      </c>
      <c r="G36" s="62">
        <f t="shared" si="12"/>
        <v>0</v>
      </c>
    </row>
    <row r="37" spans="1:7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</row>
    <row r="38" spans="1:7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</row>
    <row r="39" spans="1:7" ht="20.100000000000001" customHeight="1">
      <c r="A39" s="128" t="s">
        <v>28</v>
      </c>
      <c r="B39" s="28" t="s">
        <v>17</v>
      </c>
      <c r="C39" s="62">
        <f>SUM(C40:C41)</f>
        <v>17.82</v>
      </c>
      <c r="D39" s="62">
        <f t="shared" ref="D39:G39" si="13">SUM(D40:D41)</f>
        <v>17.82</v>
      </c>
      <c r="E39" s="62">
        <f t="shared" si="13"/>
        <v>17.82</v>
      </c>
      <c r="F39" s="62">
        <f t="shared" si="13"/>
        <v>17.82</v>
      </c>
      <c r="G39" s="62">
        <f t="shared" si="13"/>
        <v>71.28</v>
      </c>
    </row>
    <row r="40" spans="1:7" ht="20.100000000000001" customHeight="1">
      <c r="A40" s="44"/>
      <c r="B40" s="10" t="s">
        <v>45</v>
      </c>
      <c r="C40" s="42">
        <f t="shared" ref="C40:F41" si="14">C21</f>
        <v>17.82</v>
      </c>
      <c r="D40" s="42">
        <f t="shared" si="14"/>
        <v>17.82</v>
      </c>
      <c r="E40" s="42">
        <f t="shared" si="14"/>
        <v>17.82</v>
      </c>
      <c r="F40" s="42">
        <f t="shared" si="14"/>
        <v>17.82</v>
      </c>
      <c r="G40" s="72">
        <f>SUM(C40:F40)</f>
        <v>71.28</v>
      </c>
    </row>
    <row r="41" spans="1:7" s="4" customFormat="1" ht="20.100000000000001" customHeight="1" thickBot="1">
      <c r="A41" s="54"/>
      <c r="B41" s="25" t="s">
        <v>18</v>
      </c>
      <c r="C41" s="55">
        <f t="shared" si="14"/>
        <v>0</v>
      </c>
      <c r="D41" s="55">
        <f t="shared" si="14"/>
        <v>0</v>
      </c>
      <c r="E41" s="55">
        <f t="shared" si="14"/>
        <v>0</v>
      </c>
      <c r="F41" s="55">
        <f t="shared" si="14"/>
        <v>0</v>
      </c>
      <c r="G41" s="72">
        <f>SUM(C41:F41)</f>
        <v>0</v>
      </c>
    </row>
    <row r="42" spans="1:7" ht="20.100000000000001" customHeight="1">
      <c r="A42" s="128" t="s">
        <v>9</v>
      </c>
      <c r="B42" s="28" t="s">
        <v>33</v>
      </c>
      <c r="C42" s="62">
        <f>SUM(C43:C58)</f>
        <v>814.90499999999997</v>
      </c>
      <c r="D42" s="62">
        <f>SUM(D43:D58)</f>
        <v>814.90499999999997</v>
      </c>
      <c r="E42" s="62">
        <f>SUM(E43:E58)</f>
        <v>814.90499999999997</v>
      </c>
      <c r="F42" s="62">
        <f>SUM(F43:F58)</f>
        <v>814.90499999999997</v>
      </c>
      <c r="G42" s="64">
        <f t="shared" ref="G42:G51" si="15">SUM(C42:F42)</f>
        <v>3259.62</v>
      </c>
    </row>
    <row r="43" spans="1:7" ht="20.100000000000001" customHeight="1">
      <c r="A43" s="56"/>
      <c r="B43" s="47" t="s">
        <v>40</v>
      </c>
      <c r="C43" s="42">
        <f>C24</f>
        <v>814.90499999999997</v>
      </c>
      <c r="D43" s="42">
        <f>D24</f>
        <v>814.90499999999997</v>
      </c>
      <c r="E43" s="42">
        <f>E24</f>
        <v>814.90499999999997</v>
      </c>
      <c r="F43" s="42">
        <f>F24</f>
        <v>814.90499999999997</v>
      </c>
      <c r="G43" s="72">
        <f t="shared" si="15"/>
        <v>3259.62</v>
      </c>
    </row>
    <row r="44" spans="1:7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</row>
    <row r="45" spans="1:7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5"/>
        <v>0</v>
      </c>
    </row>
    <row r="46" spans="1:7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5"/>
        <v>0</v>
      </c>
    </row>
    <row r="47" spans="1:7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5"/>
        <v>0</v>
      </c>
    </row>
    <row r="48" spans="1:7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5"/>
        <v>0</v>
      </c>
    </row>
    <row r="49" spans="1:28" ht="39" customHeight="1">
      <c r="A49" s="56"/>
      <c r="B49" s="47" t="s">
        <v>32</v>
      </c>
      <c r="C49" s="42"/>
      <c r="D49" s="42"/>
      <c r="E49" s="42"/>
      <c r="F49" s="42"/>
      <c r="G49" s="72">
        <f t="shared" si="15"/>
        <v>0</v>
      </c>
      <c r="H49" s="63"/>
    </row>
    <row r="50" spans="1:28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5"/>
        <v>0</v>
      </c>
    </row>
    <row r="51" spans="1:28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5"/>
        <v>0</v>
      </c>
    </row>
    <row r="52" spans="1:28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6">SUM(C52:F52)</f>
        <v>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6"/>
        <v>0</v>
      </c>
    </row>
    <row r="54" spans="1:28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6"/>
        <v>0</v>
      </c>
    </row>
    <row r="55" spans="1:28" ht="41.25" customHeight="1">
      <c r="A55" s="59"/>
      <c r="B55" s="47" t="s">
        <v>26</v>
      </c>
      <c r="C55" s="42"/>
      <c r="D55" s="42"/>
      <c r="E55" s="42"/>
      <c r="F55" s="42"/>
      <c r="G55" s="72">
        <f t="shared" si="16"/>
        <v>0</v>
      </c>
    </row>
    <row r="56" spans="1:28" ht="39" customHeight="1">
      <c r="A56" s="60"/>
      <c r="B56" s="79" t="s">
        <v>50</v>
      </c>
      <c r="C56" s="66"/>
      <c r="D56" s="66"/>
      <c r="E56" s="66"/>
      <c r="F56" s="66"/>
      <c r="G56" s="80">
        <f t="shared" si="16"/>
        <v>0</v>
      </c>
    </row>
    <row r="57" spans="1:28" ht="60" customHeight="1">
      <c r="A57" s="58"/>
      <c r="B57" s="49" t="s">
        <v>53</v>
      </c>
      <c r="C57" s="66"/>
      <c r="D57" s="66"/>
      <c r="E57" s="66"/>
      <c r="F57" s="66"/>
      <c r="G57" s="80">
        <f t="shared" si="16"/>
        <v>0</v>
      </c>
    </row>
    <row r="58" spans="1:28" ht="20.100000000000001" customHeight="1" thickBot="1">
      <c r="A58" s="61"/>
      <c r="B58" s="48" t="s">
        <v>27</v>
      </c>
      <c r="C58" s="55"/>
      <c r="D58" s="55"/>
      <c r="E58" s="55"/>
      <c r="F58" s="55"/>
      <c r="G58" s="74">
        <f>SUM(C58:F58)</f>
        <v>0</v>
      </c>
    </row>
    <row r="59" spans="1:28" ht="24.6" customHeight="1" outlineLevel="1" thickBot="1">
      <c r="A59" s="287" t="s">
        <v>39</v>
      </c>
      <c r="B59" s="288"/>
      <c r="C59" s="38">
        <f>C31+C36+C39+C42</f>
        <v>832.72500000000002</v>
      </c>
      <c r="D59" s="38">
        <f>D31+D36+D39+D42</f>
        <v>832.72500000000002</v>
      </c>
      <c r="E59" s="38">
        <f>E31+E36+E39+E42</f>
        <v>832.72500000000002</v>
      </c>
      <c r="F59" s="38">
        <f>F31+F36+F39+F42</f>
        <v>832.72500000000002</v>
      </c>
      <c r="G59" s="39">
        <f>G31+G36+G39+G42</f>
        <v>3330.9</v>
      </c>
    </row>
    <row r="60" spans="1:28" ht="24.6" customHeight="1" outlineLevel="1">
      <c r="A60" s="126"/>
      <c r="B60" s="70"/>
      <c r="C60" s="71">
        <f>C29-C59</f>
        <v>162.98099999999999</v>
      </c>
      <c r="D60" s="71">
        <f>D29-D59</f>
        <v>162.98099999999999</v>
      </c>
      <c r="E60" s="71">
        <f>E29-E59</f>
        <v>162.98099999999999</v>
      </c>
      <c r="F60" s="71">
        <f>F29-F59</f>
        <v>162.98099999999999</v>
      </c>
      <c r="G60" s="71">
        <f>G29-G59</f>
        <v>651.92399999999998</v>
      </c>
    </row>
    <row r="61" spans="1:28">
      <c r="A61" s="67"/>
      <c r="B61" s="81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spans="1:28" ht="39.75" hidden="1" customHeight="1">
      <c r="A62" s="67"/>
      <c r="B62" s="81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spans="1:28" hidden="1">
      <c r="A63" s="67"/>
      <c r="C63" s="65">
        <f>C16*1.2/100</f>
        <v>0</v>
      </c>
      <c r="D63" s="65">
        <f>D16*1.2/100</f>
        <v>0</v>
      </c>
      <c r="E63" s="65">
        <f>E16*1.2/100</f>
        <v>0</v>
      </c>
      <c r="F63" s="65">
        <f>F16*1.2/100</f>
        <v>0</v>
      </c>
    </row>
    <row r="64" spans="1:28" hidden="1">
      <c r="A64" s="68"/>
      <c r="C64" s="65">
        <f>(C16-C63)*0.5/100</f>
        <v>0</v>
      </c>
      <c r="D64" s="65">
        <f>(D16-D63)*0.5/100</f>
        <v>0</v>
      </c>
      <c r="E64" s="65">
        <f>(E16-E63)*0.5/100</f>
        <v>0</v>
      </c>
      <c r="F64" s="65">
        <f>(F16-F63)*0.5/100</f>
        <v>0</v>
      </c>
    </row>
    <row r="65" spans="1:29" hidden="1">
      <c r="C65" s="3">
        <f>C9*1.2/100</f>
        <v>0</v>
      </c>
      <c r="D65" s="3">
        <f>D9*1.2/100</f>
        <v>0</v>
      </c>
      <c r="E65" s="3">
        <f>E9*1.2/100</f>
        <v>0</v>
      </c>
      <c r="F65" s="3">
        <f>F9*1.2/100</f>
        <v>0</v>
      </c>
    </row>
    <row r="66" spans="1:29" s="3" customFormat="1" hidden="1">
      <c r="A66" s="2"/>
      <c r="B66" s="2"/>
      <c r="C66" s="3">
        <f>(C9-C65)*4/100</f>
        <v>0</v>
      </c>
      <c r="D66" s="3">
        <f>(D9-D65)*4/100</f>
        <v>0</v>
      </c>
      <c r="E66" s="3">
        <f>(E9-E65)*4/100</f>
        <v>0</v>
      </c>
      <c r="F66" s="3">
        <f>(F9-F65)*4/100</f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s="3" customFormat="1" hidden="1">
      <c r="A67" s="2"/>
      <c r="B67" s="2"/>
      <c r="C67" s="3">
        <f>SUM(C63:C66)</f>
        <v>0</v>
      </c>
      <c r="D67" s="3">
        <f t="shared" ref="D67:F67" si="17">SUM(D63:D66)</f>
        <v>0</v>
      </c>
      <c r="E67" s="3">
        <f t="shared" si="17"/>
        <v>0</v>
      </c>
      <c r="F67" s="3">
        <f t="shared" si="17"/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</sheetData>
  <dataConsolidate/>
  <mergeCells count="19">
    <mergeCell ref="I8:M8"/>
    <mergeCell ref="O8:S8"/>
    <mergeCell ref="U8:Y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A8:B8"/>
    <mergeCell ref="Z10:Z12"/>
    <mergeCell ref="H28:AA28"/>
    <mergeCell ref="A29:B29"/>
    <mergeCell ref="A30:B30"/>
    <mergeCell ref="A59:B59"/>
  </mergeCells>
  <pageMargins left="0.70866141732283472" right="0.70866141732283472" top="0.74803149606299213" bottom="0.74803149606299213" header="0.31496062992125984" footer="0.31496062992125984"/>
  <pageSetup paperSize="9" scale="46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3944-7C9B-4F72-BD2C-1A16CDE9AAE4}">
  <sheetPr>
    <tabColor rgb="FFFFC000"/>
  </sheetPr>
  <dimension ref="A1:H1048536"/>
  <sheetViews>
    <sheetView topLeftCell="A109" workbookViewId="0">
      <selection activeCell="I10" sqref="I10"/>
    </sheetView>
  </sheetViews>
  <sheetFormatPr defaultRowHeight="15"/>
  <cols>
    <col min="1" max="1" width="19.7109375" customWidth="1"/>
    <col min="2" max="2" width="32.7109375" customWidth="1"/>
    <col min="3" max="3" width="24.85546875" customWidth="1"/>
    <col min="4" max="4" width="14.28515625" customWidth="1"/>
    <col min="5" max="6" width="19.7109375" style="138" customWidth="1"/>
    <col min="7" max="7" width="32.7109375" style="138" customWidth="1"/>
    <col min="8" max="8" width="24.85546875" style="138" customWidth="1"/>
  </cols>
  <sheetData>
    <row r="1" spans="1:8">
      <c r="A1" s="193" t="s">
        <v>184</v>
      </c>
      <c r="B1" s="193" t="s">
        <v>185</v>
      </c>
      <c r="C1" s="193" t="s">
        <v>186</v>
      </c>
      <c r="E1" s="202"/>
      <c r="F1" s="207"/>
      <c r="G1" s="208" t="s">
        <v>186</v>
      </c>
      <c r="H1" s="198" t="s">
        <v>211</v>
      </c>
    </row>
    <row r="2" spans="1:8">
      <c r="A2" s="304" t="s">
        <v>187</v>
      </c>
      <c r="B2" s="153" t="s">
        <v>188</v>
      </c>
      <c r="C2" s="194">
        <v>5</v>
      </c>
      <c r="E2" s="305"/>
      <c r="F2" s="200"/>
      <c r="G2" s="200">
        <f>SUM(C60+C115)</f>
        <v>5500</v>
      </c>
      <c r="H2" s="200">
        <f>SUM(C62+D115)</f>
        <v>5130</v>
      </c>
    </row>
    <row r="3" spans="1:8">
      <c r="A3" s="304"/>
      <c r="B3" s="153" t="s">
        <v>189</v>
      </c>
      <c r="C3" s="194">
        <v>100</v>
      </c>
      <c r="E3" s="305"/>
      <c r="F3" s="198" t="s">
        <v>243</v>
      </c>
      <c r="G3" s="200">
        <f>795/2</f>
        <v>397.5</v>
      </c>
      <c r="H3" s="200">
        <f>480/2</f>
        <v>240</v>
      </c>
    </row>
    <row r="4" spans="1:8" ht="30">
      <c r="A4" s="304"/>
      <c r="B4" s="195" t="s">
        <v>190</v>
      </c>
      <c r="C4" s="194">
        <v>140</v>
      </c>
      <c r="E4" s="305"/>
      <c r="G4" s="203">
        <f>SUM(G2:G3)</f>
        <v>5897.5</v>
      </c>
      <c r="H4" s="203">
        <f>SUM(H2:H3)</f>
        <v>5370</v>
      </c>
    </row>
    <row r="5" spans="1:8" ht="30">
      <c r="A5" s="304"/>
      <c r="B5" s="195" t="s">
        <v>191</v>
      </c>
      <c r="C5" s="194">
        <v>50</v>
      </c>
      <c r="E5" s="305"/>
      <c r="F5" s="204"/>
      <c r="G5" s="203"/>
    </row>
    <row r="6" spans="1:8">
      <c r="A6" s="304"/>
      <c r="B6" s="153" t="s">
        <v>192</v>
      </c>
      <c r="C6" s="194">
        <v>30</v>
      </c>
      <c r="E6" s="305"/>
      <c r="G6" s="203"/>
    </row>
    <row r="7" spans="1:8">
      <c r="A7" s="304" t="s">
        <v>193</v>
      </c>
      <c r="B7" s="153" t="s">
        <v>188</v>
      </c>
      <c r="C7" s="194">
        <v>5</v>
      </c>
      <c r="E7" s="305"/>
      <c r="F7" s="204"/>
      <c r="G7" s="203"/>
    </row>
    <row r="8" spans="1:8">
      <c r="A8" s="304"/>
      <c r="B8" s="153" t="s">
        <v>189</v>
      </c>
      <c r="C8" s="194">
        <v>140</v>
      </c>
      <c r="E8" s="305"/>
      <c r="G8" s="203"/>
    </row>
    <row r="9" spans="1:8" ht="30">
      <c r="A9" s="304"/>
      <c r="B9" s="195" t="s">
        <v>190</v>
      </c>
      <c r="C9" s="194">
        <v>100</v>
      </c>
      <c r="E9" s="305"/>
      <c r="F9" s="204"/>
      <c r="G9" s="203"/>
    </row>
    <row r="10" spans="1:8" ht="30">
      <c r="A10" s="304"/>
      <c r="B10" s="195" t="s">
        <v>191</v>
      </c>
      <c r="C10" s="194">
        <v>50</v>
      </c>
      <c r="E10" s="305"/>
      <c r="F10" s="204"/>
      <c r="G10" s="203"/>
    </row>
    <row r="11" spans="1:8">
      <c r="A11" s="304"/>
      <c r="B11" s="153" t="s">
        <v>192</v>
      </c>
      <c r="C11" s="194">
        <v>30</v>
      </c>
      <c r="E11" s="305"/>
      <c r="G11" s="203"/>
    </row>
    <row r="12" spans="1:8">
      <c r="A12" s="304" t="s">
        <v>194</v>
      </c>
      <c r="B12" s="153" t="s">
        <v>188</v>
      </c>
      <c r="C12" s="194">
        <v>5</v>
      </c>
      <c r="E12" s="305"/>
      <c r="F12" s="204"/>
      <c r="G12" s="203"/>
    </row>
    <row r="13" spans="1:8">
      <c r="A13" s="304"/>
      <c r="B13" s="153" t="s">
        <v>189</v>
      </c>
      <c r="C13" s="194">
        <v>140</v>
      </c>
      <c r="E13" s="305"/>
      <c r="F13" s="204"/>
      <c r="G13" s="203"/>
    </row>
    <row r="14" spans="1:8" ht="30">
      <c r="A14" s="304"/>
      <c r="B14" s="195" t="s">
        <v>190</v>
      </c>
      <c r="C14" s="194">
        <v>100</v>
      </c>
      <c r="E14" s="305"/>
      <c r="G14" s="203"/>
    </row>
    <row r="15" spans="1:8" ht="30">
      <c r="A15" s="304"/>
      <c r="B15" s="195" t="s">
        <v>191</v>
      </c>
      <c r="C15" s="194">
        <v>50</v>
      </c>
      <c r="E15" s="305"/>
      <c r="F15" s="204"/>
      <c r="G15" s="203"/>
    </row>
    <row r="16" spans="1:8">
      <c r="A16" s="304"/>
      <c r="B16" s="153" t="s">
        <v>192</v>
      </c>
      <c r="C16" s="194">
        <v>30</v>
      </c>
      <c r="E16" s="305"/>
      <c r="F16" s="204"/>
      <c r="G16" s="203"/>
    </row>
    <row r="17" spans="1:7">
      <c r="A17" s="304" t="s">
        <v>195</v>
      </c>
      <c r="B17" s="153" t="s">
        <v>188</v>
      </c>
      <c r="C17" s="194">
        <v>5</v>
      </c>
      <c r="E17" s="305"/>
      <c r="G17" s="203"/>
    </row>
    <row r="18" spans="1:7">
      <c r="A18" s="304"/>
      <c r="B18" s="153" t="s">
        <v>189</v>
      </c>
      <c r="C18" s="194">
        <v>140</v>
      </c>
      <c r="E18" s="305"/>
      <c r="F18" s="204"/>
      <c r="G18" s="203"/>
    </row>
    <row r="19" spans="1:7" ht="30">
      <c r="A19" s="304"/>
      <c r="B19" s="195" t="s">
        <v>190</v>
      </c>
      <c r="C19" s="194">
        <v>100</v>
      </c>
      <c r="E19" s="305"/>
      <c r="F19" s="204"/>
      <c r="G19" s="203"/>
    </row>
    <row r="20" spans="1:7" ht="30">
      <c r="A20" s="304"/>
      <c r="B20" s="195" t="s">
        <v>191</v>
      </c>
      <c r="C20" s="194">
        <v>50</v>
      </c>
    </row>
    <row r="21" spans="1:7">
      <c r="A21" s="304"/>
      <c r="B21" s="153" t="s">
        <v>192</v>
      </c>
      <c r="C21" s="194">
        <v>30</v>
      </c>
    </row>
    <row r="22" spans="1:7">
      <c r="A22" s="304" t="s">
        <v>197</v>
      </c>
      <c r="B22" s="153" t="s">
        <v>188</v>
      </c>
      <c r="C22" s="194">
        <v>5</v>
      </c>
    </row>
    <row r="23" spans="1:7">
      <c r="A23" s="304"/>
      <c r="B23" s="153" t="s">
        <v>189</v>
      </c>
      <c r="C23" s="194">
        <v>140</v>
      </c>
    </row>
    <row r="24" spans="1:7" ht="30">
      <c r="A24" s="304"/>
      <c r="B24" s="195" t="s">
        <v>190</v>
      </c>
      <c r="C24" s="194">
        <v>100</v>
      </c>
      <c r="F24" s="202"/>
      <c r="G24" s="202"/>
    </row>
    <row r="25" spans="1:7" ht="30">
      <c r="A25" s="304"/>
      <c r="B25" s="195" t="s">
        <v>191</v>
      </c>
      <c r="C25" s="194">
        <v>50</v>
      </c>
    </row>
    <row r="26" spans="1:7">
      <c r="A26" s="304"/>
      <c r="B26" s="153" t="s">
        <v>192</v>
      </c>
      <c r="C26" s="194">
        <v>30</v>
      </c>
    </row>
    <row r="27" spans="1:7">
      <c r="A27" s="304" t="s">
        <v>201</v>
      </c>
      <c r="B27" s="153" t="s">
        <v>188</v>
      </c>
      <c r="C27" s="194">
        <v>5</v>
      </c>
    </row>
    <row r="28" spans="1:7">
      <c r="A28" s="304"/>
      <c r="B28" s="153" t="s">
        <v>189</v>
      </c>
      <c r="C28" s="194">
        <v>140</v>
      </c>
    </row>
    <row r="29" spans="1:7" ht="30">
      <c r="A29" s="304"/>
      <c r="B29" s="195" t="s">
        <v>190</v>
      </c>
      <c r="C29" s="194">
        <v>100</v>
      </c>
    </row>
    <row r="30" spans="1:7" ht="30">
      <c r="A30" s="304"/>
      <c r="B30" s="195" t="s">
        <v>191</v>
      </c>
      <c r="C30" s="194">
        <v>50</v>
      </c>
    </row>
    <row r="31" spans="1:7">
      <c r="A31" s="304"/>
      <c r="B31" s="153" t="s">
        <v>192</v>
      </c>
      <c r="C31" s="194">
        <v>30</v>
      </c>
    </row>
    <row r="32" spans="1:7">
      <c r="A32" s="304" t="s">
        <v>202</v>
      </c>
      <c r="B32" s="153" t="s">
        <v>188</v>
      </c>
      <c r="C32" s="194">
        <v>5</v>
      </c>
    </row>
    <row r="33" spans="1:3">
      <c r="A33" s="304"/>
      <c r="B33" s="153" t="s">
        <v>189</v>
      </c>
      <c r="C33" s="194">
        <v>140</v>
      </c>
    </row>
    <row r="34" spans="1:3" ht="30">
      <c r="A34" s="304"/>
      <c r="B34" s="195" t="s">
        <v>190</v>
      </c>
      <c r="C34" s="194">
        <v>100</v>
      </c>
    </row>
    <row r="35" spans="1:3" ht="30">
      <c r="A35" s="304"/>
      <c r="B35" s="195" t="s">
        <v>191</v>
      </c>
      <c r="C35" s="194">
        <v>50</v>
      </c>
    </row>
    <row r="36" spans="1:3">
      <c r="A36" s="304"/>
      <c r="B36" s="153" t="s">
        <v>192</v>
      </c>
      <c r="C36" s="194">
        <v>30</v>
      </c>
    </row>
    <row r="37" spans="1:3">
      <c r="A37" s="304" t="s">
        <v>203</v>
      </c>
      <c r="B37" s="153" t="s">
        <v>188</v>
      </c>
      <c r="C37" s="194">
        <v>5</v>
      </c>
    </row>
    <row r="38" spans="1:3">
      <c r="A38" s="304"/>
      <c r="B38" s="153" t="s">
        <v>189</v>
      </c>
      <c r="C38" s="194">
        <v>140</v>
      </c>
    </row>
    <row r="39" spans="1:3" ht="30">
      <c r="A39" s="304"/>
      <c r="B39" s="195" t="s">
        <v>190</v>
      </c>
      <c r="C39" s="194">
        <v>100</v>
      </c>
    </row>
    <row r="40" spans="1:3" ht="30">
      <c r="A40" s="304"/>
      <c r="B40" s="195" t="s">
        <v>191</v>
      </c>
      <c r="C40" s="194">
        <v>50</v>
      </c>
    </row>
    <row r="41" spans="1:3">
      <c r="A41" s="304"/>
      <c r="B41" s="153" t="s">
        <v>192</v>
      </c>
      <c r="C41" s="194">
        <v>30</v>
      </c>
    </row>
    <row r="42" spans="1:3">
      <c r="A42" s="304" t="s">
        <v>204</v>
      </c>
      <c r="B42" s="153" t="s">
        <v>188</v>
      </c>
      <c r="C42" s="194">
        <v>5</v>
      </c>
    </row>
    <row r="43" spans="1:3">
      <c r="A43" s="304"/>
      <c r="B43" s="153" t="s">
        <v>189</v>
      </c>
      <c r="C43" s="194">
        <v>140</v>
      </c>
    </row>
    <row r="44" spans="1:3" ht="30">
      <c r="A44" s="304"/>
      <c r="B44" s="195" t="s">
        <v>190</v>
      </c>
      <c r="C44" s="194">
        <v>100</v>
      </c>
    </row>
    <row r="45" spans="1:3" ht="30">
      <c r="A45" s="304"/>
      <c r="B45" s="195" t="s">
        <v>191</v>
      </c>
      <c r="C45" s="194">
        <v>50</v>
      </c>
    </row>
    <row r="46" spans="1:3">
      <c r="A46" s="304"/>
      <c r="B46" s="153" t="s">
        <v>192</v>
      </c>
      <c r="C46" s="194">
        <v>30</v>
      </c>
    </row>
    <row r="47" spans="1:3">
      <c r="A47" s="304" t="s">
        <v>205</v>
      </c>
      <c r="B47" s="153" t="s">
        <v>188</v>
      </c>
      <c r="C47" s="194">
        <v>5</v>
      </c>
    </row>
    <row r="48" spans="1:3">
      <c r="A48" s="304"/>
      <c r="B48" s="153" t="s">
        <v>189</v>
      </c>
      <c r="C48" s="194">
        <v>140</v>
      </c>
    </row>
    <row r="49" spans="1:3" ht="30">
      <c r="A49" s="304"/>
      <c r="B49" s="195" t="s">
        <v>190</v>
      </c>
      <c r="C49" s="194">
        <v>100</v>
      </c>
    </row>
    <row r="50" spans="1:3" ht="30">
      <c r="A50" s="304"/>
      <c r="B50" s="195" t="s">
        <v>191</v>
      </c>
      <c r="C50" s="194">
        <v>50</v>
      </c>
    </row>
    <row r="51" spans="1:3">
      <c r="A51" s="304"/>
      <c r="B51" s="153" t="s">
        <v>192</v>
      </c>
      <c r="C51" s="194">
        <v>30</v>
      </c>
    </row>
    <row r="52" spans="1:3">
      <c r="A52" s="304" t="s">
        <v>206</v>
      </c>
      <c r="B52" s="153" t="s">
        <v>188</v>
      </c>
      <c r="C52" s="194">
        <v>5</v>
      </c>
    </row>
    <row r="53" spans="1:3">
      <c r="A53" s="304"/>
      <c r="B53" s="153" t="s">
        <v>189</v>
      </c>
      <c r="C53" s="194">
        <v>140</v>
      </c>
    </row>
    <row r="54" spans="1:3" ht="30">
      <c r="A54" s="304"/>
      <c r="B54" s="195" t="s">
        <v>190</v>
      </c>
      <c r="C54" s="194">
        <v>100</v>
      </c>
    </row>
    <row r="55" spans="1:3" ht="30">
      <c r="A55" s="304"/>
      <c r="B55" s="195" t="s">
        <v>191</v>
      </c>
      <c r="C55" s="194">
        <v>50</v>
      </c>
    </row>
    <row r="56" spans="1:3">
      <c r="A56" s="304"/>
      <c r="B56" s="153" t="s">
        <v>192</v>
      </c>
      <c r="C56" s="194">
        <v>30</v>
      </c>
    </row>
    <row r="60" spans="1:3">
      <c r="B60" t="s">
        <v>196</v>
      </c>
      <c r="C60">
        <f>SUM(C2:C56)</f>
        <v>3575</v>
      </c>
    </row>
    <row r="61" spans="1:3">
      <c r="B61" t="s">
        <v>198</v>
      </c>
      <c r="C61">
        <f>15*11</f>
        <v>165</v>
      </c>
    </row>
    <row r="62" spans="1:3">
      <c r="B62" t="s">
        <v>199</v>
      </c>
      <c r="C62">
        <v>1600</v>
      </c>
    </row>
    <row r="63" spans="1:3">
      <c r="B63" s="196" t="s">
        <v>200</v>
      </c>
      <c r="C63" s="196">
        <f>C60+C62</f>
        <v>5175</v>
      </c>
    </row>
    <row r="66" spans="1:8">
      <c r="A66" s="295" t="s">
        <v>207</v>
      </c>
      <c r="B66" s="295"/>
      <c r="C66" s="295"/>
      <c r="D66" s="295"/>
      <c r="E66" s="205"/>
      <c r="F66" s="303"/>
      <c r="G66" s="303"/>
      <c r="H66" s="303"/>
    </row>
    <row r="67" spans="1:8" ht="30">
      <c r="A67" s="198" t="s">
        <v>208</v>
      </c>
      <c r="B67" s="198" t="s">
        <v>209</v>
      </c>
      <c r="C67" s="198" t="s">
        <v>210</v>
      </c>
      <c r="D67" s="201" t="s">
        <v>211</v>
      </c>
      <c r="E67" s="205"/>
      <c r="F67" s="205"/>
      <c r="G67" s="205"/>
      <c r="H67" s="205"/>
    </row>
    <row r="68" spans="1:8">
      <c r="A68" s="295" t="s">
        <v>212</v>
      </c>
      <c r="B68" s="198" t="s">
        <v>213</v>
      </c>
      <c r="C68" s="198">
        <v>125</v>
      </c>
      <c r="D68" s="296">
        <v>270</v>
      </c>
      <c r="E68" s="205"/>
      <c r="F68" s="303"/>
      <c r="G68" s="205"/>
      <c r="H68" s="205"/>
    </row>
    <row r="69" spans="1:8">
      <c r="A69" s="295"/>
      <c r="B69" s="198" t="s">
        <v>214</v>
      </c>
      <c r="C69" s="198">
        <v>20</v>
      </c>
      <c r="D69" s="296"/>
      <c r="E69" s="205"/>
      <c r="F69" s="303"/>
      <c r="G69" s="205"/>
      <c r="H69" s="205"/>
    </row>
    <row r="70" spans="1:8">
      <c r="A70" s="295"/>
      <c r="B70" s="198" t="s">
        <v>215</v>
      </c>
      <c r="C70" s="198">
        <v>5</v>
      </c>
      <c r="D70" s="296"/>
      <c r="E70" s="205"/>
      <c r="F70" s="303"/>
      <c r="G70" s="205"/>
      <c r="H70" s="205"/>
    </row>
    <row r="71" spans="1:8">
      <c r="A71" s="295"/>
      <c r="B71" s="198" t="s">
        <v>216</v>
      </c>
      <c r="C71" s="198">
        <v>15</v>
      </c>
      <c r="D71" s="296"/>
      <c r="E71" s="205"/>
      <c r="F71" s="303"/>
      <c r="G71" s="205"/>
      <c r="H71" s="205"/>
    </row>
    <row r="72" spans="1:8">
      <c r="A72" s="295"/>
      <c r="B72" s="199" t="s">
        <v>217</v>
      </c>
      <c r="C72" s="198">
        <v>10</v>
      </c>
      <c r="D72" s="296"/>
      <c r="E72" s="205"/>
      <c r="F72" s="303"/>
      <c r="G72" s="206"/>
      <c r="H72" s="205"/>
    </row>
    <row r="73" spans="1:8">
      <c r="A73" s="295"/>
      <c r="B73" s="198" t="s">
        <v>218</v>
      </c>
      <c r="C73" s="198">
        <v>15</v>
      </c>
      <c r="D73" s="296"/>
      <c r="E73" s="205"/>
      <c r="F73" s="303"/>
      <c r="G73" s="205"/>
      <c r="H73" s="205"/>
    </row>
    <row r="74" spans="1:8">
      <c r="A74" s="295" t="s">
        <v>219</v>
      </c>
      <c r="B74" s="198" t="s">
        <v>220</v>
      </c>
      <c r="C74" s="198">
        <v>110</v>
      </c>
      <c r="D74" s="296">
        <v>230</v>
      </c>
      <c r="E74" s="205"/>
      <c r="F74" s="303"/>
      <c r="G74" s="205"/>
      <c r="H74" s="205"/>
    </row>
    <row r="75" spans="1:8">
      <c r="A75" s="295"/>
      <c r="B75" s="198" t="s">
        <v>214</v>
      </c>
      <c r="C75" s="198">
        <v>20</v>
      </c>
      <c r="D75" s="296"/>
      <c r="E75" s="205"/>
      <c r="F75" s="303"/>
      <c r="G75" s="205"/>
      <c r="H75" s="205"/>
    </row>
    <row r="76" spans="1:8">
      <c r="A76" s="295"/>
      <c r="B76" s="198" t="s">
        <v>215</v>
      </c>
      <c r="C76" s="198">
        <v>5</v>
      </c>
      <c r="D76" s="296"/>
      <c r="E76" s="205"/>
      <c r="F76" s="303"/>
      <c r="G76" s="205"/>
      <c r="H76" s="205"/>
    </row>
    <row r="77" spans="1:8">
      <c r="A77" s="295"/>
      <c r="B77" s="199" t="s">
        <v>217</v>
      </c>
      <c r="C77" s="198">
        <v>10</v>
      </c>
      <c r="D77" s="296"/>
      <c r="E77" s="205"/>
      <c r="F77" s="303"/>
      <c r="G77" s="206"/>
      <c r="H77" s="205"/>
    </row>
    <row r="78" spans="1:8">
      <c r="A78" s="295"/>
      <c r="B78" s="198" t="s">
        <v>216</v>
      </c>
      <c r="C78" s="198">
        <v>15</v>
      </c>
      <c r="D78" s="296"/>
      <c r="E78" s="205"/>
      <c r="F78" s="303"/>
      <c r="G78" s="205"/>
      <c r="H78" s="205"/>
    </row>
    <row r="79" spans="1:8">
      <c r="A79" s="295"/>
      <c r="B79" s="198" t="s">
        <v>218</v>
      </c>
      <c r="C79" s="198">
        <v>15</v>
      </c>
      <c r="D79" s="296"/>
      <c r="E79" s="205"/>
      <c r="F79" s="303"/>
      <c r="G79" s="205"/>
      <c r="H79" s="205"/>
    </row>
    <row r="80" spans="1:8">
      <c r="A80" s="295" t="s">
        <v>222</v>
      </c>
      <c r="B80" s="198" t="s">
        <v>223</v>
      </c>
      <c r="C80" s="198">
        <v>150</v>
      </c>
      <c r="D80" s="296">
        <v>440</v>
      </c>
      <c r="E80" s="205"/>
      <c r="F80" s="303"/>
      <c r="G80" s="205"/>
      <c r="H80" s="205"/>
    </row>
    <row r="81" spans="1:8">
      <c r="A81" s="295"/>
      <c r="B81" s="198" t="s">
        <v>214</v>
      </c>
      <c r="C81" s="198">
        <v>20</v>
      </c>
      <c r="D81" s="296"/>
      <c r="E81" s="205"/>
      <c r="F81" s="303"/>
      <c r="G81" s="205"/>
      <c r="H81" s="205"/>
    </row>
    <row r="82" spans="1:8">
      <c r="A82" s="295"/>
      <c r="B82" s="199" t="s">
        <v>217</v>
      </c>
      <c r="C82" s="198">
        <v>15</v>
      </c>
      <c r="D82" s="296"/>
      <c r="E82" s="205"/>
      <c r="F82" s="303"/>
      <c r="G82" s="206"/>
      <c r="H82" s="205"/>
    </row>
    <row r="83" spans="1:8">
      <c r="A83" s="295"/>
      <c r="B83" s="198" t="s">
        <v>215</v>
      </c>
      <c r="C83" s="198">
        <v>5</v>
      </c>
      <c r="D83" s="296"/>
      <c r="E83" s="205"/>
      <c r="F83" s="303"/>
      <c r="G83" s="205"/>
      <c r="H83" s="205"/>
    </row>
    <row r="84" spans="1:8">
      <c r="A84" s="295"/>
      <c r="B84" s="198" t="s">
        <v>216</v>
      </c>
      <c r="C84" s="198">
        <v>25</v>
      </c>
      <c r="D84" s="296"/>
      <c r="E84" s="205"/>
      <c r="F84" s="303"/>
      <c r="G84" s="205"/>
      <c r="H84" s="205"/>
    </row>
    <row r="85" spans="1:8">
      <c r="A85" s="295"/>
      <c r="B85" s="198" t="s">
        <v>218</v>
      </c>
      <c r="C85" s="198">
        <v>15</v>
      </c>
      <c r="D85" s="296"/>
      <c r="E85" s="205"/>
      <c r="F85" s="303"/>
      <c r="G85" s="205"/>
      <c r="H85" s="205"/>
    </row>
    <row r="86" spans="1:8">
      <c r="A86" s="295" t="s">
        <v>224</v>
      </c>
      <c r="B86" s="198" t="s">
        <v>225</v>
      </c>
      <c r="C86" s="198">
        <v>75</v>
      </c>
      <c r="D86" s="296">
        <v>310</v>
      </c>
      <c r="E86" s="205"/>
      <c r="F86" s="303"/>
      <c r="G86" s="205"/>
      <c r="H86" s="205"/>
    </row>
    <row r="87" spans="1:8">
      <c r="A87" s="295"/>
      <c r="B87" s="198" t="s">
        <v>214</v>
      </c>
      <c r="C87" s="198">
        <v>20</v>
      </c>
      <c r="D87" s="296"/>
      <c r="E87" s="205"/>
      <c r="F87" s="303"/>
      <c r="G87" s="205"/>
      <c r="H87" s="205"/>
    </row>
    <row r="88" spans="1:8">
      <c r="A88" s="295"/>
      <c r="B88" s="199" t="s">
        <v>217</v>
      </c>
      <c r="C88" s="198">
        <v>15</v>
      </c>
      <c r="D88" s="296"/>
      <c r="E88" s="205"/>
      <c r="F88" s="303"/>
      <c r="G88" s="206"/>
      <c r="H88" s="205"/>
    </row>
    <row r="89" spans="1:8">
      <c r="A89" s="295"/>
      <c r="B89" s="198" t="s">
        <v>215</v>
      </c>
      <c r="C89" s="198">
        <v>5</v>
      </c>
      <c r="D89" s="296"/>
      <c r="E89" s="205"/>
      <c r="F89" s="303"/>
      <c r="G89" s="205"/>
      <c r="H89" s="205"/>
    </row>
    <row r="90" spans="1:8">
      <c r="A90" s="295"/>
      <c r="B90" s="198" t="s">
        <v>216</v>
      </c>
      <c r="C90" s="198">
        <v>15</v>
      </c>
      <c r="D90" s="296"/>
      <c r="E90" s="205"/>
      <c r="F90" s="303"/>
      <c r="G90" s="205"/>
      <c r="H90" s="205"/>
    </row>
    <row r="91" spans="1:8">
      <c r="A91" s="295"/>
      <c r="B91" s="198" t="s">
        <v>218</v>
      </c>
      <c r="C91" s="198">
        <v>15</v>
      </c>
      <c r="D91" s="296"/>
      <c r="E91" s="205"/>
      <c r="F91" s="303"/>
      <c r="G91" s="205"/>
      <c r="H91" s="205"/>
    </row>
    <row r="92" spans="1:8">
      <c r="A92" s="295" t="s">
        <v>226</v>
      </c>
      <c r="B92" s="198" t="s">
        <v>225</v>
      </c>
      <c r="C92" s="198">
        <v>75</v>
      </c>
      <c r="D92" s="296">
        <v>310</v>
      </c>
      <c r="E92" s="205"/>
      <c r="F92" s="303"/>
      <c r="G92" s="205"/>
      <c r="H92" s="205"/>
    </row>
    <row r="93" spans="1:8">
      <c r="A93" s="295"/>
      <c r="B93" s="198" t="s">
        <v>214</v>
      </c>
      <c r="C93" s="198">
        <v>20</v>
      </c>
      <c r="D93" s="296"/>
      <c r="E93" s="205"/>
      <c r="F93" s="303"/>
      <c r="G93" s="205"/>
      <c r="H93" s="205"/>
    </row>
    <row r="94" spans="1:8">
      <c r="A94" s="295"/>
      <c r="B94" s="199" t="s">
        <v>217</v>
      </c>
      <c r="C94" s="198">
        <v>15</v>
      </c>
      <c r="D94" s="296"/>
      <c r="E94" s="205"/>
      <c r="F94" s="303"/>
      <c r="G94" s="206"/>
      <c r="H94" s="205"/>
    </row>
    <row r="95" spans="1:8">
      <c r="A95" s="295"/>
      <c r="B95" s="198" t="s">
        <v>215</v>
      </c>
      <c r="C95" s="198">
        <v>5</v>
      </c>
      <c r="D95" s="296"/>
      <c r="E95" s="205"/>
      <c r="F95" s="303"/>
      <c r="G95" s="205"/>
      <c r="H95" s="205"/>
    </row>
    <row r="96" spans="1:8">
      <c r="A96" s="295"/>
      <c r="B96" s="198" t="s">
        <v>216</v>
      </c>
      <c r="C96" s="198">
        <v>15</v>
      </c>
      <c r="D96" s="296"/>
      <c r="E96" s="205"/>
      <c r="F96" s="303"/>
      <c r="G96" s="205"/>
      <c r="H96" s="205"/>
    </row>
    <row r="97" spans="1:8">
      <c r="A97" s="295"/>
      <c r="B97" s="198" t="s">
        <v>218</v>
      </c>
      <c r="C97" s="198">
        <v>15</v>
      </c>
      <c r="D97" s="296"/>
      <c r="E97" s="205"/>
      <c r="F97" s="303"/>
      <c r="G97" s="205"/>
      <c r="H97" s="205"/>
    </row>
    <row r="98" spans="1:8">
      <c r="A98" s="295" t="s">
        <v>227</v>
      </c>
      <c r="B98" s="198" t="s">
        <v>223</v>
      </c>
      <c r="C98" s="198">
        <v>150</v>
      </c>
      <c r="D98" s="296">
        <v>440</v>
      </c>
      <c r="E98" s="205"/>
      <c r="F98" s="303"/>
      <c r="G98" s="205"/>
      <c r="H98" s="205"/>
    </row>
    <row r="99" spans="1:8">
      <c r="A99" s="295"/>
      <c r="B99" s="198" t="s">
        <v>214</v>
      </c>
      <c r="C99" s="198">
        <v>20</v>
      </c>
      <c r="D99" s="296"/>
      <c r="E99" s="205"/>
      <c r="F99" s="303"/>
      <c r="G99" s="205"/>
      <c r="H99" s="205"/>
    </row>
    <row r="100" spans="1:8">
      <c r="A100" s="295"/>
      <c r="B100" s="199" t="s">
        <v>217</v>
      </c>
      <c r="C100" s="198">
        <v>15</v>
      </c>
      <c r="D100" s="296"/>
      <c r="E100" s="205"/>
      <c r="F100" s="303"/>
      <c r="G100" s="205"/>
      <c r="H100" s="205"/>
    </row>
    <row r="101" spans="1:8">
      <c r="A101" s="295"/>
      <c r="B101" s="198" t="s">
        <v>215</v>
      </c>
      <c r="C101" s="198">
        <v>5</v>
      </c>
      <c r="D101" s="296"/>
      <c r="E101" s="205"/>
      <c r="F101" s="303"/>
      <c r="G101" s="205"/>
      <c r="H101" s="205"/>
    </row>
    <row r="102" spans="1:8">
      <c r="A102" s="295"/>
      <c r="B102" s="198" t="s">
        <v>216</v>
      </c>
      <c r="C102" s="198">
        <v>25</v>
      </c>
      <c r="D102" s="296"/>
      <c r="E102" s="205"/>
      <c r="F102" s="303"/>
      <c r="G102" s="205"/>
      <c r="H102" s="205"/>
    </row>
    <row r="103" spans="1:8">
      <c r="A103" s="295"/>
      <c r="B103" s="198" t="s">
        <v>218</v>
      </c>
      <c r="C103" s="198">
        <v>15</v>
      </c>
      <c r="D103" s="296"/>
      <c r="E103" s="205"/>
      <c r="F103" s="303"/>
      <c r="G103" s="205"/>
      <c r="H103" s="205"/>
    </row>
    <row r="104" spans="1:8">
      <c r="A104" s="295" t="s">
        <v>234</v>
      </c>
      <c r="B104" s="198" t="s">
        <v>221</v>
      </c>
      <c r="C104" s="198">
        <v>225</v>
      </c>
      <c r="D104" s="296">
        <v>380</v>
      </c>
      <c r="E104" s="205"/>
      <c r="F104" s="303"/>
      <c r="G104" s="205"/>
      <c r="H104" s="205"/>
    </row>
    <row r="105" spans="1:8">
      <c r="A105" s="295"/>
      <c r="B105" s="199" t="s">
        <v>217</v>
      </c>
      <c r="C105" s="198">
        <v>10</v>
      </c>
      <c r="D105" s="296"/>
      <c r="E105" s="205"/>
      <c r="F105" s="205"/>
      <c r="G105" s="206"/>
      <c r="H105" s="206"/>
    </row>
    <row r="106" spans="1:8">
      <c r="A106" s="295"/>
      <c r="B106" s="198" t="s">
        <v>216</v>
      </c>
      <c r="C106" s="198">
        <v>40</v>
      </c>
      <c r="D106" s="296"/>
      <c r="E106" s="205"/>
      <c r="F106" s="205"/>
      <c r="G106" s="206"/>
      <c r="H106" s="206"/>
    </row>
    <row r="107" spans="1:8">
      <c r="A107" s="295"/>
      <c r="B107" s="198" t="s">
        <v>214</v>
      </c>
      <c r="C107" s="198">
        <v>15</v>
      </c>
      <c r="D107" s="296"/>
      <c r="E107" s="205"/>
      <c r="F107" s="205"/>
      <c r="G107" s="206"/>
      <c r="H107" s="206"/>
    </row>
    <row r="108" spans="1:8">
      <c r="A108" s="295" t="s">
        <v>228</v>
      </c>
      <c r="B108" s="198" t="s">
        <v>229</v>
      </c>
      <c r="C108" s="198">
        <v>70</v>
      </c>
      <c r="D108" s="296">
        <v>150</v>
      </c>
      <c r="E108" s="205"/>
      <c r="F108" s="205"/>
      <c r="G108" s="206"/>
      <c r="H108" s="206"/>
    </row>
    <row r="109" spans="1:8">
      <c r="A109" s="295"/>
      <c r="B109" s="198" t="s">
        <v>216</v>
      </c>
      <c r="C109" s="198">
        <v>45</v>
      </c>
      <c r="D109" s="296"/>
      <c r="E109" s="205"/>
      <c r="F109" s="205"/>
      <c r="G109" s="206"/>
      <c r="H109" s="206"/>
    </row>
    <row r="110" spans="1:8">
      <c r="A110" s="295"/>
      <c r="B110" s="198" t="s">
        <v>230</v>
      </c>
      <c r="C110" s="198">
        <v>15</v>
      </c>
      <c r="D110" s="296"/>
      <c r="E110" s="205"/>
      <c r="F110" s="205"/>
      <c r="G110" s="206"/>
      <c r="H110" s="206"/>
    </row>
    <row r="111" spans="1:8">
      <c r="A111" s="295" t="s">
        <v>231</v>
      </c>
      <c r="B111" s="198" t="s">
        <v>232</v>
      </c>
      <c r="C111" s="198">
        <v>200</v>
      </c>
      <c r="D111" s="296">
        <v>1000</v>
      </c>
      <c r="E111" s="205"/>
      <c r="F111" s="205"/>
      <c r="G111" s="206"/>
      <c r="H111" s="206"/>
    </row>
    <row r="112" spans="1:8">
      <c r="A112" s="295"/>
      <c r="B112" s="198" t="s">
        <v>233</v>
      </c>
      <c r="C112" s="198">
        <v>50</v>
      </c>
      <c r="D112" s="296"/>
      <c r="E112" s="205"/>
      <c r="F112" s="205"/>
      <c r="G112" s="206"/>
      <c r="H112" s="206"/>
    </row>
    <row r="113" spans="1:8">
      <c r="A113" s="295"/>
      <c r="B113" s="198" t="s">
        <v>214</v>
      </c>
      <c r="C113" s="198">
        <v>100</v>
      </c>
      <c r="D113" s="296"/>
      <c r="E113" s="205"/>
      <c r="F113" s="205"/>
      <c r="G113" s="206"/>
      <c r="H113" s="206"/>
    </row>
    <row r="114" spans="1:8">
      <c r="A114" s="295"/>
      <c r="B114" s="198" t="s">
        <v>216</v>
      </c>
      <c r="C114" s="198">
        <v>40</v>
      </c>
      <c r="D114" s="296"/>
      <c r="E114" s="205"/>
      <c r="F114" s="205"/>
      <c r="G114" s="206"/>
      <c r="H114" s="206"/>
    </row>
    <row r="115" spans="1:8">
      <c r="A115" s="197"/>
      <c r="B115" s="197"/>
      <c r="C115" s="197">
        <f>SUM(C68:C114)</f>
        <v>1925</v>
      </c>
      <c r="D115" s="197">
        <f>SUM(D68:D114)</f>
        <v>3530</v>
      </c>
      <c r="E115" s="205"/>
      <c r="F115" s="205"/>
      <c r="G115" s="206"/>
      <c r="H115" s="206"/>
    </row>
    <row r="116" spans="1:8">
      <c r="A116" s="197"/>
      <c r="B116" s="197"/>
      <c r="C116" s="197"/>
      <c r="D116" s="197"/>
      <c r="E116" s="205"/>
      <c r="F116" s="205"/>
      <c r="G116" s="206"/>
      <c r="H116" s="206"/>
    </row>
    <row r="117" spans="1:8">
      <c r="A117" s="295" t="s">
        <v>235</v>
      </c>
      <c r="B117" s="295"/>
      <c r="C117" s="295"/>
      <c r="D117" s="295"/>
      <c r="E117" s="205"/>
      <c r="F117" s="205"/>
      <c r="G117" s="206"/>
      <c r="H117" s="206"/>
    </row>
    <row r="118" spans="1:8" ht="30">
      <c r="A118" s="198" t="s">
        <v>208</v>
      </c>
      <c r="B118" s="198" t="s">
        <v>209</v>
      </c>
      <c r="C118" s="198" t="s">
        <v>210</v>
      </c>
      <c r="D118" s="201" t="s">
        <v>211</v>
      </c>
      <c r="E118" s="205"/>
      <c r="F118" s="205"/>
      <c r="G118" s="206"/>
      <c r="H118" s="206"/>
    </row>
    <row r="119" spans="1:8">
      <c r="A119" s="300" t="s">
        <v>236</v>
      </c>
      <c r="B119" s="198" t="s">
        <v>237</v>
      </c>
      <c r="C119" s="198">
        <v>300</v>
      </c>
      <c r="D119" s="297">
        <v>350</v>
      </c>
      <c r="E119" s="205"/>
      <c r="F119" s="205"/>
      <c r="G119" s="206"/>
      <c r="H119" s="206"/>
    </row>
    <row r="120" spans="1:8">
      <c r="A120" s="301"/>
      <c r="B120" s="198" t="s">
        <v>214</v>
      </c>
      <c r="C120" s="198">
        <v>50</v>
      </c>
      <c r="D120" s="298"/>
      <c r="E120" s="205"/>
      <c r="F120" s="205"/>
      <c r="G120" s="206"/>
      <c r="H120" s="206"/>
    </row>
    <row r="121" spans="1:8">
      <c r="A121" s="301"/>
      <c r="B121" s="199" t="s">
        <v>217</v>
      </c>
      <c r="C121" s="198">
        <v>15</v>
      </c>
      <c r="D121" s="298"/>
      <c r="E121" s="205"/>
      <c r="F121" s="205"/>
      <c r="G121" s="206"/>
      <c r="H121" s="206"/>
    </row>
    <row r="122" spans="1:8">
      <c r="A122" s="301"/>
      <c r="B122" s="198" t="s">
        <v>215</v>
      </c>
      <c r="C122" s="198">
        <v>30</v>
      </c>
      <c r="D122" s="298"/>
      <c r="E122" s="205"/>
      <c r="F122" s="205"/>
      <c r="G122" s="206"/>
      <c r="H122" s="206"/>
    </row>
    <row r="123" spans="1:8">
      <c r="A123" s="301"/>
      <c r="B123" s="198" t="s">
        <v>216</v>
      </c>
      <c r="C123" s="198">
        <v>30</v>
      </c>
      <c r="D123" s="298"/>
      <c r="E123" s="205"/>
      <c r="F123" s="205"/>
      <c r="G123" s="206"/>
      <c r="H123" s="206"/>
    </row>
    <row r="124" spans="1:8">
      <c r="A124" s="302"/>
      <c r="B124" s="198" t="s">
        <v>218</v>
      </c>
      <c r="C124" s="198">
        <v>25</v>
      </c>
      <c r="D124" s="299"/>
      <c r="E124" s="205"/>
      <c r="F124" s="205"/>
      <c r="G124" s="206"/>
      <c r="H124" s="206"/>
    </row>
    <row r="125" spans="1:8">
      <c r="A125" s="295" t="s">
        <v>238</v>
      </c>
      <c r="B125" s="198" t="s">
        <v>223</v>
      </c>
      <c r="C125" s="198">
        <v>150</v>
      </c>
      <c r="D125" s="296">
        <v>130</v>
      </c>
      <c r="E125" s="205"/>
      <c r="F125" s="205"/>
      <c r="G125" s="206"/>
      <c r="H125" s="206"/>
    </row>
    <row r="126" spans="1:8">
      <c r="A126" s="295"/>
      <c r="B126" s="198" t="s">
        <v>214</v>
      </c>
      <c r="C126" s="198">
        <v>15</v>
      </c>
      <c r="D126" s="296"/>
      <c r="E126" s="205"/>
      <c r="F126" s="205"/>
      <c r="G126" s="206"/>
      <c r="H126" s="206"/>
    </row>
    <row r="127" spans="1:8">
      <c r="A127" s="295"/>
      <c r="B127" s="199" t="s">
        <v>217</v>
      </c>
      <c r="C127" s="198">
        <v>10</v>
      </c>
      <c r="D127" s="296"/>
      <c r="E127" s="205"/>
      <c r="F127" s="205"/>
      <c r="G127" s="206"/>
      <c r="H127" s="206"/>
    </row>
    <row r="128" spans="1:8">
      <c r="A128" s="295"/>
      <c r="B128" s="198" t="s">
        <v>215</v>
      </c>
      <c r="C128" s="198">
        <v>10</v>
      </c>
      <c r="D128" s="296"/>
      <c r="E128" s="205"/>
      <c r="F128" s="205"/>
      <c r="G128" s="206"/>
      <c r="H128" s="206"/>
    </row>
    <row r="129" spans="1:8">
      <c r="A129" s="295"/>
      <c r="B129" s="198" t="s">
        <v>216</v>
      </c>
      <c r="C129" s="198">
        <v>15</v>
      </c>
      <c r="D129" s="296"/>
      <c r="E129" s="205"/>
      <c r="F129" s="205"/>
      <c r="G129" s="206"/>
      <c r="H129" s="206"/>
    </row>
    <row r="130" spans="1:8">
      <c r="A130" s="295"/>
      <c r="B130" s="198" t="s">
        <v>218</v>
      </c>
      <c r="C130" s="200">
        <v>10</v>
      </c>
      <c r="D130" s="296"/>
      <c r="E130" s="206"/>
      <c r="F130" s="206"/>
      <c r="G130" s="206"/>
      <c r="H130" s="206"/>
    </row>
    <row r="131" spans="1:8">
      <c r="A131" s="295" t="s">
        <v>239</v>
      </c>
      <c r="B131" s="198" t="s">
        <v>240</v>
      </c>
      <c r="C131" s="198">
        <v>40</v>
      </c>
      <c r="D131" s="297"/>
      <c r="E131" s="206"/>
      <c r="F131" s="206"/>
      <c r="G131" s="206"/>
      <c r="H131" s="206"/>
    </row>
    <row r="132" spans="1:8">
      <c r="A132" s="295"/>
      <c r="B132" s="198" t="s">
        <v>233</v>
      </c>
      <c r="C132" s="198">
        <v>50</v>
      </c>
      <c r="D132" s="298"/>
      <c r="E132" s="206"/>
      <c r="F132" s="206"/>
      <c r="G132" s="206"/>
      <c r="H132" s="206"/>
    </row>
    <row r="133" spans="1:8">
      <c r="A133" s="295"/>
      <c r="B133" s="198" t="s">
        <v>241</v>
      </c>
      <c r="C133" s="198">
        <v>45</v>
      </c>
      <c r="D133" s="298"/>
      <c r="E133" s="206"/>
      <c r="F133" s="206"/>
      <c r="G133" s="206"/>
      <c r="H133" s="206"/>
    </row>
    <row r="134" spans="1:8">
      <c r="A134" s="200"/>
      <c r="B134" s="198" t="s">
        <v>242</v>
      </c>
      <c r="C134" s="200"/>
      <c r="D134" s="299"/>
      <c r="E134" s="206"/>
      <c r="F134" s="206"/>
      <c r="G134" s="206"/>
      <c r="H134" s="206"/>
    </row>
    <row r="135" spans="1:8">
      <c r="A135" s="197"/>
      <c r="B135" s="199"/>
      <c r="C135" s="199">
        <f>SUM(C119:C134)</f>
        <v>795</v>
      </c>
      <c r="D135" s="199">
        <f>SUM(D119:D130)</f>
        <v>480</v>
      </c>
      <c r="E135" s="206"/>
      <c r="F135" s="206"/>
      <c r="G135" s="206"/>
      <c r="H135" s="206"/>
    </row>
    <row r="136" spans="1:8">
      <c r="A136" s="197"/>
      <c r="B136" s="199"/>
      <c r="C136" s="199"/>
      <c r="D136" s="199"/>
      <c r="E136" s="206"/>
      <c r="F136" s="206"/>
      <c r="G136" s="206"/>
      <c r="H136" s="206"/>
    </row>
    <row r="137" spans="1:8">
      <c r="A137" s="197"/>
      <c r="B137" s="199"/>
      <c r="C137" s="199"/>
      <c r="D137" s="199"/>
      <c r="E137" s="206"/>
      <c r="F137" s="206"/>
      <c r="G137" s="206"/>
      <c r="H137" s="206"/>
    </row>
    <row r="138" spans="1:8">
      <c r="A138" s="197"/>
      <c r="B138" s="199"/>
      <c r="C138" s="199"/>
      <c r="D138" s="199"/>
      <c r="E138" s="206"/>
      <c r="F138" s="206"/>
      <c r="G138" s="206"/>
      <c r="H138" s="206"/>
    </row>
    <row r="139" spans="1:8">
      <c r="A139" s="197"/>
      <c r="B139" s="199"/>
      <c r="C139" s="199"/>
      <c r="D139" s="199"/>
      <c r="E139" s="206"/>
      <c r="F139" s="206"/>
      <c r="G139" s="206"/>
      <c r="H139" s="206"/>
    </row>
    <row r="140" spans="1:8">
      <c r="A140" s="199"/>
      <c r="B140" s="199"/>
      <c r="C140" s="199"/>
      <c r="D140" s="199"/>
      <c r="E140" s="206"/>
      <c r="F140" s="206"/>
      <c r="G140" s="206"/>
      <c r="H140" s="206"/>
    </row>
    <row r="141" spans="1:8">
      <c r="A141" s="199"/>
      <c r="B141" s="199"/>
      <c r="C141" s="199"/>
      <c r="D141" s="199"/>
      <c r="E141" s="206"/>
      <c r="F141" s="206"/>
      <c r="G141" s="206"/>
      <c r="H141" s="206"/>
    </row>
    <row r="142" spans="1:8">
      <c r="A142" s="199"/>
      <c r="B142" s="199"/>
      <c r="C142" s="199"/>
      <c r="D142" s="199"/>
      <c r="E142" s="206"/>
      <c r="F142" s="206"/>
      <c r="G142" s="206"/>
      <c r="H142" s="206"/>
    </row>
    <row r="143" spans="1:8">
      <c r="A143" s="199"/>
      <c r="B143" s="199"/>
      <c r="C143" s="199"/>
      <c r="D143" s="199"/>
      <c r="E143" s="206"/>
      <c r="F143" s="206"/>
      <c r="G143" s="206"/>
      <c r="H143" s="206"/>
    </row>
    <row r="144" spans="1:8">
      <c r="A144" s="199"/>
      <c r="B144" s="199"/>
      <c r="C144" s="199"/>
      <c r="D144" s="199"/>
      <c r="E144" s="206"/>
      <c r="F144" s="206"/>
      <c r="G144" s="206"/>
      <c r="H144" s="206"/>
    </row>
    <row r="145" spans="1:8">
      <c r="A145" s="199"/>
      <c r="B145" s="199"/>
      <c r="C145" s="199"/>
      <c r="D145" s="199"/>
      <c r="E145" s="206"/>
      <c r="F145" s="206"/>
      <c r="G145" s="206"/>
      <c r="H145" s="206"/>
    </row>
    <row r="146" spans="1:8">
      <c r="A146" s="199"/>
      <c r="B146" s="199"/>
      <c r="C146" s="199"/>
      <c r="D146" s="199"/>
      <c r="E146" s="206"/>
      <c r="F146" s="206"/>
      <c r="G146" s="206"/>
      <c r="H146" s="206"/>
    </row>
    <row r="147" spans="1:8">
      <c r="A147" s="199"/>
      <c r="B147" s="199"/>
      <c r="C147" s="199"/>
      <c r="D147" s="199"/>
      <c r="E147" s="206"/>
      <c r="F147" s="206"/>
      <c r="G147" s="206"/>
      <c r="H147" s="206"/>
    </row>
    <row r="148" spans="1:8">
      <c r="A148" s="199"/>
      <c r="B148" s="199"/>
      <c r="C148" s="199"/>
      <c r="D148" s="199"/>
      <c r="E148" s="206"/>
      <c r="F148" s="206"/>
      <c r="G148" s="206"/>
      <c r="H148" s="206"/>
    </row>
    <row r="149" spans="1:8">
      <c r="A149" s="199"/>
      <c r="B149" s="199"/>
      <c r="C149" s="199"/>
      <c r="D149" s="199"/>
      <c r="E149" s="206"/>
      <c r="F149" s="206"/>
      <c r="G149" s="206"/>
      <c r="H149" s="206"/>
    </row>
    <row r="150" spans="1:8">
      <c r="A150" s="199"/>
      <c r="B150" s="199"/>
      <c r="C150" s="199"/>
      <c r="D150" s="199"/>
      <c r="E150" s="206"/>
      <c r="F150" s="206"/>
      <c r="G150" s="206"/>
      <c r="H150" s="206"/>
    </row>
    <row r="151" spans="1:8">
      <c r="A151" s="199"/>
      <c r="B151" s="199"/>
      <c r="C151" s="199"/>
      <c r="D151" s="199"/>
      <c r="E151" s="206"/>
      <c r="F151" s="206"/>
      <c r="G151" s="206"/>
      <c r="H151" s="206"/>
    </row>
    <row r="152" spans="1:8">
      <c r="A152" s="199"/>
      <c r="B152" s="199"/>
      <c r="C152" s="199"/>
      <c r="D152" s="199"/>
      <c r="E152" s="206"/>
      <c r="F152" s="206"/>
      <c r="G152" s="206"/>
      <c r="H152" s="206"/>
    </row>
    <row r="153" spans="1:8">
      <c r="A153" s="199"/>
      <c r="B153" s="199"/>
      <c r="C153" s="199"/>
      <c r="D153" s="199"/>
      <c r="E153" s="206"/>
      <c r="F153" s="206"/>
      <c r="G153" s="206"/>
      <c r="H153" s="206"/>
    </row>
    <row r="154" spans="1:8">
      <c r="A154" s="199"/>
      <c r="B154" s="199"/>
      <c r="C154" s="199"/>
      <c r="D154" s="199"/>
      <c r="E154" s="206"/>
      <c r="F154" s="206"/>
      <c r="G154" s="206"/>
      <c r="H154" s="206"/>
    </row>
    <row r="155" spans="1:8">
      <c r="A155" s="199"/>
      <c r="B155" s="199"/>
      <c r="C155" s="199"/>
      <c r="D155" s="199"/>
      <c r="E155" s="206"/>
      <c r="F155" s="206"/>
      <c r="G155" s="206"/>
      <c r="H155" s="206"/>
    </row>
    <row r="156" spans="1:8">
      <c r="A156" s="199"/>
      <c r="B156" s="199"/>
      <c r="C156" s="199"/>
      <c r="D156" s="199"/>
      <c r="E156" s="206"/>
      <c r="F156" s="206"/>
      <c r="G156" s="206"/>
      <c r="H156" s="206"/>
    </row>
    <row r="157" spans="1:8">
      <c r="A157" s="199"/>
      <c r="B157" s="199"/>
      <c r="C157" s="199"/>
      <c r="D157" s="199"/>
      <c r="E157" s="206"/>
      <c r="F157" s="206"/>
      <c r="G157" s="206"/>
      <c r="H157" s="206"/>
    </row>
    <row r="158" spans="1:8">
      <c r="A158" s="199"/>
      <c r="B158" s="199"/>
      <c r="C158" s="199"/>
      <c r="D158" s="199"/>
      <c r="E158" s="206"/>
      <c r="F158" s="206"/>
      <c r="G158" s="206"/>
      <c r="H158" s="206"/>
    </row>
    <row r="159" spans="1:8">
      <c r="A159" s="199"/>
      <c r="B159" s="199"/>
      <c r="C159" s="199"/>
      <c r="D159" s="199"/>
      <c r="E159" s="206"/>
      <c r="F159" s="206"/>
      <c r="G159" s="206"/>
      <c r="H159" s="206"/>
    </row>
    <row r="160" spans="1:8">
      <c r="A160" s="199"/>
      <c r="B160" s="199"/>
      <c r="C160" s="199"/>
      <c r="D160" s="199"/>
      <c r="E160" s="206"/>
      <c r="F160" s="206"/>
      <c r="G160" s="206"/>
      <c r="H160" s="206"/>
    </row>
    <row r="161" spans="1:8">
      <c r="A161" s="199"/>
      <c r="B161" s="199"/>
      <c r="C161" s="199"/>
      <c r="D161" s="199"/>
      <c r="E161" s="206"/>
      <c r="F161" s="206"/>
      <c r="G161" s="206"/>
      <c r="H161" s="206"/>
    </row>
    <row r="162" spans="1:8">
      <c r="A162" s="199"/>
      <c r="B162" s="199"/>
      <c r="C162" s="199"/>
      <c r="D162" s="199"/>
      <c r="E162" s="206"/>
      <c r="F162" s="206"/>
      <c r="G162" s="206"/>
      <c r="H162" s="206"/>
    </row>
    <row r="163" spans="1:8">
      <c r="A163" s="199"/>
      <c r="B163" s="199"/>
      <c r="C163" s="199"/>
      <c r="D163" s="199"/>
      <c r="E163" s="206"/>
      <c r="F163" s="206"/>
      <c r="G163" s="206"/>
      <c r="H163" s="206"/>
    </row>
    <row r="164" spans="1:8">
      <c r="A164" s="199"/>
      <c r="B164" s="199"/>
      <c r="C164" s="199"/>
      <c r="D164" s="199"/>
      <c r="E164" s="206"/>
      <c r="F164" s="206"/>
      <c r="G164" s="206"/>
      <c r="H164" s="206"/>
    </row>
    <row r="165" spans="1:8">
      <c r="A165" s="199"/>
      <c r="B165" s="199"/>
      <c r="C165" s="199"/>
      <c r="D165" s="199"/>
      <c r="E165" s="206"/>
      <c r="F165" s="206"/>
      <c r="G165" s="206"/>
      <c r="H165" s="206"/>
    </row>
    <row r="166" spans="1:8">
      <c r="A166" s="199"/>
      <c r="B166" s="199"/>
      <c r="C166" s="199"/>
      <c r="D166" s="199"/>
      <c r="E166" s="206"/>
      <c r="F166" s="206"/>
      <c r="G166" s="206"/>
      <c r="H166" s="206"/>
    </row>
    <row r="167" spans="1:8">
      <c r="A167" s="199"/>
      <c r="B167" s="199"/>
      <c r="C167" s="199"/>
      <c r="D167" s="199"/>
      <c r="E167" s="206"/>
      <c r="F167" s="206"/>
      <c r="G167" s="206"/>
      <c r="H167" s="206"/>
    </row>
    <row r="168" spans="1:8">
      <c r="A168" s="199"/>
      <c r="B168" s="199"/>
      <c r="C168" s="199"/>
      <c r="D168" s="199"/>
      <c r="E168" s="206"/>
      <c r="F168" s="206"/>
      <c r="G168" s="206"/>
      <c r="H168" s="206"/>
    </row>
    <row r="169" spans="1:8">
      <c r="A169" s="199"/>
      <c r="B169" s="199"/>
      <c r="C169" s="199"/>
      <c r="D169" s="199"/>
      <c r="E169" s="206"/>
      <c r="F169" s="206"/>
      <c r="G169" s="206"/>
      <c r="H169" s="206"/>
    </row>
    <row r="170" spans="1:8">
      <c r="A170" s="199"/>
      <c r="B170" s="199"/>
      <c r="C170" s="199"/>
      <c r="D170" s="199"/>
      <c r="E170" s="206"/>
      <c r="F170" s="206"/>
      <c r="G170" s="206"/>
      <c r="H170" s="206"/>
    </row>
    <row r="171" spans="1:8">
      <c r="A171" s="199"/>
      <c r="B171" s="199"/>
      <c r="C171" s="199"/>
      <c r="D171" s="199"/>
      <c r="E171" s="206"/>
      <c r="F171" s="206"/>
      <c r="G171" s="206"/>
      <c r="H171" s="206"/>
    </row>
    <row r="172" spans="1:8">
      <c r="A172" s="199"/>
      <c r="B172" s="199"/>
      <c r="C172" s="199"/>
      <c r="D172" s="199"/>
      <c r="E172" s="206"/>
      <c r="F172" s="206"/>
      <c r="G172" s="206"/>
      <c r="H172" s="206"/>
    </row>
    <row r="173" spans="1:8">
      <c r="A173" s="199"/>
      <c r="B173" s="199"/>
      <c r="C173" s="199"/>
      <c r="D173" s="199"/>
      <c r="E173" s="206"/>
      <c r="F173" s="206"/>
      <c r="G173" s="206"/>
      <c r="H173" s="206"/>
    </row>
    <row r="174" spans="1:8">
      <c r="A174" s="199"/>
      <c r="B174" s="199"/>
      <c r="C174" s="199"/>
      <c r="D174" s="199"/>
      <c r="E174" s="206"/>
      <c r="F174" s="206"/>
      <c r="G174" s="206"/>
      <c r="H174" s="206"/>
    </row>
    <row r="175" spans="1:8">
      <c r="A175" s="199"/>
      <c r="B175" s="199"/>
      <c r="C175" s="199"/>
      <c r="D175" s="199"/>
      <c r="E175" s="206"/>
      <c r="F175" s="206"/>
      <c r="G175" s="206"/>
      <c r="H175" s="206"/>
    </row>
    <row r="176" spans="1:8">
      <c r="A176" s="199"/>
      <c r="B176" s="199"/>
      <c r="C176" s="199"/>
      <c r="D176" s="199"/>
      <c r="E176" s="206"/>
      <c r="F176" s="206"/>
      <c r="G176" s="206"/>
      <c r="H176" s="206"/>
    </row>
    <row r="177" spans="1:8">
      <c r="A177" s="199"/>
      <c r="B177" s="199"/>
      <c r="C177" s="199"/>
      <c r="D177" s="199"/>
      <c r="E177" s="206"/>
      <c r="F177" s="206"/>
      <c r="G177" s="206"/>
      <c r="H177" s="206"/>
    </row>
    <row r="178" spans="1:8">
      <c r="A178" s="199"/>
      <c r="B178" s="199"/>
      <c r="C178" s="199"/>
      <c r="D178" s="199"/>
      <c r="E178" s="206"/>
      <c r="F178" s="206"/>
      <c r="G178" s="206"/>
      <c r="H178" s="206"/>
    </row>
    <row r="179" spans="1:8">
      <c r="A179" s="199"/>
      <c r="B179" s="199"/>
      <c r="C179" s="199"/>
      <c r="D179" s="199"/>
      <c r="E179" s="206"/>
      <c r="F179" s="206"/>
      <c r="G179" s="206"/>
      <c r="H179" s="206"/>
    </row>
    <row r="180" spans="1:8">
      <c r="A180" s="199"/>
      <c r="B180" s="199"/>
      <c r="C180" s="199"/>
      <c r="D180" s="199"/>
      <c r="E180" s="206"/>
      <c r="F180" s="206"/>
      <c r="G180" s="206"/>
      <c r="H180" s="206"/>
    </row>
    <row r="181" spans="1:8">
      <c r="A181" s="199"/>
      <c r="B181" s="199"/>
      <c r="C181" s="199"/>
      <c r="D181" s="199"/>
      <c r="E181" s="206"/>
      <c r="F181" s="206"/>
      <c r="G181" s="206"/>
      <c r="H181" s="206"/>
    </row>
    <row r="182" spans="1:8">
      <c r="A182" s="199"/>
      <c r="B182" s="199"/>
      <c r="C182" s="199"/>
      <c r="D182" s="199"/>
      <c r="E182" s="206"/>
      <c r="F182" s="206"/>
      <c r="G182" s="206"/>
      <c r="H182" s="206"/>
    </row>
    <row r="183" spans="1:8">
      <c r="A183" s="199"/>
      <c r="B183" s="199"/>
      <c r="C183" s="199"/>
      <c r="D183" s="199"/>
      <c r="E183" s="206"/>
      <c r="F183" s="206"/>
      <c r="G183" s="206"/>
      <c r="H183" s="206"/>
    </row>
    <row r="184" spans="1:8">
      <c r="A184" s="199"/>
      <c r="B184" s="199"/>
      <c r="C184" s="199"/>
      <c r="D184" s="199"/>
      <c r="E184" s="206"/>
      <c r="F184" s="206"/>
      <c r="G184" s="206"/>
      <c r="H184" s="206"/>
    </row>
    <row r="185" spans="1:8">
      <c r="A185" s="199"/>
      <c r="B185" s="199"/>
      <c r="C185" s="199"/>
      <c r="D185" s="199"/>
      <c r="E185" s="206"/>
      <c r="F185" s="206"/>
      <c r="G185" s="206"/>
      <c r="H185" s="206"/>
    </row>
    <row r="186" spans="1:8">
      <c r="A186" s="199"/>
      <c r="B186" s="199"/>
      <c r="C186" s="199"/>
      <c r="D186" s="199"/>
      <c r="E186" s="206"/>
      <c r="F186" s="206"/>
      <c r="G186" s="206"/>
      <c r="H186" s="206"/>
    </row>
    <row r="187" spans="1:8">
      <c r="A187" s="199"/>
      <c r="B187" s="199"/>
      <c r="C187" s="199"/>
      <c r="D187" s="199"/>
      <c r="E187" s="206"/>
      <c r="F187" s="206"/>
      <c r="G187" s="206"/>
      <c r="H187" s="206"/>
    </row>
    <row r="188" spans="1:8">
      <c r="A188" s="199"/>
      <c r="B188" s="199"/>
      <c r="C188" s="199"/>
      <c r="D188" s="199"/>
      <c r="E188" s="206"/>
      <c r="F188" s="206"/>
      <c r="G188" s="206"/>
      <c r="H188" s="206"/>
    </row>
    <row r="189" spans="1:8">
      <c r="A189" s="199"/>
      <c r="B189" s="199"/>
      <c r="C189" s="199"/>
      <c r="D189" s="199"/>
      <c r="E189" s="206"/>
      <c r="F189" s="206"/>
      <c r="G189" s="206"/>
      <c r="H189" s="206"/>
    </row>
    <row r="190" spans="1:8">
      <c r="A190" s="199"/>
      <c r="B190" s="199"/>
      <c r="C190" s="199"/>
      <c r="D190" s="199"/>
      <c r="E190" s="206"/>
      <c r="F190" s="206"/>
      <c r="G190" s="206"/>
      <c r="H190" s="206"/>
    </row>
    <row r="191" spans="1:8">
      <c r="A191" s="199"/>
      <c r="B191" s="199"/>
      <c r="C191" s="199"/>
      <c r="D191" s="199"/>
      <c r="E191" s="206"/>
      <c r="F191" s="206"/>
      <c r="G191" s="206"/>
      <c r="H191" s="206"/>
    </row>
    <row r="192" spans="1:8">
      <c r="A192" s="199"/>
      <c r="B192" s="199"/>
      <c r="C192" s="199"/>
      <c r="D192" s="199"/>
      <c r="E192" s="206"/>
      <c r="F192" s="206"/>
      <c r="G192" s="206"/>
      <c r="H192" s="206"/>
    </row>
    <row r="193" spans="1:8">
      <c r="A193" s="199"/>
      <c r="B193" s="199"/>
      <c r="C193" s="199"/>
      <c r="D193" s="199"/>
      <c r="E193" s="206"/>
      <c r="F193" s="206"/>
      <c r="G193" s="206"/>
      <c r="H193" s="206"/>
    </row>
    <row r="194" spans="1:8">
      <c r="A194" s="199"/>
      <c r="B194" s="199"/>
      <c r="C194" s="199"/>
      <c r="D194" s="199"/>
      <c r="E194" s="206"/>
      <c r="F194" s="206"/>
      <c r="G194" s="206"/>
      <c r="H194" s="206"/>
    </row>
    <row r="195" spans="1:8">
      <c r="A195" s="199"/>
      <c r="B195" s="199"/>
      <c r="C195" s="199"/>
      <c r="D195" s="199"/>
      <c r="E195" s="206"/>
      <c r="F195" s="206"/>
      <c r="G195" s="206"/>
      <c r="H195" s="206"/>
    </row>
    <row r="196" spans="1:8">
      <c r="A196" s="199"/>
      <c r="B196" s="199"/>
      <c r="C196" s="199"/>
      <c r="D196" s="199"/>
      <c r="E196" s="206"/>
      <c r="F196" s="206"/>
      <c r="G196" s="206"/>
      <c r="H196" s="206"/>
    </row>
    <row r="197" spans="1:8">
      <c r="A197" s="199"/>
      <c r="B197" s="199"/>
      <c r="C197" s="199"/>
      <c r="D197" s="199"/>
      <c r="E197" s="206"/>
      <c r="F197" s="206"/>
      <c r="G197" s="206"/>
      <c r="H197" s="206"/>
    </row>
    <row r="198" spans="1:8">
      <c r="A198" s="199"/>
      <c r="B198" s="199"/>
      <c r="C198" s="199"/>
      <c r="D198" s="199"/>
      <c r="E198" s="206"/>
      <c r="F198" s="206"/>
      <c r="G198" s="206"/>
      <c r="H198" s="206"/>
    </row>
    <row r="199" spans="1:8">
      <c r="A199" s="199"/>
      <c r="B199" s="199"/>
      <c r="C199" s="199"/>
      <c r="D199" s="199"/>
      <c r="E199" s="206"/>
      <c r="F199" s="206"/>
      <c r="G199" s="206"/>
      <c r="H199" s="206"/>
    </row>
    <row r="200" spans="1:8">
      <c r="A200" s="199"/>
      <c r="B200" s="199"/>
      <c r="C200" s="199"/>
      <c r="D200" s="199"/>
      <c r="E200" s="206"/>
      <c r="F200" s="206"/>
      <c r="G200" s="206"/>
      <c r="H200" s="206"/>
    </row>
    <row r="201" spans="1:8">
      <c r="A201" s="199"/>
      <c r="B201" s="199"/>
      <c r="C201" s="199"/>
      <c r="D201" s="199"/>
      <c r="E201" s="206"/>
      <c r="F201" s="206"/>
      <c r="G201" s="206"/>
      <c r="H201" s="206"/>
    </row>
    <row r="202" spans="1:8">
      <c r="A202" s="199"/>
      <c r="B202" s="199"/>
      <c r="C202" s="199"/>
      <c r="D202" s="199"/>
      <c r="E202" s="206"/>
      <c r="F202" s="206"/>
      <c r="G202" s="206"/>
      <c r="H202" s="206"/>
    </row>
    <row r="203" spans="1:8">
      <c r="A203" s="199"/>
      <c r="B203" s="199"/>
      <c r="C203" s="199"/>
      <c r="D203" s="199"/>
      <c r="E203" s="206"/>
      <c r="F203" s="206"/>
      <c r="G203" s="206"/>
      <c r="H203" s="206"/>
    </row>
    <row r="204" spans="1:8">
      <c r="A204" s="199"/>
      <c r="B204" s="199"/>
      <c r="C204" s="199"/>
      <c r="D204" s="199"/>
      <c r="E204" s="206"/>
      <c r="F204" s="206"/>
      <c r="G204" s="206"/>
      <c r="H204" s="206"/>
    </row>
    <row r="205" spans="1:8">
      <c r="A205" s="199"/>
      <c r="B205" s="199"/>
      <c r="C205" s="199"/>
      <c r="D205" s="199"/>
      <c r="E205" s="206"/>
      <c r="F205" s="206"/>
      <c r="G205" s="206"/>
      <c r="H205" s="206"/>
    </row>
    <row r="206" spans="1:8">
      <c r="A206" s="199"/>
      <c r="B206" s="199"/>
      <c r="C206" s="199"/>
      <c r="D206" s="199"/>
      <c r="E206" s="206"/>
      <c r="F206" s="206"/>
      <c r="G206" s="206"/>
      <c r="H206" s="206"/>
    </row>
    <row r="207" spans="1:8">
      <c r="A207" s="199"/>
      <c r="B207" s="199"/>
      <c r="C207" s="199"/>
      <c r="D207" s="199"/>
      <c r="E207" s="206"/>
      <c r="F207" s="206"/>
      <c r="G207" s="206"/>
      <c r="H207" s="206"/>
    </row>
    <row r="208" spans="1:8">
      <c r="A208" s="199"/>
      <c r="B208" s="199"/>
      <c r="C208" s="199"/>
      <c r="D208" s="199"/>
      <c r="E208" s="206"/>
      <c r="F208" s="206"/>
      <c r="G208" s="206"/>
      <c r="H208" s="206"/>
    </row>
    <row r="209" spans="1:8">
      <c r="A209" s="199"/>
      <c r="B209" s="199"/>
      <c r="C209" s="199"/>
      <c r="D209" s="199"/>
      <c r="E209" s="206"/>
      <c r="F209" s="206"/>
      <c r="G209" s="206"/>
      <c r="H209" s="206"/>
    </row>
    <row r="210" spans="1:8">
      <c r="A210" s="199"/>
      <c r="B210" s="199"/>
      <c r="C210" s="199"/>
      <c r="D210" s="199"/>
      <c r="E210" s="206"/>
      <c r="F210" s="206"/>
      <c r="G210" s="206"/>
      <c r="H210" s="206"/>
    </row>
    <row r="211" spans="1:8">
      <c r="A211" s="199"/>
      <c r="B211" s="199"/>
      <c r="C211" s="199"/>
      <c r="D211" s="199"/>
      <c r="E211" s="206"/>
      <c r="F211" s="206"/>
      <c r="G211" s="206"/>
      <c r="H211" s="206"/>
    </row>
    <row r="212" spans="1:8">
      <c r="A212" s="199"/>
      <c r="B212" s="199"/>
      <c r="C212" s="199"/>
      <c r="D212" s="199"/>
      <c r="E212" s="206"/>
      <c r="F212" s="206"/>
      <c r="G212" s="206"/>
      <c r="H212" s="206"/>
    </row>
    <row r="213" spans="1:8">
      <c r="A213" s="199"/>
      <c r="B213" s="199"/>
      <c r="C213" s="199"/>
      <c r="D213" s="199"/>
      <c r="E213" s="206"/>
      <c r="F213" s="206"/>
      <c r="G213" s="206"/>
      <c r="H213" s="206"/>
    </row>
    <row r="214" spans="1:8">
      <c r="A214" s="199"/>
      <c r="B214" s="199"/>
      <c r="C214" s="199"/>
      <c r="D214" s="199"/>
      <c r="E214" s="206"/>
      <c r="F214" s="206"/>
      <c r="G214" s="206"/>
      <c r="H214" s="206"/>
    </row>
    <row r="215" spans="1:8">
      <c r="A215" s="199"/>
      <c r="B215" s="199"/>
      <c r="C215" s="199"/>
      <c r="D215" s="199"/>
      <c r="E215" s="206"/>
      <c r="F215" s="206"/>
      <c r="G215" s="206"/>
      <c r="H215" s="206"/>
    </row>
    <row r="216" spans="1:8">
      <c r="A216" s="199"/>
      <c r="B216" s="199"/>
      <c r="C216" s="199"/>
      <c r="D216" s="199"/>
      <c r="E216" s="206"/>
      <c r="F216" s="206"/>
      <c r="G216" s="206"/>
      <c r="H216" s="206"/>
    </row>
    <row r="217" spans="1:8">
      <c r="A217" s="199"/>
      <c r="B217" s="199"/>
      <c r="C217" s="199"/>
      <c r="D217" s="199"/>
      <c r="E217" s="206"/>
      <c r="F217" s="206"/>
      <c r="G217" s="206"/>
      <c r="H217" s="206"/>
    </row>
    <row r="218" spans="1:8">
      <c r="A218" s="199"/>
      <c r="B218" s="199"/>
      <c r="C218" s="199"/>
      <c r="D218" s="199"/>
      <c r="E218" s="206"/>
      <c r="F218" s="206"/>
      <c r="G218" s="206"/>
      <c r="H218" s="206"/>
    </row>
    <row r="219" spans="1:8">
      <c r="A219" s="199"/>
      <c r="B219" s="199"/>
      <c r="C219" s="199"/>
      <c r="D219" s="199"/>
      <c r="E219" s="206"/>
      <c r="F219" s="206"/>
      <c r="G219" s="206"/>
      <c r="H219" s="206"/>
    </row>
    <row r="220" spans="1:8">
      <c r="A220" s="199"/>
      <c r="B220" s="199"/>
      <c r="C220" s="199"/>
      <c r="D220" s="199"/>
      <c r="E220" s="206"/>
      <c r="F220" s="206"/>
      <c r="G220" s="206"/>
      <c r="H220" s="206"/>
    </row>
    <row r="221" spans="1:8">
      <c r="A221" s="199"/>
      <c r="B221" s="199"/>
      <c r="C221" s="199"/>
      <c r="D221" s="199"/>
      <c r="E221" s="206"/>
      <c r="F221" s="206"/>
      <c r="G221" s="206"/>
      <c r="H221" s="206"/>
    </row>
    <row r="222" spans="1:8">
      <c r="A222" s="199"/>
      <c r="B222" s="199"/>
      <c r="C222" s="199"/>
      <c r="D222" s="199"/>
      <c r="E222" s="206"/>
      <c r="F222" s="206"/>
      <c r="G222" s="206"/>
      <c r="H222" s="206"/>
    </row>
    <row r="223" spans="1:8">
      <c r="A223" s="199"/>
      <c r="B223" s="199"/>
      <c r="C223" s="199"/>
      <c r="D223" s="199"/>
      <c r="E223" s="206"/>
      <c r="F223" s="206"/>
      <c r="G223" s="206"/>
      <c r="H223" s="206"/>
    </row>
    <row r="224" spans="1:8">
      <c r="A224" s="199"/>
      <c r="B224" s="199"/>
      <c r="C224" s="199"/>
      <c r="D224" s="199"/>
      <c r="E224" s="206"/>
      <c r="F224" s="206"/>
      <c r="G224" s="206"/>
      <c r="H224" s="206"/>
    </row>
    <row r="225" spans="1:8">
      <c r="A225" s="199"/>
      <c r="B225" s="199"/>
      <c r="C225" s="199"/>
      <c r="D225" s="199"/>
      <c r="E225" s="206"/>
      <c r="F225" s="206"/>
      <c r="G225" s="206"/>
      <c r="H225" s="206"/>
    </row>
    <row r="226" spans="1:8">
      <c r="A226" s="199"/>
      <c r="B226" s="199"/>
      <c r="C226" s="199"/>
      <c r="D226" s="199"/>
      <c r="E226" s="206"/>
      <c r="F226" s="206"/>
      <c r="G226" s="206"/>
      <c r="H226" s="206"/>
    </row>
    <row r="227" spans="1:8">
      <c r="A227" s="199"/>
      <c r="B227" s="199"/>
      <c r="C227" s="199"/>
      <c r="D227" s="199"/>
      <c r="E227" s="206"/>
      <c r="F227" s="206"/>
      <c r="G227" s="206"/>
      <c r="H227" s="206"/>
    </row>
    <row r="228" spans="1:8">
      <c r="A228" s="199"/>
      <c r="B228" s="199"/>
      <c r="C228" s="199"/>
      <c r="D228" s="199"/>
      <c r="E228" s="206"/>
      <c r="F228" s="206"/>
      <c r="G228" s="206"/>
      <c r="H228" s="206"/>
    </row>
    <row r="229" spans="1:8">
      <c r="A229" s="199"/>
      <c r="B229" s="199"/>
      <c r="C229" s="199"/>
      <c r="D229" s="199"/>
      <c r="E229" s="206"/>
      <c r="F229" s="206"/>
      <c r="G229" s="206"/>
      <c r="H229" s="206"/>
    </row>
    <row r="230" spans="1:8">
      <c r="A230" s="199"/>
      <c r="B230" s="199"/>
      <c r="C230" s="199"/>
      <c r="D230" s="199"/>
      <c r="E230" s="206"/>
      <c r="F230" s="206"/>
      <c r="G230" s="206"/>
      <c r="H230" s="206"/>
    </row>
    <row r="231" spans="1:8">
      <c r="A231" s="199"/>
      <c r="B231" s="199"/>
      <c r="C231" s="199"/>
      <c r="D231" s="199"/>
      <c r="E231" s="206"/>
      <c r="F231" s="206"/>
      <c r="G231" s="206"/>
      <c r="H231" s="206"/>
    </row>
    <row r="232" spans="1:8">
      <c r="A232" s="199"/>
      <c r="B232" s="199"/>
      <c r="C232" s="199"/>
      <c r="D232" s="199"/>
      <c r="E232" s="206"/>
      <c r="F232" s="206"/>
      <c r="G232" s="206"/>
      <c r="H232" s="206"/>
    </row>
    <row r="233" spans="1:8">
      <c r="A233" s="199"/>
      <c r="B233" s="199"/>
      <c r="C233" s="199"/>
      <c r="D233" s="199"/>
      <c r="E233" s="206"/>
      <c r="F233" s="206"/>
      <c r="G233" s="206"/>
      <c r="H233" s="206"/>
    </row>
    <row r="234" spans="1:8">
      <c r="A234" s="199"/>
      <c r="B234" s="199"/>
      <c r="C234" s="199"/>
      <c r="D234" s="199"/>
      <c r="E234" s="206"/>
      <c r="F234" s="206"/>
      <c r="G234" s="206"/>
      <c r="H234" s="206"/>
    </row>
    <row r="235" spans="1:8">
      <c r="A235" s="199"/>
      <c r="B235" s="199"/>
      <c r="C235" s="199"/>
      <c r="D235" s="199"/>
      <c r="E235" s="206"/>
      <c r="F235" s="206"/>
      <c r="G235" s="206"/>
      <c r="H235" s="206"/>
    </row>
    <row r="236" spans="1:8">
      <c r="A236" s="199"/>
      <c r="B236" s="199"/>
      <c r="C236" s="199"/>
      <c r="D236" s="199"/>
      <c r="E236" s="206"/>
      <c r="F236" s="206"/>
      <c r="G236" s="206"/>
      <c r="H236" s="206"/>
    </row>
    <row r="237" spans="1:8">
      <c r="A237" s="199"/>
      <c r="B237" s="199"/>
      <c r="C237" s="199"/>
      <c r="D237" s="199"/>
      <c r="E237" s="206"/>
      <c r="F237" s="206"/>
      <c r="G237" s="206"/>
      <c r="H237" s="206"/>
    </row>
    <row r="238" spans="1:8">
      <c r="A238" s="199"/>
      <c r="B238" s="199"/>
      <c r="C238" s="199"/>
      <c r="D238" s="199"/>
      <c r="E238" s="206"/>
      <c r="F238" s="206"/>
      <c r="G238" s="206"/>
      <c r="H238" s="206"/>
    </row>
    <row r="239" spans="1:8">
      <c r="A239" s="199"/>
      <c r="B239" s="199"/>
      <c r="C239" s="199"/>
      <c r="D239" s="199"/>
      <c r="E239" s="206"/>
      <c r="F239" s="206"/>
      <c r="G239" s="206"/>
      <c r="H239" s="206"/>
    </row>
    <row r="240" spans="1:8">
      <c r="A240" s="199"/>
      <c r="B240" s="199"/>
      <c r="C240" s="199"/>
      <c r="D240" s="199"/>
      <c r="E240" s="206"/>
      <c r="F240" s="206"/>
      <c r="G240" s="206"/>
      <c r="H240" s="206"/>
    </row>
    <row r="241" spans="1:8">
      <c r="A241" s="199"/>
      <c r="B241" s="199"/>
      <c r="C241" s="199"/>
      <c r="D241" s="199"/>
      <c r="E241" s="206"/>
      <c r="F241" s="206"/>
      <c r="G241" s="206"/>
      <c r="H241" s="206"/>
    </row>
    <row r="242" spans="1:8">
      <c r="A242" s="199"/>
      <c r="B242" s="199"/>
      <c r="C242" s="199"/>
      <c r="D242" s="199"/>
      <c r="E242" s="206"/>
      <c r="F242" s="206"/>
      <c r="G242" s="206"/>
      <c r="H242" s="206"/>
    </row>
    <row r="243" spans="1:8">
      <c r="A243" s="199"/>
      <c r="B243" s="199"/>
      <c r="C243" s="199"/>
      <c r="D243" s="199"/>
      <c r="E243" s="206"/>
      <c r="F243" s="206"/>
      <c r="G243" s="206"/>
      <c r="H243" s="206"/>
    </row>
    <row r="244" spans="1:8">
      <c r="A244" s="199"/>
      <c r="B244" s="199"/>
      <c r="C244" s="199"/>
      <c r="D244" s="199"/>
      <c r="E244" s="206"/>
      <c r="F244" s="206"/>
      <c r="G244" s="206"/>
      <c r="H244" s="206"/>
    </row>
    <row r="245" spans="1:8">
      <c r="A245" s="199"/>
      <c r="B245" s="199"/>
      <c r="C245" s="199"/>
      <c r="D245" s="199"/>
      <c r="E245" s="206"/>
      <c r="F245" s="206"/>
      <c r="G245" s="206"/>
      <c r="H245" s="206"/>
    </row>
    <row r="246" spans="1:8">
      <c r="A246" s="199"/>
      <c r="B246" s="199"/>
      <c r="C246" s="199"/>
      <c r="D246" s="199"/>
      <c r="E246" s="206"/>
      <c r="F246" s="206"/>
      <c r="G246" s="206"/>
      <c r="H246" s="206"/>
    </row>
    <row r="247" spans="1:8">
      <c r="A247" s="199"/>
      <c r="B247" s="199"/>
      <c r="C247" s="199"/>
      <c r="D247" s="199"/>
      <c r="E247" s="206"/>
      <c r="F247" s="206"/>
      <c r="G247" s="206"/>
      <c r="H247" s="206"/>
    </row>
    <row r="248" spans="1:8">
      <c r="A248" s="199"/>
      <c r="B248" s="199"/>
      <c r="C248" s="199"/>
      <c r="D248" s="199"/>
      <c r="E248" s="206"/>
      <c r="F248" s="206"/>
      <c r="G248" s="206"/>
      <c r="H248" s="206"/>
    </row>
    <row r="249" spans="1:8">
      <c r="A249" s="199"/>
      <c r="B249" s="199"/>
      <c r="C249" s="199"/>
      <c r="D249" s="199"/>
      <c r="E249" s="206"/>
      <c r="F249" s="206"/>
      <c r="G249" s="206"/>
      <c r="H249" s="206"/>
    </row>
    <row r="250" spans="1:8">
      <c r="A250" s="199"/>
      <c r="B250" s="199"/>
      <c r="C250" s="199"/>
      <c r="D250" s="199"/>
      <c r="E250" s="206"/>
      <c r="F250" s="206"/>
      <c r="G250" s="206"/>
      <c r="H250" s="206"/>
    </row>
    <row r="251" spans="1:8">
      <c r="A251" s="199"/>
      <c r="B251" s="199"/>
      <c r="C251" s="199"/>
      <c r="D251" s="199"/>
      <c r="E251" s="206"/>
      <c r="F251" s="206"/>
      <c r="G251" s="206"/>
      <c r="H251" s="206"/>
    </row>
    <row r="252" spans="1:8">
      <c r="A252" s="199"/>
      <c r="B252" s="199"/>
      <c r="C252" s="199"/>
      <c r="D252" s="199"/>
      <c r="E252" s="206"/>
      <c r="F252" s="206"/>
      <c r="G252" s="206"/>
      <c r="H252" s="206"/>
    </row>
    <row r="253" spans="1:8">
      <c r="A253" s="199"/>
      <c r="B253" s="199"/>
      <c r="C253" s="199"/>
      <c r="D253" s="199"/>
      <c r="E253" s="206"/>
      <c r="F253" s="206"/>
      <c r="G253" s="206"/>
      <c r="H253" s="206"/>
    </row>
    <row r="254" spans="1:8">
      <c r="A254" s="199"/>
      <c r="B254" s="199"/>
      <c r="C254" s="199"/>
      <c r="D254" s="199"/>
      <c r="E254" s="206"/>
      <c r="F254" s="206"/>
      <c r="G254" s="206"/>
      <c r="H254" s="206"/>
    </row>
    <row r="255" spans="1:8">
      <c r="A255" s="199"/>
      <c r="B255" s="199"/>
      <c r="C255" s="199"/>
      <c r="D255" s="199"/>
      <c r="E255" s="206"/>
      <c r="F255" s="206"/>
      <c r="G255" s="206"/>
      <c r="H255" s="206"/>
    </row>
    <row r="256" spans="1:8">
      <c r="A256" s="199"/>
      <c r="B256" s="199"/>
      <c r="C256" s="199"/>
      <c r="D256" s="199"/>
      <c r="E256" s="206"/>
      <c r="F256" s="206"/>
      <c r="G256" s="206"/>
      <c r="H256" s="206"/>
    </row>
    <row r="257" spans="1:8">
      <c r="A257" s="199"/>
      <c r="B257" s="199"/>
      <c r="C257" s="199"/>
      <c r="D257" s="199"/>
      <c r="E257" s="206"/>
      <c r="F257" s="206"/>
      <c r="G257" s="206"/>
      <c r="H257" s="206"/>
    </row>
    <row r="258" spans="1:8">
      <c r="A258" s="199"/>
      <c r="B258" s="199"/>
      <c r="C258" s="199"/>
      <c r="D258" s="199"/>
      <c r="E258" s="206"/>
      <c r="F258" s="206"/>
      <c r="G258" s="206"/>
      <c r="H258" s="206"/>
    </row>
    <row r="1048536" spans="3:3">
      <c r="C1048536">
        <f>SUM(C57)</f>
        <v>0</v>
      </c>
    </row>
  </sheetData>
  <mergeCells count="52">
    <mergeCell ref="A2:A6"/>
    <mergeCell ref="E2:E3"/>
    <mergeCell ref="E4:E5"/>
    <mergeCell ref="E6:E7"/>
    <mergeCell ref="A7:A11"/>
    <mergeCell ref="E8:E10"/>
    <mergeCell ref="E11:E13"/>
    <mergeCell ref="A12:A16"/>
    <mergeCell ref="E14:E16"/>
    <mergeCell ref="A68:A73"/>
    <mergeCell ref="D68:D73"/>
    <mergeCell ref="F68:F73"/>
    <mergeCell ref="A17:A21"/>
    <mergeCell ref="E17:E19"/>
    <mergeCell ref="A22:A26"/>
    <mergeCell ref="A27:A31"/>
    <mergeCell ref="A32:A36"/>
    <mergeCell ref="A37:A41"/>
    <mergeCell ref="A42:A46"/>
    <mergeCell ref="A47:A51"/>
    <mergeCell ref="A52:A56"/>
    <mergeCell ref="A66:D66"/>
    <mergeCell ref="F66:H66"/>
    <mergeCell ref="A74:A79"/>
    <mergeCell ref="D74:D79"/>
    <mergeCell ref="F74:F79"/>
    <mergeCell ref="A80:A85"/>
    <mergeCell ref="D80:D85"/>
    <mergeCell ref="F80:F85"/>
    <mergeCell ref="A86:A91"/>
    <mergeCell ref="D86:D91"/>
    <mergeCell ref="F86:F91"/>
    <mergeCell ref="A92:A97"/>
    <mergeCell ref="D92:D97"/>
    <mergeCell ref="F92:F97"/>
    <mergeCell ref="A98:A103"/>
    <mergeCell ref="D98:D103"/>
    <mergeCell ref="F98:F100"/>
    <mergeCell ref="F101:F104"/>
    <mergeCell ref="A104:A107"/>
    <mergeCell ref="D104:D107"/>
    <mergeCell ref="A125:A130"/>
    <mergeCell ref="D125:D130"/>
    <mergeCell ref="A131:A133"/>
    <mergeCell ref="D131:D134"/>
    <mergeCell ref="A108:A110"/>
    <mergeCell ref="D108:D110"/>
    <mergeCell ref="A111:A114"/>
    <mergeCell ref="D111:D114"/>
    <mergeCell ref="A117:D117"/>
    <mergeCell ref="A119:A124"/>
    <mergeCell ref="D119:D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6F85-A866-42E5-9DF3-A8CBA65DBB9E}">
  <sheetPr>
    <tabColor rgb="FFFFC000"/>
    <pageSetUpPr fitToPage="1"/>
  </sheetPr>
  <dimension ref="A1:AA67"/>
  <sheetViews>
    <sheetView showGridLines="0" view="pageBreakPreview" topLeftCell="D13" zoomScale="60" zoomScaleNormal="70" workbookViewId="0">
      <selection activeCell="K22" sqref="K22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40.140625" style="2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20.140625" style="2" customWidth="1"/>
    <col min="14" max="14" width="10.140625" style="2"/>
    <col min="15" max="15" width="30.85546875" style="2" customWidth="1"/>
    <col min="16" max="16" width="10.140625" style="2"/>
    <col min="17" max="17" width="28.42578125" style="2" customWidth="1"/>
    <col min="18" max="18" width="14.42578125" style="2" customWidth="1"/>
    <col min="19" max="20" width="10.140625" style="2"/>
    <col min="21" max="21" width="16.28515625" style="2" customWidth="1"/>
    <col min="22" max="23" width="10.140625" style="2"/>
    <col min="24" max="24" width="16.28515625" style="2" customWidth="1"/>
    <col min="25" max="16384" width="10.140625" style="2"/>
  </cols>
  <sheetData>
    <row r="1" spans="1:27">
      <c r="A1" s="268"/>
      <c r="B1" s="268"/>
      <c r="C1" s="268"/>
      <c r="D1" s="94"/>
      <c r="E1" s="94"/>
      <c r="F1" s="94"/>
      <c r="G1" s="94"/>
      <c r="I1" s="98" t="s">
        <v>67</v>
      </c>
      <c r="J1" s="97">
        <v>776.1</v>
      </c>
      <c r="K1" s="97"/>
      <c r="L1" s="2">
        <v>20</v>
      </c>
    </row>
    <row r="2" spans="1:27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7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7" ht="37.5">
      <c r="A4" s="275" t="s">
        <v>0</v>
      </c>
      <c r="B4" s="277" t="s">
        <v>1</v>
      </c>
      <c r="C4" s="93"/>
      <c r="D4" s="93"/>
      <c r="E4" s="93"/>
      <c r="F4" s="93"/>
      <c r="G4" s="14"/>
      <c r="I4" s="4" t="s">
        <v>68</v>
      </c>
      <c r="J4" s="4">
        <v>9</v>
      </c>
      <c r="K4" s="150" t="s">
        <v>170</v>
      </c>
      <c r="L4" s="2">
        <f>SUM(J1/L1)</f>
        <v>38.805</v>
      </c>
    </row>
    <row r="5" spans="1:27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6</v>
      </c>
      <c r="K5" s="4"/>
    </row>
    <row r="6" spans="1:27">
      <c r="A6" s="276"/>
      <c r="B6" s="278"/>
      <c r="C6" s="271"/>
      <c r="D6" s="271"/>
      <c r="E6" s="271"/>
      <c r="F6" s="271"/>
      <c r="G6" s="270"/>
      <c r="I6" s="4"/>
      <c r="J6" s="4"/>
    </row>
    <row r="7" spans="1:27" ht="19.5" thickBot="1">
      <c r="A7" s="96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7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7" ht="20.100000000000001" customHeight="1">
      <c r="A9" s="91">
        <v>1</v>
      </c>
      <c r="B9" s="21" t="s">
        <v>15</v>
      </c>
      <c r="C9" s="22">
        <f>SUM(C10:C15)</f>
        <v>383.48430300000001</v>
      </c>
      <c r="D9" s="22">
        <f t="shared" ref="D9:F9" si="0">SUM(D10:D15)</f>
        <v>372.51733800000005</v>
      </c>
      <c r="E9" s="22">
        <f t="shared" si="0"/>
        <v>350.58340799999996</v>
      </c>
      <c r="F9" s="22">
        <f t="shared" si="0"/>
        <v>350.58340799999996</v>
      </c>
      <c r="G9" s="22">
        <f>SUM(G10:G15)</f>
        <v>1457.168457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7" ht="20.100000000000001" customHeight="1">
      <c r="A10" s="92"/>
      <c r="B10" s="10" t="s">
        <v>3</v>
      </c>
      <c r="C10" s="12">
        <f>SUM(I10*3)</f>
        <v>319.09351500000002</v>
      </c>
      <c r="D10" s="12">
        <f>SUM(I10*2+O10*1)</f>
        <v>308.81019000000003</v>
      </c>
      <c r="E10" s="12">
        <f>SUM(O10*2)+U10*1</f>
        <v>288.24354</v>
      </c>
      <c r="F10" s="12">
        <f>SUM(U10*3)</f>
        <v>288.24354</v>
      </c>
      <c r="G10" s="75">
        <f>SUM(C10:F10)</f>
        <v>1204.3907850000001</v>
      </c>
      <c r="H10" s="144" t="s">
        <v>157</v>
      </c>
      <c r="I10" s="149">
        <f>SUM((K10+L11)/2*M10)</f>
        <v>106.36450500000001</v>
      </c>
      <c r="J10" s="149"/>
      <c r="K10" s="149">
        <v>0.13220000000000001</v>
      </c>
      <c r="L10" s="149"/>
      <c r="M10" s="154">
        <f>SUM(J1)</f>
        <v>776.1</v>
      </c>
      <c r="N10" s="127"/>
      <c r="O10" s="149">
        <f>SUM(S10*Q10)</f>
        <v>96.081180000000003</v>
      </c>
      <c r="P10" s="149" t="s">
        <v>161</v>
      </c>
      <c r="Q10" s="149">
        <v>0.12379999999999999</v>
      </c>
      <c r="R10" s="149"/>
      <c r="S10" s="154">
        <f>SUM(J1)</f>
        <v>776.1</v>
      </c>
      <c r="T10" s="127"/>
      <c r="U10" s="149">
        <f>SUM(Y10*W10)</f>
        <v>96.081180000000003</v>
      </c>
      <c r="V10" s="149" t="s">
        <v>161</v>
      </c>
      <c r="W10" s="149">
        <v>0.12379999999999999</v>
      </c>
      <c r="X10" s="149"/>
      <c r="Y10" s="154">
        <f>SUM(J1)</f>
        <v>776.1</v>
      </c>
      <c r="Z10" s="284" t="s">
        <v>66</v>
      </c>
    </row>
    <row r="11" spans="1:27" ht="20.100000000000001" customHeight="1">
      <c r="A11" s="92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7" ht="20.100000000000001" customHeight="1">
      <c r="A12" s="92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7" ht="49.5" customHeight="1">
      <c r="A13" s="92"/>
      <c r="B13" s="10" t="s">
        <v>10</v>
      </c>
      <c r="C13" s="12"/>
      <c r="D13" s="12"/>
      <c r="E13" s="12"/>
      <c r="F13" s="12"/>
      <c r="G13" s="75"/>
      <c r="H13" s="144" t="s">
        <v>152</v>
      </c>
      <c r="I13" s="149">
        <f>SUM(M13*K13)</f>
        <v>0</v>
      </c>
      <c r="J13" s="149" t="s">
        <v>161</v>
      </c>
      <c r="K13" s="149">
        <v>0.74</v>
      </c>
      <c r="L13" s="149"/>
      <c r="M13" s="149"/>
      <c r="N13" s="86"/>
      <c r="O13" s="149"/>
      <c r="P13" s="149" t="s">
        <v>161</v>
      </c>
      <c r="Q13" s="149">
        <v>0.71</v>
      </c>
      <c r="R13" s="149"/>
      <c r="S13" s="149"/>
      <c r="T13" s="86"/>
      <c r="U13" s="149"/>
      <c r="V13" s="149" t="s">
        <v>161</v>
      </c>
      <c r="W13" s="149">
        <v>4.07E-2</v>
      </c>
      <c r="X13" s="149"/>
      <c r="Y13" s="149"/>
      <c r="Z13" s="41" t="s">
        <v>70</v>
      </c>
      <c r="AA13" s="2" t="s">
        <v>71</v>
      </c>
    </row>
    <row r="14" spans="1:27" ht="44.25" customHeight="1" outlineLevel="1">
      <c r="A14" s="24"/>
      <c r="B14" s="10" t="s">
        <v>11</v>
      </c>
      <c r="C14" s="12"/>
      <c r="D14" s="12"/>
      <c r="E14" s="12"/>
      <c r="F14" s="12"/>
      <c r="G14" s="75"/>
      <c r="H14" s="144" t="s">
        <v>11</v>
      </c>
      <c r="I14" s="149"/>
      <c r="J14" s="149" t="s">
        <v>161</v>
      </c>
      <c r="K14" s="149">
        <v>1.5</v>
      </c>
      <c r="L14" s="149">
        <v>1.73</v>
      </c>
      <c r="M14" s="149"/>
      <c r="N14" s="86"/>
      <c r="O14" s="149"/>
      <c r="P14" s="149" t="s">
        <v>161</v>
      </c>
      <c r="Q14" s="149">
        <v>1.43</v>
      </c>
      <c r="R14" s="149">
        <v>1.66</v>
      </c>
      <c r="S14" s="149"/>
      <c r="T14" s="86"/>
      <c r="U14" s="149"/>
      <c r="V14" s="149" t="s">
        <v>161</v>
      </c>
      <c r="W14" s="149">
        <v>5.8400000000000001E-2</v>
      </c>
      <c r="X14" s="149">
        <v>6.7900000000000002E-2</v>
      </c>
      <c r="Y14" s="149"/>
      <c r="Z14" s="41" t="s">
        <v>70</v>
      </c>
      <c r="AA14" s="2" t="s">
        <v>73</v>
      </c>
    </row>
    <row r="15" spans="1:27" ht="32.25" customHeight="1" outlineLevel="1" thickBot="1">
      <c r="A15" s="24"/>
      <c r="B15" s="10" t="s">
        <v>12</v>
      </c>
      <c r="C15" s="9">
        <f>SUM(I15*3)</f>
        <v>64.390788000000001</v>
      </c>
      <c r="D15" s="9">
        <f>SUM(I15*2+O15)</f>
        <v>63.707147999999997</v>
      </c>
      <c r="E15" s="9">
        <f>SUM(O15*2+U15)</f>
        <v>62.339867999999996</v>
      </c>
      <c r="F15" s="9">
        <f>SUM(U15*3)</f>
        <v>62.339867999999996</v>
      </c>
      <c r="G15" s="75">
        <f t="shared" ref="G15" si="1">SUM(C15:F15)</f>
        <v>252.777672</v>
      </c>
      <c r="H15" s="144" t="s">
        <v>150</v>
      </c>
      <c r="I15" s="149">
        <f>SUM(J15*((K15+L15))/2)*M15*1.5</f>
        <v>21.463595999999999</v>
      </c>
      <c r="J15" s="149">
        <v>0.24</v>
      </c>
      <c r="K15" s="149">
        <v>9.2583000000000002</v>
      </c>
      <c r="L15" s="149">
        <v>10.615399999999999</v>
      </c>
      <c r="M15" s="149">
        <f>SUM(J5)</f>
        <v>6</v>
      </c>
      <c r="N15" s="86"/>
      <c r="O15" s="149">
        <f>SUM(P15*((Q15+R15)/2)*S15*1.5)</f>
        <v>20.779955999999999</v>
      </c>
      <c r="P15" s="149">
        <v>0.24</v>
      </c>
      <c r="Q15" s="149">
        <v>8.9418000000000006</v>
      </c>
      <c r="R15" s="149">
        <v>10.2989</v>
      </c>
      <c r="S15" s="149">
        <f>SUM(J5)</f>
        <v>6</v>
      </c>
      <c r="T15" s="86"/>
      <c r="U15" s="149">
        <f>SUM(V15*((W15+X15)/2)*Y15*1.5)</f>
        <v>20.779955999999999</v>
      </c>
      <c r="V15" s="149">
        <v>0.24</v>
      </c>
      <c r="W15" s="149">
        <v>8.9418000000000006</v>
      </c>
      <c r="X15" s="149">
        <v>10.2989</v>
      </c>
      <c r="Y15" s="149">
        <f>SUM(J5)</f>
        <v>6</v>
      </c>
      <c r="Z15" s="40" t="s">
        <v>70</v>
      </c>
      <c r="AA15" s="2" t="s">
        <v>72</v>
      </c>
    </row>
    <row r="16" spans="1:27" ht="20.100000000000001" customHeight="1">
      <c r="A16" s="91">
        <v>2</v>
      </c>
      <c r="B16" s="28" t="s">
        <v>16</v>
      </c>
      <c r="C16" s="35">
        <f>SUM(C17:C19)</f>
        <v>0</v>
      </c>
      <c r="D16" s="35">
        <f t="shared" ref="D16:G16" si="2">SUM(D17:D19)</f>
        <v>0</v>
      </c>
      <c r="E16" s="35">
        <f t="shared" si="2"/>
        <v>0</v>
      </c>
      <c r="F16" s="35">
        <f t="shared" si="2"/>
        <v>0</v>
      </c>
      <c r="G16" s="35">
        <f t="shared" si="2"/>
        <v>0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/>
      <c r="D17" s="12"/>
      <c r="E17" s="12"/>
      <c r="F17" s="12"/>
      <c r="G17" s="76"/>
      <c r="H17" s="146" t="s">
        <v>153</v>
      </c>
      <c r="I17" s="149"/>
      <c r="J17" s="149" t="s">
        <v>163</v>
      </c>
      <c r="K17" s="149">
        <v>0.71</v>
      </c>
      <c r="L17" s="149"/>
      <c r="M17" s="149"/>
      <c r="N17" s="86"/>
      <c r="O17" s="149"/>
      <c r="P17" s="149" t="s">
        <v>163</v>
      </c>
      <c r="Q17" s="149">
        <v>0.71</v>
      </c>
      <c r="R17" s="149"/>
      <c r="S17" s="149"/>
      <c r="T17" s="86"/>
      <c r="U17" s="149"/>
      <c r="V17" s="149" t="s">
        <v>163</v>
      </c>
      <c r="W17" s="149">
        <v>1.9800000000000002E-2</v>
      </c>
      <c r="X17" s="149"/>
      <c r="Y17" s="149"/>
      <c r="Z17" s="40" t="s">
        <v>74</v>
      </c>
      <c r="AA17" s="2" t="s">
        <v>71</v>
      </c>
    </row>
    <row r="18" spans="1:27" ht="40.5" customHeight="1" outlineLevel="1">
      <c r="A18" s="29"/>
      <c r="B18" s="10" t="s">
        <v>14</v>
      </c>
      <c r="C18" s="9"/>
      <c r="D18" s="9"/>
      <c r="E18" s="9"/>
      <c r="F18" s="9"/>
      <c r="G18" s="76"/>
      <c r="H18" s="146" t="s">
        <v>154</v>
      </c>
      <c r="I18" s="149"/>
      <c r="J18" s="149" t="s">
        <v>163</v>
      </c>
      <c r="K18" s="149">
        <v>0.79</v>
      </c>
      <c r="L18" s="149"/>
      <c r="M18" s="149"/>
      <c r="N18" s="86"/>
      <c r="O18" s="149"/>
      <c r="P18" s="149" t="s">
        <v>163</v>
      </c>
      <c r="Q18" s="149">
        <v>0.79</v>
      </c>
      <c r="R18" s="149"/>
      <c r="S18" s="149"/>
      <c r="T18" s="86"/>
      <c r="U18" s="149"/>
      <c r="V18" s="149" t="s">
        <v>163</v>
      </c>
      <c r="W18" s="149">
        <v>0.79</v>
      </c>
      <c r="X18" s="149"/>
      <c r="Y18" s="149"/>
      <c r="Z18" s="40" t="s">
        <v>74</v>
      </c>
      <c r="AA18" s="2" t="s">
        <v>73</v>
      </c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91">
        <v>3</v>
      </c>
      <c r="B20" s="28" t="s">
        <v>17</v>
      </c>
      <c r="C20" s="22">
        <f>SUM(C21:C22)</f>
        <v>52.74</v>
      </c>
      <c r="D20" s="22">
        <f t="shared" ref="D20:F20" si="3">SUM(D21:D22)</f>
        <v>52.74</v>
      </c>
      <c r="E20" s="22">
        <f t="shared" si="3"/>
        <v>52.74</v>
      </c>
      <c r="F20" s="22">
        <f t="shared" si="3"/>
        <v>52.74</v>
      </c>
      <c r="G20" s="8">
        <f>SUM(G21:G22)</f>
        <v>210.96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 thickBot="1">
      <c r="A21" s="29"/>
      <c r="B21" s="10" t="s">
        <v>45</v>
      </c>
      <c r="C21" s="11">
        <f>SUM(M21)*3</f>
        <v>16.740000000000002</v>
      </c>
      <c r="D21" s="11">
        <f>SUM(M21*3)</f>
        <v>16.740000000000002</v>
      </c>
      <c r="E21" s="11">
        <f>SUM(M21*3)</f>
        <v>16.740000000000002</v>
      </c>
      <c r="F21" s="11">
        <f>SUM(M21*3)</f>
        <v>16.740000000000002</v>
      </c>
      <c r="G21" s="76">
        <f>SUM(C21:F21)</f>
        <v>66.960000000000008</v>
      </c>
      <c r="H21" s="145" t="s">
        <v>149</v>
      </c>
      <c r="I21" s="105">
        <f>SUM(J5)</f>
        <v>6</v>
      </c>
      <c r="J21" s="106"/>
      <c r="K21" s="106">
        <v>0.93</v>
      </c>
      <c r="L21" s="106"/>
      <c r="M21" s="107">
        <f>I21*K21</f>
        <v>5.58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36</v>
      </c>
      <c r="D22" s="26">
        <f>SUM(M22*3)</f>
        <v>36</v>
      </c>
      <c r="E22" s="26">
        <f>SUM(M22*3)</f>
        <v>36</v>
      </c>
      <c r="F22" s="26">
        <f>SUM(M22*3)</f>
        <v>36</v>
      </c>
      <c r="G22" s="77">
        <f>SUM(C22:F22)</f>
        <v>144</v>
      </c>
      <c r="H22" s="146" t="s">
        <v>156</v>
      </c>
      <c r="I22" s="108">
        <f>SUM(J5)</f>
        <v>6</v>
      </c>
      <c r="J22" s="109"/>
      <c r="K22" s="109">
        <v>2</v>
      </c>
      <c r="L22" s="109"/>
      <c r="M22" s="110">
        <f>I22*K22</f>
        <v>12</v>
      </c>
      <c r="N22" s="95"/>
      <c r="O22" s="105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SUM(C24)</f>
        <v>814.90499999999997</v>
      </c>
      <c r="D23" s="22">
        <f t="shared" ref="D23:F23" si="4">SUM(D24:D25)</f>
        <v>977.88599999999997</v>
      </c>
      <c r="E23" s="22">
        <f t="shared" si="4"/>
        <v>977.88599999999997</v>
      </c>
      <c r="F23" s="22">
        <f t="shared" si="4"/>
        <v>977.88599999999997</v>
      </c>
      <c r="G23" s="8">
        <f>SUM(G24:G25)</f>
        <v>3911.5439999999999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814.90499999999997</v>
      </c>
      <c r="D24" s="9">
        <f>SUM(M24*3)</f>
        <v>814.90499999999997</v>
      </c>
      <c r="E24" s="9">
        <f>SUM(M24*3)</f>
        <v>814.90499999999997</v>
      </c>
      <c r="F24" s="9">
        <f>SUM(M24*3)</f>
        <v>814.90499999999997</v>
      </c>
      <c r="G24" s="76">
        <f t="shared" ref="G24:G29" si="5">SUM(C24:F24)</f>
        <v>3259.62</v>
      </c>
      <c r="H24" s="148" t="s">
        <v>158</v>
      </c>
      <c r="I24" s="99">
        <f>SUM(J1)</f>
        <v>776.1</v>
      </c>
      <c r="J24" s="100"/>
      <c r="K24" s="106">
        <v>0.35</v>
      </c>
      <c r="L24" s="106"/>
      <c r="M24" s="101">
        <f>SUM(I24*K24)</f>
        <v>271.63499999999999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162.98100000000002</v>
      </c>
      <c r="D25" s="26">
        <f>SUM(M25*3)</f>
        <v>162.98100000000002</v>
      </c>
      <c r="E25" s="26">
        <f>SUM(M25*3)</f>
        <v>162.98100000000002</v>
      </c>
      <c r="F25" s="26">
        <f>SUM(M25*3)</f>
        <v>162.98100000000002</v>
      </c>
      <c r="G25" s="77">
        <f t="shared" si="5"/>
        <v>651.92400000000009</v>
      </c>
      <c r="H25" s="148" t="s">
        <v>159</v>
      </c>
      <c r="I25" s="102">
        <f>SUM(J1)</f>
        <v>776.1</v>
      </c>
      <c r="J25" s="104"/>
      <c r="K25" s="109">
        <v>7.0000000000000007E-2</v>
      </c>
      <c r="L25" s="109"/>
      <c r="M25" s="101">
        <f>SUM(I25*K25)</f>
        <v>54.327000000000005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6">SUM(D27:D28)</f>
        <v>0</v>
      </c>
      <c r="E26" s="30">
        <f t="shared" si="6"/>
        <v>0</v>
      </c>
      <c r="F26" s="30">
        <f t="shared" si="6"/>
        <v>0</v>
      </c>
      <c r="G26" s="37">
        <f t="shared" si="5"/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5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5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1251.1293029999999</v>
      </c>
      <c r="D29" s="50">
        <f>D9+D16+D20+D23+D26</f>
        <v>1403.1433380000001</v>
      </c>
      <c r="E29" s="50">
        <f>E9+E16+E20+E23+E26</f>
        <v>1381.2094079999999</v>
      </c>
      <c r="F29" s="50">
        <f>F9+F16+F20+F23+F26</f>
        <v>1381.2094079999999</v>
      </c>
      <c r="G29" s="51">
        <f t="shared" si="5"/>
        <v>5416.6914569999999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91">
        <v>1</v>
      </c>
      <c r="B31" s="21" t="s">
        <v>15</v>
      </c>
      <c r="C31" s="62">
        <f>SUM(C32:C35)</f>
        <v>319.09351500000002</v>
      </c>
      <c r="D31" s="62">
        <f>SUM(D32:D35)</f>
        <v>308.81019000000003</v>
      </c>
      <c r="E31" s="62">
        <f>SUM(E32:E35)</f>
        <v>288.24354</v>
      </c>
      <c r="F31" s="62">
        <f>SUM(F32:F35)</f>
        <v>288.24354</v>
      </c>
      <c r="G31" s="62">
        <f>SUM(G32:G35)</f>
        <v>1204.3907850000001</v>
      </c>
    </row>
    <row r="32" spans="1:27" ht="20.100000000000001" customHeight="1">
      <c r="A32" s="44"/>
      <c r="B32" s="10" t="s">
        <v>3</v>
      </c>
      <c r="C32" s="42">
        <f>C10</f>
        <v>319.09351500000002</v>
      </c>
      <c r="D32" s="42">
        <f>D10</f>
        <v>308.81019000000003</v>
      </c>
      <c r="E32" s="42">
        <f>E10</f>
        <v>288.24354</v>
      </c>
      <c r="F32" s="42">
        <f>F10</f>
        <v>288.24354</v>
      </c>
      <c r="G32" s="72">
        <f>SUM(C32:F32)</f>
        <v>1204.3907850000001</v>
      </c>
    </row>
    <row r="33" spans="1:10" ht="20.100000000000001" customHeight="1">
      <c r="A33" s="44"/>
      <c r="B33" s="10" t="s">
        <v>10</v>
      </c>
      <c r="C33" s="42">
        <f t="shared" ref="C33:F33" si="7">C13</f>
        <v>0</v>
      </c>
      <c r="D33" s="42">
        <f t="shared" si="7"/>
        <v>0</v>
      </c>
      <c r="E33" s="42">
        <f t="shared" si="7"/>
        <v>0</v>
      </c>
      <c r="F33" s="42">
        <f t="shared" si="7"/>
        <v>0</v>
      </c>
      <c r="G33" s="72">
        <f>SUM(C33:F33)</f>
        <v>0</v>
      </c>
    </row>
    <row r="34" spans="1:10" ht="57.75" customHeight="1">
      <c r="A34" s="44"/>
      <c r="B34" s="10" t="s">
        <v>46</v>
      </c>
      <c r="C34" s="42"/>
      <c r="D34" s="42"/>
      <c r="E34" s="42"/>
      <c r="F34" s="42"/>
      <c r="G34" s="72">
        <f>SUM(C34:F34)</f>
        <v>0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91">
        <v>2</v>
      </c>
      <c r="B36" s="28" t="s">
        <v>16</v>
      </c>
      <c r="C36" s="62">
        <f>SUM(C37:C38)</f>
        <v>0</v>
      </c>
      <c r="D36" s="62">
        <f t="shared" ref="D36:G36" si="8">SUM(D37:D38)</f>
        <v>0</v>
      </c>
      <c r="E36" s="62">
        <f t="shared" si="8"/>
        <v>0</v>
      </c>
      <c r="F36" s="62">
        <f t="shared" si="8"/>
        <v>0</v>
      </c>
      <c r="G36" s="62">
        <f t="shared" si="8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91" t="s">
        <v>28</v>
      </c>
      <c r="B39" s="28" t="s">
        <v>17</v>
      </c>
      <c r="C39" s="62">
        <f>SUM(C40:C41)</f>
        <v>52.74</v>
      </c>
      <c r="D39" s="62">
        <f t="shared" ref="D39:G39" si="9">SUM(D40:D41)</f>
        <v>52.74</v>
      </c>
      <c r="E39" s="62">
        <f t="shared" si="9"/>
        <v>52.74</v>
      </c>
      <c r="F39" s="62">
        <f t="shared" si="9"/>
        <v>52.74</v>
      </c>
      <c r="G39" s="62">
        <f t="shared" si="9"/>
        <v>210.96</v>
      </c>
    </row>
    <row r="40" spans="1:10" ht="20.100000000000001" customHeight="1">
      <c r="A40" s="44"/>
      <c r="B40" s="10" t="s">
        <v>45</v>
      </c>
      <c r="C40" s="42">
        <f t="shared" ref="C40:F41" si="10">C21</f>
        <v>16.740000000000002</v>
      </c>
      <c r="D40" s="42">
        <f t="shared" si="10"/>
        <v>16.740000000000002</v>
      </c>
      <c r="E40" s="42">
        <f t="shared" si="10"/>
        <v>16.740000000000002</v>
      </c>
      <c r="F40" s="42">
        <f t="shared" si="10"/>
        <v>16.740000000000002</v>
      </c>
      <c r="G40" s="72">
        <f>SUM(C40:F40)</f>
        <v>66.960000000000008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0"/>
        <v>36</v>
      </c>
      <c r="D41" s="55">
        <f t="shared" si="10"/>
        <v>36</v>
      </c>
      <c r="E41" s="55">
        <f t="shared" si="10"/>
        <v>36</v>
      </c>
      <c r="F41" s="55">
        <f t="shared" si="10"/>
        <v>36</v>
      </c>
      <c r="G41" s="72">
        <f>SUM(C41:F41)</f>
        <v>144</v>
      </c>
    </row>
    <row r="42" spans="1:10" ht="20.100000000000001" customHeight="1">
      <c r="A42" s="91" t="s">
        <v>9</v>
      </c>
      <c r="B42" s="28" t="s">
        <v>33</v>
      </c>
      <c r="C42" s="62">
        <f>SUM(C43:C58)</f>
        <v>814.90499999999997</v>
      </c>
      <c r="D42" s="62">
        <f>SUM(D43:D58)</f>
        <v>814.90499999999997</v>
      </c>
      <c r="E42" s="62">
        <f>SUM(E43:E58)</f>
        <v>814.90499999999997</v>
      </c>
      <c r="F42" s="62">
        <f>SUM(F43:F58)</f>
        <v>814.90499999999997</v>
      </c>
      <c r="G42" s="64">
        <f t="shared" ref="G42:G51" si="11">SUM(C42:F42)</f>
        <v>3259.62</v>
      </c>
    </row>
    <row r="43" spans="1:10" ht="20.100000000000001" customHeight="1">
      <c r="A43" s="56"/>
      <c r="B43" s="47" t="s">
        <v>40</v>
      </c>
      <c r="C43" s="42">
        <f>C24</f>
        <v>814.90499999999997</v>
      </c>
      <c r="D43" s="42">
        <f>D24</f>
        <v>814.90499999999997</v>
      </c>
      <c r="E43" s="42">
        <f>E24</f>
        <v>814.90499999999997</v>
      </c>
      <c r="F43" s="42">
        <f>F24</f>
        <v>814.90499999999997</v>
      </c>
      <c r="G43" s="72">
        <f t="shared" si="11"/>
        <v>3259.62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1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1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1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1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1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1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1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2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2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2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2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2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2"/>
        <v>0</v>
      </c>
    </row>
    <row r="58" spans="1:14" ht="20.100000000000001" customHeight="1" thickBot="1">
      <c r="A58" s="61"/>
      <c r="B58" s="48" t="s">
        <v>27</v>
      </c>
      <c r="C58" s="55"/>
      <c r="D58" s="55"/>
      <c r="E58" s="55"/>
      <c r="F58" s="55"/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4.6" customHeight="1" outlineLevel="1" thickBot="1">
      <c r="A59" s="287" t="s">
        <v>39</v>
      </c>
      <c r="B59" s="288"/>
      <c r="C59" s="38">
        <f>C31+C36+C39+C42</f>
        <v>1186.738515</v>
      </c>
      <c r="D59" s="38">
        <f>D31+D36+D39+D42</f>
        <v>1176.4551900000001</v>
      </c>
      <c r="E59" s="38">
        <f>E31+E36+E39+E42</f>
        <v>1155.8885399999999</v>
      </c>
      <c r="F59" s="38">
        <f>F31+F36+F39+F42</f>
        <v>1155.8885399999999</v>
      </c>
      <c r="G59" s="39">
        <f>G31+G36+G39+G42</f>
        <v>4674.9707849999995</v>
      </c>
    </row>
    <row r="60" spans="1:14" ht="24.6" customHeight="1" outlineLevel="1">
      <c r="A60" s="89"/>
      <c r="B60" s="70"/>
      <c r="C60" s="71">
        <f>C29-C59</f>
        <v>64.39078799999993</v>
      </c>
      <c r="D60" s="71">
        <f>D29-D59</f>
        <v>226.68814799999996</v>
      </c>
      <c r="E60" s="71">
        <f>E29-E59</f>
        <v>225.32086800000002</v>
      </c>
      <c r="F60" s="71">
        <f>F29-F59</f>
        <v>225.32086800000002</v>
      </c>
      <c r="G60" s="71">
        <f>G29-G59</f>
        <v>741.72067200000038</v>
      </c>
    </row>
    <row r="61" spans="1:14">
      <c r="A61" s="67"/>
      <c r="B61" s="81"/>
      <c r="C61" s="90"/>
      <c r="D61" s="90"/>
      <c r="E61" s="90"/>
      <c r="F61" s="90"/>
      <c r="G61" s="90"/>
      <c r="H61" s="90"/>
      <c r="I61" s="90"/>
      <c r="J61" s="90"/>
      <c r="K61" s="90"/>
      <c r="L61" s="90"/>
    </row>
    <row r="62" spans="1:14" ht="39.75" hidden="1" customHeight="1">
      <c r="A62" s="67"/>
      <c r="B62" s="81"/>
      <c r="C62" s="90"/>
      <c r="D62" s="90"/>
      <c r="E62" s="90"/>
      <c r="F62" s="90"/>
      <c r="G62" s="90"/>
      <c r="H62" s="90"/>
      <c r="I62" s="90"/>
      <c r="J62" s="90"/>
      <c r="K62" s="90"/>
      <c r="L62" s="90"/>
    </row>
    <row r="63" spans="1:14" hidden="1">
      <c r="A63" s="67"/>
      <c r="C63" s="65">
        <f>C16*1.2/100</f>
        <v>0</v>
      </c>
      <c r="D63" s="65">
        <f>D16*1.2/100</f>
        <v>0</v>
      </c>
      <c r="E63" s="65">
        <f>E16*1.2/100</f>
        <v>0</v>
      </c>
      <c r="F63" s="65">
        <f>F16*1.2/100</f>
        <v>0</v>
      </c>
    </row>
    <row r="64" spans="1:14" hidden="1">
      <c r="A64" s="68"/>
      <c r="C64" s="65">
        <f>(C16-C63)*0.5/100</f>
        <v>0</v>
      </c>
      <c r="D64" s="65">
        <f>(D16-D63)*0.5/100</f>
        <v>0</v>
      </c>
      <c r="E64" s="65">
        <f>(E16-E63)*0.5/100</f>
        <v>0</v>
      </c>
      <c r="F64" s="65">
        <f>(F16-F63)*0.5/100</f>
        <v>0</v>
      </c>
    </row>
    <row r="65" spans="1:15" hidden="1">
      <c r="C65" s="3">
        <f>C9*1.2/100</f>
        <v>4.6018116359999999</v>
      </c>
      <c r="D65" s="3">
        <f>D9*1.2/100</f>
        <v>4.4702080560000006</v>
      </c>
      <c r="E65" s="3">
        <f>E9*1.2/100</f>
        <v>4.2070008959999994</v>
      </c>
      <c r="F65" s="3">
        <f>F9*1.2/100</f>
        <v>4.2070008959999994</v>
      </c>
    </row>
    <row r="66" spans="1:15" s="3" customFormat="1" hidden="1">
      <c r="A66" s="2"/>
      <c r="B66" s="2"/>
      <c r="C66" s="3">
        <f>(C9-C65)*4/100</f>
        <v>15.155299654560002</v>
      </c>
      <c r="D66" s="3">
        <f>(D9-D65)*4/100</f>
        <v>14.721885197760002</v>
      </c>
      <c r="E66" s="3">
        <f>(E9-E65)*4/100</f>
        <v>13.855056284159998</v>
      </c>
      <c r="F66" s="3">
        <f>(F9-F65)*4/100</f>
        <v>13.855056284159998</v>
      </c>
      <c r="H66" s="2"/>
      <c r="I66" s="2"/>
      <c r="J66" s="2"/>
      <c r="K66" s="2"/>
      <c r="L66" s="2"/>
      <c r="M66" s="2"/>
      <c r="N66" s="2"/>
      <c r="O66" s="2"/>
    </row>
    <row r="67" spans="1:15" s="3" customFormat="1" hidden="1">
      <c r="A67" s="2"/>
      <c r="B67" s="2"/>
      <c r="C67" s="3">
        <f>SUM(C63:C66)</f>
        <v>19.757111290560001</v>
      </c>
      <c r="D67" s="3">
        <f t="shared" ref="D67:F67" si="13">SUM(D63:D66)</f>
        <v>19.192093253760003</v>
      </c>
      <c r="E67" s="3">
        <f t="shared" si="13"/>
        <v>18.062057180159997</v>
      </c>
      <c r="F67" s="3">
        <f t="shared" si="13"/>
        <v>18.062057180159997</v>
      </c>
      <c r="H67" s="2"/>
      <c r="I67" s="2"/>
      <c r="J67" s="2"/>
      <c r="K67" s="2"/>
      <c r="L67" s="2"/>
      <c r="M67" s="2"/>
      <c r="N67" s="2"/>
      <c r="O67" s="2"/>
    </row>
  </sheetData>
  <dataConsolidate/>
  <mergeCells count="19">
    <mergeCell ref="A30:B30"/>
    <mergeCell ref="A59:B59"/>
    <mergeCell ref="A8:B8"/>
    <mergeCell ref="A29:B29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I8:M8"/>
    <mergeCell ref="O8:S8"/>
    <mergeCell ref="U8:Y8"/>
    <mergeCell ref="Z10:Z12"/>
    <mergeCell ref="H28:AA28"/>
  </mergeCells>
  <pageMargins left="0.70866141732283472" right="0.70866141732283472" top="0.74803149606299213" bottom="0.74803149606299213" header="0.31496062992125984" footer="0.31496062992125984"/>
  <pageSetup paperSize="9" scale="48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89E8-EF9E-4440-B355-AEF0A5289F0B}">
  <sheetPr>
    <tabColor rgb="FFFFC000"/>
    <pageSetUpPr fitToPage="1"/>
  </sheetPr>
  <dimension ref="A1:AA66"/>
  <sheetViews>
    <sheetView showGridLines="0" view="pageBreakPreview" topLeftCell="D1" zoomScale="60" zoomScaleNormal="70" workbookViewId="0">
      <selection activeCell="K22" sqref="K22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7">
      <c r="A1" s="268"/>
      <c r="B1" s="268"/>
      <c r="C1" s="268"/>
      <c r="D1" s="116"/>
      <c r="E1" s="116"/>
      <c r="F1" s="116"/>
      <c r="G1" s="116"/>
      <c r="I1" s="98" t="s">
        <v>67</v>
      </c>
      <c r="J1" s="97">
        <v>774</v>
      </c>
      <c r="K1" s="97"/>
      <c r="L1" s="2">
        <v>20</v>
      </c>
    </row>
    <row r="2" spans="1:27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7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7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6</v>
      </c>
      <c r="K4" s="150" t="s">
        <v>170</v>
      </c>
      <c r="L4" s="2">
        <f>SUM(J1/L1)</f>
        <v>38.700000000000003</v>
      </c>
    </row>
    <row r="5" spans="1:27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6</v>
      </c>
      <c r="K5" s="4"/>
    </row>
    <row r="6" spans="1:27">
      <c r="A6" s="276"/>
      <c r="B6" s="278"/>
      <c r="C6" s="271"/>
      <c r="D6" s="271"/>
      <c r="E6" s="271"/>
      <c r="F6" s="271"/>
      <c r="G6" s="270"/>
      <c r="I6" s="4"/>
      <c r="J6" s="4"/>
    </row>
    <row r="7" spans="1:27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7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7" ht="20.100000000000001" customHeight="1">
      <c r="A9" s="113">
        <v>1</v>
      </c>
      <c r="B9" s="21" t="s">
        <v>15</v>
      </c>
      <c r="C9" s="22">
        <f>SUM(C10:C15)</f>
        <v>382.62088799999998</v>
      </c>
      <c r="D9" s="22">
        <f t="shared" ref="D9:F9" si="0">SUM(D10:D15)</f>
        <v>371.68174800000003</v>
      </c>
      <c r="E9" s="22">
        <f t="shared" si="0"/>
        <v>349.80346799999995</v>
      </c>
      <c r="F9" s="22">
        <f t="shared" si="0"/>
        <v>349.80346799999995</v>
      </c>
      <c r="G9" s="22">
        <f>SUM(G10:G15)</f>
        <v>1453.909572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7" ht="20.100000000000001" customHeight="1">
      <c r="A10" s="114"/>
      <c r="B10" s="10" t="s">
        <v>3</v>
      </c>
      <c r="C10" s="12">
        <f>SUM(I10*3)</f>
        <v>318.23009999999999</v>
      </c>
      <c r="D10" s="12">
        <f>SUM(I10*2+O10*1)</f>
        <v>307.97460000000001</v>
      </c>
      <c r="E10" s="12">
        <f>SUM(O10*2)+U10*1</f>
        <v>287.46359999999999</v>
      </c>
      <c r="F10" s="12">
        <f>SUM(U10*3)</f>
        <v>287.46359999999999</v>
      </c>
      <c r="G10" s="75">
        <f>SUM(C10:F10)</f>
        <v>1201.1319000000001</v>
      </c>
      <c r="H10" s="144" t="s">
        <v>157</v>
      </c>
      <c r="I10" s="149">
        <f>SUM((K10+L11)/2*M10)</f>
        <v>106.0767</v>
      </c>
      <c r="J10" s="149"/>
      <c r="K10" s="149">
        <v>0.13220000000000001</v>
      </c>
      <c r="L10" s="149"/>
      <c r="M10" s="154">
        <f>SUM(J1)</f>
        <v>774</v>
      </c>
      <c r="N10" s="127"/>
      <c r="O10" s="149">
        <f>SUM(S10*Q10)</f>
        <v>95.82119999999999</v>
      </c>
      <c r="P10" s="149" t="s">
        <v>161</v>
      </c>
      <c r="Q10" s="149">
        <v>0.12379999999999999</v>
      </c>
      <c r="R10" s="149"/>
      <c r="S10" s="154">
        <f>SUM(J1)</f>
        <v>774</v>
      </c>
      <c r="T10" s="127"/>
      <c r="U10" s="149">
        <f>SUM(Y10*W10)</f>
        <v>95.82119999999999</v>
      </c>
      <c r="V10" s="149" t="s">
        <v>161</v>
      </c>
      <c r="W10" s="149">
        <v>0.12379999999999999</v>
      </c>
      <c r="X10" s="149"/>
      <c r="Y10" s="154">
        <f>SUM(J1)</f>
        <v>774</v>
      </c>
      <c r="Z10" s="284" t="s">
        <v>66</v>
      </c>
    </row>
    <row r="11" spans="1:27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7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7" ht="20.100000000000001" customHeight="1">
      <c r="A13" s="114"/>
      <c r="B13" s="10" t="s">
        <v>10</v>
      </c>
      <c r="C13" s="12"/>
      <c r="D13" s="12"/>
      <c r="E13" s="12"/>
      <c r="F13" s="12"/>
      <c r="G13" s="75"/>
      <c r="H13" s="144" t="s">
        <v>152</v>
      </c>
      <c r="I13" s="149">
        <f>SUM(M13*K13)</f>
        <v>0</v>
      </c>
      <c r="J13" s="149" t="s">
        <v>161</v>
      </c>
      <c r="K13" s="149">
        <v>0.74</v>
      </c>
      <c r="L13" s="149"/>
      <c r="M13" s="149"/>
      <c r="N13" s="86"/>
      <c r="O13" s="149"/>
      <c r="P13" s="149" t="s">
        <v>161</v>
      </c>
      <c r="Q13" s="149">
        <v>0.71</v>
      </c>
      <c r="R13" s="149"/>
      <c r="S13" s="149"/>
      <c r="T13" s="86"/>
      <c r="U13" s="149"/>
      <c r="V13" s="149" t="s">
        <v>161</v>
      </c>
      <c r="W13" s="149">
        <v>4.07E-2</v>
      </c>
      <c r="X13" s="149"/>
      <c r="Y13" s="149"/>
      <c r="Z13" s="41" t="s">
        <v>70</v>
      </c>
      <c r="AA13" s="2" t="s">
        <v>71</v>
      </c>
    </row>
    <row r="14" spans="1:27" ht="20.100000000000001" customHeight="1" outlineLevel="1">
      <c r="A14" s="24"/>
      <c r="B14" s="10" t="s">
        <v>11</v>
      </c>
      <c r="C14" s="12"/>
      <c r="D14" s="12"/>
      <c r="E14" s="12"/>
      <c r="F14" s="12"/>
      <c r="G14" s="75"/>
      <c r="H14" s="144" t="s">
        <v>11</v>
      </c>
      <c r="I14" s="149"/>
      <c r="J14" s="149" t="s">
        <v>161</v>
      </c>
      <c r="K14" s="149">
        <v>1.5</v>
      </c>
      <c r="L14" s="149">
        <v>1.73</v>
      </c>
      <c r="M14" s="149"/>
      <c r="N14" s="86"/>
      <c r="O14" s="149"/>
      <c r="P14" s="149" t="s">
        <v>161</v>
      </c>
      <c r="Q14" s="149">
        <v>1.43</v>
      </c>
      <c r="R14" s="149">
        <v>1.66</v>
      </c>
      <c r="S14" s="149"/>
      <c r="T14" s="86"/>
      <c r="U14" s="149"/>
      <c r="V14" s="149" t="s">
        <v>161</v>
      </c>
      <c r="W14" s="149">
        <v>5.8400000000000001E-2</v>
      </c>
      <c r="X14" s="149">
        <v>6.7900000000000002E-2</v>
      </c>
      <c r="Y14" s="149"/>
      <c r="Z14" s="41" t="s">
        <v>70</v>
      </c>
      <c r="AA14" s="2" t="s">
        <v>73</v>
      </c>
    </row>
    <row r="15" spans="1:27" ht="20.100000000000001" customHeight="1" outlineLevel="1" thickBot="1">
      <c r="A15" s="24"/>
      <c r="B15" s="10" t="s">
        <v>12</v>
      </c>
      <c r="C15" s="9">
        <f>SUM(I15*3)</f>
        <v>64.390788000000001</v>
      </c>
      <c r="D15" s="9">
        <f>SUM(I15*2+O15)</f>
        <v>63.707147999999997</v>
      </c>
      <c r="E15" s="9">
        <f>SUM(O15*2+U15)</f>
        <v>62.339867999999996</v>
      </c>
      <c r="F15" s="9">
        <f>SUM(U15*3)</f>
        <v>62.339867999999996</v>
      </c>
      <c r="G15" s="75">
        <f t="shared" ref="G15" si="1">SUM(C15:F15)</f>
        <v>252.777672</v>
      </c>
      <c r="H15" s="144" t="s">
        <v>150</v>
      </c>
      <c r="I15" s="149">
        <f>SUM(J15*((K15+L15))/2)*M15*1.5</f>
        <v>21.463595999999999</v>
      </c>
      <c r="J15" s="149">
        <v>0.24</v>
      </c>
      <c r="K15" s="149">
        <v>9.2583000000000002</v>
      </c>
      <c r="L15" s="149">
        <v>10.615399999999999</v>
      </c>
      <c r="M15" s="149">
        <f>SUM(J5)</f>
        <v>6</v>
      </c>
      <c r="N15" s="86"/>
      <c r="O15" s="149">
        <f>SUM(P15*((Q15+R15)/2)*S15*1.5)</f>
        <v>20.779955999999999</v>
      </c>
      <c r="P15" s="149">
        <v>0.24</v>
      </c>
      <c r="Q15" s="149">
        <v>8.9418000000000006</v>
      </c>
      <c r="R15" s="149">
        <v>10.2989</v>
      </c>
      <c r="S15" s="149">
        <f>SUM(J5)</f>
        <v>6</v>
      </c>
      <c r="T15" s="86"/>
      <c r="U15" s="149">
        <f>SUM(V15*((W15+X15)/2)*Y15*1.5)</f>
        <v>20.779955999999999</v>
      </c>
      <c r="V15" s="149">
        <v>0.24</v>
      </c>
      <c r="W15" s="149">
        <v>8.9418000000000006</v>
      </c>
      <c r="X15" s="149">
        <v>10.2989</v>
      </c>
      <c r="Y15" s="149">
        <f>SUM(J5)</f>
        <v>6</v>
      </c>
      <c r="Z15" s="40" t="s">
        <v>70</v>
      </c>
      <c r="AA15" s="2" t="s">
        <v>72</v>
      </c>
    </row>
    <row r="16" spans="1:27" ht="20.100000000000001" customHeight="1">
      <c r="A16" s="113">
        <v>2</v>
      </c>
      <c r="B16" s="28" t="s">
        <v>16</v>
      </c>
      <c r="C16" s="35">
        <f>SUM(C17:C19)</f>
        <v>0</v>
      </c>
      <c r="D16" s="35">
        <f t="shared" ref="D16:G16" si="2">SUM(D17:D19)</f>
        <v>0</v>
      </c>
      <c r="E16" s="35">
        <f t="shared" si="2"/>
        <v>0</v>
      </c>
      <c r="F16" s="35">
        <f t="shared" si="2"/>
        <v>0</v>
      </c>
      <c r="G16" s="35">
        <f t="shared" si="2"/>
        <v>0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/>
      <c r="D17" s="12"/>
      <c r="E17" s="12"/>
      <c r="F17" s="12"/>
      <c r="G17" s="76"/>
      <c r="H17" s="146" t="s">
        <v>153</v>
      </c>
      <c r="I17" s="149"/>
      <c r="J17" s="149" t="s">
        <v>163</v>
      </c>
      <c r="K17" s="149">
        <v>0.71</v>
      </c>
      <c r="L17" s="149"/>
      <c r="M17" s="149"/>
      <c r="N17" s="86"/>
      <c r="O17" s="149"/>
      <c r="P17" s="149" t="s">
        <v>163</v>
      </c>
      <c r="Q17" s="149">
        <v>0.71</v>
      </c>
      <c r="R17" s="149"/>
      <c r="S17" s="149"/>
      <c r="T17" s="86"/>
      <c r="U17" s="149"/>
      <c r="V17" s="149" t="s">
        <v>163</v>
      </c>
      <c r="W17" s="149">
        <v>1.9800000000000002E-2</v>
      </c>
      <c r="X17" s="149"/>
      <c r="Y17" s="149"/>
      <c r="Z17" s="40" t="s">
        <v>74</v>
      </c>
      <c r="AA17" s="2" t="s">
        <v>71</v>
      </c>
    </row>
    <row r="18" spans="1:27" ht="40.5" customHeight="1" outlineLevel="1">
      <c r="A18" s="29"/>
      <c r="B18" s="10" t="s">
        <v>14</v>
      </c>
      <c r="C18" s="9"/>
      <c r="D18" s="9"/>
      <c r="E18" s="9"/>
      <c r="F18" s="9"/>
      <c r="G18" s="76"/>
      <c r="H18" s="146" t="s">
        <v>154</v>
      </c>
      <c r="I18" s="149"/>
      <c r="J18" s="149" t="s">
        <v>163</v>
      </c>
      <c r="K18" s="149">
        <v>0.79</v>
      </c>
      <c r="L18" s="149"/>
      <c r="M18" s="149"/>
      <c r="N18" s="86"/>
      <c r="O18" s="149"/>
      <c r="P18" s="149" t="s">
        <v>163</v>
      </c>
      <c r="Q18" s="149">
        <v>0.79</v>
      </c>
      <c r="R18" s="149"/>
      <c r="S18" s="149"/>
      <c r="T18" s="86"/>
      <c r="U18" s="149"/>
      <c r="V18" s="149" t="s">
        <v>163</v>
      </c>
      <c r="W18" s="149">
        <v>0.79</v>
      </c>
      <c r="X18" s="149"/>
      <c r="Y18" s="149"/>
      <c r="Z18" s="40" t="s">
        <v>74</v>
      </c>
      <c r="AA18" s="2" t="s">
        <v>73</v>
      </c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52.74</v>
      </c>
      <c r="D20" s="22">
        <f t="shared" ref="D20:F20" si="3">SUM(D21:D22)</f>
        <v>52.74</v>
      </c>
      <c r="E20" s="22">
        <f t="shared" si="3"/>
        <v>52.74</v>
      </c>
      <c r="F20" s="22">
        <f t="shared" si="3"/>
        <v>52.74</v>
      </c>
      <c r="G20" s="8">
        <f>SUM(G21:G22)</f>
        <v>210.96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 t="s">
        <v>77</v>
      </c>
      <c r="P20" s="118"/>
      <c r="Q20" s="118" t="s">
        <v>65</v>
      </c>
      <c r="R20" s="118"/>
      <c r="S20" s="118" t="s">
        <v>78</v>
      </c>
      <c r="T20" s="118"/>
      <c r="U20" s="118" t="s">
        <v>77</v>
      </c>
      <c r="V20" s="118"/>
      <c r="W20" s="118" t="s">
        <v>65</v>
      </c>
      <c r="X20" s="118"/>
      <c r="Y20" s="118" t="s">
        <v>78</v>
      </c>
    </row>
    <row r="21" spans="1:27" ht="20.100000000000001" customHeight="1" outlineLevel="1">
      <c r="A21" s="29"/>
      <c r="B21" s="10" t="s">
        <v>45</v>
      </c>
      <c r="C21" s="11">
        <f>SUM(M21)*3</f>
        <v>16.740000000000002</v>
      </c>
      <c r="D21" s="11">
        <f>SUM(M21*3)</f>
        <v>16.740000000000002</v>
      </c>
      <c r="E21" s="11">
        <f>SUM(M21*3)</f>
        <v>16.740000000000002</v>
      </c>
      <c r="F21" s="11">
        <f>SUM(M21*3)</f>
        <v>16.740000000000002</v>
      </c>
      <c r="G21" s="76">
        <f>SUM(C21:F21)</f>
        <v>66.960000000000008</v>
      </c>
      <c r="H21" s="145" t="s">
        <v>149</v>
      </c>
      <c r="I21" s="105">
        <f>SUM(J5)</f>
        <v>6</v>
      </c>
      <c r="J21" s="106"/>
      <c r="K21" s="106">
        <v>0.93</v>
      </c>
      <c r="L21" s="106"/>
      <c r="M21" s="107">
        <f>I21*K21</f>
        <v>5.58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36</v>
      </c>
      <c r="D22" s="26">
        <f>SUM(M22*3)</f>
        <v>36</v>
      </c>
      <c r="E22" s="26">
        <f>SUM(M22*3)</f>
        <v>36</v>
      </c>
      <c r="F22" s="26">
        <f>SUM(M22*3)</f>
        <v>36</v>
      </c>
      <c r="G22" s="77">
        <f>SUM(C22:F22)</f>
        <v>144</v>
      </c>
      <c r="H22" s="146" t="s">
        <v>156</v>
      </c>
      <c r="I22" s="108">
        <f>SUM(J5)</f>
        <v>6</v>
      </c>
      <c r="J22" s="109"/>
      <c r="K22" s="109">
        <v>2</v>
      </c>
      <c r="L22" s="109"/>
      <c r="M22" s="110">
        <f>I22*K22</f>
        <v>12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975.24</v>
      </c>
      <c r="D23" s="22">
        <f t="shared" ref="D23:F23" si="4">SUM(D24:D25)</f>
        <v>975.24</v>
      </c>
      <c r="E23" s="22">
        <f t="shared" si="4"/>
        <v>975.24</v>
      </c>
      <c r="F23" s="22">
        <f t="shared" si="4"/>
        <v>975.24</v>
      </c>
      <c r="G23" s="8">
        <f>SUM(G24:G25)</f>
        <v>3900.96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812.69999999999993</v>
      </c>
      <c r="D24" s="9">
        <f>SUM(M24*3)</f>
        <v>812.69999999999993</v>
      </c>
      <c r="E24" s="9">
        <f>SUM(M24*3)</f>
        <v>812.69999999999993</v>
      </c>
      <c r="F24" s="9">
        <f>SUM(M24*3)</f>
        <v>812.69999999999993</v>
      </c>
      <c r="G24" s="76">
        <f t="shared" ref="G24:G29" si="5">SUM(C24:F24)</f>
        <v>3250.7999999999997</v>
      </c>
      <c r="H24" s="148" t="s">
        <v>158</v>
      </c>
      <c r="I24" s="99">
        <f>SUM(J1)</f>
        <v>774</v>
      </c>
      <c r="J24" s="100"/>
      <c r="K24" s="106">
        <v>0.35</v>
      </c>
      <c r="L24" s="106"/>
      <c r="M24" s="101">
        <f>SUM(I24*K24)</f>
        <v>270.89999999999998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162.54000000000002</v>
      </c>
      <c r="D25" s="26">
        <f>SUM(M25*3)</f>
        <v>162.54000000000002</v>
      </c>
      <c r="E25" s="26">
        <f>SUM(M25*3)</f>
        <v>162.54000000000002</v>
      </c>
      <c r="F25" s="26">
        <f>SUM(M25*3)</f>
        <v>162.54000000000002</v>
      </c>
      <c r="G25" s="77">
        <f t="shared" si="5"/>
        <v>650.16000000000008</v>
      </c>
      <c r="H25" s="148" t="s">
        <v>159</v>
      </c>
      <c r="I25" s="102">
        <f>SUM(J1)</f>
        <v>774</v>
      </c>
      <c r="J25" s="104"/>
      <c r="K25" s="109">
        <v>7.0000000000000007E-2</v>
      </c>
      <c r="L25" s="109"/>
      <c r="M25" s="101">
        <f>SUM(I25*K25)</f>
        <v>54.180000000000007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6">SUM(D27:D28)</f>
        <v>0</v>
      </c>
      <c r="E26" s="30">
        <f t="shared" si="6"/>
        <v>0</v>
      </c>
      <c r="F26" s="30">
        <f t="shared" si="6"/>
        <v>0</v>
      </c>
      <c r="G26" s="37">
        <f t="shared" si="5"/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5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5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1410.6008879999999</v>
      </c>
      <c r="D29" s="50">
        <f>D9+D16+D20+D23+D26</f>
        <v>1399.661748</v>
      </c>
      <c r="E29" s="50">
        <f>E9+E16+E20+E23+E26</f>
        <v>1377.7834680000001</v>
      </c>
      <c r="F29" s="50">
        <f>F9+F16+F20+F23+F26</f>
        <v>1377.7834680000001</v>
      </c>
      <c r="G29" s="51">
        <f t="shared" si="5"/>
        <v>5565.8295720000006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318.23009999999999</v>
      </c>
      <c r="D31" s="62">
        <f>SUM(D32:D35)</f>
        <v>307.97460000000001</v>
      </c>
      <c r="E31" s="62">
        <f>SUM(E32:E35)</f>
        <v>287.46359999999999</v>
      </c>
      <c r="F31" s="62">
        <f>SUM(F32:F35)</f>
        <v>287.46359999999999</v>
      </c>
      <c r="G31" s="62">
        <f>SUM(G32:G35)</f>
        <v>1201.1319000000001</v>
      </c>
    </row>
    <row r="32" spans="1:27" ht="20.100000000000001" customHeight="1">
      <c r="A32" s="44"/>
      <c r="B32" s="10" t="s">
        <v>3</v>
      </c>
      <c r="C32" s="42">
        <f>C10</f>
        <v>318.23009999999999</v>
      </c>
      <c r="D32" s="42">
        <f>D10</f>
        <v>307.97460000000001</v>
      </c>
      <c r="E32" s="42">
        <f>E10</f>
        <v>287.46359999999999</v>
      </c>
      <c r="F32" s="42">
        <f>F10</f>
        <v>287.46359999999999</v>
      </c>
      <c r="G32" s="72">
        <f>SUM(C32:F32)</f>
        <v>1201.1319000000001</v>
      </c>
    </row>
    <row r="33" spans="1:10" ht="20.100000000000001" customHeight="1">
      <c r="A33" s="44"/>
      <c r="B33" s="10" t="s">
        <v>10</v>
      </c>
      <c r="C33" s="42">
        <f t="shared" ref="C33:F33" si="7">C13</f>
        <v>0</v>
      </c>
      <c r="D33" s="42">
        <f t="shared" si="7"/>
        <v>0</v>
      </c>
      <c r="E33" s="42">
        <f t="shared" si="7"/>
        <v>0</v>
      </c>
      <c r="F33" s="42">
        <f t="shared" si="7"/>
        <v>0</v>
      </c>
      <c r="G33" s="72">
        <f>SUM(C33:F33)</f>
        <v>0</v>
      </c>
    </row>
    <row r="34" spans="1:10" ht="57.75" customHeight="1">
      <c r="A34" s="44"/>
      <c r="B34" s="10" t="s">
        <v>46</v>
      </c>
      <c r="C34" s="42"/>
      <c r="D34" s="42"/>
      <c r="E34" s="42"/>
      <c r="F34" s="42"/>
      <c r="G34" s="72">
        <f>SUM(C34:F34)</f>
        <v>0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8">SUM(D37:D38)</f>
        <v>0</v>
      </c>
      <c r="E36" s="62">
        <f t="shared" si="8"/>
        <v>0</v>
      </c>
      <c r="F36" s="62">
        <f t="shared" si="8"/>
        <v>0</v>
      </c>
      <c r="G36" s="62">
        <f t="shared" si="8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52.74</v>
      </c>
      <c r="D39" s="62">
        <f t="shared" ref="D39:G39" si="9">SUM(D40:D41)</f>
        <v>52.74</v>
      </c>
      <c r="E39" s="62">
        <f t="shared" si="9"/>
        <v>52.74</v>
      </c>
      <c r="F39" s="62">
        <f t="shared" si="9"/>
        <v>52.74</v>
      </c>
      <c r="G39" s="62">
        <f t="shared" si="9"/>
        <v>210.96</v>
      </c>
    </row>
    <row r="40" spans="1:10" ht="20.100000000000001" customHeight="1">
      <c r="A40" s="44"/>
      <c r="B40" s="10" t="s">
        <v>45</v>
      </c>
      <c r="C40" s="42">
        <f t="shared" ref="C40:F41" si="10">C21</f>
        <v>16.740000000000002</v>
      </c>
      <c r="D40" s="42">
        <f t="shared" si="10"/>
        <v>16.740000000000002</v>
      </c>
      <c r="E40" s="42">
        <f t="shared" si="10"/>
        <v>16.740000000000002</v>
      </c>
      <c r="F40" s="42">
        <f t="shared" si="10"/>
        <v>16.740000000000002</v>
      </c>
      <c r="G40" s="72">
        <f>SUM(C40:F40)</f>
        <v>66.960000000000008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0"/>
        <v>36</v>
      </c>
      <c r="D41" s="55">
        <f t="shared" si="10"/>
        <v>36</v>
      </c>
      <c r="E41" s="55">
        <f t="shared" si="10"/>
        <v>36</v>
      </c>
      <c r="F41" s="55">
        <f t="shared" si="10"/>
        <v>36</v>
      </c>
      <c r="G41" s="72">
        <f>SUM(C41:F41)</f>
        <v>144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812.69999999999993</v>
      </c>
      <c r="D42" s="62">
        <f>SUM(D43:D58)</f>
        <v>812.69999999999993</v>
      </c>
      <c r="E42" s="62">
        <f>SUM(E43:E58)</f>
        <v>812.69999999999993</v>
      </c>
      <c r="F42" s="62">
        <f>SUM(F43:F58)</f>
        <v>812.69999999999993</v>
      </c>
      <c r="G42" s="64">
        <f t="shared" ref="G42:G51" si="11">SUM(C42:F42)</f>
        <v>3250.7999999999997</v>
      </c>
    </row>
    <row r="43" spans="1:10" ht="20.100000000000001" customHeight="1">
      <c r="A43" s="56"/>
      <c r="B43" s="47" t="s">
        <v>40</v>
      </c>
      <c r="C43" s="42">
        <f>C24</f>
        <v>812.69999999999993</v>
      </c>
      <c r="D43" s="42">
        <f>D24</f>
        <v>812.69999999999993</v>
      </c>
      <c r="E43" s="42">
        <f>E24</f>
        <v>812.69999999999993</v>
      </c>
      <c r="F43" s="42">
        <f>F24</f>
        <v>812.69999999999993</v>
      </c>
      <c r="G43" s="72">
        <f t="shared" si="11"/>
        <v>3250.7999999999997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1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1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1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1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1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1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1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2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2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2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2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2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2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3">D27*5/100</f>
        <v>0</v>
      </c>
      <c r="E58" s="55">
        <f t="shared" si="13"/>
        <v>0</v>
      </c>
      <c r="F58" s="55">
        <f t="shared" si="13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1183.6700999999998</v>
      </c>
      <c r="D59" s="38">
        <f>D31+D36+D39+D42</f>
        <v>1173.4146000000001</v>
      </c>
      <c r="E59" s="38">
        <f>E31+E36+E39+E42</f>
        <v>1152.9035999999999</v>
      </c>
      <c r="F59" s="38">
        <f>F31+F36+F39+F42</f>
        <v>1152.9035999999999</v>
      </c>
      <c r="G59" s="39">
        <f>G31+G36+G39+G42</f>
        <v>4662.8918999999996</v>
      </c>
    </row>
    <row r="60" spans="1:14" ht="26.1" customHeight="1" outlineLevel="1">
      <c r="A60" s="111"/>
      <c r="B60" s="70"/>
      <c r="C60" s="71">
        <f>C29-C59</f>
        <v>226.93078800000012</v>
      </c>
      <c r="D60" s="71">
        <f>D29-D59</f>
        <v>226.24714799999992</v>
      </c>
      <c r="E60" s="71">
        <f>E29-E59</f>
        <v>224.87986800000022</v>
      </c>
      <c r="F60" s="71">
        <f>F29-F59</f>
        <v>224.87986800000022</v>
      </c>
      <c r="G60" s="71">
        <f>G29-G59</f>
        <v>902.93767200000093</v>
      </c>
    </row>
    <row r="61" spans="1:14" ht="39.75" hidden="1" customHeight="1">
      <c r="A61" s="67"/>
      <c r="B61" s="81"/>
      <c r="C61" s="112"/>
      <c r="D61" s="112"/>
      <c r="E61" s="112"/>
      <c r="F61" s="112"/>
      <c r="G61" s="112"/>
      <c r="H61" s="112"/>
      <c r="I61" s="112"/>
      <c r="J61" s="112"/>
      <c r="K61" s="112"/>
      <c r="L61" s="112"/>
    </row>
    <row r="62" spans="1:14" hidden="1">
      <c r="A62" s="67"/>
      <c r="C62" s="65">
        <f>C16*1.2/100</f>
        <v>0</v>
      </c>
      <c r="D62" s="65">
        <f>D16*1.2/100</f>
        <v>0</v>
      </c>
      <c r="E62" s="65">
        <f>E16*1.2/100</f>
        <v>0</v>
      </c>
      <c r="F62" s="65">
        <f>F16*1.2/100</f>
        <v>0</v>
      </c>
    </row>
    <row r="63" spans="1:14" hidden="1">
      <c r="A63" s="68"/>
      <c r="C63" s="65">
        <f>(C16-C62)*0.5/100</f>
        <v>0</v>
      </c>
      <c r="D63" s="65">
        <f>(D16-D62)*0.5/100</f>
        <v>0</v>
      </c>
      <c r="E63" s="65">
        <f>(E16-E62)*0.5/100</f>
        <v>0</v>
      </c>
      <c r="F63" s="65">
        <f>(F16-F62)*0.5/100</f>
        <v>0</v>
      </c>
    </row>
    <row r="64" spans="1:14" hidden="1">
      <c r="C64" s="3">
        <f>C9*1.2/100</f>
        <v>4.5914506559999992</v>
      </c>
      <c r="D64" s="3">
        <f>D9*1.2/100</f>
        <v>4.4601809760000002</v>
      </c>
      <c r="E64" s="3">
        <f>E9*1.2/100</f>
        <v>4.1976416159999994</v>
      </c>
      <c r="F64" s="3">
        <f>F9*1.2/100</f>
        <v>4.1976416159999994</v>
      </c>
    </row>
    <row r="65" spans="1:15" s="3" customFormat="1" hidden="1">
      <c r="A65" s="2"/>
      <c r="B65" s="2"/>
      <c r="C65" s="3">
        <f>(C9-C64)*4/100</f>
        <v>15.121177493759999</v>
      </c>
      <c r="D65" s="3">
        <f>(D9-D64)*4/100</f>
        <v>14.688862680960002</v>
      </c>
      <c r="E65" s="3">
        <f>(E9-E64)*4/100</f>
        <v>13.824233055359999</v>
      </c>
      <c r="F65" s="3">
        <f>(F9-F64)*4/100</f>
        <v>13.824233055359999</v>
      </c>
      <c r="H65" s="2"/>
      <c r="I65" s="2"/>
      <c r="J65" s="2"/>
      <c r="K65" s="2"/>
      <c r="L65" s="2"/>
      <c r="M65" s="2"/>
      <c r="N65" s="2"/>
      <c r="O65" s="2"/>
    </row>
    <row r="66" spans="1:15" s="3" customFormat="1" hidden="1">
      <c r="A66" s="2"/>
      <c r="B66" s="2"/>
      <c r="C66" s="3">
        <f>SUM(C62:C65)</f>
        <v>19.71262814976</v>
      </c>
      <c r="D66" s="3">
        <f t="shared" ref="D66:F66" si="14">SUM(D62:D65)</f>
        <v>19.149043656960004</v>
      </c>
      <c r="E66" s="3">
        <f t="shared" si="14"/>
        <v>18.021874671359999</v>
      </c>
      <c r="F66" s="3">
        <f t="shared" si="14"/>
        <v>18.021874671359999</v>
      </c>
      <c r="H66" s="2"/>
      <c r="I66" s="2"/>
      <c r="J66" s="2"/>
      <c r="K66" s="2"/>
      <c r="L66" s="2"/>
      <c r="M66" s="2"/>
      <c r="N66" s="2"/>
      <c r="O66" s="2"/>
    </row>
  </sheetData>
  <dataConsolidate/>
  <mergeCells count="19">
    <mergeCell ref="A29:B29"/>
    <mergeCell ref="A30:B30"/>
    <mergeCell ref="A59:B59"/>
    <mergeCell ref="A8:B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I8:M8"/>
    <mergeCell ref="O8:S8"/>
    <mergeCell ref="U8:Y8"/>
    <mergeCell ref="Z10:Z12"/>
    <mergeCell ref="H28:AA2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DABD-6FB5-4A22-A240-A7F01FDA32EC}">
  <sheetPr>
    <tabColor rgb="FFFFC000"/>
    <pageSetUpPr fitToPage="1"/>
  </sheetPr>
  <dimension ref="A1:AA66"/>
  <sheetViews>
    <sheetView showGridLines="0" view="pageBreakPreview" topLeftCell="K7" zoomScale="60" zoomScaleNormal="70" workbookViewId="0">
      <selection activeCell="K22" sqref="K22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7">
      <c r="A1" s="268"/>
      <c r="B1" s="268"/>
      <c r="C1" s="268"/>
      <c r="D1" s="116"/>
      <c r="E1" s="116"/>
      <c r="F1" s="116"/>
      <c r="G1" s="116"/>
      <c r="I1" s="98" t="s">
        <v>67</v>
      </c>
      <c r="J1" s="97">
        <v>774.4</v>
      </c>
      <c r="K1" s="97"/>
      <c r="L1" s="2">
        <v>20</v>
      </c>
    </row>
    <row r="2" spans="1:27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7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7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1</v>
      </c>
      <c r="K4" s="150" t="s">
        <v>170</v>
      </c>
      <c r="L4" s="2">
        <f>SUM(J1/L1)</f>
        <v>38.72</v>
      </c>
    </row>
    <row r="5" spans="1:27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6</v>
      </c>
      <c r="K5" s="4"/>
    </row>
    <row r="6" spans="1:27">
      <c r="A6" s="276"/>
      <c r="B6" s="278"/>
      <c r="C6" s="271"/>
      <c r="D6" s="271"/>
      <c r="E6" s="271"/>
      <c r="F6" s="271"/>
      <c r="G6" s="270"/>
      <c r="I6" s="4"/>
      <c r="J6" s="4"/>
    </row>
    <row r="7" spans="1:27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7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7" ht="20.100000000000001" customHeight="1">
      <c r="A9" s="113">
        <v>1</v>
      </c>
      <c r="B9" s="21" t="s">
        <v>15</v>
      </c>
      <c r="C9" s="22">
        <f>SUM(C10:C15)</f>
        <v>382.78534799999994</v>
      </c>
      <c r="D9" s="22">
        <f t="shared" ref="D9:F9" si="0">SUM(D10:D15)</f>
        <v>371.84090800000001</v>
      </c>
      <c r="E9" s="22">
        <f t="shared" si="0"/>
        <v>349.95202799999993</v>
      </c>
      <c r="F9" s="22">
        <f t="shared" si="0"/>
        <v>349.95202799999993</v>
      </c>
      <c r="G9" s="22">
        <f>SUM(G10:G15)</f>
        <v>1454.5303119999996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7" ht="20.100000000000001" customHeight="1">
      <c r="A10" s="114"/>
      <c r="B10" s="10" t="s">
        <v>3</v>
      </c>
      <c r="C10" s="12">
        <f>SUM(I10*3)</f>
        <v>318.39455999999996</v>
      </c>
      <c r="D10" s="12">
        <f>SUM(I10*2+O10*1)</f>
        <v>308.13376</v>
      </c>
      <c r="E10" s="12">
        <f>SUM(O10*2)+U10*1</f>
        <v>287.61215999999996</v>
      </c>
      <c r="F10" s="12">
        <f>SUM(U10*3)</f>
        <v>287.61215999999996</v>
      </c>
      <c r="G10" s="75">
        <f>SUM(C10:F10)</f>
        <v>1201.7526399999997</v>
      </c>
      <c r="H10" s="144" t="s">
        <v>157</v>
      </c>
      <c r="I10" s="149">
        <f>SUM((K10+L11)/2*M10)</f>
        <v>106.13151999999999</v>
      </c>
      <c r="J10" s="149"/>
      <c r="K10" s="149">
        <v>0.13220000000000001</v>
      </c>
      <c r="L10" s="149"/>
      <c r="M10" s="154">
        <f>SUM(J1)</f>
        <v>774.4</v>
      </c>
      <c r="N10" s="127"/>
      <c r="O10" s="149">
        <f>SUM(S10*Q10)</f>
        <v>95.870719999999992</v>
      </c>
      <c r="P10" s="149" t="s">
        <v>161</v>
      </c>
      <c r="Q10" s="149">
        <v>0.12379999999999999</v>
      </c>
      <c r="R10" s="149"/>
      <c r="S10" s="154">
        <f>SUM(J1)</f>
        <v>774.4</v>
      </c>
      <c r="T10" s="127"/>
      <c r="U10" s="149">
        <f>SUM(Y10*W10)</f>
        <v>95.870719999999992</v>
      </c>
      <c r="V10" s="149" t="s">
        <v>161</v>
      </c>
      <c r="W10" s="149">
        <v>0.12379999999999999</v>
      </c>
      <c r="X10" s="149"/>
      <c r="Y10" s="154">
        <f>SUM(J1)</f>
        <v>774.4</v>
      </c>
      <c r="Z10" s="284" t="s">
        <v>66</v>
      </c>
    </row>
    <row r="11" spans="1:27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7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7" ht="20.100000000000001" customHeight="1">
      <c r="A13" s="114"/>
      <c r="B13" s="10" t="s">
        <v>10</v>
      </c>
      <c r="C13" s="12"/>
      <c r="D13" s="12"/>
      <c r="E13" s="12"/>
      <c r="F13" s="12"/>
      <c r="G13" s="75"/>
      <c r="H13" s="144" t="s">
        <v>152</v>
      </c>
      <c r="I13" s="149">
        <f>SUM(M13*K13)</f>
        <v>0</v>
      </c>
      <c r="J13" s="149" t="s">
        <v>161</v>
      </c>
      <c r="K13" s="149">
        <v>0.74</v>
      </c>
      <c r="L13" s="149"/>
      <c r="M13" s="149"/>
      <c r="N13" s="86"/>
      <c r="O13" s="149"/>
      <c r="P13" s="149" t="s">
        <v>161</v>
      </c>
      <c r="Q13" s="149">
        <v>0.71</v>
      </c>
      <c r="R13" s="149"/>
      <c r="S13" s="149"/>
      <c r="T13" s="86"/>
      <c r="U13" s="149"/>
      <c r="V13" s="149" t="s">
        <v>161</v>
      </c>
      <c r="W13" s="149">
        <v>4.07E-2</v>
      </c>
      <c r="X13" s="149"/>
      <c r="Y13" s="149"/>
      <c r="Z13" s="41" t="s">
        <v>70</v>
      </c>
      <c r="AA13" s="2" t="s">
        <v>71</v>
      </c>
    </row>
    <row r="14" spans="1:27" ht="20.100000000000001" customHeight="1" outlineLevel="1">
      <c r="A14" s="24"/>
      <c r="B14" s="10" t="s">
        <v>11</v>
      </c>
      <c r="C14" s="12"/>
      <c r="D14" s="12"/>
      <c r="E14" s="12"/>
      <c r="F14" s="12"/>
      <c r="G14" s="75"/>
      <c r="H14" s="144" t="s">
        <v>11</v>
      </c>
      <c r="I14" s="149"/>
      <c r="J14" s="149" t="s">
        <v>161</v>
      </c>
      <c r="K14" s="149">
        <v>1.5</v>
      </c>
      <c r="L14" s="149">
        <v>1.73</v>
      </c>
      <c r="M14" s="149"/>
      <c r="N14" s="86"/>
      <c r="O14" s="149"/>
      <c r="P14" s="149" t="s">
        <v>161</v>
      </c>
      <c r="Q14" s="149">
        <v>1.43</v>
      </c>
      <c r="R14" s="149">
        <v>1.66</v>
      </c>
      <c r="S14" s="149"/>
      <c r="T14" s="86"/>
      <c r="U14" s="149"/>
      <c r="V14" s="149" t="s">
        <v>161</v>
      </c>
      <c r="W14" s="149">
        <v>5.8400000000000001E-2</v>
      </c>
      <c r="X14" s="149">
        <v>6.7900000000000002E-2</v>
      </c>
      <c r="Y14" s="149"/>
      <c r="Z14" s="41" t="s">
        <v>70</v>
      </c>
      <c r="AA14" s="2" t="s">
        <v>73</v>
      </c>
    </row>
    <row r="15" spans="1:27" ht="20.100000000000001" customHeight="1" outlineLevel="1" thickBot="1">
      <c r="A15" s="24"/>
      <c r="B15" s="10" t="s">
        <v>12</v>
      </c>
      <c r="C15" s="9">
        <f>SUM(I15*3)</f>
        <v>64.390788000000001</v>
      </c>
      <c r="D15" s="9">
        <f>SUM(I15*2+O15)</f>
        <v>63.707147999999997</v>
      </c>
      <c r="E15" s="9">
        <f>SUM(O15*2+U15)</f>
        <v>62.339867999999996</v>
      </c>
      <c r="F15" s="9">
        <f>SUM(U15*3)</f>
        <v>62.339867999999996</v>
      </c>
      <c r="G15" s="75">
        <f t="shared" ref="G15" si="1">SUM(C15:F15)</f>
        <v>252.777672</v>
      </c>
      <c r="H15" s="144" t="s">
        <v>150</v>
      </c>
      <c r="I15" s="149">
        <f>SUM(J15*((K15+L15))/2)*M15*1.5</f>
        <v>21.463595999999999</v>
      </c>
      <c r="J15" s="149">
        <v>0.24</v>
      </c>
      <c r="K15" s="149">
        <v>9.2583000000000002</v>
      </c>
      <c r="L15" s="149">
        <v>10.615399999999999</v>
      </c>
      <c r="M15" s="149">
        <f>SUM(J5)</f>
        <v>6</v>
      </c>
      <c r="N15" s="86"/>
      <c r="O15" s="149">
        <f>SUM(P15*((Q15+R15)/2)*S15*1.5)</f>
        <v>20.779955999999999</v>
      </c>
      <c r="P15" s="149">
        <v>0.24</v>
      </c>
      <c r="Q15" s="149">
        <v>8.9418000000000006</v>
      </c>
      <c r="R15" s="149">
        <v>10.2989</v>
      </c>
      <c r="S15" s="149">
        <f>SUM(J5)</f>
        <v>6</v>
      </c>
      <c r="T15" s="86"/>
      <c r="U15" s="149">
        <f>SUM(V15*((W15+X15)/2)*Y15*1.5)</f>
        <v>20.779955999999999</v>
      </c>
      <c r="V15" s="149">
        <v>0.24</v>
      </c>
      <c r="W15" s="149">
        <v>8.9418000000000006</v>
      </c>
      <c r="X15" s="149">
        <v>10.2989</v>
      </c>
      <c r="Y15" s="149">
        <f>SUM(J5)</f>
        <v>6</v>
      </c>
      <c r="Z15" s="40" t="s">
        <v>70</v>
      </c>
      <c r="AA15" s="2" t="s">
        <v>72</v>
      </c>
    </row>
    <row r="16" spans="1:27" ht="20.100000000000001" customHeight="1">
      <c r="A16" s="113">
        <v>2</v>
      </c>
      <c r="B16" s="28" t="s">
        <v>16</v>
      </c>
      <c r="C16" s="35">
        <f>SUM(C17:C19)</f>
        <v>0</v>
      </c>
      <c r="D16" s="35">
        <f t="shared" ref="D16:G16" si="2">SUM(D17:D19)</f>
        <v>0</v>
      </c>
      <c r="E16" s="35">
        <f t="shared" si="2"/>
        <v>0</v>
      </c>
      <c r="F16" s="35">
        <f t="shared" si="2"/>
        <v>0</v>
      </c>
      <c r="G16" s="35">
        <f t="shared" si="2"/>
        <v>0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/>
      <c r="D17" s="12"/>
      <c r="E17" s="12"/>
      <c r="F17" s="12"/>
      <c r="G17" s="76"/>
      <c r="H17" s="146" t="s">
        <v>153</v>
      </c>
      <c r="I17" s="149"/>
      <c r="J17" s="149" t="s">
        <v>163</v>
      </c>
      <c r="K17" s="149">
        <v>0.71</v>
      </c>
      <c r="L17" s="149"/>
      <c r="M17" s="149"/>
      <c r="N17" s="86"/>
      <c r="O17" s="149"/>
      <c r="P17" s="149" t="s">
        <v>163</v>
      </c>
      <c r="Q17" s="149">
        <v>0.71</v>
      </c>
      <c r="R17" s="149"/>
      <c r="S17" s="149"/>
      <c r="T17" s="86"/>
      <c r="U17" s="149"/>
      <c r="V17" s="149" t="s">
        <v>163</v>
      </c>
      <c r="W17" s="149">
        <v>1.9800000000000002E-2</v>
      </c>
      <c r="X17" s="149"/>
      <c r="Y17" s="149"/>
      <c r="Z17" s="40" t="s">
        <v>74</v>
      </c>
      <c r="AA17" s="2" t="s">
        <v>71</v>
      </c>
    </row>
    <row r="18" spans="1:27" ht="40.5" customHeight="1" outlineLevel="1">
      <c r="A18" s="29"/>
      <c r="B18" s="10" t="s">
        <v>14</v>
      </c>
      <c r="C18" s="9"/>
      <c r="D18" s="9"/>
      <c r="E18" s="9"/>
      <c r="F18" s="9"/>
      <c r="G18" s="76"/>
      <c r="H18" s="146" t="s">
        <v>154</v>
      </c>
      <c r="I18" s="149"/>
      <c r="J18" s="149" t="s">
        <v>163</v>
      </c>
      <c r="K18" s="149">
        <v>0.79</v>
      </c>
      <c r="L18" s="149"/>
      <c r="M18" s="149"/>
      <c r="N18" s="86"/>
      <c r="O18" s="149"/>
      <c r="P18" s="149" t="s">
        <v>163</v>
      </c>
      <c r="Q18" s="149">
        <v>0.79</v>
      </c>
      <c r="R18" s="149"/>
      <c r="S18" s="149"/>
      <c r="T18" s="86"/>
      <c r="U18" s="149"/>
      <c r="V18" s="149" t="s">
        <v>163</v>
      </c>
      <c r="W18" s="149">
        <v>0.79</v>
      </c>
      <c r="X18" s="149"/>
      <c r="Y18" s="149"/>
      <c r="Z18" s="40" t="s">
        <v>74</v>
      </c>
      <c r="AA18" s="2" t="s">
        <v>73</v>
      </c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28">
        <v>3</v>
      </c>
      <c r="B20" s="28" t="s">
        <v>17</v>
      </c>
      <c r="C20" s="22">
        <f>SUM(C21:C22)</f>
        <v>52.74</v>
      </c>
      <c r="D20" s="22">
        <f t="shared" ref="D20:F20" si="3">SUM(D21:D22)</f>
        <v>52.74</v>
      </c>
      <c r="E20" s="22">
        <f t="shared" si="3"/>
        <v>52.74</v>
      </c>
      <c r="F20" s="22">
        <f t="shared" si="3"/>
        <v>52.74</v>
      </c>
      <c r="G20" s="8">
        <f>SUM(G21:G22)</f>
        <v>210.96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16.740000000000002</v>
      </c>
      <c r="D21" s="11">
        <f>SUM(M21*3)</f>
        <v>16.740000000000002</v>
      </c>
      <c r="E21" s="11">
        <f>SUM(M21*3)</f>
        <v>16.740000000000002</v>
      </c>
      <c r="F21" s="11">
        <f>SUM(M21*3)</f>
        <v>16.740000000000002</v>
      </c>
      <c r="G21" s="76">
        <f>SUM(C21:F21)</f>
        <v>66.960000000000008</v>
      </c>
      <c r="H21" s="145" t="s">
        <v>149</v>
      </c>
      <c r="I21" s="105">
        <f>SUM(J5)</f>
        <v>6</v>
      </c>
      <c r="J21" s="106"/>
      <c r="K21" s="106">
        <v>0.93</v>
      </c>
      <c r="L21" s="106"/>
      <c r="M21" s="107">
        <f>I21*K21</f>
        <v>5.58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36</v>
      </c>
      <c r="D22" s="26">
        <f>SUM(M22*3)</f>
        <v>36</v>
      </c>
      <c r="E22" s="26">
        <f>SUM(M22*3)</f>
        <v>36</v>
      </c>
      <c r="F22" s="26">
        <f>SUM(M22*3)</f>
        <v>36</v>
      </c>
      <c r="G22" s="77">
        <f>SUM(C22:F22)</f>
        <v>144</v>
      </c>
      <c r="H22" s="146" t="s">
        <v>156</v>
      </c>
      <c r="I22" s="108">
        <f>SUM(J5)</f>
        <v>6</v>
      </c>
      <c r="J22" s="109"/>
      <c r="K22" s="109">
        <v>2</v>
      </c>
      <c r="L22" s="109"/>
      <c r="M22" s="110">
        <f>I22*K22</f>
        <v>12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975.74399999999991</v>
      </c>
      <c r="D23" s="22">
        <f t="shared" ref="D23:F23" si="4">SUM(D24:D25)</f>
        <v>975.74399999999991</v>
      </c>
      <c r="E23" s="22">
        <f t="shared" si="4"/>
        <v>975.74399999999991</v>
      </c>
      <c r="F23" s="22">
        <f t="shared" si="4"/>
        <v>975.74399999999991</v>
      </c>
      <c r="G23" s="8">
        <f>SUM(G24:G25)</f>
        <v>3902.9759999999997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813.11999999999989</v>
      </c>
      <c r="D24" s="9">
        <f>SUM(M24*3)</f>
        <v>813.11999999999989</v>
      </c>
      <c r="E24" s="9">
        <f>SUM(M24*3)</f>
        <v>813.11999999999989</v>
      </c>
      <c r="F24" s="9">
        <f>SUM(M24*3)</f>
        <v>813.11999999999989</v>
      </c>
      <c r="G24" s="76">
        <f t="shared" ref="G24:G25" si="5">SUM(C24:F24)</f>
        <v>3252.4799999999996</v>
      </c>
      <c r="H24" s="148" t="s">
        <v>158</v>
      </c>
      <c r="I24" s="99">
        <f>SUM(J1)</f>
        <v>774.4</v>
      </c>
      <c r="J24" s="100"/>
      <c r="K24" s="106">
        <v>0.35</v>
      </c>
      <c r="L24" s="106"/>
      <c r="M24" s="101">
        <f>SUM(I24*K24)</f>
        <v>271.03999999999996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162.62400000000002</v>
      </c>
      <c r="D25" s="26">
        <f>SUM(M25*3)</f>
        <v>162.62400000000002</v>
      </c>
      <c r="E25" s="26">
        <f>SUM(M25*3)</f>
        <v>162.62400000000002</v>
      </c>
      <c r="F25" s="26">
        <f>SUM(M25*3)</f>
        <v>162.62400000000002</v>
      </c>
      <c r="G25" s="77">
        <f t="shared" si="5"/>
        <v>650.49600000000009</v>
      </c>
      <c r="H25" s="148" t="s">
        <v>159</v>
      </c>
      <c r="I25" s="102">
        <f>SUM(J1)</f>
        <v>774.4</v>
      </c>
      <c r="J25" s="104"/>
      <c r="K25" s="109">
        <v>7.0000000000000007E-2</v>
      </c>
      <c r="L25" s="109"/>
      <c r="M25" s="101">
        <f>SUM(I25*K25)</f>
        <v>54.208000000000006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6">SUM(D27:D28)</f>
        <v>0</v>
      </c>
      <c r="E26" s="30">
        <f t="shared" si="6"/>
        <v>0</v>
      </c>
      <c r="F26" s="30">
        <f t="shared" si="6"/>
        <v>0</v>
      </c>
      <c r="G26" s="37">
        <f t="shared" ref="G26:G29" si="7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7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7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1411.2693479999998</v>
      </c>
      <c r="D29" s="50">
        <f>D9+D16+D20+D23+D26</f>
        <v>1400.3249080000001</v>
      </c>
      <c r="E29" s="50">
        <f>E9+E16+E20+E23+E26</f>
        <v>1378.4360279999999</v>
      </c>
      <c r="F29" s="50">
        <f>F9+F16+F20+F23+F26</f>
        <v>1378.4360279999999</v>
      </c>
      <c r="G29" s="51">
        <f t="shared" si="7"/>
        <v>5568.4663119999996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318.39455999999996</v>
      </c>
      <c r="D31" s="62">
        <f>SUM(D32:D35)</f>
        <v>308.13376</v>
      </c>
      <c r="E31" s="62">
        <f>SUM(E32:E35)</f>
        <v>287.61215999999996</v>
      </c>
      <c r="F31" s="62">
        <f>SUM(F32:F35)</f>
        <v>287.61215999999996</v>
      </c>
      <c r="G31" s="62">
        <f>SUM(G32:G35)</f>
        <v>1201.7526399999997</v>
      </c>
    </row>
    <row r="32" spans="1:27" ht="20.100000000000001" customHeight="1">
      <c r="A32" s="44"/>
      <c r="B32" s="10" t="s">
        <v>3</v>
      </c>
      <c r="C32" s="42">
        <f>C10</f>
        <v>318.39455999999996</v>
      </c>
      <c r="D32" s="42">
        <f>D10</f>
        <v>308.13376</v>
      </c>
      <c r="E32" s="42">
        <f>E10</f>
        <v>287.61215999999996</v>
      </c>
      <c r="F32" s="42">
        <f>F10</f>
        <v>287.61215999999996</v>
      </c>
      <c r="G32" s="72">
        <f>SUM(C32:F32)</f>
        <v>1201.7526399999997</v>
      </c>
    </row>
    <row r="33" spans="1:10" ht="20.100000000000001" customHeight="1">
      <c r="A33" s="44"/>
      <c r="B33" s="10" t="s">
        <v>10</v>
      </c>
      <c r="C33" s="42"/>
      <c r="D33" s="42"/>
      <c r="E33" s="42"/>
      <c r="F33" s="42"/>
      <c r="G33" s="72"/>
    </row>
    <row r="34" spans="1:10" ht="57.75" customHeight="1">
      <c r="A34" s="44"/>
      <c r="B34" s="10" t="s">
        <v>46</v>
      </c>
      <c r="C34" s="42"/>
      <c r="D34" s="42"/>
      <c r="E34" s="42"/>
      <c r="F34" s="42"/>
      <c r="G34" s="72"/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8">SUM(D37:D38)</f>
        <v>0</v>
      </c>
      <c r="E36" s="62">
        <f t="shared" si="8"/>
        <v>0</v>
      </c>
      <c r="F36" s="62">
        <f t="shared" si="8"/>
        <v>0</v>
      </c>
      <c r="G36" s="62">
        <f t="shared" si="8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/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/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52.74</v>
      </c>
      <c r="D39" s="62">
        <f t="shared" ref="D39:G39" si="9">SUM(D40:D41)</f>
        <v>52.74</v>
      </c>
      <c r="E39" s="62">
        <f t="shared" si="9"/>
        <v>52.74</v>
      </c>
      <c r="F39" s="62">
        <f t="shared" si="9"/>
        <v>52.74</v>
      </c>
      <c r="G39" s="62">
        <f t="shared" si="9"/>
        <v>210.96</v>
      </c>
    </row>
    <row r="40" spans="1:10" ht="20.100000000000001" customHeight="1">
      <c r="A40" s="44"/>
      <c r="B40" s="10" t="s">
        <v>45</v>
      </c>
      <c r="C40" s="42">
        <f t="shared" ref="C40:F41" si="10">C21</f>
        <v>16.740000000000002</v>
      </c>
      <c r="D40" s="42">
        <f t="shared" si="10"/>
        <v>16.740000000000002</v>
      </c>
      <c r="E40" s="42">
        <f t="shared" si="10"/>
        <v>16.740000000000002</v>
      </c>
      <c r="F40" s="42">
        <f t="shared" si="10"/>
        <v>16.740000000000002</v>
      </c>
      <c r="G40" s="72">
        <f>SUM(C40:F40)</f>
        <v>66.960000000000008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0"/>
        <v>36</v>
      </c>
      <c r="D41" s="55">
        <f t="shared" si="10"/>
        <v>36</v>
      </c>
      <c r="E41" s="55">
        <f t="shared" si="10"/>
        <v>36</v>
      </c>
      <c r="F41" s="55">
        <f t="shared" si="10"/>
        <v>36</v>
      </c>
      <c r="G41" s="72">
        <f>SUM(C41:F41)</f>
        <v>144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813.11999999999989</v>
      </c>
      <c r="D42" s="62">
        <f>SUM(D43:D58)</f>
        <v>813.11999999999989</v>
      </c>
      <c r="E42" s="62">
        <f>SUM(E43:E58)</f>
        <v>813.11999999999989</v>
      </c>
      <c r="F42" s="62">
        <f>SUM(F43:F58)</f>
        <v>813.11999999999989</v>
      </c>
      <c r="G42" s="64">
        <f t="shared" ref="G42:G51" si="11">SUM(C42:F42)</f>
        <v>3252.4799999999996</v>
      </c>
    </row>
    <row r="43" spans="1:10" ht="20.100000000000001" customHeight="1">
      <c r="A43" s="56"/>
      <c r="B43" s="47" t="s">
        <v>40</v>
      </c>
      <c r="C43" s="42">
        <f>C24</f>
        <v>813.11999999999989</v>
      </c>
      <c r="D43" s="42">
        <f>D24</f>
        <v>813.11999999999989</v>
      </c>
      <c r="E43" s="42">
        <f>E24</f>
        <v>813.11999999999989</v>
      </c>
      <c r="F43" s="42">
        <f>F24</f>
        <v>813.11999999999989</v>
      </c>
      <c r="G43" s="72">
        <f t="shared" si="11"/>
        <v>3252.4799999999996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1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1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1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1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1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1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1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2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2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2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2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2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2"/>
        <v>0</v>
      </c>
    </row>
    <row r="58" spans="1:14" ht="20.100000000000001" customHeight="1" thickBot="1">
      <c r="A58" s="61"/>
      <c r="B58" s="48" t="s">
        <v>27</v>
      </c>
      <c r="C58" s="55"/>
      <c r="D58" s="55"/>
      <c r="E58" s="55"/>
      <c r="F58" s="55"/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1184.2545599999999</v>
      </c>
      <c r="D59" s="38">
        <f>D31+D36+D39+D42</f>
        <v>1173.9937599999998</v>
      </c>
      <c r="E59" s="38">
        <f>E31+E36+E39+E42</f>
        <v>1153.4721599999998</v>
      </c>
      <c r="F59" s="38">
        <f>F31+F36+F39+F42</f>
        <v>1153.4721599999998</v>
      </c>
      <c r="G59" s="39">
        <f>G31+G36+G39+G42</f>
        <v>4665.1926399999993</v>
      </c>
    </row>
    <row r="60" spans="1:14" ht="26.1" customHeight="1" outlineLevel="1">
      <c r="A60" s="111"/>
      <c r="B60" s="70"/>
      <c r="C60" s="71">
        <f>C29-C59</f>
        <v>227.01478799999995</v>
      </c>
      <c r="D60" s="71">
        <f>D29-D59</f>
        <v>226.33114800000021</v>
      </c>
      <c r="E60" s="71">
        <f>E29-E59</f>
        <v>224.96386800000005</v>
      </c>
      <c r="F60" s="71">
        <f>F29-F59</f>
        <v>224.96386800000005</v>
      </c>
      <c r="G60" s="71">
        <f>G29-G59</f>
        <v>903.27367200000026</v>
      </c>
    </row>
    <row r="61" spans="1:14" ht="39.75" hidden="1" customHeight="1">
      <c r="A61" s="67"/>
      <c r="B61" s="81"/>
      <c r="C61" s="112"/>
      <c r="D61" s="112"/>
      <c r="E61" s="112"/>
      <c r="F61" s="112"/>
      <c r="G61" s="112"/>
      <c r="H61" s="112"/>
      <c r="I61" s="112"/>
      <c r="J61" s="112"/>
      <c r="K61" s="112"/>
      <c r="L61" s="112"/>
    </row>
    <row r="62" spans="1:14" hidden="1">
      <c r="A62" s="67"/>
      <c r="C62" s="65">
        <f>C16*1.2/100</f>
        <v>0</v>
      </c>
      <c r="D62" s="65">
        <f>D16*1.2/100</f>
        <v>0</v>
      </c>
      <c r="E62" s="65">
        <f>E16*1.2/100</f>
        <v>0</v>
      </c>
      <c r="F62" s="65">
        <f>F16*1.2/100</f>
        <v>0</v>
      </c>
    </row>
    <row r="63" spans="1:14" hidden="1">
      <c r="A63" s="68"/>
      <c r="C63" s="65">
        <f>(C16-C62)*0.5/100</f>
        <v>0</v>
      </c>
      <c r="D63" s="65">
        <f>(D16-D62)*0.5/100</f>
        <v>0</v>
      </c>
      <c r="E63" s="65">
        <f>(E16-E62)*0.5/100</f>
        <v>0</v>
      </c>
      <c r="F63" s="65">
        <f>(F16-F62)*0.5/100</f>
        <v>0</v>
      </c>
    </row>
    <row r="64" spans="1:14" hidden="1">
      <c r="C64" s="3">
        <f>C9*1.2/100</f>
        <v>4.5934241759999992</v>
      </c>
      <c r="D64" s="3">
        <f>D9*1.2/100</f>
        <v>4.4620908960000003</v>
      </c>
      <c r="E64" s="3">
        <f>E9*1.2/100</f>
        <v>4.199424335999999</v>
      </c>
      <c r="F64" s="3">
        <f>F9*1.2/100</f>
        <v>4.199424335999999</v>
      </c>
    </row>
    <row r="65" spans="1:15" s="3" customFormat="1" hidden="1">
      <c r="A65" s="2"/>
      <c r="B65" s="2"/>
      <c r="C65" s="3">
        <f>(C9-C64)*4/100</f>
        <v>15.127676952959998</v>
      </c>
      <c r="D65" s="3">
        <f>(D9-D64)*4/100</f>
        <v>14.69515268416</v>
      </c>
      <c r="E65" s="3">
        <f>(E9-E64)*4/100</f>
        <v>13.830104146559997</v>
      </c>
      <c r="F65" s="3">
        <f>(F9-F64)*4/100</f>
        <v>13.830104146559997</v>
      </c>
      <c r="H65" s="2"/>
      <c r="I65" s="2"/>
      <c r="J65" s="2"/>
      <c r="K65" s="2"/>
      <c r="L65" s="2"/>
      <c r="M65" s="2"/>
      <c r="N65" s="2"/>
      <c r="O65" s="2"/>
    </row>
    <row r="66" spans="1:15" s="3" customFormat="1" hidden="1">
      <c r="A66" s="2"/>
      <c r="B66" s="2"/>
      <c r="C66" s="3">
        <f>SUM(C62:C65)</f>
        <v>19.721101128959997</v>
      </c>
      <c r="D66" s="3">
        <f t="shared" ref="D66:F66" si="13">SUM(D62:D65)</f>
        <v>19.157243580159999</v>
      </c>
      <c r="E66" s="3">
        <f t="shared" si="13"/>
        <v>18.029528482559996</v>
      </c>
      <c r="F66" s="3">
        <f t="shared" si="13"/>
        <v>18.029528482559996</v>
      </c>
      <c r="H66" s="2"/>
      <c r="I66" s="2"/>
      <c r="J66" s="2"/>
      <c r="K66" s="2"/>
      <c r="L66" s="2"/>
      <c r="M66" s="2"/>
      <c r="N66" s="2"/>
      <c r="O66" s="2"/>
    </row>
  </sheetData>
  <dataConsolidate/>
  <mergeCells count="19">
    <mergeCell ref="A29:B29"/>
    <mergeCell ref="A30:B30"/>
    <mergeCell ref="A59:B59"/>
    <mergeCell ref="A8:B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I8:M8"/>
    <mergeCell ref="O8:S8"/>
    <mergeCell ref="U8:Y8"/>
    <mergeCell ref="Z10:Z12"/>
    <mergeCell ref="H28:AA2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4923-F261-4CFD-BF4C-62D1375EAFD4}">
  <sheetPr>
    <tabColor rgb="FFFFC000"/>
    <pageSetUpPr fitToPage="1"/>
  </sheetPr>
  <dimension ref="A1:AA66"/>
  <sheetViews>
    <sheetView showGridLines="0" view="pageBreakPreview" topLeftCell="G16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32.7109375" style="2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6.5703125" style="2" customWidth="1"/>
    <col min="14" max="14" width="10.140625" style="2"/>
    <col min="15" max="15" width="15.140625" style="2" customWidth="1"/>
    <col min="16" max="17" width="10.140625" style="2"/>
    <col min="18" max="18" width="14.42578125" style="2" customWidth="1"/>
    <col min="19" max="23" width="10.140625" style="2"/>
    <col min="24" max="24" width="21.140625" style="2" customWidth="1"/>
    <col min="25" max="16384" width="10.140625" style="2"/>
  </cols>
  <sheetData>
    <row r="1" spans="1:27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1592.6</v>
      </c>
      <c r="K1" s="97"/>
      <c r="L1" s="2">
        <v>20</v>
      </c>
    </row>
    <row r="2" spans="1:27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7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7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7</v>
      </c>
      <c r="K4" s="150" t="s">
        <v>170</v>
      </c>
      <c r="L4" s="2">
        <f>SUM(J1/L1)</f>
        <v>79.63</v>
      </c>
    </row>
    <row r="5" spans="1:27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166</v>
      </c>
      <c r="J5" s="4">
        <v>9</v>
      </c>
      <c r="K5" s="4"/>
    </row>
    <row r="6" spans="1:27">
      <c r="A6" s="276"/>
      <c r="B6" s="278"/>
      <c r="C6" s="271"/>
      <c r="D6" s="271"/>
      <c r="E6" s="271"/>
      <c r="F6" s="271"/>
      <c r="G6" s="270"/>
      <c r="I6" s="4"/>
      <c r="J6" s="4"/>
    </row>
    <row r="7" spans="1:27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7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7" ht="20.100000000000001" customHeight="1">
      <c r="A9" s="113">
        <v>1</v>
      </c>
      <c r="B9" s="21" t="s">
        <v>15</v>
      </c>
      <c r="C9" s="22">
        <f>SUM(C10:C15)</f>
        <v>64.390788000000001</v>
      </c>
      <c r="D9" s="22">
        <f t="shared" ref="D9:F9" si="0">SUM(D10:D15)</f>
        <v>63.707147999999997</v>
      </c>
      <c r="E9" s="22">
        <f t="shared" si="0"/>
        <v>62.339867999999996</v>
      </c>
      <c r="F9" s="22">
        <f t="shared" si="0"/>
        <v>62.339867999999996</v>
      </c>
      <c r="G9" s="22">
        <f>SUM(G10:G15)</f>
        <v>252.777672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7" ht="20.100000000000001" customHeight="1">
      <c r="A10" s="114"/>
      <c r="B10" s="10" t="s">
        <v>3</v>
      </c>
      <c r="C10" s="12"/>
      <c r="D10" s="12"/>
      <c r="E10" s="12"/>
      <c r="F10" s="12"/>
      <c r="G10" s="75">
        <f>SUM(C10:F10)</f>
        <v>0</v>
      </c>
      <c r="H10" s="144" t="s">
        <v>157</v>
      </c>
      <c r="I10" s="149">
        <f>SUM((K10+L11)/2*M10)</f>
        <v>218.26582999999999</v>
      </c>
      <c r="J10" s="149"/>
      <c r="K10" s="149">
        <v>0.13220000000000001</v>
      </c>
      <c r="L10" s="149"/>
      <c r="M10" s="154">
        <f>SUM(J1)</f>
        <v>1592.6</v>
      </c>
      <c r="N10" s="127"/>
      <c r="O10" s="149">
        <f>SUM(S10*Q10)</f>
        <v>197.16387999999998</v>
      </c>
      <c r="P10" s="149" t="s">
        <v>161</v>
      </c>
      <c r="Q10" s="149">
        <v>0.12379999999999999</v>
      </c>
      <c r="R10" s="149"/>
      <c r="S10" s="154">
        <f>SUM(J1)</f>
        <v>1592.6</v>
      </c>
      <c r="T10" s="127"/>
      <c r="U10" s="149">
        <f>SUM(Y10*W10)</f>
        <v>197.16387999999998</v>
      </c>
      <c r="V10" s="149" t="s">
        <v>161</v>
      </c>
      <c r="W10" s="149">
        <v>0.12379999999999999</v>
      </c>
      <c r="X10" s="149"/>
      <c r="Y10" s="154">
        <f>SUM(J1)</f>
        <v>1592.6</v>
      </c>
      <c r="Z10" s="284" t="s">
        <v>66</v>
      </c>
    </row>
    <row r="11" spans="1:27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7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7" ht="20.100000000000001" customHeight="1">
      <c r="A13" s="114"/>
      <c r="B13" s="10" t="s">
        <v>10</v>
      </c>
      <c r="C13" s="12"/>
      <c r="D13" s="12"/>
      <c r="E13" s="12"/>
      <c r="F13" s="12"/>
      <c r="G13" s="75"/>
      <c r="H13" s="144" t="s">
        <v>152</v>
      </c>
      <c r="I13" s="149">
        <f>SUM(M13*K13)</f>
        <v>0</v>
      </c>
      <c r="J13" s="149" t="s">
        <v>161</v>
      </c>
      <c r="K13" s="149">
        <v>0.74</v>
      </c>
      <c r="L13" s="149"/>
      <c r="M13" s="149"/>
      <c r="N13" s="86"/>
      <c r="O13" s="149"/>
      <c r="P13" s="149" t="s">
        <v>161</v>
      </c>
      <c r="Q13" s="149">
        <v>0.71</v>
      </c>
      <c r="R13" s="149"/>
      <c r="S13" s="149"/>
      <c r="T13" s="86"/>
      <c r="U13" s="149"/>
      <c r="V13" s="149" t="s">
        <v>161</v>
      </c>
      <c r="W13" s="149">
        <v>4.07E-2</v>
      </c>
      <c r="X13" s="149"/>
      <c r="Y13" s="149"/>
      <c r="Z13" s="41" t="s">
        <v>70</v>
      </c>
      <c r="AA13" s="2" t="s">
        <v>71</v>
      </c>
    </row>
    <row r="14" spans="1:27" ht="20.100000000000001" customHeight="1" outlineLevel="1">
      <c r="A14" s="24"/>
      <c r="B14" s="10" t="s">
        <v>11</v>
      </c>
      <c r="C14" s="12"/>
      <c r="D14" s="12"/>
      <c r="E14" s="12"/>
      <c r="F14" s="12"/>
      <c r="G14" s="75"/>
      <c r="H14" s="144" t="s">
        <v>11</v>
      </c>
      <c r="I14" s="149"/>
      <c r="J14" s="149" t="s">
        <v>161</v>
      </c>
      <c r="K14" s="149">
        <v>1.5</v>
      </c>
      <c r="L14" s="149">
        <v>1.73</v>
      </c>
      <c r="M14" s="149"/>
      <c r="N14" s="86"/>
      <c r="O14" s="149"/>
      <c r="P14" s="149" t="s">
        <v>161</v>
      </c>
      <c r="Q14" s="149">
        <v>1.43</v>
      </c>
      <c r="R14" s="149">
        <v>1.66</v>
      </c>
      <c r="S14" s="149"/>
      <c r="T14" s="86"/>
      <c r="U14" s="149"/>
      <c r="V14" s="149" t="s">
        <v>161</v>
      </c>
      <c r="W14" s="149">
        <v>5.8400000000000001E-2</v>
      </c>
      <c r="X14" s="149">
        <v>6.7900000000000002E-2</v>
      </c>
      <c r="Y14" s="149"/>
      <c r="Z14" s="41" t="s">
        <v>70</v>
      </c>
      <c r="AA14" s="2" t="s">
        <v>73</v>
      </c>
    </row>
    <row r="15" spans="1:27" ht="20.100000000000001" customHeight="1" outlineLevel="1" thickBot="1">
      <c r="A15" s="24"/>
      <c r="B15" s="10" t="s">
        <v>12</v>
      </c>
      <c r="C15" s="9">
        <f>SUM(I15*3)</f>
        <v>64.390788000000001</v>
      </c>
      <c r="D15" s="9">
        <f>SUM(I15*2+O15)</f>
        <v>63.707147999999997</v>
      </c>
      <c r="E15" s="9">
        <f>SUM(O15*2+U15)</f>
        <v>62.339867999999996</v>
      </c>
      <c r="F15" s="9">
        <f>SUM(U15*3)</f>
        <v>62.339867999999996</v>
      </c>
      <c r="G15" s="75">
        <f t="shared" ref="G15" si="1">SUM(C15:F15)</f>
        <v>252.777672</v>
      </c>
      <c r="H15" s="144" t="s">
        <v>150</v>
      </c>
      <c r="I15" s="149">
        <f>SUM(J15*((K15+L15))/2)*M15</f>
        <v>21.463595999999999</v>
      </c>
      <c r="J15" s="149">
        <v>0.24</v>
      </c>
      <c r="K15" s="149">
        <v>9.2583000000000002</v>
      </c>
      <c r="L15" s="149">
        <v>10.615399999999999</v>
      </c>
      <c r="M15" s="149">
        <f>SUM(J5)</f>
        <v>9</v>
      </c>
      <c r="N15" s="86"/>
      <c r="O15" s="149">
        <f>SUM(P15*((Q15+R15)/2)*S15)</f>
        <v>20.779955999999999</v>
      </c>
      <c r="P15" s="149">
        <v>0.24</v>
      </c>
      <c r="Q15" s="149">
        <v>8.9418000000000006</v>
      </c>
      <c r="R15" s="149">
        <v>10.2989</v>
      </c>
      <c r="S15" s="149">
        <f>SUM(J5)</f>
        <v>9</v>
      </c>
      <c r="T15" s="86"/>
      <c r="U15" s="149">
        <f>SUM(V15*((W15+X15)/2)*Y15)</f>
        <v>20.779955999999999</v>
      </c>
      <c r="V15" s="149">
        <v>0.24</v>
      </c>
      <c r="W15" s="149">
        <v>8.9418000000000006</v>
      </c>
      <c r="X15" s="149">
        <v>10.2989</v>
      </c>
      <c r="Y15" s="149">
        <f>SUM(J5)</f>
        <v>9</v>
      </c>
      <c r="Z15" s="40" t="s">
        <v>70</v>
      </c>
      <c r="AA15" s="2" t="s">
        <v>72</v>
      </c>
    </row>
    <row r="16" spans="1:27" ht="20.100000000000001" customHeight="1">
      <c r="A16" s="113">
        <v>2</v>
      </c>
      <c r="B16" s="28" t="s">
        <v>16</v>
      </c>
      <c r="C16" s="35">
        <f>SUM(C17:C19)</f>
        <v>0</v>
      </c>
      <c r="D16" s="35">
        <f t="shared" ref="D16:G16" si="2">SUM(D17:D19)</f>
        <v>0</v>
      </c>
      <c r="E16" s="35">
        <f t="shared" si="2"/>
        <v>0</v>
      </c>
      <c r="F16" s="35">
        <f t="shared" si="2"/>
        <v>0</v>
      </c>
      <c r="G16" s="35">
        <f t="shared" si="2"/>
        <v>0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/>
      <c r="D17" s="12"/>
      <c r="E17" s="12"/>
      <c r="F17" s="12"/>
      <c r="G17" s="76">
        <f>SUM(C17:F17)</f>
        <v>0</v>
      </c>
      <c r="H17" s="146" t="s">
        <v>153</v>
      </c>
      <c r="I17" s="149"/>
      <c r="J17" s="149" t="s">
        <v>163</v>
      </c>
      <c r="K17" s="149">
        <v>0.71</v>
      </c>
      <c r="L17" s="149"/>
      <c r="M17" s="149"/>
      <c r="N17" s="86"/>
      <c r="O17" s="149"/>
      <c r="P17" s="149" t="s">
        <v>163</v>
      </c>
      <c r="Q17" s="149">
        <v>0.71</v>
      </c>
      <c r="R17" s="149"/>
      <c r="S17" s="149"/>
      <c r="T17" s="86"/>
      <c r="U17" s="149"/>
      <c r="V17" s="149" t="s">
        <v>163</v>
      </c>
      <c r="W17" s="149">
        <v>1.9800000000000002E-2</v>
      </c>
      <c r="X17" s="149"/>
      <c r="Y17" s="149"/>
      <c r="Z17" s="40" t="s">
        <v>74</v>
      </c>
      <c r="AA17" s="2" t="s">
        <v>71</v>
      </c>
    </row>
    <row r="18" spans="1:27" ht="40.5" customHeight="1" outlineLevel="1">
      <c r="A18" s="29"/>
      <c r="B18" s="10" t="s">
        <v>14</v>
      </c>
      <c r="C18" s="9"/>
      <c r="D18" s="9"/>
      <c r="E18" s="9"/>
      <c r="F18" s="9"/>
      <c r="G18" s="76">
        <f>SUM(C18:F18)</f>
        <v>0</v>
      </c>
      <c r="H18" s="146" t="s">
        <v>154</v>
      </c>
      <c r="I18" s="149"/>
      <c r="J18" s="149" t="s">
        <v>163</v>
      </c>
      <c r="K18" s="149">
        <v>0.79</v>
      </c>
      <c r="L18" s="149"/>
      <c r="M18" s="149"/>
      <c r="N18" s="86"/>
      <c r="O18" s="149"/>
      <c r="P18" s="149" t="s">
        <v>163</v>
      </c>
      <c r="Q18" s="149">
        <v>0.79</v>
      </c>
      <c r="R18" s="149"/>
      <c r="S18" s="149"/>
      <c r="T18" s="86"/>
      <c r="U18" s="149"/>
      <c r="V18" s="149" t="s">
        <v>163</v>
      </c>
      <c r="W18" s="149">
        <v>0.79</v>
      </c>
      <c r="X18" s="149"/>
      <c r="Y18" s="149"/>
      <c r="Z18" s="40" t="s">
        <v>74</v>
      </c>
      <c r="AA18" s="2" t="s">
        <v>73</v>
      </c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28">
        <v>3</v>
      </c>
      <c r="B20" s="28" t="s">
        <v>17</v>
      </c>
      <c r="C20" s="22">
        <f>SUM(C21:C22)</f>
        <v>79.11</v>
      </c>
      <c r="D20" s="22">
        <f t="shared" ref="D20:F20" si="3">SUM(D21:D22)</f>
        <v>79.11</v>
      </c>
      <c r="E20" s="22">
        <f t="shared" si="3"/>
        <v>79.11</v>
      </c>
      <c r="F20" s="22">
        <f t="shared" si="3"/>
        <v>79.11</v>
      </c>
      <c r="G20" s="8">
        <f>SUM(G21:G22)</f>
        <v>316.44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 thickBot="1">
      <c r="A21" s="29"/>
      <c r="B21" s="10" t="s">
        <v>45</v>
      </c>
      <c r="C21" s="11">
        <f>SUM(M21)*3</f>
        <v>25.110000000000003</v>
      </c>
      <c r="D21" s="11">
        <f>SUM(M21*3)</f>
        <v>25.110000000000003</v>
      </c>
      <c r="E21" s="11">
        <f>SUM(M21*3)</f>
        <v>25.110000000000003</v>
      </c>
      <c r="F21" s="11">
        <f>SUM(M21*3)</f>
        <v>25.110000000000003</v>
      </c>
      <c r="G21" s="76">
        <f>SUM(C21:F21)</f>
        <v>100.44000000000001</v>
      </c>
      <c r="H21" s="145" t="s">
        <v>149</v>
      </c>
      <c r="I21" s="105">
        <f>SUM(J5)</f>
        <v>9</v>
      </c>
      <c r="J21" s="106"/>
      <c r="K21" s="106">
        <v>0.93</v>
      </c>
      <c r="L21" s="106"/>
      <c r="M21" s="107">
        <f>I21*K21</f>
        <v>8.370000000000001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54</v>
      </c>
      <c r="D22" s="26">
        <f>SUM(M22*3)</f>
        <v>54</v>
      </c>
      <c r="E22" s="26">
        <f>SUM(M22*3)</f>
        <v>54</v>
      </c>
      <c r="F22" s="26">
        <f>SUM(M22*3)</f>
        <v>54</v>
      </c>
      <c r="G22" s="77">
        <f>SUM(C22:F22)</f>
        <v>216</v>
      </c>
      <c r="H22" s="146" t="s">
        <v>156</v>
      </c>
      <c r="I22" s="108">
        <f>SUM(J5)</f>
        <v>9</v>
      </c>
      <c r="J22" s="109"/>
      <c r="K22" s="109">
        <v>2</v>
      </c>
      <c r="L22" s="109"/>
      <c r="M22" s="110">
        <f>I22*K22</f>
        <v>18</v>
      </c>
      <c r="N22" s="95"/>
      <c r="O22" s="105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2006.6759999999999</v>
      </c>
      <c r="D23" s="22">
        <f t="shared" ref="D23:F23" si="4">SUM(D24:D25)</f>
        <v>2006.6759999999999</v>
      </c>
      <c r="E23" s="22">
        <f t="shared" si="4"/>
        <v>2006.6759999999999</v>
      </c>
      <c r="F23" s="22">
        <f t="shared" si="4"/>
        <v>2006.6759999999999</v>
      </c>
      <c r="G23" s="8">
        <f>SUM(G24:G25)</f>
        <v>8026.7039999999997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1672.23</v>
      </c>
      <c r="D24" s="9">
        <f>SUM(M24*3)</f>
        <v>1672.23</v>
      </c>
      <c r="E24" s="9">
        <f>SUM(M24*3)</f>
        <v>1672.23</v>
      </c>
      <c r="F24" s="9">
        <f>SUM(M24*3)</f>
        <v>1672.23</v>
      </c>
      <c r="G24" s="76">
        <f t="shared" ref="G24:G25" si="5">SUM(C24:F24)</f>
        <v>6688.92</v>
      </c>
      <c r="H24" s="148" t="s">
        <v>158</v>
      </c>
      <c r="I24" s="99">
        <f>SUM(J1)</f>
        <v>1592.6</v>
      </c>
      <c r="J24" s="100"/>
      <c r="K24" s="106">
        <v>0.35</v>
      </c>
      <c r="L24" s="106"/>
      <c r="M24" s="101">
        <f>SUM(I24*K24)</f>
        <v>557.41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334.44600000000003</v>
      </c>
      <c r="D25" s="26">
        <f>SUM(M25*3)</f>
        <v>334.44600000000003</v>
      </c>
      <c r="E25" s="26">
        <f>SUM(M25*3)</f>
        <v>334.44600000000003</v>
      </c>
      <c r="F25" s="26">
        <f>SUM(M25*3)</f>
        <v>334.44600000000003</v>
      </c>
      <c r="G25" s="77">
        <f t="shared" si="5"/>
        <v>1337.7840000000001</v>
      </c>
      <c r="H25" s="148" t="s">
        <v>159</v>
      </c>
      <c r="I25" s="102">
        <f>SUM(J1)</f>
        <v>1592.6</v>
      </c>
      <c r="J25" s="104"/>
      <c r="K25" s="109">
        <v>7.0000000000000007E-2</v>
      </c>
      <c r="L25" s="109"/>
      <c r="M25" s="101">
        <f>SUM(I25*K25)</f>
        <v>111.482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6">SUM(D27:D28)</f>
        <v>0</v>
      </c>
      <c r="E26" s="30">
        <f t="shared" si="6"/>
        <v>0</v>
      </c>
      <c r="F26" s="30">
        <f t="shared" si="6"/>
        <v>0</v>
      </c>
      <c r="G26" s="37">
        <f t="shared" ref="G26:G29" si="7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7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7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2150.1767879999998</v>
      </c>
      <c r="D29" s="50">
        <f>D9+D16+D20+D23+D26</f>
        <v>2149.493148</v>
      </c>
      <c r="E29" s="50">
        <f>E9+E16+E20+E23+E26</f>
        <v>2148.1258680000001</v>
      </c>
      <c r="F29" s="50">
        <f>F9+F16+F20+F23+F26</f>
        <v>2148.1258680000001</v>
      </c>
      <c r="G29" s="51">
        <f t="shared" si="7"/>
        <v>8595.9216720000004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0</v>
      </c>
      <c r="D31" s="62">
        <f>SUM(D32:D35)</f>
        <v>0</v>
      </c>
      <c r="E31" s="62">
        <f>SUM(E32:E35)</f>
        <v>0</v>
      </c>
      <c r="F31" s="62">
        <f>SUM(F32:F35)</f>
        <v>0</v>
      </c>
      <c r="G31" s="62">
        <f>SUM(G32:G35)</f>
        <v>0</v>
      </c>
    </row>
    <row r="32" spans="1:27" ht="20.100000000000001" customHeight="1">
      <c r="A32" s="44"/>
      <c r="B32" s="10" t="s">
        <v>3</v>
      </c>
      <c r="C32" s="42">
        <f>C10</f>
        <v>0</v>
      </c>
      <c r="D32" s="42">
        <f>D10</f>
        <v>0</v>
      </c>
      <c r="E32" s="42">
        <f>E10</f>
        <v>0</v>
      </c>
      <c r="F32" s="42">
        <f>F10</f>
        <v>0</v>
      </c>
      <c r="G32" s="72">
        <f>SUM(C32:F32)</f>
        <v>0</v>
      </c>
    </row>
    <row r="33" spans="1:7" ht="20.100000000000001" customHeight="1">
      <c r="A33" s="44"/>
      <c r="B33" s="10" t="s">
        <v>10</v>
      </c>
      <c r="C33" s="42">
        <f t="shared" ref="C33:F33" si="8">C13</f>
        <v>0</v>
      </c>
      <c r="D33" s="42">
        <f t="shared" si="8"/>
        <v>0</v>
      </c>
      <c r="E33" s="42">
        <f t="shared" si="8"/>
        <v>0</v>
      </c>
      <c r="F33" s="42">
        <f t="shared" si="8"/>
        <v>0</v>
      </c>
      <c r="G33" s="72">
        <f>SUM(C33:F33)</f>
        <v>0</v>
      </c>
    </row>
    <row r="34" spans="1:7" ht="57.75" customHeight="1">
      <c r="A34" s="44"/>
      <c r="B34" s="10" t="s">
        <v>46</v>
      </c>
      <c r="C34" s="42"/>
      <c r="D34" s="42"/>
      <c r="E34" s="42"/>
      <c r="F34" s="42"/>
      <c r="G34" s="72">
        <f>SUM(C34:F34)</f>
        <v>0</v>
      </c>
    </row>
    <row r="35" spans="1:7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</row>
    <row r="36" spans="1:7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9">SUM(D37:D38)</f>
        <v>0</v>
      </c>
      <c r="E36" s="62">
        <f t="shared" si="9"/>
        <v>0</v>
      </c>
      <c r="F36" s="62">
        <f t="shared" si="9"/>
        <v>0</v>
      </c>
      <c r="G36" s="62">
        <f t="shared" si="9"/>
        <v>0</v>
      </c>
    </row>
    <row r="37" spans="1:7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</row>
    <row r="38" spans="1:7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</row>
    <row r="39" spans="1:7" ht="20.100000000000001" customHeight="1">
      <c r="A39" s="113" t="s">
        <v>28</v>
      </c>
      <c r="B39" s="28" t="s">
        <v>17</v>
      </c>
      <c r="C39" s="62">
        <f>SUM(C40:C41)</f>
        <v>79.11</v>
      </c>
      <c r="D39" s="62">
        <f t="shared" ref="D39:G39" si="10">SUM(D40:D41)</f>
        <v>79.11</v>
      </c>
      <c r="E39" s="62">
        <f t="shared" si="10"/>
        <v>79.11</v>
      </c>
      <c r="F39" s="62">
        <f t="shared" si="10"/>
        <v>79.11</v>
      </c>
      <c r="G39" s="62">
        <f t="shared" si="10"/>
        <v>316.44</v>
      </c>
    </row>
    <row r="40" spans="1:7" ht="20.100000000000001" customHeight="1">
      <c r="A40" s="44"/>
      <c r="B40" s="10" t="s">
        <v>45</v>
      </c>
      <c r="C40" s="42">
        <f t="shared" ref="C40:F41" si="11">C21</f>
        <v>25.110000000000003</v>
      </c>
      <c r="D40" s="42">
        <f t="shared" si="11"/>
        <v>25.110000000000003</v>
      </c>
      <c r="E40" s="42">
        <f t="shared" si="11"/>
        <v>25.110000000000003</v>
      </c>
      <c r="F40" s="42">
        <f t="shared" si="11"/>
        <v>25.110000000000003</v>
      </c>
      <c r="G40" s="72">
        <f>SUM(C40:F40)</f>
        <v>100.44000000000001</v>
      </c>
    </row>
    <row r="41" spans="1:7" s="4" customFormat="1" ht="20.100000000000001" customHeight="1" thickBot="1">
      <c r="A41" s="54"/>
      <c r="B41" s="25" t="s">
        <v>18</v>
      </c>
      <c r="C41" s="55">
        <f t="shared" si="11"/>
        <v>54</v>
      </c>
      <c r="D41" s="55">
        <f t="shared" si="11"/>
        <v>54</v>
      </c>
      <c r="E41" s="55">
        <f t="shared" si="11"/>
        <v>54</v>
      </c>
      <c r="F41" s="55">
        <f t="shared" si="11"/>
        <v>54</v>
      </c>
      <c r="G41" s="72">
        <f>SUM(C41:F41)</f>
        <v>216</v>
      </c>
    </row>
    <row r="42" spans="1:7" ht="20.100000000000001" customHeight="1">
      <c r="A42" s="113" t="s">
        <v>9</v>
      </c>
      <c r="B42" s="28" t="s">
        <v>33</v>
      </c>
      <c r="C42" s="62">
        <f>SUM(C43:C58)</f>
        <v>1672.23</v>
      </c>
      <c r="D42" s="62">
        <f>SUM(D43:D58)</f>
        <v>1672.23</v>
      </c>
      <c r="E42" s="62">
        <f>SUM(E43:E58)</f>
        <v>1672.23</v>
      </c>
      <c r="F42" s="62">
        <f>SUM(F43:F58)</f>
        <v>1672.23</v>
      </c>
      <c r="G42" s="64">
        <f t="shared" ref="G42:G51" si="12">SUM(C42:F42)</f>
        <v>6688.92</v>
      </c>
    </row>
    <row r="43" spans="1:7" ht="20.100000000000001" customHeight="1">
      <c r="A43" s="56"/>
      <c r="B43" s="47" t="s">
        <v>40</v>
      </c>
      <c r="C43" s="42">
        <f>C24</f>
        <v>1672.23</v>
      </c>
      <c r="D43" s="42">
        <f>D24</f>
        <v>1672.23</v>
      </c>
      <c r="E43" s="42">
        <f>E24</f>
        <v>1672.23</v>
      </c>
      <c r="F43" s="42">
        <f>F24</f>
        <v>1672.23</v>
      </c>
      <c r="G43" s="72">
        <f t="shared" si="12"/>
        <v>6688.92</v>
      </c>
    </row>
    <row r="44" spans="1:7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</row>
    <row r="45" spans="1:7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2"/>
        <v>0</v>
      </c>
    </row>
    <row r="46" spans="1:7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2"/>
        <v>0</v>
      </c>
    </row>
    <row r="47" spans="1:7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2"/>
        <v>0</v>
      </c>
    </row>
    <row r="48" spans="1:7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2"/>
        <v>0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2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2"/>
        <v>0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2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3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3"/>
        <v>0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3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3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3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3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4">D27*5/100</f>
        <v>0</v>
      </c>
      <c r="E58" s="55">
        <f t="shared" si="14"/>
        <v>0</v>
      </c>
      <c r="F58" s="55">
        <f t="shared" si="14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1751.34</v>
      </c>
      <c r="D59" s="38">
        <f>D31+D36+D39+D42</f>
        <v>1751.34</v>
      </c>
      <c r="E59" s="38">
        <f>E31+E36+E39+E42</f>
        <v>1751.34</v>
      </c>
      <c r="F59" s="38">
        <f>F31+F36+F39+F42</f>
        <v>1751.34</v>
      </c>
      <c r="G59" s="39">
        <f>G31+G36+G39+G42</f>
        <v>7005.36</v>
      </c>
    </row>
    <row r="60" spans="1:14" ht="26.1" customHeight="1" outlineLevel="1">
      <c r="A60" s="111"/>
      <c r="B60" s="70"/>
      <c r="C60" s="71">
        <f>C29-C59</f>
        <v>398.83678799999984</v>
      </c>
      <c r="D60" s="71">
        <f>D29-D59</f>
        <v>398.1531480000001</v>
      </c>
      <c r="E60" s="71">
        <f>E29-E59</f>
        <v>396.78586800000016</v>
      </c>
      <c r="F60" s="71">
        <f>F29-F59</f>
        <v>396.78586800000016</v>
      </c>
      <c r="G60" s="71">
        <f>G29-G59</f>
        <v>1590.5616720000007</v>
      </c>
    </row>
    <row r="61" spans="1:14" ht="39.75" hidden="1" customHeight="1">
      <c r="A61" s="67"/>
      <c r="B61" s="81"/>
      <c r="C61" s="112"/>
      <c r="D61" s="112"/>
      <c r="E61" s="112"/>
      <c r="F61" s="112"/>
      <c r="G61" s="112"/>
      <c r="H61" s="112"/>
      <c r="I61" s="112"/>
      <c r="J61" s="112"/>
      <c r="K61" s="112"/>
      <c r="L61" s="112"/>
    </row>
    <row r="62" spans="1:14" hidden="1">
      <c r="A62" s="67"/>
      <c r="C62" s="65">
        <f>C16*1.2/100</f>
        <v>0</v>
      </c>
      <c r="D62" s="65">
        <f>D16*1.2/100</f>
        <v>0</v>
      </c>
      <c r="E62" s="65">
        <f>E16*1.2/100</f>
        <v>0</v>
      </c>
      <c r="F62" s="65">
        <f>F16*1.2/100</f>
        <v>0</v>
      </c>
    </row>
    <row r="63" spans="1:14" hidden="1">
      <c r="A63" s="68"/>
      <c r="C63" s="65">
        <f>(C16-C62)*0.5/100</f>
        <v>0</v>
      </c>
      <c r="D63" s="65">
        <f>(D16-D62)*0.5/100</f>
        <v>0</v>
      </c>
      <c r="E63" s="65">
        <f>(E16-E62)*0.5/100</f>
        <v>0</v>
      </c>
      <c r="F63" s="65">
        <f>(F16-F62)*0.5/100</f>
        <v>0</v>
      </c>
    </row>
    <row r="64" spans="1:14" hidden="1">
      <c r="C64" s="3">
        <f>C9*1.2/100</f>
        <v>0.77268945599999994</v>
      </c>
      <c r="D64" s="3">
        <f>D9*1.2/100</f>
        <v>0.76448577599999989</v>
      </c>
      <c r="E64" s="3">
        <f>E9*1.2/100</f>
        <v>0.74807841599999991</v>
      </c>
      <c r="F64" s="3">
        <f>F9*1.2/100</f>
        <v>0.74807841599999991</v>
      </c>
    </row>
    <row r="65" spans="1:15" s="3" customFormat="1" hidden="1">
      <c r="A65" s="2"/>
      <c r="B65" s="2"/>
      <c r="C65" s="3">
        <f>(C9-C64)*4/100</f>
        <v>2.5447239417600001</v>
      </c>
      <c r="D65" s="3">
        <f>(D9-D64)*4/100</f>
        <v>2.51770648896</v>
      </c>
      <c r="E65" s="3">
        <f>(E9-E64)*4/100</f>
        <v>2.46367158336</v>
      </c>
      <c r="F65" s="3">
        <f>(F9-F64)*4/100</f>
        <v>2.46367158336</v>
      </c>
      <c r="H65" s="2"/>
      <c r="I65" s="2"/>
      <c r="J65" s="2"/>
      <c r="K65" s="2"/>
      <c r="L65" s="2"/>
      <c r="M65" s="2"/>
      <c r="N65" s="2"/>
      <c r="O65" s="2"/>
    </row>
    <row r="66" spans="1:15" s="3" customFormat="1" hidden="1">
      <c r="A66" s="2"/>
      <c r="B66" s="2"/>
      <c r="C66" s="3">
        <f>SUM(C62:C65)</f>
        <v>3.3174133977600002</v>
      </c>
      <c r="D66" s="3">
        <f t="shared" ref="D66:F66" si="15">SUM(D62:D65)</f>
        <v>3.2821922649599999</v>
      </c>
      <c r="E66" s="3">
        <f t="shared" si="15"/>
        <v>3.2117499993599998</v>
      </c>
      <c r="F66" s="3">
        <f t="shared" si="15"/>
        <v>3.2117499993599998</v>
      </c>
      <c r="H66" s="2"/>
      <c r="I66" s="2"/>
      <c r="J66" s="2"/>
      <c r="K66" s="2"/>
      <c r="L66" s="2"/>
      <c r="M66" s="2"/>
      <c r="N66" s="2"/>
      <c r="O66" s="2"/>
    </row>
  </sheetData>
  <dataConsolidate/>
  <mergeCells count="19">
    <mergeCell ref="A29:B29"/>
    <mergeCell ref="A30:B30"/>
    <mergeCell ref="A59:B59"/>
    <mergeCell ref="A8:B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I8:M8"/>
    <mergeCell ref="O8:S8"/>
    <mergeCell ref="U8:Y8"/>
    <mergeCell ref="Z10:Z12"/>
    <mergeCell ref="H28:AA2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4734-5690-4711-AAA0-CA2DFA787F49}">
  <sheetPr>
    <tabColor rgb="FFFFC000"/>
    <pageSetUpPr fitToPage="1"/>
  </sheetPr>
  <dimension ref="A1:AA81"/>
  <sheetViews>
    <sheetView showGridLines="0" view="pageBreakPreview" topLeftCell="A7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45.28515625" style="2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4" width="10.140625" style="2"/>
    <col min="15" max="15" width="14" style="2" customWidth="1"/>
    <col min="16" max="18" width="10.140625" style="2"/>
    <col min="19" max="19" width="12.7109375" style="2" customWidth="1"/>
    <col min="20" max="20" width="10.140625" style="2"/>
    <col min="21" max="21" width="18" style="2" customWidth="1"/>
    <col min="22" max="22" width="10.140625" style="2"/>
    <col min="23" max="23" width="20.5703125" style="2" customWidth="1"/>
    <col min="24" max="24" width="10.140625" style="2"/>
    <col min="25" max="25" width="13.7109375" style="2" bestFit="1" customWidth="1"/>
    <col min="26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1249.5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13</v>
      </c>
      <c r="K4" s="150" t="s">
        <v>170</v>
      </c>
      <c r="L4" s="2">
        <f>SUM(J1/L1)</f>
        <v>62.475000000000001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20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847.1423400000001</v>
      </c>
      <c r="D9" s="22">
        <f t="shared" ref="D9:F9" si="0">SUM(D10:D15)</f>
        <v>817.82734000000005</v>
      </c>
      <c r="E9" s="22">
        <f t="shared" si="0"/>
        <v>836.75791499999991</v>
      </c>
      <c r="F9" s="22">
        <f t="shared" si="0"/>
        <v>991.87906499999985</v>
      </c>
      <c r="G9" s="22">
        <f>SUM(G10:G15)</f>
        <v>3493.6066600000004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495.5517000000001</v>
      </c>
      <c r="D10" s="12">
        <f>SUM(I10*2+O10*1)</f>
        <v>485.05590000000007</v>
      </c>
      <c r="E10" s="12">
        <f>SUM(O10*2)+U10*1</f>
        <v>464.0643</v>
      </c>
      <c r="F10" s="12">
        <f>SUM(U10*3)</f>
        <v>464.0643</v>
      </c>
      <c r="G10" s="75">
        <f>SUM(C10:F10)</f>
        <v>1908.7362000000003</v>
      </c>
      <c r="H10" s="144" t="s">
        <v>157</v>
      </c>
      <c r="I10" s="149">
        <f>SUM(M10*K10)</f>
        <v>165.18390000000002</v>
      </c>
      <c r="J10" s="149"/>
      <c r="K10" s="149">
        <v>0.13220000000000001</v>
      </c>
      <c r="L10" s="149"/>
      <c r="M10" s="154">
        <f>SUM(J1)</f>
        <v>1249.5</v>
      </c>
      <c r="N10" s="127"/>
      <c r="O10" s="149">
        <f>SUM(S10*Q10)</f>
        <v>154.68809999999999</v>
      </c>
      <c r="P10" s="149" t="s">
        <v>161</v>
      </c>
      <c r="Q10" s="149">
        <v>0.12379999999999999</v>
      </c>
      <c r="R10" s="149"/>
      <c r="S10" s="154">
        <f>SUM(J1)</f>
        <v>1249.5</v>
      </c>
      <c r="T10" s="127"/>
      <c r="U10" s="149">
        <f>SUM(Y10*W10)</f>
        <v>154.68809999999999</v>
      </c>
      <c r="V10" s="149" t="s">
        <v>161</v>
      </c>
      <c r="W10" s="149">
        <v>0.12379999999999999</v>
      </c>
      <c r="X10" s="149"/>
      <c r="Y10" s="154">
        <f>SUM(J1)</f>
        <v>1249.5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42" customHeight="1">
      <c r="A13" s="114"/>
      <c r="B13" s="10" t="s">
        <v>10</v>
      </c>
      <c r="C13" s="12">
        <f>SUM(I13*3)</f>
        <v>66.599999999999994</v>
      </c>
      <c r="D13" s="12">
        <f>SUM(I13*2+O13)</f>
        <v>65.699999999999989</v>
      </c>
      <c r="E13" s="12">
        <f>SUM(O13*2+U13)</f>
        <v>93.454649999999987</v>
      </c>
      <c r="F13" s="12">
        <f>SUM(U13*3)</f>
        <v>152.56395000000001</v>
      </c>
      <c r="G13" s="75">
        <f>SUM(C13:F13)</f>
        <v>378.31859999999995</v>
      </c>
      <c r="H13" s="144" t="s">
        <v>152</v>
      </c>
      <c r="I13" s="149">
        <f>SUM(J5*1.5*K13)</f>
        <v>22.2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21.299999999999997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50.854649999999999</v>
      </c>
      <c r="V13" s="149" t="s">
        <v>161</v>
      </c>
      <c r="W13" s="149">
        <v>4.07E-2</v>
      </c>
      <c r="X13" s="149"/>
      <c r="Y13" s="154">
        <f>SUM(J1)</f>
        <v>1249.5</v>
      </c>
      <c r="Z13" s="41"/>
    </row>
    <row r="14" spans="1:26" ht="57" customHeight="1" outlineLevel="1">
      <c r="A14" s="24"/>
      <c r="B14" s="10" t="s">
        <v>11</v>
      </c>
      <c r="C14" s="12">
        <f>SUM(I14*3)</f>
        <v>141.9</v>
      </c>
      <c r="D14" s="12">
        <f>SUM(I14*2+O14)</f>
        <v>125.5</v>
      </c>
      <c r="E14" s="12">
        <f>SUM(O14*2+U14)</f>
        <v>140.70592499999998</v>
      </c>
      <c r="F14" s="12">
        <f>SUM(U14*3)</f>
        <v>236.71777499999999</v>
      </c>
      <c r="G14" s="75">
        <f>SUM(C14:F14)</f>
        <v>644.82369999999992</v>
      </c>
      <c r="H14" s="144" t="s">
        <v>11</v>
      </c>
      <c r="I14" s="149">
        <f>SUM((K14+L14/2))*J5</f>
        <v>47.300000000000004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30.9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78.905924999999996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1249.5</v>
      </c>
      <c r="Z14" s="41"/>
    </row>
    <row r="15" spans="1:26" ht="66.75" customHeight="1" outlineLevel="1" thickBot="1">
      <c r="A15" s="24"/>
      <c r="B15" s="10" t="s">
        <v>12</v>
      </c>
      <c r="C15" s="9">
        <f>SUM(I15*3)</f>
        <v>143.09063999999998</v>
      </c>
      <c r="D15" s="9">
        <f>SUM(I15*2+O15)</f>
        <v>141.57144</v>
      </c>
      <c r="E15" s="9">
        <f>SUM(O15*2+U15)</f>
        <v>138.53303999999997</v>
      </c>
      <c r="F15" s="9">
        <f>SUM(U15*3)</f>
        <v>138.53303999999997</v>
      </c>
      <c r="G15" s="75">
        <f t="shared" ref="G15" si="1">SUM(C15:F15)</f>
        <v>561.72815999999989</v>
      </c>
      <c r="H15" s="144" t="s">
        <v>150</v>
      </c>
      <c r="I15" s="149">
        <f>SUM(J15*((K15+L15))/2)*M15</f>
        <v>47.696879999999993</v>
      </c>
      <c r="J15" s="149">
        <v>0.24</v>
      </c>
      <c r="K15" s="149">
        <v>9.2583000000000002</v>
      </c>
      <c r="L15" s="149">
        <v>10.615399999999999</v>
      </c>
      <c r="M15" s="149">
        <f>SUM(J5)</f>
        <v>20</v>
      </c>
      <c r="N15" s="86"/>
      <c r="O15" s="149">
        <f>SUM(P15*((Q15+R15)/2)*S15)</f>
        <v>46.177679999999995</v>
      </c>
      <c r="P15" s="149">
        <v>0.24</v>
      </c>
      <c r="Q15" s="149">
        <v>8.9418000000000006</v>
      </c>
      <c r="R15" s="149">
        <v>10.2989</v>
      </c>
      <c r="S15" s="149">
        <f>SUM(J5)</f>
        <v>20</v>
      </c>
      <c r="T15" s="86"/>
      <c r="U15" s="149">
        <f>SUM(V15*((W15+X15)/2)*Y15)</f>
        <v>46.177679999999995</v>
      </c>
      <c r="V15" s="149">
        <v>0.24</v>
      </c>
      <c r="W15" s="149">
        <v>8.9418000000000006</v>
      </c>
      <c r="X15" s="149">
        <v>10.2989</v>
      </c>
      <c r="Y15" s="149">
        <f>SUM(J5)</f>
        <v>20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135</v>
      </c>
      <c r="D16" s="35">
        <f t="shared" ref="D16:G16" si="2">SUM(D17:D19)</f>
        <v>135</v>
      </c>
      <c r="E16" s="35">
        <f t="shared" si="2"/>
        <v>138.4401</v>
      </c>
      <c r="F16" s="35">
        <f t="shared" si="2"/>
        <v>145.32030000000003</v>
      </c>
      <c r="G16" s="35">
        <f t="shared" si="2"/>
        <v>553.7604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SUM(I17*3)</f>
        <v>63.899999999999991</v>
      </c>
      <c r="D17" s="12">
        <f>SUM(I17*2+O17)</f>
        <v>63.899999999999991</v>
      </c>
      <c r="E17" s="12">
        <f>SUM(O17*2+U17)</f>
        <v>67.340099999999993</v>
      </c>
      <c r="F17" s="12">
        <f>SUM(U17*3)</f>
        <v>74.220300000000009</v>
      </c>
      <c r="G17" s="76">
        <f>SUM(C17:F17)</f>
        <v>269.36039999999997</v>
      </c>
      <c r="H17" s="146" t="s">
        <v>153</v>
      </c>
      <c r="I17" s="149">
        <f>SUM(K17*M17)*1.5</f>
        <v>21.299999999999997</v>
      </c>
      <c r="J17" s="149" t="s">
        <v>163</v>
      </c>
      <c r="K17" s="149">
        <v>0.71</v>
      </c>
      <c r="L17" s="149"/>
      <c r="M17" s="149">
        <f>SUM(J5)</f>
        <v>20</v>
      </c>
      <c r="N17" s="86"/>
      <c r="O17" s="149">
        <f>SUM(Q17*S17*1.5)</f>
        <v>21.299999999999997</v>
      </c>
      <c r="P17" s="149" t="s">
        <v>163</v>
      </c>
      <c r="Q17" s="149">
        <v>0.71</v>
      </c>
      <c r="R17" s="149"/>
      <c r="S17" s="149">
        <f>SUM(J5)</f>
        <v>20</v>
      </c>
      <c r="T17" s="86"/>
      <c r="U17" s="149">
        <f>SUM(W17*Y17)</f>
        <v>24.740100000000002</v>
      </c>
      <c r="V17" s="149" t="s">
        <v>163</v>
      </c>
      <c r="W17" s="149">
        <v>1.9800000000000002E-2</v>
      </c>
      <c r="X17" s="149"/>
      <c r="Y17" s="149">
        <f>SUM(J1)</f>
        <v>1249.5</v>
      </c>
      <c r="Z17" s="40"/>
    </row>
    <row r="18" spans="1:27" ht="40.5" customHeight="1" outlineLevel="1">
      <c r="A18" s="29"/>
      <c r="B18" s="10" t="s">
        <v>14</v>
      </c>
      <c r="C18" s="12">
        <f>SUM(I18*3)</f>
        <v>71.100000000000009</v>
      </c>
      <c r="D18" s="12">
        <f>SUM(I18*2+O18)</f>
        <v>71.100000000000009</v>
      </c>
      <c r="E18" s="12">
        <f>SUM(O18*2+U18)</f>
        <v>71.100000000000009</v>
      </c>
      <c r="F18" s="12">
        <f>SUM(U18*3)</f>
        <v>71.100000000000009</v>
      </c>
      <c r="G18" s="76">
        <f>SUM(C18:F18)</f>
        <v>284.40000000000003</v>
      </c>
      <c r="H18" s="146" t="s">
        <v>154</v>
      </c>
      <c r="I18" s="149">
        <f>SUM(K18*M18)*1.5</f>
        <v>23.700000000000003</v>
      </c>
      <c r="J18" s="149" t="s">
        <v>163</v>
      </c>
      <c r="K18" s="149">
        <v>0.79</v>
      </c>
      <c r="L18" s="149"/>
      <c r="M18" s="149">
        <f>SUM(J5)</f>
        <v>20</v>
      </c>
      <c r="N18" s="86"/>
      <c r="O18" s="149">
        <f>SUM(Q18*S18)*1.5</f>
        <v>23.700000000000003</v>
      </c>
      <c r="P18" s="149" t="s">
        <v>163</v>
      </c>
      <c r="Q18" s="149">
        <v>0.79</v>
      </c>
      <c r="R18" s="149"/>
      <c r="S18" s="149">
        <f>SUM(J5)</f>
        <v>20</v>
      </c>
      <c r="T18" s="86"/>
      <c r="U18" s="149">
        <f>SUM(W18*Y18)*1.5</f>
        <v>23.700000000000003</v>
      </c>
      <c r="V18" s="149" t="s">
        <v>163</v>
      </c>
      <c r="W18" s="149">
        <v>0.79</v>
      </c>
      <c r="X18" s="149"/>
      <c r="Y18" s="149">
        <f>SUM(J5)</f>
        <v>20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175.8</v>
      </c>
      <c r="D20" s="22">
        <f t="shared" ref="D20:F20" si="3">SUM(D21:D22)</f>
        <v>175.8</v>
      </c>
      <c r="E20" s="22">
        <f t="shared" si="3"/>
        <v>175.8</v>
      </c>
      <c r="F20" s="22">
        <f t="shared" si="3"/>
        <v>175.8</v>
      </c>
      <c r="G20" s="8">
        <f>SUM(G21:G22)</f>
        <v>703.2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55.800000000000004</v>
      </c>
      <c r="D21" s="11">
        <f>SUM(M21*3)</f>
        <v>55.800000000000004</v>
      </c>
      <c r="E21" s="11">
        <f>SUM(M21*3)</f>
        <v>55.800000000000004</v>
      </c>
      <c r="F21" s="11">
        <f>SUM(M21*3)</f>
        <v>55.800000000000004</v>
      </c>
      <c r="G21" s="76">
        <f>SUM(C21:F21)</f>
        <v>223.20000000000002</v>
      </c>
      <c r="H21" s="145" t="s">
        <v>149</v>
      </c>
      <c r="I21" s="105">
        <f>SUM(J5)</f>
        <v>20</v>
      </c>
      <c r="J21" s="106"/>
      <c r="K21" s="243">
        <v>0.93</v>
      </c>
      <c r="L21" s="106"/>
      <c r="M21" s="107">
        <f>I21*K21</f>
        <v>18.600000000000001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120</v>
      </c>
      <c r="D22" s="26">
        <f>SUM(M22*3)</f>
        <v>120</v>
      </c>
      <c r="E22" s="26">
        <f>SUM(M22*3)</f>
        <v>120</v>
      </c>
      <c r="F22" s="26">
        <f>SUM(M22*3)</f>
        <v>120</v>
      </c>
      <c r="G22" s="77">
        <f>SUM(C22:F22)</f>
        <v>480</v>
      </c>
      <c r="H22" s="146" t="s">
        <v>156</v>
      </c>
      <c r="I22" s="108">
        <f>SUM(J5)</f>
        <v>20</v>
      </c>
      <c r="J22" s="109"/>
      <c r="K22" s="109">
        <v>2</v>
      </c>
      <c r="L22" s="109"/>
      <c r="M22" s="110">
        <f>I22*K22</f>
        <v>40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2736.4049999999997</v>
      </c>
      <c r="D23" s="22">
        <f t="shared" ref="D23:F23" si="4">SUM(D24:D25)</f>
        <v>2736.4049999999997</v>
      </c>
      <c r="E23" s="22">
        <f t="shared" si="4"/>
        <v>2736.4049999999997</v>
      </c>
      <c r="F23" s="22">
        <f t="shared" si="4"/>
        <v>2736.4049999999997</v>
      </c>
      <c r="G23" s="8">
        <f>SUM(G24:G25)</f>
        <v>10945.619999999999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2324.0699999999997</v>
      </c>
      <c r="D24" s="9">
        <f>SUM(M24*3)</f>
        <v>2324.0699999999997</v>
      </c>
      <c r="E24" s="9">
        <f>SUM(M24*3)</f>
        <v>2324.0699999999997</v>
      </c>
      <c r="F24" s="9">
        <f>SUM(M24*3)</f>
        <v>2324.0699999999997</v>
      </c>
      <c r="G24" s="76">
        <f t="shared" ref="G24:G25" si="5">SUM(C24:F24)</f>
        <v>9296.2799999999988</v>
      </c>
      <c r="H24" s="148" t="s">
        <v>158</v>
      </c>
      <c r="I24" s="99">
        <f>SUM(J1)</f>
        <v>1249.5</v>
      </c>
      <c r="J24" s="100"/>
      <c r="K24" s="106">
        <v>0.62</v>
      </c>
      <c r="L24" s="106"/>
      <c r="M24" s="101">
        <f>SUM(I24*K24)</f>
        <v>774.68999999999994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412.33499999999998</v>
      </c>
      <c r="D25" s="26">
        <f>SUM(M25*3)</f>
        <v>412.33499999999998</v>
      </c>
      <c r="E25" s="26">
        <f>SUM(M25*3)</f>
        <v>412.33499999999998</v>
      </c>
      <c r="F25" s="26">
        <f>SUM(M25*3)</f>
        <v>412.33499999999998</v>
      </c>
      <c r="G25" s="77">
        <f t="shared" si="5"/>
        <v>1649.34</v>
      </c>
      <c r="H25" s="148" t="s">
        <v>159</v>
      </c>
      <c r="I25" s="102">
        <f>SUM(J1)</f>
        <v>1249.5</v>
      </c>
      <c r="J25" s="104"/>
      <c r="K25" s="109">
        <v>0.11</v>
      </c>
      <c r="L25" s="109"/>
      <c r="M25" s="101">
        <f>SUM(I25*K25)</f>
        <v>137.44499999999999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6">SUM(D27:D28)</f>
        <v>0</v>
      </c>
      <c r="E26" s="30">
        <f t="shared" si="6"/>
        <v>0</v>
      </c>
      <c r="F26" s="30">
        <f t="shared" si="6"/>
        <v>0</v>
      </c>
      <c r="G26" s="37">
        <f t="shared" ref="G26:G29" si="7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7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7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3894.3473399999998</v>
      </c>
      <c r="D29" s="50">
        <f>D9+D16+D20+D23+D26</f>
        <v>3865.0323399999997</v>
      </c>
      <c r="E29" s="50">
        <f>E9+E16+E20+E23+E26</f>
        <v>3887.4030149999999</v>
      </c>
      <c r="F29" s="50">
        <f>F9+F16+F20+F23+F26</f>
        <v>4049.4043649999994</v>
      </c>
      <c r="G29" s="51">
        <f t="shared" si="7"/>
        <v>15696.18706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944.48823737004136</v>
      </c>
      <c r="D31" s="62">
        <f>SUM(D32:D35)</f>
        <v>933.09243737004135</v>
      </c>
      <c r="E31" s="62">
        <f>SUM(E32:E35)</f>
        <v>939.85548737004115</v>
      </c>
      <c r="F31" s="62">
        <f>SUM(F32:F35)</f>
        <v>998.96478737004122</v>
      </c>
      <c r="G31" s="62">
        <f>SUM(G32:G35)</f>
        <v>3816.4009494801649</v>
      </c>
    </row>
    <row r="32" spans="1:27" ht="20.100000000000001" customHeight="1">
      <c r="A32" s="44"/>
      <c r="B32" s="10" t="s">
        <v>3</v>
      </c>
      <c r="C32" s="42">
        <f>C10</f>
        <v>495.5517000000001</v>
      </c>
      <c r="D32" s="42">
        <f>D10</f>
        <v>485.05590000000007</v>
      </c>
      <c r="E32" s="42">
        <f>E10</f>
        <v>464.0643</v>
      </c>
      <c r="F32" s="42">
        <f>F10</f>
        <v>464.0643</v>
      </c>
      <c r="G32" s="72">
        <f>SUM(C32:F32)</f>
        <v>1908.7362000000003</v>
      </c>
    </row>
    <row r="33" spans="1:10" ht="20.100000000000001" customHeight="1">
      <c r="A33" s="44"/>
      <c r="B33" s="10" t="s">
        <v>10</v>
      </c>
      <c r="C33" s="42">
        <f t="shared" ref="C33:F33" si="8">C13</f>
        <v>66.599999999999994</v>
      </c>
      <c r="D33" s="42">
        <f t="shared" si="8"/>
        <v>65.699999999999989</v>
      </c>
      <c r="E33" s="42">
        <f t="shared" si="8"/>
        <v>93.454649999999987</v>
      </c>
      <c r="F33" s="42">
        <f t="shared" si="8"/>
        <v>152.56395000000001</v>
      </c>
      <c r="G33" s="72">
        <f>SUM(C33:F33)</f>
        <v>378.31859999999995</v>
      </c>
    </row>
    <row r="34" spans="1:10" ht="57.75" customHeight="1">
      <c r="A34" s="44"/>
      <c r="B34" s="10" t="s">
        <v>46</v>
      </c>
      <c r="C34" s="42">
        <f>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2">
        <f>SUM(C34:F34)</f>
        <v>1529.3461494801647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9">SUM(D37:D38)</f>
        <v>0</v>
      </c>
      <c r="E36" s="62">
        <f t="shared" si="9"/>
        <v>0</v>
      </c>
      <c r="F36" s="62">
        <f t="shared" si="9"/>
        <v>0</v>
      </c>
      <c r="G36" s="62">
        <f t="shared" si="9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175.8</v>
      </c>
      <c r="D39" s="62">
        <f t="shared" ref="D39:G39" si="10">SUM(D40:D41)</f>
        <v>175.8</v>
      </c>
      <c r="E39" s="62">
        <f t="shared" si="10"/>
        <v>175.8</v>
      </c>
      <c r="F39" s="62">
        <f t="shared" si="10"/>
        <v>175.8</v>
      </c>
      <c r="G39" s="62">
        <f t="shared" si="10"/>
        <v>703.2</v>
      </c>
    </row>
    <row r="40" spans="1:10" ht="20.100000000000001" customHeight="1">
      <c r="A40" s="44"/>
      <c r="B40" s="10" t="s">
        <v>45</v>
      </c>
      <c r="C40" s="42">
        <f t="shared" ref="C40:F41" si="11">C21</f>
        <v>55.800000000000004</v>
      </c>
      <c r="D40" s="42">
        <f t="shared" si="11"/>
        <v>55.800000000000004</v>
      </c>
      <c r="E40" s="42">
        <f t="shared" si="11"/>
        <v>55.800000000000004</v>
      </c>
      <c r="F40" s="42">
        <f t="shared" si="11"/>
        <v>55.800000000000004</v>
      </c>
      <c r="G40" s="72">
        <f>SUM(C40:F40)</f>
        <v>223.20000000000002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1"/>
        <v>120</v>
      </c>
      <c r="D41" s="55">
        <f t="shared" si="11"/>
        <v>120</v>
      </c>
      <c r="E41" s="55">
        <f t="shared" si="11"/>
        <v>120</v>
      </c>
      <c r="F41" s="55">
        <f t="shared" si="11"/>
        <v>120</v>
      </c>
      <c r="G41" s="72">
        <f>SUM(C41:F41)</f>
        <v>480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2324.0699999999997</v>
      </c>
      <c r="D42" s="62">
        <f>SUM(D43:D58)</f>
        <v>2324.0699999999997</v>
      </c>
      <c r="E42" s="62">
        <f>SUM(E43:E58)</f>
        <v>2324.0699999999997</v>
      </c>
      <c r="F42" s="62">
        <f>SUM(F43:F58)</f>
        <v>2324.0699999999997</v>
      </c>
      <c r="G42" s="64">
        <f t="shared" ref="G42:G51" si="12">SUM(C42:F42)</f>
        <v>9296.2799999999988</v>
      </c>
    </row>
    <row r="43" spans="1:10" ht="20.100000000000001" customHeight="1">
      <c r="A43" s="56"/>
      <c r="B43" s="47" t="s">
        <v>40</v>
      </c>
      <c r="C43" s="42">
        <f>C24</f>
        <v>2324.0699999999997</v>
      </c>
      <c r="D43" s="42">
        <f>D24</f>
        <v>2324.0699999999997</v>
      </c>
      <c r="E43" s="42">
        <f>E24</f>
        <v>2324.0699999999997</v>
      </c>
      <c r="F43" s="42">
        <f>F24</f>
        <v>2324.0699999999997</v>
      </c>
      <c r="G43" s="72">
        <f t="shared" si="12"/>
        <v>9296.2799999999988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2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2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2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2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2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2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2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3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3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3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3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3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3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4">D27*5/100</f>
        <v>0</v>
      </c>
      <c r="E58" s="55">
        <f t="shared" si="14"/>
        <v>0</v>
      </c>
      <c r="F58" s="55">
        <f t="shared" si="14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3444.358237370041</v>
      </c>
      <c r="D59" s="38">
        <f>D31+D36+D39+D42</f>
        <v>3432.9624373700408</v>
      </c>
      <c r="E59" s="38">
        <f>E31+E36+E39+E42</f>
        <v>3439.7254873700408</v>
      </c>
      <c r="F59" s="38">
        <f>F31+F36+F39+F42</f>
        <v>3498.8347873700409</v>
      </c>
      <c r="G59" s="39">
        <f>G31+G36+G39+G42</f>
        <v>13815.880949480164</v>
      </c>
    </row>
    <row r="60" spans="1:14" ht="26.1" hidden="1" customHeight="1" outlineLevel="1">
      <c r="A60" s="111"/>
      <c r="B60" s="70"/>
      <c r="C60" s="71">
        <f>C29-C59</f>
        <v>449.98910262995878</v>
      </c>
      <c r="D60" s="71">
        <f>D29-D59</f>
        <v>432.06990262995896</v>
      </c>
      <c r="E60" s="71">
        <f>E29-E59</f>
        <v>447.67752762995906</v>
      </c>
      <c r="F60" s="71">
        <f>F29-F59</f>
        <v>550.56957762995853</v>
      </c>
      <c r="G60" s="71">
        <f>G29-G59</f>
        <v>1880.3061105198358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1.62</v>
      </c>
      <c r="D77" s="65">
        <f>D16*1.2/100</f>
        <v>1.62</v>
      </c>
      <c r="E77" s="65">
        <f>E16*1.2/100</f>
        <v>1.6612811999999999</v>
      </c>
      <c r="F77" s="65">
        <f>F16*1.2/100</f>
        <v>1.7438436000000004</v>
      </c>
    </row>
    <row r="78" spans="1:15" hidden="1">
      <c r="A78" s="68"/>
      <c r="C78" s="65">
        <f>(C16-C77)*0.5/100</f>
        <v>0.66689999999999994</v>
      </c>
      <c r="D78" s="65">
        <f>(D16-D77)*0.5/100</f>
        <v>0.66689999999999994</v>
      </c>
      <c r="E78" s="65">
        <f>(E16-E77)*0.5/100</f>
        <v>0.68389409400000001</v>
      </c>
      <c r="F78" s="65">
        <f>(F16-F77)*0.5/100</f>
        <v>0.71788228200000015</v>
      </c>
    </row>
    <row r="79" spans="1:15" hidden="1">
      <c r="C79" s="3">
        <f>C9*1.2/100</f>
        <v>10.16570808</v>
      </c>
      <c r="D79" s="3">
        <f>D9*1.2/100</f>
        <v>9.8139280800000002</v>
      </c>
      <c r="E79" s="3">
        <f>E9*1.2/100</f>
        <v>10.041094979999999</v>
      </c>
      <c r="F79" s="3">
        <f>F9*1.2/100</f>
        <v>11.902548779999996</v>
      </c>
    </row>
    <row r="80" spans="1:15" s="3" customFormat="1" hidden="1">
      <c r="A80" s="2"/>
      <c r="B80" s="2"/>
      <c r="C80" s="3">
        <f>(C9-C79)*4/100</f>
        <v>33.479065276800007</v>
      </c>
      <c r="D80" s="3">
        <f>(D9-D79)*4/100</f>
        <v>32.320536476800001</v>
      </c>
      <c r="E80" s="3">
        <f>(E9-E79)*4/100</f>
        <v>33.068672800799995</v>
      </c>
      <c r="F80" s="3">
        <f>(F9-F79)*4/100</f>
        <v>39.199060648799993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45.931673356800005</v>
      </c>
      <c r="D81" s="3">
        <f t="shared" ref="D81:F81" si="15">SUM(D77:D80)</f>
        <v>44.4213645568</v>
      </c>
      <c r="E81" s="3">
        <f t="shared" si="15"/>
        <v>45.454943074799992</v>
      </c>
      <c r="F81" s="3">
        <f t="shared" si="15"/>
        <v>53.563335310799985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0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C105-0249-4E87-B031-66C0F86CBA28}">
  <sheetPr>
    <tabColor rgb="FFFFC000"/>
    <pageSetUpPr fitToPage="1"/>
  </sheetPr>
  <dimension ref="A1:AA81"/>
  <sheetViews>
    <sheetView showGridLines="0" view="pageBreakPreview" topLeftCell="A19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1425.9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16</v>
      </c>
      <c r="K4" s="150" t="s">
        <v>170</v>
      </c>
      <c r="L4" s="2">
        <f>SUM(J1/L1)</f>
        <v>71.295000000000002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18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881.94351600000016</v>
      </c>
      <c r="D9" s="22">
        <f t="shared" ref="D9:F9" si="0">SUM(D10:D15)</f>
        <v>853.02867600000013</v>
      </c>
      <c r="E9" s="22">
        <f t="shared" si="0"/>
        <v>896.29871099999991</v>
      </c>
      <c r="F9" s="22">
        <f t="shared" si="0"/>
        <v>1098.498141</v>
      </c>
      <c r="G9" s="22">
        <f>SUM(G10:G15)</f>
        <v>3729.7690440000001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565.5119400000001</v>
      </c>
      <c r="D10" s="12">
        <f>SUM(I10*2+O10*1)</f>
        <v>553.53438000000006</v>
      </c>
      <c r="E10" s="12">
        <f>SUM(O10*2)+U10*1</f>
        <v>529.57925999999998</v>
      </c>
      <c r="F10" s="12">
        <f>SUM(U10*3)</f>
        <v>529.57925999999998</v>
      </c>
      <c r="G10" s="75">
        <f>SUM(C10:F10)</f>
        <v>2178.2048400000003</v>
      </c>
      <c r="H10" s="144" t="s">
        <v>157</v>
      </c>
      <c r="I10" s="149">
        <f>SUM(M10*K10)</f>
        <v>188.50398000000004</v>
      </c>
      <c r="J10" s="149"/>
      <c r="K10" s="149">
        <v>0.13220000000000001</v>
      </c>
      <c r="L10" s="149"/>
      <c r="M10" s="154">
        <f>SUM(J1)</f>
        <v>1425.9</v>
      </c>
      <c r="N10" s="127"/>
      <c r="O10" s="149">
        <f>SUM(S10*Q10)</f>
        <v>176.52642</v>
      </c>
      <c r="P10" s="149" t="s">
        <v>161</v>
      </c>
      <c r="Q10" s="149">
        <v>0.12379999999999999</v>
      </c>
      <c r="R10" s="149"/>
      <c r="S10" s="154">
        <f>SUM(J1)</f>
        <v>1425.9</v>
      </c>
      <c r="T10" s="127"/>
      <c r="U10" s="149">
        <f>SUM(Y10*W10)</f>
        <v>176.52642</v>
      </c>
      <c r="V10" s="149" t="s">
        <v>161</v>
      </c>
      <c r="W10" s="149">
        <v>0.12379999999999999</v>
      </c>
      <c r="X10" s="149"/>
      <c r="Y10" s="154">
        <f>SUM(J1)</f>
        <v>1425.9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0.100000000000001" customHeight="1">
      <c r="A13" s="114"/>
      <c r="B13" s="10" t="s">
        <v>10</v>
      </c>
      <c r="C13" s="12">
        <f>SUM(I13*3)</f>
        <v>59.94</v>
      </c>
      <c r="D13" s="12">
        <f>SUM(I13*2+O13)</f>
        <v>59.129999999999995</v>
      </c>
      <c r="E13" s="12">
        <f>SUM(O13*2+U13)</f>
        <v>96.374130000000008</v>
      </c>
      <c r="F13" s="12">
        <f>SUM(U13*3)</f>
        <v>174.10239000000001</v>
      </c>
      <c r="G13" s="75">
        <f t="shared" ref="G13:G14" si="1">SUM(C13:F13)</f>
        <v>389.54651999999999</v>
      </c>
      <c r="H13" s="144" t="s">
        <v>152</v>
      </c>
      <c r="I13" s="149">
        <f>SUM(J5*1.5*K13)</f>
        <v>19.98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19.169999999999998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58.034130000000005</v>
      </c>
      <c r="V13" s="149" t="s">
        <v>161</v>
      </c>
      <c r="W13" s="149">
        <v>4.07E-2</v>
      </c>
      <c r="X13" s="149"/>
      <c r="Y13" s="154">
        <f>SUM(J1)</f>
        <v>1425.9</v>
      </c>
      <c r="Z13" s="41"/>
    </row>
    <row r="14" spans="1:26" ht="20.100000000000001" customHeight="1" outlineLevel="1">
      <c r="A14" s="24"/>
      <c r="B14" s="10" t="s">
        <v>11</v>
      </c>
      <c r="C14" s="12">
        <f>SUM(I14*3)</f>
        <v>127.71000000000002</v>
      </c>
      <c r="D14" s="12">
        <f>SUM(I14*2+O14)</f>
        <v>112.95000000000002</v>
      </c>
      <c r="E14" s="12">
        <f>SUM(O14*2+U14)</f>
        <v>145.66558499999999</v>
      </c>
      <c r="F14" s="12">
        <f>SUM(U14*3)</f>
        <v>270.13675499999999</v>
      </c>
      <c r="G14" s="75">
        <f t="shared" si="1"/>
        <v>656.46234000000004</v>
      </c>
      <c r="H14" s="144" t="s">
        <v>11</v>
      </c>
      <c r="I14" s="149">
        <f>SUM((K14+L14/2))*J5</f>
        <v>42.570000000000007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27.81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90.045585000000003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1425.9</v>
      </c>
      <c r="Z14" s="41"/>
    </row>
    <row r="15" spans="1:26" ht="20.100000000000001" customHeight="1" outlineLevel="1" thickBot="1">
      <c r="A15" s="24"/>
      <c r="B15" s="10" t="s">
        <v>12</v>
      </c>
      <c r="C15" s="9">
        <f>SUM(I15*3)</f>
        <v>128.781576</v>
      </c>
      <c r="D15" s="9">
        <f>SUM(I15*2+O15)</f>
        <v>127.41429599999999</v>
      </c>
      <c r="E15" s="9">
        <f>SUM(O15*2+U15)</f>
        <v>124.67973599999999</v>
      </c>
      <c r="F15" s="9">
        <f>SUM(U15*3)</f>
        <v>124.67973599999999</v>
      </c>
      <c r="G15" s="75">
        <f t="shared" ref="G15" si="2">SUM(C15:F15)</f>
        <v>505.55534399999999</v>
      </c>
      <c r="H15" s="144" t="s">
        <v>150</v>
      </c>
      <c r="I15" s="149">
        <f>SUM(J15*((K15+L15))/2)*M15</f>
        <v>42.927191999999998</v>
      </c>
      <c r="J15" s="149">
        <v>0.24</v>
      </c>
      <c r="K15" s="149">
        <v>9.2583000000000002</v>
      </c>
      <c r="L15" s="149">
        <v>10.615399999999999</v>
      </c>
      <c r="M15" s="149">
        <f>SUM(J5)</f>
        <v>18</v>
      </c>
      <c r="N15" s="86"/>
      <c r="O15" s="149">
        <f>SUM(P15*((Q15+R15)/2)*S15)</f>
        <v>41.559911999999997</v>
      </c>
      <c r="P15" s="149">
        <v>0.24</v>
      </c>
      <c r="Q15" s="149">
        <v>8.9418000000000006</v>
      </c>
      <c r="R15" s="149">
        <v>10.2989</v>
      </c>
      <c r="S15" s="149">
        <f>SUM(J5)</f>
        <v>18</v>
      </c>
      <c r="T15" s="86"/>
      <c r="U15" s="149">
        <f>SUM(V15*((W15+X15)/2)*Y15)</f>
        <v>41.559911999999997</v>
      </c>
      <c r="V15" s="149">
        <v>0.24</v>
      </c>
      <c r="W15" s="149">
        <v>8.9418000000000006</v>
      </c>
      <c r="X15" s="149">
        <v>10.2989</v>
      </c>
      <c r="Y15" s="149">
        <f>SUM(J5)</f>
        <v>18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121.5</v>
      </c>
      <c r="D16" s="35">
        <f t="shared" ref="D16:F16" si="3">SUM(D17:D19)</f>
        <v>121.5</v>
      </c>
      <c r="E16" s="35">
        <f t="shared" si="3"/>
        <v>121.5</v>
      </c>
      <c r="F16" s="35">
        <f t="shared" si="3"/>
        <v>121.5</v>
      </c>
      <c r="G16" s="35">
        <f t="shared" ref="G16" si="4">SUM(G17:G19)</f>
        <v>486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$I$17*3</f>
        <v>57.509999999999991</v>
      </c>
      <c r="D17" s="12">
        <f t="shared" ref="D17:F17" si="5">$I$17*3</f>
        <v>57.509999999999991</v>
      </c>
      <c r="E17" s="12">
        <f t="shared" si="5"/>
        <v>57.509999999999991</v>
      </c>
      <c r="F17" s="12">
        <f t="shared" si="5"/>
        <v>57.509999999999991</v>
      </c>
      <c r="G17" s="76">
        <f>SUM(C17:F17)</f>
        <v>230.03999999999996</v>
      </c>
      <c r="H17" s="146" t="s">
        <v>153</v>
      </c>
      <c r="I17" s="149">
        <f>SUM(K17*M17)*1.5</f>
        <v>19.169999999999998</v>
      </c>
      <c r="J17" s="149" t="s">
        <v>163</v>
      </c>
      <c r="K17" s="149">
        <v>0.71</v>
      </c>
      <c r="L17" s="149"/>
      <c r="M17" s="149">
        <f>SUM(J5)</f>
        <v>18</v>
      </c>
      <c r="N17" s="86"/>
      <c r="O17" s="149">
        <f>SUM(Q17*S17*1.5)</f>
        <v>19.169999999999998</v>
      </c>
      <c r="P17" s="149" t="s">
        <v>163</v>
      </c>
      <c r="Q17" s="149">
        <v>0.71</v>
      </c>
      <c r="R17" s="149"/>
      <c r="S17" s="149">
        <f>SUM(J5)</f>
        <v>18</v>
      </c>
      <c r="T17" s="86"/>
      <c r="U17" s="149">
        <f>SUM(W17*Y17)</f>
        <v>28.232820000000004</v>
      </c>
      <c r="V17" s="149" t="s">
        <v>163</v>
      </c>
      <c r="W17" s="149">
        <v>1.9800000000000002E-2</v>
      </c>
      <c r="X17" s="149"/>
      <c r="Y17" s="149">
        <f>SUM(J1)</f>
        <v>1425.9</v>
      </c>
      <c r="Z17" s="40"/>
    </row>
    <row r="18" spans="1:27" ht="40.5" customHeight="1" outlineLevel="1">
      <c r="A18" s="29"/>
      <c r="B18" s="10" t="s">
        <v>14</v>
      </c>
      <c r="C18" s="9">
        <f>$I$18*3</f>
        <v>63.990000000000009</v>
      </c>
      <c r="D18" s="9">
        <f t="shared" ref="D18:F18" si="6">$I$18*3</f>
        <v>63.990000000000009</v>
      </c>
      <c r="E18" s="9">
        <f t="shared" si="6"/>
        <v>63.990000000000009</v>
      </c>
      <c r="F18" s="9">
        <f t="shared" si="6"/>
        <v>63.990000000000009</v>
      </c>
      <c r="G18" s="76">
        <f>SUM(C18:F18)</f>
        <v>255.96000000000004</v>
      </c>
      <c r="H18" s="146" t="s">
        <v>154</v>
      </c>
      <c r="I18" s="149">
        <f>SUM(K18*M18)*1.5</f>
        <v>21.330000000000002</v>
      </c>
      <c r="J18" s="149" t="s">
        <v>163</v>
      </c>
      <c r="K18" s="149">
        <v>0.79</v>
      </c>
      <c r="L18" s="149"/>
      <c r="M18" s="149">
        <f>SUM(J5)</f>
        <v>18</v>
      </c>
      <c r="N18" s="86"/>
      <c r="O18" s="149">
        <f>SUM(Q18*S18)*1.5</f>
        <v>21.330000000000002</v>
      </c>
      <c r="P18" s="149" t="s">
        <v>163</v>
      </c>
      <c r="Q18" s="149">
        <v>0.79</v>
      </c>
      <c r="R18" s="149"/>
      <c r="S18" s="149">
        <f>SUM(J5)</f>
        <v>18</v>
      </c>
      <c r="T18" s="86"/>
      <c r="U18" s="149">
        <f>SUM(W18*Y18)*1.5</f>
        <v>21.330000000000002</v>
      </c>
      <c r="V18" s="149" t="s">
        <v>163</v>
      </c>
      <c r="W18" s="149">
        <v>0.79</v>
      </c>
      <c r="X18" s="149"/>
      <c r="Y18" s="149">
        <f>SUM(J5)</f>
        <v>18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158.22</v>
      </c>
      <c r="D20" s="22">
        <f t="shared" ref="D20:F20" si="7">SUM(D21:D22)</f>
        <v>158.22</v>
      </c>
      <c r="E20" s="22">
        <f t="shared" si="7"/>
        <v>158.22</v>
      </c>
      <c r="F20" s="22">
        <f t="shared" si="7"/>
        <v>158.22</v>
      </c>
      <c r="G20" s="8">
        <f>SUM(G21:G22)</f>
        <v>632.88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50.220000000000006</v>
      </c>
      <c r="D21" s="11">
        <f>SUM(M21*3)</f>
        <v>50.220000000000006</v>
      </c>
      <c r="E21" s="11">
        <f>SUM(M21*3)</f>
        <v>50.220000000000006</v>
      </c>
      <c r="F21" s="11">
        <f>SUM(M21*3)</f>
        <v>50.220000000000006</v>
      </c>
      <c r="G21" s="76">
        <f>SUM(C21:F21)</f>
        <v>200.88000000000002</v>
      </c>
      <c r="H21" s="145" t="s">
        <v>149</v>
      </c>
      <c r="I21" s="105">
        <f>SUM(J5)</f>
        <v>18</v>
      </c>
      <c r="J21" s="106"/>
      <c r="K21" s="243">
        <v>0.93</v>
      </c>
      <c r="L21" s="106"/>
      <c r="M21" s="107">
        <f>I21*K21</f>
        <v>16.740000000000002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108</v>
      </c>
      <c r="D22" s="26">
        <f>SUM(M22*3)</f>
        <v>108</v>
      </c>
      <c r="E22" s="26">
        <f>SUM(M22*3)</f>
        <v>108</v>
      </c>
      <c r="F22" s="26">
        <f>SUM(M22*3)</f>
        <v>108</v>
      </c>
      <c r="G22" s="77">
        <f>SUM(C22:F22)</f>
        <v>432</v>
      </c>
      <c r="H22" s="146" t="s">
        <v>156</v>
      </c>
      <c r="I22" s="108">
        <f>SUM(J5)</f>
        <v>18</v>
      </c>
      <c r="J22" s="109"/>
      <c r="K22" s="109">
        <v>2</v>
      </c>
      <c r="L22" s="109"/>
      <c r="M22" s="110">
        <f>I22*K22</f>
        <v>36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3122.7210000000005</v>
      </c>
      <c r="D23" s="22">
        <f t="shared" ref="D23:F23" si="8">SUM(D24:D25)</f>
        <v>3122.7210000000005</v>
      </c>
      <c r="E23" s="22">
        <f t="shared" si="8"/>
        <v>3122.7210000000005</v>
      </c>
      <c r="F23" s="22">
        <f t="shared" si="8"/>
        <v>3122.7210000000005</v>
      </c>
      <c r="G23" s="8">
        <f>SUM(G24:G25)</f>
        <v>12490.884000000002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2652.1740000000004</v>
      </c>
      <c r="D24" s="9">
        <f>SUM(M24*3)</f>
        <v>2652.1740000000004</v>
      </c>
      <c r="E24" s="9">
        <f>SUM(M24*3)</f>
        <v>2652.1740000000004</v>
      </c>
      <c r="F24" s="9">
        <f>SUM(M24*3)</f>
        <v>2652.1740000000004</v>
      </c>
      <c r="G24" s="76">
        <f t="shared" ref="G24:G25" si="9">SUM(C24:F24)</f>
        <v>10608.696000000002</v>
      </c>
      <c r="H24" s="148" t="s">
        <v>158</v>
      </c>
      <c r="I24" s="99">
        <f>SUM(J1)</f>
        <v>1425.9</v>
      </c>
      <c r="J24" s="100"/>
      <c r="K24" s="106">
        <v>0.62</v>
      </c>
      <c r="L24" s="106"/>
      <c r="M24" s="101">
        <f>SUM(I24*K24)</f>
        <v>884.05800000000011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470.54700000000003</v>
      </c>
      <c r="D25" s="26">
        <f>SUM(M25*3)</f>
        <v>470.54700000000003</v>
      </c>
      <c r="E25" s="26">
        <f>SUM(M25*3)</f>
        <v>470.54700000000003</v>
      </c>
      <c r="F25" s="26">
        <f>SUM(M25*3)</f>
        <v>470.54700000000003</v>
      </c>
      <c r="G25" s="77">
        <f t="shared" si="9"/>
        <v>1882.1880000000001</v>
      </c>
      <c r="H25" s="148" t="s">
        <v>159</v>
      </c>
      <c r="I25" s="102">
        <f>SUM(J1)</f>
        <v>1425.9</v>
      </c>
      <c r="J25" s="104"/>
      <c r="K25" s="109">
        <v>0.11</v>
      </c>
      <c r="L25" s="109"/>
      <c r="M25" s="101">
        <f>SUM(I25*K25)</f>
        <v>156.84900000000002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4284.3845160000001</v>
      </c>
      <c r="D29" s="50">
        <f>D9+D16+D20+D23+D26</f>
        <v>4255.4696760000006</v>
      </c>
      <c r="E29" s="50">
        <f>E9+E16+E20+E23+E26</f>
        <v>4298.7397110000002</v>
      </c>
      <c r="F29" s="50">
        <f>F9+F16+F20+F23+F26</f>
        <v>4500.9391410000007</v>
      </c>
      <c r="G29" s="51">
        <f t="shared" si="11"/>
        <v>17339.533044000003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1061.7654002928707</v>
      </c>
      <c r="D31" s="62">
        <f>SUM(D32:D35)</f>
        <v>1048.9778402928705</v>
      </c>
      <c r="E31" s="62">
        <f>SUM(E32:E35)</f>
        <v>1062.2668502928705</v>
      </c>
      <c r="F31" s="62">
        <f>SUM(F32:F35)</f>
        <v>1139.9951102928705</v>
      </c>
      <c r="G31" s="62">
        <f>SUM(G32:G35)</f>
        <v>4313.0052011714824</v>
      </c>
    </row>
    <row r="32" spans="1:27" ht="20.100000000000001" customHeight="1">
      <c r="A32" s="44"/>
      <c r="B32" s="10" t="s">
        <v>3</v>
      </c>
      <c r="C32" s="42">
        <f>C10</f>
        <v>565.5119400000001</v>
      </c>
      <c r="D32" s="42">
        <f>D10</f>
        <v>553.53438000000006</v>
      </c>
      <c r="E32" s="42">
        <f>E10</f>
        <v>529.57925999999998</v>
      </c>
      <c r="F32" s="42">
        <f>F10</f>
        <v>529.57925999999998</v>
      </c>
      <c r="G32" s="72">
        <f>SUM(C32:F32)</f>
        <v>2178.2048400000003</v>
      </c>
    </row>
    <row r="33" spans="1:10" ht="20.100000000000001" customHeight="1">
      <c r="A33" s="44"/>
      <c r="B33" s="10" t="s">
        <v>10</v>
      </c>
      <c r="C33" s="42">
        <f t="shared" ref="C33:F33" si="12">C13</f>
        <v>59.94</v>
      </c>
      <c r="D33" s="42">
        <f t="shared" si="12"/>
        <v>59.129999999999995</v>
      </c>
      <c r="E33" s="42">
        <f t="shared" si="12"/>
        <v>96.374130000000008</v>
      </c>
      <c r="F33" s="42">
        <f t="shared" si="12"/>
        <v>174.10239000000001</v>
      </c>
      <c r="G33" s="72">
        <f>SUM(C33:F33)</f>
        <v>389.54651999999999</v>
      </c>
    </row>
    <row r="34" spans="1:10" ht="57.75" customHeight="1">
      <c r="A34" s="44"/>
      <c r="B34" s="10" t="s">
        <v>46</v>
      </c>
      <c r="C34" s="42">
        <f>Лист15!D7</f>
        <v>436.31346029287056</v>
      </c>
      <c r="D34" s="42">
        <f>C34</f>
        <v>436.31346029287056</v>
      </c>
      <c r="E34" s="42">
        <f t="shared" ref="E34:F34" si="13">D34</f>
        <v>436.31346029287056</v>
      </c>
      <c r="F34" s="42">
        <f t="shared" si="13"/>
        <v>436.31346029287056</v>
      </c>
      <c r="G34" s="72">
        <f>SUM(C34:F34)</f>
        <v>1745.2538411714822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158.22</v>
      </c>
      <c r="D39" s="62">
        <f t="shared" ref="D39:G39" si="15">SUM(D40:D41)</f>
        <v>158.22</v>
      </c>
      <c r="E39" s="62">
        <f t="shared" si="15"/>
        <v>158.22</v>
      </c>
      <c r="F39" s="62">
        <f t="shared" si="15"/>
        <v>158.22</v>
      </c>
      <c r="G39" s="62">
        <f t="shared" si="15"/>
        <v>632.88</v>
      </c>
    </row>
    <row r="40" spans="1:10" ht="20.100000000000001" customHeight="1">
      <c r="A40" s="44"/>
      <c r="B40" s="10" t="s">
        <v>45</v>
      </c>
      <c r="C40" s="42">
        <f t="shared" ref="C40:F41" si="16">C21</f>
        <v>50.220000000000006</v>
      </c>
      <c r="D40" s="42">
        <f t="shared" si="16"/>
        <v>50.220000000000006</v>
      </c>
      <c r="E40" s="42">
        <f t="shared" si="16"/>
        <v>50.220000000000006</v>
      </c>
      <c r="F40" s="42">
        <f t="shared" si="16"/>
        <v>50.220000000000006</v>
      </c>
      <c r="G40" s="72">
        <f>SUM(C40:F40)</f>
        <v>200.88000000000002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6"/>
        <v>108</v>
      </c>
      <c r="D41" s="55">
        <f t="shared" si="16"/>
        <v>108</v>
      </c>
      <c r="E41" s="55">
        <f t="shared" si="16"/>
        <v>108</v>
      </c>
      <c r="F41" s="55">
        <f t="shared" si="16"/>
        <v>108</v>
      </c>
      <c r="G41" s="72">
        <f>SUM(C41:F41)</f>
        <v>432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2652.1740000000004</v>
      </c>
      <c r="D42" s="62">
        <f>SUM(D43:D58)</f>
        <v>2652.1740000000004</v>
      </c>
      <c r="E42" s="62">
        <f>SUM(E43:E58)</f>
        <v>2652.1740000000004</v>
      </c>
      <c r="F42" s="62">
        <f>SUM(F43:F58)</f>
        <v>2652.1740000000004</v>
      </c>
      <c r="G42" s="64">
        <f t="shared" ref="G42:G51" si="17">SUM(C42:F42)</f>
        <v>10608.696000000002</v>
      </c>
    </row>
    <row r="43" spans="1:10" ht="20.100000000000001" customHeight="1">
      <c r="A43" s="56"/>
      <c r="B43" s="47" t="s">
        <v>40</v>
      </c>
      <c r="C43" s="42">
        <f>C24</f>
        <v>2652.1740000000004</v>
      </c>
      <c r="D43" s="42">
        <f>D24</f>
        <v>2652.1740000000004</v>
      </c>
      <c r="E43" s="42">
        <f>E24</f>
        <v>2652.1740000000004</v>
      </c>
      <c r="F43" s="42">
        <f>F24</f>
        <v>2652.1740000000004</v>
      </c>
      <c r="G43" s="72">
        <f t="shared" si="17"/>
        <v>10608.696000000002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3872.1594002928714</v>
      </c>
      <c r="D59" s="38">
        <f>D31+D36+D39+D42</f>
        <v>3859.3718402928707</v>
      </c>
      <c r="E59" s="38">
        <f>E31+E36+E39+E42</f>
        <v>3872.6608502928711</v>
      </c>
      <c r="F59" s="38">
        <f>F31+F36+F39+F42</f>
        <v>3950.389110292871</v>
      </c>
      <c r="G59" s="39">
        <f>G31+G36+G39+G42</f>
        <v>15554.581201171484</v>
      </c>
    </row>
    <row r="60" spans="1:14" ht="26.1" hidden="1" customHeight="1" outlineLevel="1">
      <c r="A60" s="111"/>
      <c r="B60" s="70"/>
      <c r="C60" s="71">
        <f>C29-C59</f>
        <v>412.22511570712868</v>
      </c>
      <c r="D60" s="71">
        <f>D29-D59</f>
        <v>396.09783570712989</v>
      </c>
      <c r="E60" s="71">
        <f>E29-E59</f>
        <v>426.07886070712902</v>
      </c>
      <c r="F60" s="71">
        <f>F29-F59</f>
        <v>550.55003070712974</v>
      </c>
      <c r="G60" s="71">
        <f>G29-G59</f>
        <v>1784.9518428285191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1.4579999999999997</v>
      </c>
      <c r="D77" s="65">
        <f>D16*1.2/100</f>
        <v>1.4579999999999997</v>
      </c>
      <c r="E77" s="65">
        <f>E16*1.2/100</f>
        <v>1.4579999999999997</v>
      </c>
      <c r="F77" s="65">
        <f>F16*1.2/100</f>
        <v>1.4579999999999997</v>
      </c>
    </row>
    <row r="78" spans="1:15" hidden="1">
      <c r="A78" s="68"/>
      <c r="C78" s="65">
        <f>(C16-C77)*0.5/100</f>
        <v>0.60021000000000002</v>
      </c>
      <c r="D78" s="65">
        <f>(D16-D77)*0.5/100</f>
        <v>0.60021000000000002</v>
      </c>
      <c r="E78" s="65">
        <f>(E16-E77)*0.5/100</f>
        <v>0.60021000000000002</v>
      </c>
      <c r="F78" s="65">
        <f>(F16-F77)*0.5/100</f>
        <v>0.60021000000000002</v>
      </c>
    </row>
    <row r="79" spans="1:15" hidden="1">
      <c r="C79" s="3">
        <f>C9*1.2/100</f>
        <v>10.583322192000001</v>
      </c>
      <c r="D79" s="3">
        <f>D9*1.2/100</f>
        <v>10.236344112000001</v>
      </c>
      <c r="E79" s="3">
        <f>E9*1.2/100</f>
        <v>10.755584531999999</v>
      </c>
      <c r="F79" s="3">
        <f>F9*1.2/100</f>
        <v>13.181977692</v>
      </c>
    </row>
    <row r="80" spans="1:15" s="3" customFormat="1" hidden="1">
      <c r="A80" s="2"/>
      <c r="B80" s="2"/>
      <c r="C80" s="3">
        <f>(C9-C79)*4/100</f>
        <v>34.854407752320007</v>
      </c>
      <c r="D80" s="3">
        <f>(D9-D79)*4/100</f>
        <v>33.711693275520005</v>
      </c>
      <c r="E80" s="3">
        <f>(E9-E79)*4/100</f>
        <v>35.42172505872</v>
      </c>
      <c r="F80" s="3">
        <f>(F9-F79)*4/100</f>
        <v>43.412646532320004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47.495939944320007</v>
      </c>
      <c r="D81" s="3">
        <f t="shared" ref="D81:F81" si="20">SUM(D77:D80)</f>
        <v>46.006247387520006</v>
      </c>
      <c r="E81" s="3">
        <f t="shared" si="20"/>
        <v>48.235519590720003</v>
      </c>
      <c r="F81" s="3">
        <f t="shared" si="20"/>
        <v>58.652834224320003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AE0B-6F85-42E4-9058-A8E7D38C3210}">
  <sheetPr>
    <tabColor rgb="FFFFC000"/>
    <pageSetUpPr fitToPage="1"/>
  </sheetPr>
  <dimension ref="A1:AA81"/>
  <sheetViews>
    <sheetView showGridLines="0" view="pageBreakPreview" topLeftCell="A19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4" width="6.85546875" style="2" customWidth="1"/>
    <col min="15" max="16" width="13.42578125" style="2" customWidth="1"/>
    <col min="17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1419.4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17</v>
      </c>
      <c r="K4" s="150" t="s">
        <v>170</v>
      </c>
      <c r="L4" s="2">
        <f>SUM(J1/L1)</f>
        <v>70.97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18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879.36561600000016</v>
      </c>
      <c r="D9" s="22">
        <f t="shared" ref="D9:F9" si="0">SUM(D10:D15)</f>
        <v>850.50537600000007</v>
      </c>
      <c r="E9" s="22">
        <f t="shared" si="0"/>
        <v>893.20958600000017</v>
      </c>
      <c r="F9" s="22">
        <f t="shared" si="0"/>
        <v>1094.0589660000001</v>
      </c>
      <c r="G9" s="22">
        <f>SUM(G10:G15)</f>
        <v>3717.1395440000001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562.9340400000001</v>
      </c>
      <c r="D10" s="12">
        <f>SUM(I10*2+O10*1)</f>
        <v>551.01107999999999</v>
      </c>
      <c r="E10" s="12">
        <f>SUM(O10*2)+U10*1</f>
        <v>527.16516000000001</v>
      </c>
      <c r="F10" s="12">
        <f>SUM(U10*3)</f>
        <v>527.16516000000001</v>
      </c>
      <c r="G10" s="75">
        <f>SUM(C10:F10)</f>
        <v>2168.2754400000003</v>
      </c>
      <c r="H10" s="144" t="s">
        <v>157</v>
      </c>
      <c r="I10" s="149">
        <f>SUM(M10*K10)</f>
        <v>187.64468000000002</v>
      </c>
      <c r="J10" s="149"/>
      <c r="K10" s="149">
        <v>0.13220000000000001</v>
      </c>
      <c r="L10" s="149"/>
      <c r="M10" s="154">
        <f>SUM(J1)</f>
        <v>1419.4</v>
      </c>
      <c r="N10" s="127"/>
      <c r="O10" s="149">
        <f>SUM(S10*Q10)</f>
        <v>175.72172</v>
      </c>
      <c r="P10" s="149" t="s">
        <v>161</v>
      </c>
      <c r="Q10" s="149">
        <v>0.12379999999999999</v>
      </c>
      <c r="R10" s="149"/>
      <c r="S10" s="154">
        <f>SUM(J1)</f>
        <v>1419.4</v>
      </c>
      <c r="T10" s="127"/>
      <c r="U10" s="149">
        <f>SUM(Y10*W10)</f>
        <v>175.72172</v>
      </c>
      <c r="V10" s="149" t="s">
        <v>161</v>
      </c>
      <c r="W10" s="149">
        <v>0.12379999999999999</v>
      </c>
      <c r="X10" s="149"/>
      <c r="Y10" s="154">
        <f>SUM(J1)</f>
        <v>1419.4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0.100000000000001" customHeight="1">
      <c r="A13" s="114"/>
      <c r="B13" s="10" t="s">
        <v>10</v>
      </c>
      <c r="C13" s="12">
        <f>SUM(I13*3)</f>
        <v>59.94</v>
      </c>
      <c r="D13" s="12">
        <f>SUM(I13*2+O13)</f>
        <v>59.129999999999995</v>
      </c>
      <c r="E13" s="12">
        <f>SUM(O13*2+U13)</f>
        <v>96.109579999999994</v>
      </c>
      <c r="F13" s="12">
        <f>SUM(U13*3)</f>
        <v>173.30874</v>
      </c>
      <c r="G13" s="75">
        <f t="shared" ref="G13:G14" si="1">SUM(C13:F13)</f>
        <v>388.48831999999999</v>
      </c>
      <c r="H13" s="144" t="s">
        <v>152</v>
      </c>
      <c r="I13" s="149">
        <f>SUM(J5*1.5*K13)</f>
        <v>19.98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19.169999999999998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57.769580000000005</v>
      </c>
      <c r="V13" s="149" t="s">
        <v>161</v>
      </c>
      <c r="W13" s="149">
        <v>4.07E-2</v>
      </c>
      <c r="X13" s="149"/>
      <c r="Y13" s="154">
        <f>SUM(J1)</f>
        <v>1419.4</v>
      </c>
      <c r="Z13" s="41"/>
    </row>
    <row r="14" spans="1:26" ht="20.100000000000001" customHeight="1" outlineLevel="1">
      <c r="A14" s="24"/>
      <c r="B14" s="10" t="s">
        <v>11</v>
      </c>
      <c r="C14" s="12">
        <f>SUM(I14*3)</f>
        <v>127.71000000000002</v>
      </c>
      <c r="D14" s="12">
        <f>SUM(I14*2+O14)</f>
        <v>112.95000000000002</v>
      </c>
      <c r="E14" s="12">
        <f>SUM(O14*2+U14)</f>
        <v>145.25511</v>
      </c>
      <c r="F14" s="12">
        <f>SUM(U14*3)</f>
        <v>268.90532999999999</v>
      </c>
      <c r="G14" s="75">
        <f t="shared" si="1"/>
        <v>654.82043999999996</v>
      </c>
      <c r="H14" s="144" t="s">
        <v>11</v>
      </c>
      <c r="I14" s="149">
        <f>SUM((K14+L14/2))*J5</f>
        <v>42.570000000000007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27.81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89.635109999999997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1419.4</v>
      </c>
      <c r="Z14" s="41"/>
    </row>
    <row r="15" spans="1:26" ht="20.100000000000001" customHeight="1" outlineLevel="1" thickBot="1">
      <c r="A15" s="24"/>
      <c r="B15" s="10" t="s">
        <v>12</v>
      </c>
      <c r="C15" s="9">
        <f>SUM(I15*3)</f>
        <v>128.781576</v>
      </c>
      <c r="D15" s="9">
        <f>SUM(I15*2+O15)</f>
        <v>127.41429599999999</v>
      </c>
      <c r="E15" s="9">
        <f>SUM(O15*2+U15)</f>
        <v>124.67973599999999</v>
      </c>
      <c r="F15" s="9">
        <f>SUM(U15*3)</f>
        <v>124.67973599999999</v>
      </c>
      <c r="G15" s="75">
        <f t="shared" ref="G15" si="2">SUM(C15:F15)</f>
        <v>505.55534399999999</v>
      </c>
      <c r="H15" s="144" t="s">
        <v>150</v>
      </c>
      <c r="I15" s="149">
        <f>SUM(J15*((K15+L15))/2)*M15</f>
        <v>42.927191999999998</v>
      </c>
      <c r="J15" s="149">
        <v>0.24</v>
      </c>
      <c r="K15" s="149">
        <v>9.2583000000000002</v>
      </c>
      <c r="L15" s="149">
        <v>10.615399999999999</v>
      </c>
      <c r="M15" s="149">
        <f>SUM(J5)</f>
        <v>18</v>
      </c>
      <c r="N15" s="86"/>
      <c r="O15" s="149">
        <f>SUM(P15*((Q15+R15)/2)*S15)</f>
        <v>41.559911999999997</v>
      </c>
      <c r="P15" s="149">
        <v>0.24</v>
      </c>
      <c r="Q15" s="149">
        <v>8.9418000000000006</v>
      </c>
      <c r="R15" s="149">
        <v>10.2989</v>
      </c>
      <c r="S15" s="149">
        <f>SUM(J5)</f>
        <v>18</v>
      </c>
      <c r="T15" s="86"/>
      <c r="U15" s="149">
        <f>SUM(V15*((W15+X15)/2)*Y15)</f>
        <v>41.559911999999997</v>
      </c>
      <c r="V15" s="149">
        <v>0.24</v>
      </c>
      <c r="W15" s="149">
        <v>8.9418000000000006</v>
      </c>
      <c r="X15" s="149">
        <v>10.2989</v>
      </c>
      <c r="Y15" s="149">
        <f>SUM(J5)</f>
        <v>18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121.5</v>
      </c>
      <c r="D16" s="35">
        <f t="shared" ref="D16:F16" si="3">SUM(D17:D19)</f>
        <v>121.5</v>
      </c>
      <c r="E16" s="35">
        <f t="shared" si="3"/>
        <v>121.5</v>
      </c>
      <c r="F16" s="35">
        <f t="shared" si="3"/>
        <v>121.5</v>
      </c>
      <c r="G16" s="35">
        <f t="shared" ref="G16" si="4">SUM(G17:G19)</f>
        <v>486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$I$17*3</f>
        <v>57.509999999999991</v>
      </c>
      <c r="D17" s="12">
        <f t="shared" ref="D17:F17" si="5">$I$17*3</f>
        <v>57.509999999999991</v>
      </c>
      <c r="E17" s="12">
        <f t="shared" si="5"/>
        <v>57.509999999999991</v>
      </c>
      <c r="F17" s="12">
        <f t="shared" si="5"/>
        <v>57.509999999999991</v>
      </c>
      <c r="G17" s="76">
        <f>SUM(C17:F17)</f>
        <v>230.03999999999996</v>
      </c>
      <c r="H17" s="146" t="s">
        <v>153</v>
      </c>
      <c r="I17" s="149">
        <f>SUM(K17*M17)*1.5</f>
        <v>19.169999999999998</v>
      </c>
      <c r="J17" s="149" t="s">
        <v>163</v>
      </c>
      <c r="K17" s="149">
        <v>0.71</v>
      </c>
      <c r="L17" s="149"/>
      <c r="M17" s="149">
        <f>SUM(J5)</f>
        <v>18</v>
      </c>
      <c r="N17" s="86"/>
      <c r="O17" s="149">
        <f>SUM(Q17*S17*1.5)</f>
        <v>19.169999999999998</v>
      </c>
      <c r="P17" s="149" t="s">
        <v>163</v>
      </c>
      <c r="Q17" s="149">
        <v>0.71</v>
      </c>
      <c r="R17" s="149"/>
      <c r="S17" s="149">
        <f>SUM(J5)</f>
        <v>18</v>
      </c>
      <c r="T17" s="86"/>
      <c r="U17" s="149">
        <f>SUM(W17*Y17)</f>
        <v>28.104120000000005</v>
      </c>
      <c r="V17" s="149" t="s">
        <v>163</v>
      </c>
      <c r="W17" s="149">
        <v>1.9800000000000002E-2</v>
      </c>
      <c r="X17" s="149"/>
      <c r="Y17" s="149">
        <f>SUM(J1)</f>
        <v>1419.4</v>
      </c>
      <c r="Z17" s="40"/>
    </row>
    <row r="18" spans="1:27" ht="40.5" customHeight="1" outlineLevel="1">
      <c r="A18" s="29"/>
      <c r="B18" s="10" t="s">
        <v>14</v>
      </c>
      <c r="C18" s="9">
        <f>$I$18*3</f>
        <v>63.990000000000009</v>
      </c>
      <c r="D18" s="9">
        <f t="shared" ref="D18:F18" si="6">$I$18*3</f>
        <v>63.990000000000009</v>
      </c>
      <c r="E18" s="9">
        <f t="shared" si="6"/>
        <v>63.990000000000009</v>
      </c>
      <c r="F18" s="9">
        <f t="shared" si="6"/>
        <v>63.990000000000009</v>
      </c>
      <c r="G18" s="76">
        <f>SUM(C18:F18)</f>
        <v>255.96000000000004</v>
      </c>
      <c r="H18" s="146" t="s">
        <v>154</v>
      </c>
      <c r="I18" s="149">
        <f>SUM(K18*M18)*1.5</f>
        <v>21.330000000000002</v>
      </c>
      <c r="J18" s="149" t="s">
        <v>163</v>
      </c>
      <c r="K18" s="149">
        <v>0.79</v>
      </c>
      <c r="L18" s="149"/>
      <c r="M18" s="149">
        <f>SUM(J5)</f>
        <v>18</v>
      </c>
      <c r="N18" s="86"/>
      <c r="O18" s="149">
        <f>SUM(Q18*S18)*1.5</f>
        <v>21.330000000000002</v>
      </c>
      <c r="P18" s="149" t="s">
        <v>163</v>
      </c>
      <c r="Q18" s="149">
        <v>0.79</v>
      </c>
      <c r="R18" s="149"/>
      <c r="S18" s="149">
        <f>SUM(J5)</f>
        <v>18</v>
      </c>
      <c r="T18" s="86"/>
      <c r="U18" s="149">
        <f>SUM(W18*Y18)*1.5</f>
        <v>21.330000000000002</v>
      </c>
      <c r="V18" s="149" t="s">
        <v>163</v>
      </c>
      <c r="W18" s="149">
        <v>0.79</v>
      </c>
      <c r="X18" s="149"/>
      <c r="Y18" s="149">
        <f>SUM(J5)</f>
        <v>18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158.22</v>
      </c>
      <c r="D20" s="22">
        <f t="shared" ref="D20:F20" si="7">SUM(D21:D22)</f>
        <v>158.22</v>
      </c>
      <c r="E20" s="22">
        <f t="shared" si="7"/>
        <v>158.22</v>
      </c>
      <c r="F20" s="22">
        <f t="shared" si="7"/>
        <v>158.22</v>
      </c>
      <c r="G20" s="8">
        <f>SUM(G21:G22)</f>
        <v>632.88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50.220000000000006</v>
      </c>
      <c r="D21" s="11">
        <f>SUM(M21*3)</f>
        <v>50.220000000000006</v>
      </c>
      <c r="E21" s="11">
        <f>SUM(M21*3)</f>
        <v>50.220000000000006</v>
      </c>
      <c r="F21" s="11">
        <f>SUM(M21*3)</f>
        <v>50.220000000000006</v>
      </c>
      <c r="G21" s="76">
        <f>SUM(C21:F21)</f>
        <v>200.88000000000002</v>
      </c>
      <c r="H21" s="145" t="s">
        <v>149</v>
      </c>
      <c r="I21" s="105">
        <f>SUM(J5)</f>
        <v>18</v>
      </c>
      <c r="J21" s="106"/>
      <c r="K21" s="243">
        <v>0.93</v>
      </c>
      <c r="L21" s="106"/>
      <c r="M21" s="107">
        <f>I21*K21</f>
        <v>16.740000000000002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108</v>
      </c>
      <c r="D22" s="26">
        <f>SUM(M22*3)</f>
        <v>108</v>
      </c>
      <c r="E22" s="26">
        <f>SUM(M22*3)</f>
        <v>108</v>
      </c>
      <c r="F22" s="26">
        <f>SUM(M22*3)</f>
        <v>108</v>
      </c>
      <c r="G22" s="77">
        <f>SUM(C22:F22)</f>
        <v>432</v>
      </c>
      <c r="H22" s="146" t="s">
        <v>156</v>
      </c>
      <c r="I22" s="108">
        <f>SUM(J5)</f>
        <v>18</v>
      </c>
      <c r="J22" s="109"/>
      <c r="K22" s="109">
        <v>2</v>
      </c>
      <c r="L22" s="109"/>
      <c r="M22" s="110">
        <f>I22*K22</f>
        <v>36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3108.4859999999999</v>
      </c>
      <c r="D23" s="22">
        <f t="shared" ref="D23:F23" si="8">SUM(D24:D25)</f>
        <v>3108.4859999999999</v>
      </c>
      <c r="E23" s="22">
        <f t="shared" si="8"/>
        <v>3108.4859999999999</v>
      </c>
      <c r="F23" s="22">
        <f t="shared" si="8"/>
        <v>3108.4859999999999</v>
      </c>
      <c r="G23" s="8">
        <f>SUM(G24:G25)</f>
        <v>12433.944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2640.0839999999998</v>
      </c>
      <c r="D24" s="9">
        <f>SUM(M24*3)</f>
        <v>2640.0839999999998</v>
      </c>
      <c r="E24" s="9">
        <f>SUM(M24*3)</f>
        <v>2640.0839999999998</v>
      </c>
      <c r="F24" s="9">
        <f>SUM(M24*3)</f>
        <v>2640.0839999999998</v>
      </c>
      <c r="G24" s="76">
        <f t="shared" ref="G24:G25" si="9">SUM(C24:F24)</f>
        <v>10560.335999999999</v>
      </c>
      <c r="H24" s="148" t="s">
        <v>158</v>
      </c>
      <c r="I24" s="99">
        <f>SUM(J1)</f>
        <v>1419.4</v>
      </c>
      <c r="J24" s="100"/>
      <c r="K24" s="106">
        <v>0.62</v>
      </c>
      <c r="L24" s="106"/>
      <c r="M24" s="101">
        <f>SUM(I24*K24)</f>
        <v>880.02800000000002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468.40200000000004</v>
      </c>
      <c r="D25" s="26">
        <f>SUM(M25*3)</f>
        <v>468.40200000000004</v>
      </c>
      <c r="E25" s="26">
        <f>SUM(M25*3)</f>
        <v>468.40200000000004</v>
      </c>
      <c r="F25" s="26">
        <f>SUM(M25*3)</f>
        <v>468.40200000000004</v>
      </c>
      <c r="G25" s="77">
        <f t="shared" si="9"/>
        <v>1873.6080000000002</v>
      </c>
      <c r="H25" s="148" t="s">
        <v>159</v>
      </c>
      <c r="I25" s="102">
        <f>SUM(J1)</f>
        <v>1419.4</v>
      </c>
      <c r="J25" s="104"/>
      <c r="K25" s="109">
        <v>0.11</v>
      </c>
      <c r="L25" s="109"/>
      <c r="M25" s="101">
        <f>SUM(I25*K25)</f>
        <v>156.13400000000001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4267.5716160000002</v>
      </c>
      <c r="D29" s="50">
        <f>D9+D16+D20+D23+D26</f>
        <v>4238.7113760000002</v>
      </c>
      <c r="E29" s="50">
        <f>E9+E16+E20+E23+E26</f>
        <v>4281.4155860000001</v>
      </c>
      <c r="F29" s="50">
        <f>F9+F16+F20+F23+F26</f>
        <v>4482.2649659999997</v>
      </c>
      <c r="G29" s="51">
        <f t="shared" si="11"/>
        <v>17269.963543999998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1057.1985547203176</v>
      </c>
      <c r="D31" s="62">
        <f>SUM(D32:D35)</f>
        <v>1044.4655947203173</v>
      </c>
      <c r="E31" s="62">
        <f>SUM(E32:E35)</f>
        <v>1057.5992547203173</v>
      </c>
      <c r="F31" s="62">
        <f>SUM(F32:F35)</f>
        <v>1134.7984147203174</v>
      </c>
      <c r="G31" s="62">
        <f>SUM(G32:G35)</f>
        <v>4294.0618188812696</v>
      </c>
    </row>
    <row r="32" spans="1:27" ht="20.100000000000001" customHeight="1">
      <c r="A32" s="44"/>
      <c r="B32" s="10" t="s">
        <v>3</v>
      </c>
      <c r="C32" s="42">
        <f>C10</f>
        <v>562.9340400000001</v>
      </c>
      <c r="D32" s="42">
        <f>D10</f>
        <v>551.01107999999999</v>
      </c>
      <c r="E32" s="42">
        <f>E10</f>
        <v>527.16516000000001</v>
      </c>
      <c r="F32" s="42">
        <f>F10</f>
        <v>527.16516000000001</v>
      </c>
      <c r="G32" s="72">
        <f>SUM(C32:F32)</f>
        <v>2168.2754400000003</v>
      </c>
    </row>
    <row r="33" spans="1:10" ht="20.100000000000001" customHeight="1">
      <c r="A33" s="44"/>
      <c r="B33" s="10" t="s">
        <v>10</v>
      </c>
      <c r="C33" s="42">
        <f t="shared" ref="C33:F33" si="12">C13</f>
        <v>59.94</v>
      </c>
      <c r="D33" s="42">
        <f t="shared" si="12"/>
        <v>59.129999999999995</v>
      </c>
      <c r="E33" s="42">
        <f t="shared" si="12"/>
        <v>96.109579999999994</v>
      </c>
      <c r="F33" s="42">
        <f t="shared" si="12"/>
        <v>173.30874</v>
      </c>
      <c r="G33" s="72">
        <f>SUM(C33:F33)</f>
        <v>388.48831999999999</v>
      </c>
    </row>
    <row r="34" spans="1:10" ht="57.75" customHeight="1">
      <c r="A34" s="44"/>
      <c r="B34" s="10" t="s">
        <v>46</v>
      </c>
      <c r="C34" s="42">
        <f>Лист15!D8</f>
        <v>434.32451472031732</v>
      </c>
      <c r="D34" s="42">
        <f>C34</f>
        <v>434.32451472031732</v>
      </c>
      <c r="E34" s="42">
        <f t="shared" ref="E34:F34" si="13">D34</f>
        <v>434.32451472031732</v>
      </c>
      <c r="F34" s="42">
        <f t="shared" si="13"/>
        <v>434.32451472031732</v>
      </c>
      <c r="G34" s="72">
        <f>SUM(C34:F34)</f>
        <v>1737.2980588812693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158.22</v>
      </c>
      <c r="D39" s="62">
        <f t="shared" ref="D39:G39" si="15">SUM(D40:D41)</f>
        <v>158.22</v>
      </c>
      <c r="E39" s="62">
        <f t="shared" si="15"/>
        <v>158.22</v>
      </c>
      <c r="F39" s="62">
        <f t="shared" si="15"/>
        <v>158.22</v>
      </c>
      <c r="G39" s="62">
        <f t="shared" si="15"/>
        <v>632.88</v>
      </c>
    </row>
    <row r="40" spans="1:10" ht="20.100000000000001" customHeight="1">
      <c r="A40" s="44"/>
      <c r="B40" s="10" t="s">
        <v>45</v>
      </c>
      <c r="C40" s="42">
        <f t="shared" ref="C40:F41" si="16">C21</f>
        <v>50.220000000000006</v>
      </c>
      <c r="D40" s="42">
        <f t="shared" si="16"/>
        <v>50.220000000000006</v>
      </c>
      <c r="E40" s="42">
        <f t="shared" si="16"/>
        <v>50.220000000000006</v>
      </c>
      <c r="F40" s="42">
        <f t="shared" si="16"/>
        <v>50.220000000000006</v>
      </c>
      <c r="G40" s="72">
        <f>SUM(C40:F40)</f>
        <v>200.88000000000002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6"/>
        <v>108</v>
      </c>
      <c r="D41" s="55">
        <f t="shared" si="16"/>
        <v>108</v>
      </c>
      <c r="E41" s="55">
        <f t="shared" si="16"/>
        <v>108</v>
      </c>
      <c r="F41" s="55">
        <f t="shared" si="16"/>
        <v>108</v>
      </c>
      <c r="G41" s="72">
        <f>SUM(C41:F41)</f>
        <v>432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2640.0839999999998</v>
      </c>
      <c r="D42" s="62">
        <f>SUM(D43:D58)</f>
        <v>2640.0839999999998</v>
      </c>
      <c r="E42" s="62">
        <f>SUM(E43:E58)</f>
        <v>2640.0839999999998</v>
      </c>
      <c r="F42" s="62">
        <f>SUM(F43:F58)</f>
        <v>2640.0839999999998</v>
      </c>
      <c r="G42" s="64">
        <f t="shared" ref="G42:G51" si="17">SUM(C42:F42)</f>
        <v>10560.335999999999</v>
      </c>
    </row>
    <row r="43" spans="1:10" ht="20.100000000000001" customHeight="1">
      <c r="A43" s="56"/>
      <c r="B43" s="47" t="s">
        <v>40</v>
      </c>
      <c r="C43" s="42">
        <f>C24</f>
        <v>2640.0839999999998</v>
      </c>
      <c r="D43" s="42">
        <f>D24</f>
        <v>2640.0839999999998</v>
      </c>
      <c r="E43" s="42">
        <f>E24</f>
        <v>2640.0839999999998</v>
      </c>
      <c r="F43" s="42">
        <f>F24</f>
        <v>2640.0839999999998</v>
      </c>
      <c r="G43" s="72">
        <f t="shared" si="17"/>
        <v>10560.335999999999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3855.5025547203177</v>
      </c>
      <c r="D59" s="38">
        <f>D31+D36+D39+D42</f>
        <v>3842.7695947203174</v>
      </c>
      <c r="E59" s="38">
        <f>E31+E36+E39+E42</f>
        <v>3855.9032547203169</v>
      </c>
      <c r="F59" s="38">
        <f>F31+F36+F39+F42</f>
        <v>3933.102414720317</v>
      </c>
      <c r="G59" s="39">
        <f>G31+G36+G39+G42</f>
        <v>15487.27781888127</v>
      </c>
    </row>
    <row r="60" spans="1:14" ht="26.1" hidden="1" customHeight="1" outlineLevel="1">
      <c r="A60" s="111"/>
      <c r="B60" s="70"/>
      <c r="C60" s="71">
        <f>C29-C59</f>
        <v>412.0690612796825</v>
      </c>
      <c r="D60" s="71">
        <f>D29-D59</f>
        <v>395.9417812796828</v>
      </c>
      <c r="E60" s="71">
        <f>E29-E59</f>
        <v>425.51233127968317</v>
      </c>
      <c r="F60" s="71">
        <f>F29-F59</f>
        <v>549.1625512796827</v>
      </c>
      <c r="G60" s="71">
        <f>G29-G59</f>
        <v>1782.6857251187284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1.4579999999999997</v>
      </c>
      <c r="D77" s="65">
        <f>D16*1.2/100</f>
        <v>1.4579999999999997</v>
      </c>
      <c r="E77" s="65">
        <f>E16*1.2/100</f>
        <v>1.4579999999999997</v>
      </c>
      <c r="F77" s="65">
        <f>F16*1.2/100</f>
        <v>1.4579999999999997</v>
      </c>
    </row>
    <row r="78" spans="1:15" hidden="1">
      <c r="A78" s="68"/>
      <c r="C78" s="65">
        <f>(C16-C77)*0.5/100</f>
        <v>0.60021000000000002</v>
      </c>
      <c r="D78" s="65">
        <f>(D16-D77)*0.5/100</f>
        <v>0.60021000000000002</v>
      </c>
      <c r="E78" s="65">
        <f>(E16-E77)*0.5/100</f>
        <v>0.60021000000000002</v>
      </c>
      <c r="F78" s="65">
        <f>(F16-F77)*0.5/100</f>
        <v>0.60021000000000002</v>
      </c>
    </row>
    <row r="79" spans="1:15" hidden="1">
      <c r="C79" s="3">
        <f>C9*1.2/100</f>
        <v>10.552387392</v>
      </c>
      <c r="D79" s="3">
        <f>D9*1.2/100</f>
        <v>10.206064512000001</v>
      </c>
      <c r="E79" s="3">
        <f>E9*1.2/100</f>
        <v>10.718515032000003</v>
      </c>
      <c r="F79" s="3">
        <f>F9*1.2/100</f>
        <v>13.128707592000001</v>
      </c>
    </row>
    <row r="80" spans="1:15" s="3" customFormat="1" hidden="1">
      <c r="A80" s="2"/>
      <c r="B80" s="2"/>
      <c r="C80" s="3">
        <f>(C9-C79)*4/100</f>
        <v>34.752529144320008</v>
      </c>
      <c r="D80" s="3">
        <f>(D9-D79)*4/100</f>
        <v>33.611972459520004</v>
      </c>
      <c r="E80" s="3">
        <f>(E9-E79)*4/100</f>
        <v>35.299642838720004</v>
      </c>
      <c r="F80" s="3">
        <f>(F9-F79)*4/100</f>
        <v>43.237210336320004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47.36312653632001</v>
      </c>
      <c r="D81" s="3">
        <f t="shared" ref="D81:F81" si="20">SUM(D77:D80)</f>
        <v>45.876246971520004</v>
      </c>
      <c r="E81" s="3">
        <f t="shared" si="20"/>
        <v>48.076367870720006</v>
      </c>
      <c r="F81" s="3">
        <f t="shared" si="20"/>
        <v>58.424127928320004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483F-0B5D-43D5-8529-43D96E98061B}">
  <sheetPr>
    <tabColor rgb="FFFFC000"/>
    <pageSetUpPr fitToPage="1"/>
  </sheetPr>
  <dimension ref="A1:AA81"/>
  <sheetViews>
    <sheetView showGridLines="0" view="pageBreakPreview" topLeftCell="A4" zoomScale="60" zoomScaleNormal="70" workbookViewId="0">
      <selection activeCell="K21" sqref="K21"/>
    </sheetView>
  </sheetViews>
  <sheetFormatPr defaultColWidth="10.140625" defaultRowHeight="18.75" outlineLevelRow="1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>
      <c r="A1" s="268"/>
      <c r="B1" s="268"/>
      <c r="C1" s="268"/>
      <c r="D1" s="116"/>
      <c r="E1" s="116"/>
      <c r="F1" s="116"/>
      <c r="G1" s="116"/>
      <c r="I1" s="98" t="s">
        <v>67</v>
      </c>
      <c r="J1" s="97">
        <v>1422.7</v>
      </c>
      <c r="K1" s="97"/>
      <c r="L1" s="2">
        <v>20</v>
      </c>
    </row>
    <row r="2" spans="1:26">
      <c r="A2" s="268"/>
      <c r="B2" s="268"/>
      <c r="C2" s="268"/>
      <c r="D2" s="268"/>
      <c r="E2" s="268"/>
      <c r="F2" s="268"/>
      <c r="G2" s="268"/>
      <c r="I2" s="98"/>
      <c r="J2" s="97"/>
      <c r="K2" s="97"/>
      <c r="L2" s="131"/>
    </row>
    <row r="3" spans="1:26" ht="19.5" thickBot="1">
      <c r="A3" s="269"/>
      <c r="B3" s="269"/>
      <c r="C3" s="269"/>
      <c r="D3" s="269"/>
      <c r="E3" s="269"/>
      <c r="F3" s="269"/>
      <c r="G3" s="269"/>
      <c r="I3" s="7"/>
      <c r="J3" s="6"/>
      <c r="K3" s="6"/>
      <c r="L3" s="132"/>
    </row>
    <row r="4" spans="1:26" ht="37.5">
      <c r="A4" s="275" t="s">
        <v>0</v>
      </c>
      <c r="B4" s="277" t="s">
        <v>1</v>
      </c>
      <c r="C4" s="115"/>
      <c r="D4" s="115"/>
      <c r="E4" s="115"/>
      <c r="F4" s="115"/>
      <c r="G4" s="14"/>
      <c r="I4" s="4" t="s">
        <v>68</v>
      </c>
      <c r="J4" s="4">
        <v>20</v>
      </c>
      <c r="K4" s="150" t="s">
        <v>170</v>
      </c>
      <c r="L4" s="2">
        <f>SUM(J1/L1)</f>
        <v>71.135000000000005</v>
      </c>
    </row>
    <row r="5" spans="1:26" ht="18" customHeight="1">
      <c r="A5" s="276"/>
      <c r="B5" s="278"/>
      <c r="C5" s="271" t="s">
        <v>88</v>
      </c>
      <c r="D5" s="271" t="s">
        <v>89</v>
      </c>
      <c r="E5" s="271" t="s">
        <v>90</v>
      </c>
      <c r="F5" s="271" t="s">
        <v>91</v>
      </c>
      <c r="G5" s="270" t="s">
        <v>92</v>
      </c>
      <c r="I5" s="4" t="s">
        <v>69</v>
      </c>
      <c r="J5" s="4">
        <v>18</v>
      </c>
      <c r="K5" s="4"/>
    </row>
    <row r="6" spans="1:26">
      <c r="A6" s="276"/>
      <c r="B6" s="278"/>
      <c r="C6" s="271"/>
      <c r="D6" s="271"/>
      <c r="E6" s="271"/>
      <c r="F6" s="271"/>
      <c r="G6" s="270"/>
      <c r="I6" s="4"/>
      <c r="J6" s="4"/>
    </row>
    <row r="7" spans="1:26" ht="19.5" thickBot="1">
      <c r="A7" s="117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143</v>
      </c>
    </row>
    <row r="8" spans="1:26" ht="26.1" customHeight="1" thickBot="1">
      <c r="A8" s="274" t="s">
        <v>2</v>
      </c>
      <c r="B8" s="274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83" t="s">
        <v>144</v>
      </c>
      <c r="J8" s="283"/>
      <c r="K8" s="283"/>
      <c r="L8" s="283"/>
      <c r="M8" s="283"/>
      <c r="O8" s="283" t="s">
        <v>155</v>
      </c>
      <c r="P8" s="283"/>
      <c r="Q8" s="283"/>
      <c r="R8" s="283"/>
      <c r="S8" s="283"/>
      <c r="U8" s="283" t="s">
        <v>145</v>
      </c>
      <c r="V8" s="283"/>
      <c r="W8" s="283"/>
      <c r="X8" s="283"/>
      <c r="Y8" s="283"/>
    </row>
    <row r="9" spans="1:26" ht="20.100000000000001" customHeight="1">
      <c r="A9" s="113">
        <v>1</v>
      </c>
      <c r="B9" s="21" t="s">
        <v>15</v>
      </c>
      <c r="C9" s="22">
        <f>SUM(C10:C15)</f>
        <v>880.674396</v>
      </c>
      <c r="D9" s="22">
        <f t="shared" ref="D9:F9" si="0">SUM(D10:D15)</f>
        <v>851.78643600000009</v>
      </c>
      <c r="E9" s="22">
        <f t="shared" si="0"/>
        <v>894.7779109999999</v>
      </c>
      <c r="F9" s="22">
        <f t="shared" si="0"/>
        <v>1096.3127010000001</v>
      </c>
      <c r="G9" s="22">
        <f>SUM(G10:G15)</f>
        <v>3723.5514439999997</v>
      </c>
      <c r="I9" s="118" t="s">
        <v>146</v>
      </c>
      <c r="J9" s="118" t="s">
        <v>160</v>
      </c>
      <c r="K9" s="143" t="s">
        <v>151</v>
      </c>
      <c r="L9" s="143" t="s">
        <v>148</v>
      </c>
      <c r="M9" s="143" t="s">
        <v>66</v>
      </c>
      <c r="N9" s="118"/>
      <c r="O9" s="118" t="s">
        <v>78</v>
      </c>
      <c r="P9" s="118" t="s">
        <v>160</v>
      </c>
      <c r="Q9" s="118" t="s">
        <v>65</v>
      </c>
      <c r="R9" s="118" t="s">
        <v>148</v>
      </c>
      <c r="S9" s="143" t="s">
        <v>66</v>
      </c>
      <c r="T9" s="118"/>
      <c r="U9" s="118" t="s">
        <v>78</v>
      </c>
      <c r="V9" s="118" t="s">
        <v>160</v>
      </c>
      <c r="W9" s="118" t="s">
        <v>65</v>
      </c>
      <c r="X9" s="118" t="s">
        <v>148</v>
      </c>
      <c r="Y9" s="143" t="s">
        <v>66</v>
      </c>
    </row>
    <row r="10" spans="1:26" ht="20.100000000000001" customHeight="1">
      <c r="A10" s="114"/>
      <c r="B10" s="10" t="s">
        <v>3</v>
      </c>
      <c r="C10" s="12">
        <f>SUM(I10*3)</f>
        <v>564.24282000000005</v>
      </c>
      <c r="D10" s="12">
        <f>SUM(I10*2+O10*1)</f>
        <v>552.29214000000002</v>
      </c>
      <c r="E10" s="12">
        <f>SUM(O10*2)+U10*1</f>
        <v>528.39077999999995</v>
      </c>
      <c r="F10" s="12">
        <f>SUM(U10*3)</f>
        <v>528.39077999999995</v>
      </c>
      <c r="G10" s="75">
        <f>SUM(C10:F10)</f>
        <v>2173.3165199999999</v>
      </c>
      <c r="H10" s="144" t="s">
        <v>157</v>
      </c>
      <c r="I10" s="149">
        <f>SUM(M10*K10)</f>
        <v>188.08094000000003</v>
      </c>
      <c r="J10" s="149"/>
      <c r="K10" s="149">
        <v>0.13220000000000001</v>
      </c>
      <c r="L10" s="149"/>
      <c r="M10" s="154">
        <f>SUM(J1)</f>
        <v>1422.7</v>
      </c>
      <c r="N10" s="127"/>
      <c r="O10" s="149">
        <f>SUM(S10*Q10)</f>
        <v>176.13025999999999</v>
      </c>
      <c r="P10" s="149" t="s">
        <v>161</v>
      </c>
      <c r="Q10" s="149">
        <v>0.12379999999999999</v>
      </c>
      <c r="R10" s="149"/>
      <c r="S10" s="154">
        <f>SUM(J1)</f>
        <v>1422.7</v>
      </c>
      <c r="T10" s="127"/>
      <c r="U10" s="149">
        <f>SUM(Y10*W10)</f>
        <v>176.13025999999999</v>
      </c>
      <c r="V10" s="149" t="s">
        <v>161</v>
      </c>
      <c r="W10" s="149">
        <v>0.12379999999999999</v>
      </c>
      <c r="X10" s="149"/>
      <c r="Y10" s="154">
        <f>SUM(J1)</f>
        <v>1422.7</v>
      </c>
      <c r="Z10" s="284"/>
    </row>
    <row r="11" spans="1:26" ht="20.100000000000001" customHeight="1">
      <c r="A11" s="114"/>
      <c r="B11" s="10" t="s">
        <v>3</v>
      </c>
      <c r="C11" s="12"/>
      <c r="D11" s="12"/>
      <c r="E11" s="12"/>
      <c r="F11" s="12"/>
      <c r="G11" s="75"/>
      <c r="H11" s="144" t="s">
        <v>164</v>
      </c>
      <c r="I11" s="149"/>
      <c r="J11" s="149"/>
      <c r="K11" s="149"/>
      <c r="L11" s="149">
        <v>0.1419</v>
      </c>
      <c r="M11" s="149"/>
      <c r="N11" s="127"/>
      <c r="O11" s="149"/>
      <c r="P11" s="149"/>
      <c r="Q11" s="149"/>
      <c r="R11" s="149">
        <v>0.13350000000000001</v>
      </c>
      <c r="S11" s="149"/>
      <c r="T11" s="127"/>
      <c r="U11" s="149"/>
      <c r="V11" s="149"/>
      <c r="W11" s="149"/>
      <c r="X11" s="149">
        <v>0.13350000000000001</v>
      </c>
      <c r="Y11" s="149"/>
      <c r="Z11" s="284"/>
    </row>
    <row r="12" spans="1:26" ht="20.100000000000001" customHeight="1">
      <c r="A12" s="114"/>
      <c r="B12" s="10" t="s">
        <v>64</v>
      </c>
      <c r="C12" s="12"/>
      <c r="D12" s="12"/>
      <c r="E12" s="12"/>
      <c r="F12" s="12"/>
      <c r="G12" s="75"/>
      <c r="H12" s="144"/>
      <c r="I12" s="149"/>
      <c r="J12" s="149"/>
      <c r="K12" s="149"/>
      <c r="L12" s="149"/>
      <c r="M12" s="149"/>
      <c r="N12" s="127"/>
      <c r="O12" s="149"/>
      <c r="P12" s="149"/>
      <c r="Q12" s="149"/>
      <c r="R12" s="149"/>
      <c r="S12" s="149"/>
      <c r="T12" s="127"/>
      <c r="U12" s="149"/>
      <c r="V12" s="149"/>
      <c r="W12" s="149"/>
      <c r="X12" s="149"/>
      <c r="Y12" s="149"/>
      <c r="Z12" s="284"/>
    </row>
    <row r="13" spans="1:26" ht="20.100000000000001" customHeight="1">
      <c r="A13" s="114"/>
      <c r="B13" s="10" t="s">
        <v>10</v>
      </c>
      <c r="C13" s="12">
        <f>SUM(I13*3)</f>
        <v>59.94</v>
      </c>
      <c r="D13" s="12">
        <f>SUM(I13*2+O13)</f>
        <v>59.129999999999995</v>
      </c>
      <c r="E13" s="12">
        <f>SUM(O13*2+U13)</f>
        <v>96.243889999999993</v>
      </c>
      <c r="F13" s="12">
        <f>SUM(U13*3)</f>
        <v>173.71167000000003</v>
      </c>
      <c r="G13" s="75">
        <f t="shared" ref="G13:G14" si="1">SUM(C13:F13)</f>
        <v>389.02556000000004</v>
      </c>
      <c r="H13" s="144" t="s">
        <v>152</v>
      </c>
      <c r="I13" s="149">
        <f>SUM(J5*1.5*K13)</f>
        <v>19.98</v>
      </c>
      <c r="J13" s="149" t="s">
        <v>161</v>
      </c>
      <c r="K13" s="149">
        <v>0.74</v>
      </c>
      <c r="L13" s="149"/>
      <c r="M13" s="149"/>
      <c r="N13" s="86"/>
      <c r="O13" s="149">
        <f>SUM(J5*1.5*Q13)</f>
        <v>19.169999999999998</v>
      </c>
      <c r="P13" s="149" t="s">
        <v>161</v>
      </c>
      <c r="Q13" s="149">
        <v>0.71</v>
      </c>
      <c r="R13" s="149"/>
      <c r="S13" s="149"/>
      <c r="T13" s="86"/>
      <c r="U13" s="149">
        <f>SUM(W13*Y13)</f>
        <v>57.903890000000004</v>
      </c>
      <c r="V13" s="149" t="s">
        <v>161</v>
      </c>
      <c r="W13" s="149">
        <v>4.07E-2</v>
      </c>
      <c r="X13" s="149"/>
      <c r="Y13" s="154">
        <f>SUM(J1)</f>
        <v>1422.7</v>
      </c>
      <c r="Z13" s="41"/>
    </row>
    <row r="14" spans="1:26" ht="20.100000000000001" customHeight="1" outlineLevel="1">
      <c r="A14" s="24"/>
      <c r="B14" s="10" t="s">
        <v>11</v>
      </c>
      <c r="C14" s="12">
        <f>SUM(I14*3)</f>
        <v>127.71000000000002</v>
      </c>
      <c r="D14" s="12">
        <f>SUM(I14*2+O14)</f>
        <v>112.95000000000002</v>
      </c>
      <c r="E14" s="12">
        <f>SUM(O14*2+U14)</f>
        <v>145.463505</v>
      </c>
      <c r="F14" s="12">
        <f>SUM(U14*3)</f>
        <v>269.53051499999998</v>
      </c>
      <c r="G14" s="75">
        <f t="shared" si="1"/>
        <v>655.65401999999995</v>
      </c>
      <c r="H14" s="144" t="s">
        <v>11</v>
      </c>
      <c r="I14" s="149">
        <f>SUM((K14+L14/2))*J5</f>
        <v>42.570000000000007</v>
      </c>
      <c r="J14" s="149" t="s">
        <v>161</v>
      </c>
      <c r="K14" s="149">
        <v>1.5</v>
      </c>
      <c r="L14" s="149">
        <v>1.73</v>
      </c>
      <c r="M14" s="149"/>
      <c r="N14" s="86"/>
      <c r="O14" s="149">
        <f>SUM((Q14+R14))/2*J5</f>
        <v>27.81</v>
      </c>
      <c r="P14" s="149" t="s">
        <v>161</v>
      </c>
      <c r="Q14" s="149">
        <v>1.43</v>
      </c>
      <c r="R14" s="149">
        <v>1.66</v>
      </c>
      <c r="S14" s="149"/>
      <c r="T14" s="86"/>
      <c r="U14" s="149">
        <f>SUM((W14+X14))/2*Y14</f>
        <v>89.843504999999993</v>
      </c>
      <c r="V14" s="149" t="s">
        <v>161</v>
      </c>
      <c r="W14" s="149">
        <v>5.8400000000000001E-2</v>
      </c>
      <c r="X14" s="149">
        <v>6.7900000000000002E-2</v>
      </c>
      <c r="Y14" s="149">
        <f>SUM(J1)</f>
        <v>1422.7</v>
      </c>
      <c r="Z14" s="41"/>
    </row>
    <row r="15" spans="1:26" ht="20.100000000000001" customHeight="1" outlineLevel="1" thickBot="1">
      <c r="A15" s="24"/>
      <c r="B15" s="10" t="s">
        <v>12</v>
      </c>
      <c r="C15" s="9">
        <f>SUM(I15*3)</f>
        <v>128.781576</v>
      </c>
      <c r="D15" s="9">
        <f>SUM(I15*2+O15)</f>
        <v>127.41429599999999</v>
      </c>
      <c r="E15" s="9">
        <f>SUM(O15*2+U15)</f>
        <v>124.67973599999999</v>
      </c>
      <c r="F15" s="9">
        <f>SUM(U15*3)</f>
        <v>124.67973599999999</v>
      </c>
      <c r="G15" s="75">
        <f t="shared" ref="G15" si="2">SUM(C15:F15)</f>
        <v>505.55534399999999</v>
      </c>
      <c r="H15" s="144" t="s">
        <v>150</v>
      </c>
      <c r="I15" s="149">
        <f>SUM(J15*((K15+L15))/2)*M15</f>
        <v>42.927191999999998</v>
      </c>
      <c r="J15" s="149">
        <v>0.24</v>
      </c>
      <c r="K15" s="149">
        <v>9.2583000000000002</v>
      </c>
      <c r="L15" s="149">
        <v>10.615399999999999</v>
      </c>
      <c r="M15" s="149">
        <f>SUM(J5)</f>
        <v>18</v>
      </c>
      <c r="N15" s="86"/>
      <c r="O15" s="149">
        <f>SUM(P15*((Q15+R15)/2)*S15)</f>
        <v>41.559911999999997</v>
      </c>
      <c r="P15" s="149">
        <v>0.24</v>
      </c>
      <c r="Q15" s="149">
        <v>8.9418000000000006</v>
      </c>
      <c r="R15" s="149">
        <v>10.2989</v>
      </c>
      <c r="S15" s="149">
        <f>SUM(J5)</f>
        <v>18</v>
      </c>
      <c r="T15" s="86"/>
      <c r="U15" s="149">
        <f>SUM(V15*((W15+X15)/2)*Y15)</f>
        <v>41.559911999999997</v>
      </c>
      <c r="V15" s="149">
        <v>0.24</v>
      </c>
      <c r="W15" s="149">
        <v>8.9418000000000006</v>
      </c>
      <c r="X15" s="149">
        <v>10.2989</v>
      </c>
      <c r="Y15" s="149">
        <f>SUM(J5)</f>
        <v>18</v>
      </c>
      <c r="Z15" s="40"/>
    </row>
    <row r="16" spans="1:26" ht="20.100000000000001" customHeight="1">
      <c r="A16" s="113">
        <v>2</v>
      </c>
      <c r="B16" s="28" t="s">
        <v>16</v>
      </c>
      <c r="C16" s="35">
        <f>SUM(C17:C19)</f>
        <v>121.5</v>
      </c>
      <c r="D16" s="35">
        <f t="shared" ref="D16:F16" si="3">SUM(D17:D19)</f>
        <v>121.5</v>
      </c>
      <c r="E16" s="35">
        <f t="shared" si="3"/>
        <v>121.5</v>
      </c>
      <c r="F16" s="35">
        <f t="shared" si="3"/>
        <v>121.5</v>
      </c>
      <c r="G16" s="35">
        <f t="shared" ref="G16" si="4">SUM(G17:G19)</f>
        <v>486</v>
      </c>
      <c r="H16" s="145"/>
      <c r="I16" s="149"/>
      <c r="J16" s="149"/>
      <c r="K16" s="149"/>
      <c r="L16" s="149"/>
      <c r="M16" s="149"/>
      <c r="O16" s="149"/>
      <c r="P16" s="149"/>
      <c r="Q16" s="149"/>
      <c r="R16" s="149"/>
      <c r="S16" s="149"/>
      <c r="U16" s="149"/>
      <c r="V16" s="149"/>
      <c r="W16" s="149"/>
      <c r="X16" s="149"/>
      <c r="Y16" s="149"/>
    </row>
    <row r="17" spans="1:27" ht="39" customHeight="1" outlineLevel="1">
      <c r="A17" s="29"/>
      <c r="B17" s="10" t="s">
        <v>20</v>
      </c>
      <c r="C17" s="12">
        <f>$I$17*3</f>
        <v>57.509999999999991</v>
      </c>
      <c r="D17" s="12">
        <f t="shared" ref="D17:F17" si="5">$I$17*3</f>
        <v>57.509999999999991</v>
      </c>
      <c r="E17" s="12">
        <f t="shared" si="5"/>
        <v>57.509999999999991</v>
      </c>
      <c r="F17" s="12">
        <f t="shared" si="5"/>
        <v>57.509999999999991</v>
      </c>
      <c r="G17" s="76">
        <f>SUM(C17:F17)</f>
        <v>230.03999999999996</v>
      </c>
      <c r="H17" s="146" t="s">
        <v>153</v>
      </c>
      <c r="I17" s="149">
        <f>SUM(K17*M17)*1.5</f>
        <v>19.169999999999998</v>
      </c>
      <c r="J17" s="149" t="s">
        <v>163</v>
      </c>
      <c r="K17" s="149">
        <v>0.71</v>
      </c>
      <c r="L17" s="149"/>
      <c r="M17" s="149">
        <f>SUM(J5)</f>
        <v>18</v>
      </c>
      <c r="N17" s="86"/>
      <c r="O17" s="149">
        <f>SUM(Q17*S17*1.5)</f>
        <v>19.169999999999998</v>
      </c>
      <c r="P17" s="149" t="s">
        <v>163</v>
      </c>
      <c r="Q17" s="149">
        <v>0.71</v>
      </c>
      <c r="R17" s="149"/>
      <c r="S17" s="149">
        <f>SUM(J5)</f>
        <v>18</v>
      </c>
      <c r="T17" s="86"/>
      <c r="U17" s="149">
        <f>SUM(W17*Y17)</f>
        <v>28.169460000000004</v>
      </c>
      <c r="V17" s="149" t="s">
        <v>163</v>
      </c>
      <c r="W17" s="149">
        <v>1.9800000000000002E-2</v>
      </c>
      <c r="X17" s="149"/>
      <c r="Y17" s="149">
        <f>SUM(J1)</f>
        <v>1422.7</v>
      </c>
      <c r="Z17" s="40"/>
    </row>
    <row r="18" spans="1:27" ht="40.5" customHeight="1" outlineLevel="1">
      <c r="A18" s="29"/>
      <c r="B18" s="10" t="s">
        <v>14</v>
      </c>
      <c r="C18" s="9">
        <f>$I$18*3</f>
        <v>63.990000000000009</v>
      </c>
      <c r="D18" s="9">
        <f t="shared" ref="D18:F18" si="6">$I$18*3</f>
        <v>63.990000000000009</v>
      </c>
      <c r="E18" s="9">
        <f t="shared" si="6"/>
        <v>63.990000000000009</v>
      </c>
      <c r="F18" s="9">
        <f t="shared" si="6"/>
        <v>63.990000000000009</v>
      </c>
      <c r="G18" s="76">
        <f>SUM(C18:F18)</f>
        <v>255.96000000000004</v>
      </c>
      <c r="H18" s="146" t="s">
        <v>154</v>
      </c>
      <c r="I18" s="149">
        <f>SUM(K18*M18)*1.5</f>
        <v>21.330000000000002</v>
      </c>
      <c r="J18" s="149" t="s">
        <v>163</v>
      </c>
      <c r="K18" s="149">
        <v>0.79</v>
      </c>
      <c r="L18" s="149"/>
      <c r="M18" s="149">
        <f>SUM(J5)</f>
        <v>18</v>
      </c>
      <c r="N18" s="86"/>
      <c r="O18" s="149">
        <f>SUM(Q18*S18)*1.5</f>
        <v>21.330000000000002</v>
      </c>
      <c r="P18" s="149" t="s">
        <v>163</v>
      </c>
      <c r="Q18" s="149">
        <v>0.79</v>
      </c>
      <c r="R18" s="149"/>
      <c r="S18" s="149">
        <f>SUM(J5)</f>
        <v>18</v>
      </c>
      <c r="T18" s="86"/>
      <c r="U18" s="149">
        <f>SUM(W18*Y18)*1.5</f>
        <v>21.330000000000002</v>
      </c>
      <c r="V18" s="149" t="s">
        <v>163</v>
      </c>
      <c r="W18" s="149">
        <v>0.79</v>
      </c>
      <c r="X18" s="149"/>
      <c r="Y18" s="149">
        <f>SUM(J5)</f>
        <v>18</v>
      </c>
      <c r="Z18" s="40"/>
    </row>
    <row r="19" spans="1:27" ht="40.5" customHeight="1" outlineLevel="1" thickBot="1">
      <c r="A19" s="120"/>
      <c r="B19" s="121" t="s">
        <v>87</v>
      </c>
      <c r="C19" s="122"/>
      <c r="D19" s="122"/>
      <c r="E19" s="122"/>
      <c r="F19" s="122"/>
      <c r="G19" s="123"/>
      <c r="H19" s="144"/>
      <c r="I19" s="127"/>
      <c r="J19" s="127"/>
      <c r="K19" s="127"/>
      <c r="L19" s="127"/>
      <c r="M19" s="86"/>
      <c r="N19" s="86"/>
      <c r="O19" s="127"/>
      <c r="P19" s="127"/>
      <c r="Q19" s="127"/>
      <c r="R19" s="127"/>
      <c r="S19" s="86"/>
      <c r="T19" s="86"/>
      <c r="U19" s="127"/>
      <c r="V19" s="127"/>
      <c r="W19" s="127"/>
      <c r="X19" s="127"/>
      <c r="Y19" s="86"/>
      <c r="Z19" s="40"/>
    </row>
    <row r="20" spans="1:27" ht="20.100000000000001" customHeight="1" outlineLevel="1" thickBot="1">
      <c r="A20" s="113">
        <v>3</v>
      </c>
      <c r="B20" s="28" t="s">
        <v>17</v>
      </c>
      <c r="C20" s="22">
        <f>SUM(C21:C22)</f>
        <v>158.22</v>
      </c>
      <c r="D20" s="22">
        <f t="shared" ref="D20:F20" si="7">SUM(D21:D22)</f>
        <v>158.22</v>
      </c>
      <c r="E20" s="22">
        <f t="shared" si="7"/>
        <v>158.22</v>
      </c>
      <c r="F20" s="22">
        <f t="shared" si="7"/>
        <v>158.22</v>
      </c>
      <c r="G20" s="8">
        <f>SUM(G21:G22)</f>
        <v>632.88</v>
      </c>
      <c r="H20" s="145"/>
      <c r="I20" s="118" t="s">
        <v>77</v>
      </c>
      <c r="J20" s="118"/>
      <c r="K20" s="118" t="s">
        <v>65</v>
      </c>
      <c r="L20" s="118"/>
      <c r="M20" s="118" t="s">
        <v>78</v>
      </c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</row>
    <row r="21" spans="1:27" ht="20.100000000000001" customHeight="1" outlineLevel="1">
      <c r="A21" s="29"/>
      <c r="B21" s="10" t="s">
        <v>45</v>
      </c>
      <c r="C21" s="11">
        <f>SUM(M21)*3</f>
        <v>50.220000000000006</v>
      </c>
      <c r="D21" s="11">
        <f>SUM(M21*3)</f>
        <v>50.220000000000006</v>
      </c>
      <c r="E21" s="11">
        <f>SUM(M21*3)</f>
        <v>50.220000000000006</v>
      </c>
      <c r="F21" s="11">
        <f>SUM(M21*3)</f>
        <v>50.220000000000006</v>
      </c>
      <c r="G21" s="76">
        <f>SUM(C21:F21)</f>
        <v>200.88000000000002</v>
      </c>
      <c r="H21" s="145" t="s">
        <v>149</v>
      </c>
      <c r="I21" s="105">
        <f>SUM(J5)</f>
        <v>18</v>
      </c>
      <c r="J21" s="106"/>
      <c r="K21" s="243">
        <v>0.93</v>
      </c>
      <c r="L21" s="106"/>
      <c r="M21" s="107">
        <f>I21*K21</f>
        <v>16.740000000000002</v>
      </c>
      <c r="N21" s="95"/>
      <c r="O21" s="105"/>
      <c r="P21" s="106"/>
      <c r="Q21" s="106"/>
      <c r="R21" s="106"/>
      <c r="S21" s="107"/>
      <c r="T21" s="95"/>
      <c r="U21" s="105"/>
      <c r="V21" s="106"/>
      <c r="W21" s="106"/>
      <c r="X21" s="106"/>
      <c r="Y21" s="107"/>
    </row>
    <row r="22" spans="1:27" ht="20.100000000000001" customHeight="1" outlineLevel="1" thickBot="1">
      <c r="A22" s="27"/>
      <c r="B22" s="25" t="s">
        <v>18</v>
      </c>
      <c r="C22" s="26">
        <f>SUM(M22)*3</f>
        <v>108</v>
      </c>
      <c r="D22" s="26">
        <f>SUM(M22*3)</f>
        <v>108</v>
      </c>
      <c r="E22" s="26">
        <f>SUM(M22*3)</f>
        <v>108</v>
      </c>
      <c r="F22" s="26">
        <f>SUM(M22*3)</f>
        <v>108</v>
      </c>
      <c r="G22" s="77">
        <f>SUM(C22:F22)</f>
        <v>432</v>
      </c>
      <c r="H22" s="146" t="s">
        <v>156</v>
      </c>
      <c r="I22" s="108">
        <f>SUM(J5)</f>
        <v>18</v>
      </c>
      <c r="J22" s="109"/>
      <c r="K22" s="109">
        <v>2</v>
      </c>
      <c r="L22" s="109"/>
      <c r="M22" s="110">
        <f>I22*K22</f>
        <v>36</v>
      </c>
      <c r="N22" s="95"/>
      <c r="O22" s="108"/>
      <c r="P22" s="109"/>
      <c r="Q22" s="109"/>
      <c r="R22" s="109"/>
      <c r="S22" s="110"/>
      <c r="T22" s="95"/>
      <c r="U22" s="108"/>
      <c r="V22" s="109"/>
      <c r="W22" s="109"/>
      <c r="X22" s="109"/>
      <c r="Y22" s="110"/>
    </row>
    <row r="23" spans="1:27" ht="20.100000000000001" customHeight="1" thickBot="1">
      <c r="A23" s="31" t="s">
        <v>9</v>
      </c>
      <c r="B23" s="28" t="s">
        <v>22</v>
      </c>
      <c r="C23" s="22">
        <f>SUM(C24:C25)</f>
        <v>3115.7130000000002</v>
      </c>
      <c r="D23" s="22">
        <f t="shared" ref="D23:F23" si="8">SUM(D24:D25)</f>
        <v>3115.7130000000002</v>
      </c>
      <c r="E23" s="22">
        <f t="shared" si="8"/>
        <v>3115.7130000000002</v>
      </c>
      <c r="F23" s="22">
        <f t="shared" si="8"/>
        <v>3115.7130000000002</v>
      </c>
      <c r="G23" s="8">
        <f>SUM(G24:G25)</f>
        <v>12462.852000000001</v>
      </c>
      <c r="H23" s="147"/>
      <c r="I23" s="118" t="s">
        <v>79</v>
      </c>
      <c r="J23" s="118"/>
      <c r="K23" s="118" t="s">
        <v>65</v>
      </c>
      <c r="L23" s="118"/>
      <c r="M23" s="118" t="s">
        <v>78</v>
      </c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7" ht="20.100000000000001" customHeight="1" outlineLevel="1" thickBot="1">
      <c r="A24" s="32"/>
      <c r="B24" s="10" t="s">
        <v>21</v>
      </c>
      <c r="C24" s="9">
        <f>SUM(M24)*3</f>
        <v>2646.2220000000002</v>
      </c>
      <c r="D24" s="9">
        <f>SUM(M24*3)</f>
        <v>2646.2220000000002</v>
      </c>
      <c r="E24" s="9">
        <f>SUM(M24*3)</f>
        <v>2646.2220000000002</v>
      </c>
      <c r="F24" s="9">
        <f>SUM(M24*3)</f>
        <v>2646.2220000000002</v>
      </c>
      <c r="G24" s="76">
        <f t="shared" ref="G24:G25" si="9">SUM(C24:F24)</f>
        <v>10584.888000000001</v>
      </c>
      <c r="H24" s="148" t="s">
        <v>158</v>
      </c>
      <c r="I24" s="99">
        <f>SUM(J1)</f>
        <v>1422.7</v>
      </c>
      <c r="J24" s="100"/>
      <c r="K24" s="106">
        <v>0.62</v>
      </c>
      <c r="L24" s="106"/>
      <c r="M24" s="101">
        <f>SUM(I24*K24)</f>
        <v>882.07400000000007</v>
      </c>
      <c r="N24" s="127"/>
      <c r="O24" s="99"/>
      <c r="P24" s="100"/>
      <c r="Q24" s="106"/>
      <c r="R24" s="106"/>
      <c r="S24" s="101"/>
      <c r="T24" s="127"/>
      <c r="U24" s="99"/>
      <c r="V24" s="100"/>
      <c r="W24" s="106"/>
      <c r="X24" s="106"/>
      <c r="Y24" s="101"/>
    </row>
    <row r="25" spans="1:27" ht="20.100000000000001" customHeight="1" outlineLevel="1" thickBot="1">
      <c r="A25" s="33"/>
      <c r="B25" s="25" t="s">
        <v>60</v>
      </c>
      <c r="C25" s="26">
        <f>SUM(M25)*3</f>
        <v>469.49100000000004</v>
      </c>
      <c r="D25" s="26">
        <f>SUM(M25*3)</f>
        <v>469.49100000000004</v>
      </c>
      <c r="E25" s="26">
        <f>SUM(M25*3)</f>
        <v>469.49100000000004</v>
      </c>
      <c r="F25" s="26">
        <f>SUM(M25*3)</f>
        <v>469.49100000000004</v>
      </c>
      <c r="G25" s="77">
        <f t="shared" si="9"/>
        <v>1877.9640000000002</v>
      </c>
      <c r="H25" s="148" t="s">
        <v>159</v>
      </c>
      <c r="I25" s="102">
        <f>SUM(J1)</f>
        <v>1422.7</v>
      </c>
      <c r="J25" s="104"/>
      <c r="K25" s="109">
        <v>0.11</v>
      </c>
      <c r="L25" s="109"/>
      <c r="M25" s="101">
        <f>SUM(I25*K25)</f>
        <v>156.49700000000001</v>
      </c>
      <c r="N25" s="127"/>
      <c r="O25" s="102"/>
      <c r="P25" s="104"/>
      <c r="Q25" s="109"/>
      <c r="R25" s="109"/>
      <c r="S25" s="103"/>
      <c r="T25" s="127"/>
      <c r="U25" s="102"/>
      <c r="V25" s="104"/>
      <c r="W25" s="109"/>
      <c r="X25" s="109"/>
      <c r="Y25" s="103"/>
    </row>
    <row r="26" spans="1:27" ht="20.100000000000001" customHeight="1" outlineLevel="1">
      <c r="A26" s="34" t="s">
        <v>7</v>
      </c>
      <c r="B26" s="36" t="s">
        <v>4</v>
      </c>
      <c r="C26" s="30">
        <f>SUM(C27:C28)</f>
        <v>0</v>
      </c>
      <c r="D26" s="30">
        <f t="shared" ref="D26:F26" si="10">SUM(D27:D28)</f>
        <v>0</v>
      </c>
      <c r="E26" s="30">
        <f t="shared" si="10"/>
        <v>0</v>
      </c>
      <c r="F26" s="30">
        <f t="shared" si="10"/>
        <v>0</v>
      </c>
      <c r="G26" s="37">
        <f t="shared" ref="G26:G29" si="11">SUM(C26:F26)</f>
        <v>0</v>
      </c>
    </row>
    <row r="27" spans="1:27" s="1" customFormat="1" ht="20.100000000000001" customHeight="1" outlineLevel="1">
      <c r="A27" s="32"/>
      <c r="B27" s="10" t="s">
        <v>5</v>
      </c>
      <c r="C27" s="9"/>
      <c r="D27" s="9"/>
      <c r="E27" s="9"/>
      <c r="F27" s="9"/>
      <c r="G27" s="76">
        <f t="shared" si="11"/>
        <v>0</v>
      </c>
    </row>
    <row r="28" spans="1:27" s="1" customFormat="1" ht="20.100000000000001" customHeight="1" outlineLevel="1" thickBot="1">
      <c r="A28" s="33"/>
      <c r="B28" s="25" t="s">
        <v>19</v>
      </c>
      <c r="C28" s="26"/>
      <c r="D28" s="26"/>
      <c r="E28" s="26"/>
      <c r="F28" s="26"/>
      <c r="G28" s="77">
        <f t="shared" si="11"/>
        <v>0</v>
      </c>
      <c r="H28" s="285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</row>
    <row r="29" spans="1:27" ht="26.1" customHeight="1" outlineLevel="1" thickBot="1">
      <c r="A29" s="289" t="s">
        <v>6</v>
      </c>
      <c r="B29" s="290"/>
      <c r="C29" s="50">
        <f>C9+C16+C20+C23+C26</f>
        <v>4276.1073960000003</v>
      </c>
      <c r="D29" s="50">
        <f>D9+D16+D20+D23+D26</f>
        <v>4247.2194360000003</v>
      </c>
      <c r="E29" s="50">
        <f>E9+E16+E20+E23+E26</f>
        <v>4290.2109110000001</v>
      </c>
      <c r="F29" s="50">
        <f>F9+F16+F20+F23+F26</f>
        <v>4491.7457009999998</v>
      </c>
      <c r="G29" s="51">
        <f t="shared" si="11"/>
        <v>17305.283444000001</v>
      </c>
    </row>
    <row r="30" spans="1:27" ht="26.1" customHeight="1" thickBot="1">
      <c r="A30" s="279" t="s">
        <v>34</v>
      </c>
      <c r="B30" s="280"/>
      <c r="C30" s="52" t="s">
        <v>8</v>
      </c>
      <c r="D30" s="52" t="s">
        <v>8</v>
      </c>
      <c r="E30" s="52" t="s">
        <v>8</v>
      </c>
      <c r="F30" s="52" t="s">
        <v>8</v>
      </c>
      <c r="G30" s="53" t="s">
        <v>8</v>
      </c>
    </row>
    <row r="31" spans="1:27" ht="20.100000000000001" customHeight="1">
      <c r="A31" s="113">
        <v>1</v>
      </c>
      <c r="B31" s="21" t="s">
        <v>15</v>
      </c>
      <c r="C31" s="62">
        <f>SUM(C32:C35)</f>
        <v>1059.5171070879212</v>
      </c>
      <c r="D31" s="62">
        <f>SUM(D32:D35)</f>
        <v>1046.7564270879213</v>
      </c>
      <c r="E31" s="62">
        <f>SUM(E32:E35)</f>
        <v>1059.9689570879211</v>
      </c>
      <c r="F31" s="62">
        <f>SUM(F32:F35)</f>
        <v>1137.4367370879213</v>
      </c>
      <c r="G31" s="62">
        <f>SUM(G32:G35)</f>
        <v>4303.6792283516852</v>
      </c>
    </row>
    <row r="32" spans="1:27" ht="20.100000000000001" customHeight="1">
      <c r="A32" s="44"/>
      <c r="B32" s="10" t="s">
        <v>3</v>
      </c>
      <c r="C32" s="42">
        <f>C10</f>
        <v>564.24282000000005</v>
      </c>
      <c r="D32" s="42">
        <f>D10</f>
        <v>552.29214000000002</v>
      </c>
      <c r="E32" s="42">
        <f>E10</f>
        <v>528.39077999999995</v>
      </c>
      <c r="F32" s="42">
        <f>F10</f>
        <v>528.39077999999995</v>
      </c>
      <c r="G32" s="72">
        <f>SUM(C32:F32)</f>
        <v>2173.3165199999999</v>
      </c>
    </row>
    <row r="33" spans="1:10" ht="20.100000000000001" customHeight="1">
      <c r="A33" s="44"/>
      <c r="B33" s="10" t="s">
        <v>10</v>
      </c>
      <c r="C33" s="42">
        <f t="shared" ref="C33:F33" si="12">C13</f>
        <v>59.94</v>
      </c>
      <c r="D33" s="42">
        <f t="shared" si="12"/>
        <v>59.129999999999995</v>
      </c>
      <c r="E33" s="42">
        <f t="shared" si="12"/>
        <v>96.243889999999993</v>
      </c>
      <c r="F33" s="42">
        <f t="shared" si="12"/>
        <v>173.71167000000003</v>
      </c>
      <c r="G33" s="72">
        <f>SUM(C33:F33)</f>
        <v>389.02556000000004</v>
      </c>
    </row>
    <row r="34" spans="1:10" ht="57.75" customHeight="1">
      <c r="A34" s="44"/>
      <c r="B34" s="10" t="s">
        <v>46</v>
      </c>
      <c r="C34" s="42">
        <f>Лист15!D9</f>
        <v>435.33428708792127</v>
      </c>
      <c r="D34" s="42">
        <f>C34</f>
        <v>435.33428708792127</v>
      </c>
      <c r="E34" s="42">
        <f t="shared" ref="E34:F34" si="13">D34</f>
        <v>435.33428708792127</v>
      </c>
      <c r="F34" s="42">
        <f t="shared" si="13"/>
        <v>435.33428708792127</v>
      </c>
      <c r="G34" s="72">
        <f>SUM(C34:F34)</f>
        <v>1741.3371483516851</v>
      </c>
    </row>
    <row r="35" spans="1:10" ht="20.100000000000001" customHeight="1" thickBot="1">
      <c r="A35" s="44"/>
      <c r="B35" s="10" t="s">
        <v>12</v>
      </c>
      <c r="C35" s="42"/>
      <c r="D35" s="42"/>
      <c r="E35" s="42"/>
      <c r="F35" s="42"/>
      <c r="G35" s="72">
        <f>SUM(C35:F35)</f>
        <v>0</v>
      </c>
      <c r="H35" s="2" t="s">
        <v>42</v>
      </c>
    </row>
    <row r="36" spans="1:10" ht="20.100000000000001" customHeight="1">
      <c r="A36" s="113">
        <v>2</v>
      </c>
      <c r="B36" s="28" t="s">
        <v>16</v>
      </c>
      <c r="C36" s="62">
        <f>SUM(C37:C38)</f>
        <v>0</v>
      </c>
      <c r="D36" s="62">
        <f t="shared" ref="D36:G36" si="14">SUM(D37:D38)</f>
        <v>0</v>
      </c>
      <c r="E36" s="62">
        <f t="shared" si="14"/>
        <v>0</v>
      </c>
      <c r="F36" s="62">
        <f t="shared" si="14"/>
        <v>0</v>
      </c>
      <c r="G36" s="62">
        <f t="shared" si="14"/>
        <v>0</v>
      </c>
    </row>
    <row r="37" spans="1:10" ht="39.950000000000003" customHeight="1">
      <c r="A37" s="29"/>
      <c r="B37" s="10" t="s">
        <v>20</v>
      </c>
      <c r="C37" s="42"/>
      <c r="D37" s="42"/>
      <c r="E37" s="42"/>
      <c r="F37" s="42"/>
      <c r="G37" s="72">
        <f>SUM(C37:F37)</f>
        <v>0</v>
      </c>
      <c r="H37" s="2" t="s">
        <v>44</v>
      </c>
    </row>
    <row r="38" spans="1:10" ht="39.950000000000003" customHeight="1" thickBot="1">
      <c r="A38" s="27"/>
      <c r="B38" s="25" t="s">
        <v>14</v>
      </c>
      <c r="C38" s="42"/>
      <c r="D38" s="42"/>
      <c r="E38" s="42"/>
      <c r="F38" s="42"/>
      <c r="G38" s="72">
        <f>SUM(C38:F38)</f>
        <v>0</v>
      </c>
      <c r="H38" s="2" t="s">
        <v>35</v>
      </c>
    </row>
    <row r="39" spans="1:10" ht="20.100000000000001" customHeight="1">
      <c r="A39" s="113" t="s">
        <v>28</v>
      </c>
      <c r="B39" s="28" t="s">
        <v>17</v>
      </c>
      <c r="C39" s="62">
        <f>SUM(C40:C41)</f>
        <v>158.22</v>
      </c>
      <c r="D39" s="62">
        <f t="shared" ref="D39:G39" si="15">SUM(D40:D41)</f>
        <v>158.22</v>
      </c>
      <c r="E39" s="62">
        <f t="shared" si="15"/>
        <v>158.22</v>
      </c>
      <c r="F39" s="62">
        <f t="shared" si="15"/>
        <v>158.22</v>
      </c>
      <c r="G39" s="62">
        <f t="shared" si="15"/>
        <v>632.88</v>
      </c>
    </row>
    <row r="40" spans="1:10" ht="20.100000000000001" customHeight="1">
      <c r="A40" s="44"/>
      <c r="B40" s="10" t="s">
        <v>45</v>
      </c>
      <c r="C40" s="42">
        <f t="shared" ref="C40:F41" si="16">C21</f>
        <v>50.220000000000006</v>
      </c>
      <c r="D40" s="42">
        <f t="shared" si="16"/>
        <v>50.220000000000006</v>
      </c>
      <c r="E40" s="42">
        <f t="shared" si="16"/>
        <v>50.220000000000006</v>
      </c>
      <c r="F40" s="42">
        <f t="shared" si="16"/>
        <v>50.220000000000006</v>
      </c>
      <c r="G40" s="72">
        <f>SUM(C40:F40)</f>
        <v>200.88000000000002</v>
      </c>
      <c r="H40" s="2">
        <v>0.93</v>
      </c>
    </row>
    <row r="41" spans="1:10" s="4" customFormat="1" ht="20.100000000000001" customHeight="1" thickBot="1">
      <c r="A41" s="54"/>
      <c r="B41" s="25" t="s">
        <v>18</v>
      </c>
      <c r="C41" s="55">
        <f t="shared" si="16"/>
        <v>108</v>
      </c>
      <c r="D41" s="55">
        <f t="shared" si="16"/>
        <v>108</v>
      </c>
      <c r="E41" s="55">
        <f t="shared" si="16"/>
        <v>108</v>
      </c>
      <c r="F41" s="55">
        <f t="shared" si="16"/>
        <v>108</v>
      </c>
      <c r="G41" s="72">
        <f>SUM(C41:F41)</f>
        <v>432</v>
      </c>
    </row>
    <row r="42" spans="1:10" ht="20.100000000000001" customHeight="1">
      <c r="A42" s="113" t="s">
        <v>9</v>
      </c>
      <c r="B42" s="28" t="s">
        <v>33</v>
      </c>
      <c r="C42" s="62">
        <f>SUM(C43:C58)</f>
        <v>2646.2220000000002</v>
      </c>
      <c r="D42" s="62">
        <f>SUM(D43:D58)</f>
        <v>2646.2220000000002</v>
      </c>
      <c r="E42" s="62">
        <f>SUM(E43:E58)</f>
        <v>2646.2220000000002</v>
      </c>
      <c r="F42" s="62">
        <f>SUM(F43:F58)</f>
        <v>2646.2220000000002</v>
      </c>
      <c r="G42" s="64">
        <f t="shared" ref="G42:G51" si="17">SUM(C42:F42)</f>
        <v>10584.888000000001</v>
      </c>
    </row>
    <row r="43" spans="1:10" ht="20.100000000000001" customHeight="1">
      <c r="A43" s="56"/>
      <c r="B43" s="47" t="s">
        <v>40</v>
      </c>
      <c r="C43" s="42">
        <f>C24</f>
        <v>2646.2220000000002</v>
      </c>
      <c r="D43" s="42">
        <f>D24</f>
        <v>2646.2220000000002</v>
      </c>
      <c r="E43" s="42">
        <f>E24</f>
        <v>2646.2220000000002</v>
      </c>
      <c r="F43" s="42">
        <f>F24</f>
        <v>2646.2220000000002</v>
      </c>
      <c r="G43" s="72">
        <f t="shared" si="17"/>
        <v>10584.888000000001</v>
      </c>
    </row>
    <row r="44" spans="1:10" ht="20.100000000000001" customHeight="1">
      <c r="A44" s="45"/>
      <c r="B44" s="47" t="s">
        <v>23</v>
      </c>
      <c r="C44" s="42"/>
      <c r="D44" s="42"/>
      <c r="E44" s="42"/>
      <c r="F44" s="42"/>
      <c r="G44" s="72">
        <f>SUM(C44:F44)</f>
        <v>0</v>
      </c>
      <c r="H44" s="2">
        <v>581.39</v>
      </c>
      <c r="I44" s="2">
        <v>565.79999999999995</v>
      </c>
      <c r="J44" s="2">
        <v>465.8</v>
      </c>
    </row>
    <row r="45" spans="1:10" ht="20.100000000000001" customHeight="1">
      <c r="A45" s="45"/>
      <c r="B45" s="47" t="s">
        <v>31</v>
      </c>
      <c r="C45" s="42"/>
      <c r="D45" s="42"/>
      <c r="E45" s="42"/>
      <c r="F45" s="42"/>
      <c r="G45" s="72">
        <f t="shared" si="17"/>
        <v>0</v>
      </c>
      <c r="H45" s="2">
        <v>11.6</v>
      </c>
    </row>
    <row r="46" spans="1:10" ht="20.100000000000001" customHeight="1">
      <c r="A46" s="45"/>
      <c r="B46" s="47" t="s">
        <v>29</v>
      </c>
      <c r="C46" s="42"/>
      <c r="D46" s="42"/>
      <c r="E46" s="42"/>
      <c r="F46" s="42"/>
      <c r="G46" s="72">
        <f t="shared" si="17"/>
        <v>0</v>
      </c>
    </row>
    <row r="47" spans="1:10" ht="20.100000000000001" customHeight="1">
      <c r="A47" s="44"/>
      <c r="B47" s="47" t="s">
        <v>30</v>
      </c>
      <c r="C47" s="42"/>
      <c r="D47" s="42"/>
      <c r="E47" s="42"/>
      <c r="F47" s="42"/>
      <c r="G47" s="72">
        <f t="shared" si="17"/>
        <v>0</v>
      </c>
    </row>
    <row r="48" spans="1:10" ht="20.100000000000001" customHeight="1">
      <c r="A48" s="56"/>
      <c r="B48" s="10" t="s">
        <v>63</v>
      </c>
      <c r="C48" s="42"/>
      <c r="D48" s="42"/>
      <c r="E48" s="42"/>
      <c r="F48" s="42"/>
      <c r="G48" s="72">
        <f t="shared" si="17"/>
        <v>0</v>
      </c>
      <c r="H48" s="2" t="s">
        <v>43</v>
      </c>
    </row>
    <row r="49" spans="1:14" ht="39" customHeight="1">
      <c r="A49" s="56"/>
      <c r="B49" s="47" t="s">
        <v>32</v>
      </c>
      <c r="C49" s="42"/>
      <c r="D49" s="42"/>
      <c r="E49" s="42"/>
      <c r="F49" s="42"/>
      <c r="G49" s="72">
        <f t="shared" si="17"/>
        <v>0</v>
      </c>
      <c r="H49" s="63"/>
    </row>
    <row r="50" spans="1:14" ht="20.100000000000001" customHeight="1">
      <c r="A50" s="44"/>
      <c r="B50" s="47" t="s">
        <v>24</v>
      </c>
      <c r="C50" s="42"/>
      <c r="D50" s="42"/>
      <c r="E50" s="42"/>
      <c r="F50" s="42"/>
      <c r="G50" s="72">
        <f t="shared" si="17"/>
        <v>0</v>
      </c>
      <c r="H50" s="2" t="s">
        <v>38</v>
      </c>
      <c r="J50" s="2">
        <v>42</v>
      </c>
      <c r="K50" s="2">
        <f>H44*1/100</f>
        <v>5.8139000000000003</v>
      </c>
      <c r="L50" s="2">
        <f>(J50+K50)*3</f>
        <v>143.44170000000003</v>
      </c>
    </row>
    <row r="51" spans="1:14" s="4" customFormat="1" ht="20.100000000000001" customHeight="1">
      <c r="A51" s="46"/>
      <c r="B51" s="47" t="s">
        <v>36</v>
      </c>
      <c r="C51" s="42"/>
      <c r="D51" s="42"/>
      <c r="E51" s="42"/>
      <c r="F51" s="42"/>
      <c r="G51" s="72">
        <f t="shared" si="17"/>
        <v>0</v>
      </c>
    </row>
    <row r="52" spans="1:14" ht="20.100000000000001" customHeight="1">
      <c r="A52" s="57"/>
      <c r="B52" s="47" t="s">
        <v>37</v>
      </c>
      <c r="C52" s="66"/>
      <c r="D52" s="66"/>
      <c r="E52" s="66"/>
      <c r="F52" s="66"/>
      <c r="G52" s="73">
        <f t="shared" ref="G52:G57" si="18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>
      <c r="A53" s="59"/>
      <c r="B53" s="49" t="s">
        <v>41</v>
      </c>
      <c r="C53" s="42"/>
      <c r="D53" s="42"/>
      <c r="E53" s="42"/>
      <c r="F53" s="42"/>
      <c r="G53" s="72">
        <f t="shared" si="18"/>
        <v>0</v>
      </c>
      <c r="I53" s="2">
        <v>1</v>
      </c>
    </row>
    <row r="54" spans="1:14" ht="20.100000000000001" customHeight="1">
      <c r="A54" s="59"/>
      <c r="B54" s="47" t="s">
        <v>25</v>
      </c>
      <c r="C54" s="42"/>
      <c r="D54" s="42"/>
      <c r="E54" s="42"/>
      <c r="F54" s="42"/>
      <c r="G54" s="72">
        <f t="shared" si="18"/>
        <v>0</v>
      </c>
    </row>
    <row r="55" spans="1:14" ht="41.25" customHeight="1">
      <c r="A55" s="59"/>
      <c r="B55" s="47" t="s">
        <v>26</v>
      </c>
      <c r="C55" s="42"/>
      <c r="D55" s="42"/>
      <c r="E55" s="42"/>
      <c r="F55" s="42"/>
      <c r="G55" s="72">
        <f t="shared" si="18"/>
        <v>0</v>
      </c>
    </row>
    <row r="56" spans="1:14" ht="39" customHeight="1">
      <c r="A56" s="60"/>
      <c r="B56" s="79" t="s">
        <v>50</v>
      </c>
      <c r="C56" s="66"/>
      <c r="D56" s="66"/>
      <c r="E56" s="66"/>
      <c r="F56" s="66"/>
      <c r="G56" s="80">
        <f t="shared" si="18"/>
        <v>0</v>
      </c>
    </row>
    <row r="57" spans="1:14" ht="60" customHeight="1">
      <c r="A57" s="58"/>
      <c r="B57" s="49" t="s">
        <v>53</v>
      </c>
      <c r="C57" s="66"/>
      <c r="D57" s="66"/>
      <c r="E57" s="66"/>
      <c r="F57" s="66"/>
      <c r="G57" s="80">
        <f t="shared" si="18"/>
        <v>0</v>
      </c>
    </row>
    <row r="58" spans="1:14" ht="20.100000000000001" customHeight="1" thickBot="1">
      <c r="A58" s="61"/>
      <c r="B58" s="48" t="s">
        <v>27</v>
      </c>
      <c r="C58" s="55">
        <f>C27*5/100</f>
        <v>0</v>
      </c>
      <c r="D58" s="55">
        <f t="shared" ref="D58:F58" si="19">D27*5/100</f>
        <v>0</v>
      </c>
      <c r="E58" s="55">
        <f t="shared" si="19"/>
        <v>0</v>
      </c>
      <c r="F58" s="55">
        <f t="shared" si="19"/>
        <v>0</v>
      </c>
      <c r="G58" s="74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>
      <c r="A59" s="287" t="s">
        <v>39</v>
      </c>
      <c r="B59" s="288"/>
      <c r="C59" s="38">
        <f>C31+C36+C39+C42</f>
        <v>3863.9591070879214</v>
      </c>
      <c r="D59" s="38">
        <f>D31+D36+D39+D42</f>
        <v>3851.1984270879216</v>
      </c>
      <c r="E59" s="38">
        <f>E31+E36+E39+E42</f>
        <v>3864.4109570879214</v>
      </c>
      <c r="F59" s="38">
        <f>F31+F36+F39+F42</f>
        <v>3941.8787370879218</v>
      </c>
      <c r="G59" s="39">
        <f>G31+G36+G39+G42</f>
        <v>15521.447228351686</v>
      </c>
    </row>
    <row r="60" spans="1:14" ht="26.1" hidden="1" customHeight="1" outlineLevel="1">
      <c r="A60" s="111"/>
      <c r="B60" s="70"/>
      <c r="C60" s="71">
        <f>C29-C59</f>
        <v>412.1482889120789</v>
      </c>
      <c r="D60" s="71">
        <f>D29-D59</f>
        <v>396.02100891207874</v>
      </c>
      <c r="E60" s="71">
        <f>E29-E59</f>
        <v>425.79995391207876</v>
      </c>
      <c r="F60" s="71">
        <f>F29-F59</f>
        <v>549.86696391207806</v>
      </c>
      <c r="G60" s="71">
        <f>G29-G59</f>
        <v>1783.8362156483145</v>
      </c>
    </row>
    <row r="61" spans="1:14" ht="26.1" hidden="1" customHeight="1" outlineLevel="1">
      <c r="A61" s="111"/>
      <c r="B61" s="70"/>
      <c r="C61" s="71"/>
      <c r="D61" s="71"/>
      <c r="E61" s="71"/>
      <c r="F61" s="71"/>
      <c r="G61" s="78" t="e">
        <f>G60/#REF!/12</f>
        <v>#REF!</v>
      </c>
    </row>
    <row r="62" spans="1:14" ht="37.5">
      <c r="A62" s="67"/>
      <c r="B62" s="47" t="s">
        <v>47</v>
      </c>
      <c r="C62" s="258" t="s">
        <v>51</v>
      </c>
      <c r="D62" s="259"/>
      <c r="E62" s="259"/>
      <c r="F62" s="259"/>
      <c r="G62" s="260"/>
      <c r="H62" s="2">
        <v>236.16</v>
      </c>
    </row>
    <row r="63" spans="1:14" ht="39.75" customHeight="1">
      <c r="A63" s="67"/>
      <c r="B63" s="47" t="s">
        <v>48</v>
      </c>
      <c r="C63" s="258" t="s">
        <v>52</v>
      </c>
      <c r="D63" s="259"/>
      <c r="E63" s="259"/>
      <c r="F63" s="259"/>
      <c r="G63" s="260"/>
      <c r="H63" s="2">
        <v>389.19</v>
      </c>
    </row>
    <row r="64" spans="1:14">
      <c r="A64" s="67"/>
      <c r="B64" s="47" t="s">
        <v>13</v>
      </c>
      <c r="C64" s="258" t="s">
        <v>59</v>
      </c>
      <c r="D64" s="259"/>
      <c r="E64" s="259"/>
      <c r="F64" s="259"/>
      <c r="G64" s="260"/>
    </row>
    <row r="65" spans="1:15">
      <c r="A65" s="67"/>
      <c r="B65" s="47" t="s">
        <v>49</v>
      </c>
      <c r="C65" s="258" t="s">
        <v>54</v>
      </c>
      <c r="D65" s="259"/>
      <c r="E65" s="259"/>
      <c r="F65" s="259"/>
      <c r="G65" s="259"/>
      <c r="H65" s="291"/>
      <c r="I65" s="291"/>
      <c r="J65" s="291"/>
      <c r="K65" s="291"/>
      <c r="L65" s="291"/>
    </row>
    <row r="66" spans="1:15">
      <c r="A66" s="67"/>
      <c r="B66" s="81"/>
      <c r="C66" s="112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5">
      <c r="A67" s="67"/>
      <c r="B67" s="83" t="s">
        <v>56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</row>
    <row r="68" spans="1:15">
      <c r="A68" s="67"/>
      <c r="B68" s="81" t="s">
        <v>57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5">
      <c r="A69" s="67"/>
      <c r="B69" s="81" t="s">
        <v>58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</row>
    <row r="70" spans="1:15">
      <c r="A70" s="67"/>
      <c r="B70" s="81"/>
      <c r="C70" s="86">
        <v>2019</v>
      </c>
      <c r="D70" s="86">
        <v>2020</v>
      </c>
      <c r="E70" s="112"/>
      <c r="F70" s="112"/>
      <c r="G70" s="112"/>
      <c r="H70" s="112"/>
      <c r="I70" s="112"/>
      <c r="J70" s="112"/>
      <c r="K70" s="112"/>
      <c r="L70" s="112"/>
    </row>
    <row r="71" spans="1:15" ht="19.5" customHeight="1">
      <c r="A71" s="67"/>
      <c r="B71" s="84" t="s">
        <v>55</v>
      </c>
      <c r="C71" s="85">
        <f>C72+C73</f>
        <v>0.34</v>
      </c>
      <c r="D71" s="85">
        <f>D72+D73</f>
        <v>0.39</v>
      </c>
      <c r="E71" s="112"/>
      <c r="F71" s="112"/>
      <c r="G71" s="112"/>
      <c r="H71" s="112"/>
      <c r="I71" s="112"/>
      <c r="J71" s="112"/>
      <c r="K71" s="112"/>
      <c r="L71" s="112"/>
    </row>
    <row r="72" spans="1:15" ht="19.5" customHeight="1">
      <c r="A72" s="67"/>
      <c r="B72" s="10" t="s">
        <v>21</v>
      </c>
      <c r="C72" s="119">
        <v>0.26</v>
      </c>
      <c r="D72" s="119">
        <v>0.28999999999999998</v>
      </c>
      <c r="E72" s="112"/>
      <c r="F72" s="112"/>
      <c r="G72" s="112"/>
      <c r="H72" s="112"/>
      <c r="I72" s="112"/>
      <c r="J72" s="112"/>
      <c r="K72" s="112"/>
      <c r="L72" s="112"/>
    </row>
    <row r="73" spans="1:15" ht="19.5" customHeight="1" thickBot="1">
      <c r="A73" s="67"/>
      <c r="B73" s="25" t="s">
        <v>60</v>
      </c>
      <c r="C73" s="119">
        <v>0.08</v>
      </c>
      <c r="D73" s="119">
        <v>0.1</v>
      </c>
      <c r="E73" s="112"/>
      <c r="F73" s="112"/>
      <c r="G73" s="112"/>
      <c r="H73" s="112"/>
      <c r="I73" s="112"/>
      <c r="J73" s="112"/>
      <c r="K73" s="112"/>
      <c r="L73" s="112"/>
    </row>
    <row r="74" spans="1:15" ht="19.5" customHeight="1">
      <c r="A74" s="67"/>
      <c r="B74" s="88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5" ht="19.5" customHeight="1">
      <c r="A75" s="67"/>
      <c r="B75" s="257" t="s">
        <v>61</v>
      </c>
      <c r="C75" s="257"/>
      <c r="D75" s="257"/>
      <c r="E75" s="257"/>
      <c r="F75" s="257"/>
      <c r="G75" s="257"/>
      <c r="H75" s="112"/>
      <c r="I75" s="112"/>
      <c r="J75" s="112"/>
      <c r="K75" s="112"/>
      <c r="L75" s="112"/>
    </row>
    <row r="76" spans="1:15" ht="39.75" hidden="1" customHeight="1">
      <c r="A76" s="67"/>
      <c r="B76" s="81"/>
      <c r="C76" s="112"/>
      <c r="D76" s="112"/>
      <c r="E76" s="112"/>
      <c r="F76" s="112"/>
      <c r="G76" s="112"/>
      <c r="H76" s="112"/>
      <c r="I76" s="112"/>
      <c r="J76" s="112"/>
      <c r="K76" s="112"/>
      <c r="L76" s="112"/>
    </row>
    <row r="77" spans="1:15" hidden="1">
      <c r="A77" s="67"/>
      <c r="C77" s="65">
        <f>C16*1.2/100</f>
        <v>1.4579999999999997</v>
      </c>
      <c r="D77" s="65">
        <f>D16*1.2/100</f>
        <v>1.4579999999999997</v>
      </c>
      <c r="E77" s="65">
        <f>E16*1.2/100</f>
        <v>1.4579999999999997</v>
      </c>
      <c r="F77" s="65">
        <f>F16*1.2/100</f>
        <v>1.4579999999999997</v>
      </c>
    </row>
    <row r="78" spans="1:15" hidden="1">
      <c r="A78" s="68"/>
      <c r="C78" s="65">
        <f>(C16-C77)*0.5/100</f>
        <v>0.60021000000000002</v>
      </c>
      <c r="D78" s="65">
        <f>(D16-D77)*0.5/100</f>
        <v>0.60021000000000002</v>
      </c>
      <c r="E78" s="65">
        <f>(E16-E77)*0.5/100</f>
        <v>0.60021000000000002</v>
      </c>
      <c r="F78" s="65">
        <f>(F16-F77)*0.5/100</f>
        <v>0.60021000000000002</v>
      </c>
    </row>
    <row r="79" spans="1:15" hidden="1">
      <c r="C79" s="3">
        <f>C9*1.2/100</f>
        <v>10.568092752</v>
      </c>
      <c r="D79" s="3">
        <f>D9*1.2/100</f>
        <v>10.221437232000001</v>
      </c>
      <c r="E79" s="3">
        <f>E9*1.2/100</f>
        <v>10.737334932</v>
      </c>
      <c r="F79" s="3">
        <f>F9*1.2/100</f>
        <v>13.155752412</v>
      </c>
    </row>
    <row r="80" spans="1:15" s="3" customFormat="1" hidden="1">
      <c r="A80" s="2"/>
      <c r="B80" s="2"/>
      <c r="C80" s="3">
        <f>(C9-C79)*4/100</f>
        <v>34.804252129920002</v>
      </c>
      <c r="D80" s="3">
        <f>(D9-D79)*4/100</f>
        <v>33.662599950720008</v>
      </c>
      <c r="E80" s="3">
        <f>(E9-E79)*4/100</f>
        <v>35.361623042719998</v>
      </c>
      <c r="F80" s="3">
        <f>(F9-F79)*4/100</f>
        <v>43.326277943519997</v>
      </c>
      <c r="H80" s="2"/>
      <c r="I80" s="2"/>
      <c r="J80" s="2"/>
      <c r="K80" s="2"/>
      <c r="L80" s="2"/>
      <c r="M80" s="2"/>
      <c r="N80" s="2"/>
      <c r="O80" s="2"/>
    </row>
    <row r="81" spans="1:15" s="3" customFormat="1" hidden="1">
      <c r="A81" s="2"/>
      <c r="B81" s="2"/>
      <c r="C81" s="3">
        <f>SUM(C77:C80)</f>
        <v>47.430554881920003</v>
      </c>
      <c r="D81" s="3">
        <f t="shared" ref="D81:F81" si="20">SUM(D77:D80)</f>
        <v>45.94224718272001</v>
      </c>
      <c r="E81" s="3">
        <f t="shared" si="20"/>
        <v>48.157167974719997</v>
      </c>
      <c r="F81" s="3">
        <f t="shared" si="20"/>
        <v>58.540240355519998</v>
      </c>
      <c r="H81" s="2"/>
      <c r="I81" s="2"/>
      <c r="J81" s="2"/>
      <c r="K81" s="2"/>
      <c r="L81" s="2"/>
      <c r="M81" s="2"/>
      <c r="N81" s="2"/>
      <c r="O81" s="2"/>
    </row>
  </sheetData>
  <dataConsolidate/>
  <mergeCells count="25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B75:G75"/>
    <mergeCell ref="A8:B8"/>
    <mergeCell ref="A29:B29"/>
    <mergeCell ref="A30:B30"/>
    <mergeCell ref="A59:B59"/>
    <mergeCell ref="C62:G62"/>
    <mergeCell ref="C63:G63"/>
    <mergeCell ref="C64:G64"/>
    <mergeCell ref="C65:G65"/>
    <mergeCell ref="H65:L65"/>
    <mergeCell ref="I8:M8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17</vt:i4>
      </vt:variant>
    </vt:vector>
  </HeadingPairs>
  <TitlesOfParts>
    <vt:vector size="36" baseType="lpstr">
      <vt:lpstr>ПИРС-1</vt:lpstr>
      <vt:lpstr>тх2</vt:lpstr>
      <vt:lpstr>тх4</vt:lpstr>
      <vt:lpstr>тх6</vt:lpstr>
      <vt:lpstr>КТ</vt:lpstr>
      <vt:lpstr>УВ1</vt:lpstr>
      <vt:lpstr>УВ3</vt:lpstr>
      <vt:lpstr>УВ5</vt:lpstr>
      <vt:lpstr>УВ7</vt:lpstr>
      <vt:lpstr>УВ9</vt:lpstr>
      <vt:lpstr>УВ11</vt:lpstr>
      <vt:lpstr>УВ13</vt:lpstr>
      <vt:lpstr>УВ15</vt:lpstr>
      <vt:lpstr>УВ17</vt:lpstr>
      <vt:lpstr>УВ19</vt:lpstr>
      <vt:lpstr>УВ21</vt:lpstr>
      <vt:lpstr>Лист15</vt:lpstr>
      <vt:lpstr>информационно</vt:lpstr>
      <vt:lpstr>материалы</vt:lpstr>
      <vt:lpstr>информационно!Область_печати</vt:lpstr>
      <vt:lpstr>КТ!Область_печати</vt:lpstr>
      <vt:lpstr>'ПИРС-1'!Область_печати</vt:lpstr>
      <vt:lpstr>тх2!Область_печати</vt:lpstr>
      <vt:lpstr>тх4!Область_печати</vt:lpstr>
      <vt:lpstr>тх6!Область_печати</vt:lpstr>
      <vt:lpstr>УВ1!Область_печати</vt:lpstr>
      <vt:lpstr>УВ11!Область_печати</vt:lpstr>
      <vt:lpstr>УВ13!Область_печати</vt:lpstr>
      <vt:lpstr>УВ15!Область_печати</vt:lpstr>
      <vt:lpstr>УВ17!Область_печати</vt:lpstr>
      <vt:lpstr>УВ19!Область_печати</vt:lpstr>
      <vt:lpstr>УВ21!Область_печати</vt:lpstr>
      <vt:lpstr>УВ3!Область_печати</vt:lpstr>
      <vt:lpstr>УВ5!Область_печати</vt:lpstr>
      <vt:lpstr>УВ7!Область_печати</vt:lpstr>
      <vt:lpstr>УВ9!Область_печати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2021-03-12T12:16:03Z</dcterms:modified>
</cp:coreProperties>
</file>